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CRM &amp; Data Performance\1. Pilotage\Part Variable\2020\PART\Animation PV nov-déc 2020\"/>
    </mc:Choice>
  </mc:AlternateContent>
  <bookViews>
    <workbookView showSheetTabs="0" xWindow="0" yWindow="0" windowWidth="28800" windowHeight="12000" activeTab="1"/>
  </bookViews>
  <sheets>
    <sheet name="Lexique" sheetId="21" r:id="rId1"/>
    <sheet name="Fiche Agence" sheetId="1" r:id="rId2"/>
    <sheet name="CUMUL résultats semaine" sheetId="4" r:id="rId3"/>
    <sheet name="PROD MRH4" sheetId="20" r:id="rId4"/>
    <sheet name="BAROM CA UC" sheetId="14" r:id="rId5"/>
    <sheet name="BAROM IZICARTES" sheetId="15" r:id="rId6"/>
    <sheet name="BAROM CARTES HDG" sheetId="16" r:id="rId7"/>
    <sheet name="S45" sheetId="7" r:id="rId8"/>
    <sheet name="S46" sheetId="8" r:id="rId9"/>
    <sheet name="S47" sheetId="9" r:id="rId10"/>
    <sheet name="S48" sheetId="10" r:id="rId11"/>
    <sheet name="S49" sheetId="11" r:id="rId12"/>
    <sheet name="S50" sheetId="12" r:id="rId13"/>
    <sheet name="Coller ici dernier suivi PV" sheetId="3" r:id="rId14"/>
    <sheet name="S0 remplacer avec S44" sheetId="6" r:id="rId15"/>
    <sheet name="ETP Challenge" sheetId="13" r:id="rId16"/>
    <sheet name="Meilleures perf" sheetId="18" r:id="rId17"/>
    <sheet name="Structures EDS" sheetId="17" r:id="rId18"/>
  </sheets>
  <externalReferences>
    <externalReference r:id="rId19"/>
  </externalReferences>
  <definedNames>
    <definedName name="_xlnm._FilterDatabase" localSheetId="15" hidden="1">'ETP Challenge'!$A$1:$F$291</definedName>
    <definedName name="_xlnm._FilterDatabase" localSheetId="16" hidden="1">'Meilleures perf'!$A$1:$G$1780</definedName>
    <definedName name="AUBE_HAUTE_MARNE">'Structures EDS'!$C$3:$C$4</definedName>
    <definedName name="BAS_RHIN">'Structures EDS'!$D$3:$D$5</definedName>
    <definedName name="CHALONS_EN_CHAMPAGNE">'Structures EDS'!$T$3:$T$12</definedName>
    <definedName name="CHARLEVILLE_MEZIERES">'Structures EDS'!$U$3:$U$16</definedName>
    <definedName name="CHAUMONT">'Structures EDS'!$M$3:$M$11</definedName>
    <definedName name="COLMAR">'Structures EDS'!$R$3:$R$17</definedName>
    <definedName name="EPINAL">'Structures EDS'!$AC$3:$AC$18</definedName>
    <definedName name="HAGUENAU">'Structures EDS'!$O$3:$O$20</definedName>
    <definedName name="HAUT_RHIN">'Structures EDS'!$E$3:$E$4</definedName>
    <definedName name="MARNE_ARDENNES">'Structures EDS'!$F$3:$F$5</definedName>
    <definedName name="METZ">'Structures EDS'!$Z$3:$Z$24</definedName>
    <definedName name="MEURTHE_ET_MOSELLE_MEUSE">'Structures EDS'!$G$3:$G$5</definedName>
    <definedName name="MOSELLE">'Structures EDS'!$H$3:$H$5</definedName>
    <definedName name="MOSELLE_EST">'Structures EDS'!$AA$3:$AA$19</definedName>
    <definedName name="MOSELLE_NORD">'Structures EDS'!$AB$3:$AB$21</definedName>
    <definedName name="MULHOUSE">'Structures EDS'!$S$3:$S$17</definedName>
    <definedName name="NANCY">'Structures EDS'!$W$3:$W$19</definedName>
    <definedName name="PONT_A_MOUSSON">'Structures EDS'!$X$3:$X$21</definedName>
    <definedName name="REIMS">'Structures EDS'!$V$3:$V$20</definedName>
    <definedName name="SAINT_DIE">'Structures EDS'!$AD$3:$AD$14</definedName>
    <definedName name="SELESTAT">'Structures EDS'!$P$3:$P$19</definedName>
    <definedName name="STRASBOURG">'Structures EDS'!$Q$3:$Q$22</definedName>
    <definedName name="TROYES">'Structures EDS'!$N$3:$N$17</definedName>
    <definedName name="VERDUN">'Structures EDS'!$Y$3:$Y$16</definedName>
    <definedName name="VOSGES">'Structures EDS'!$I$3:$I$4</definedName>
    <definedName name="_xlnm.Print_Area" localSheetId="1">'Fiche Agence'!$B$1:$S$59</definedName>
    <definedName name="_xlnm.Print_Area" localSheetId="0">Lexique!$A:$P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Y3" i="1" l="1"/>
  <c r="N19" i="1" l="1"/>
  <c r="N297" i="16"/>
  <c r="M297" i="16"/>
  <c r="N296" i="16"/>
  <c r="M296" i="16"/>
  <c r="N295" i="16"/>
  <c r="M295" i="16"/>
  <c r="N294" i="16"/>
  <c r="M294" i="16"/>
  <c r="N293" i="16"/>
  <c r="M293" i="16"/>
  <c r="N292" i="16"/>
  <c r="M292" i="16"/>
  <c r="N291" i="16"/>
  <c r="M291" i="16"/>
  <c r="N290" i="16"/>
  <c r="M290" i="16"/>
  <c r="N289" i="16"/>
  <c r="M289" i="16"/>
  <c r="N288" i="16"/>
  <c r="M288" i="16"/>
  <c r="N287" i="16"/>
  <c r="M287" i="16"/>
  <c r="N286" i="16"/>
  <c r="M286" i="16"/>
  <c r="N285" i="16"/>
  <c r="M285" i="16"/>
  <c r="N284" i="16"/>
  <c r="M284" i="16"/>
  <c r="N283" i="16"/>
  <c r="M283" i="16"/>
  <c r="N282" i="16"/>
  <c r="M282" i="16"/>
  <c r="N281" i="16"/>
  <c r="M281" i="16"/>
  <c r="N280" i="16"/>
  <c r="M280" i="16"/>
  <c r="N279" i="16"/>
  <c r="M279" i="16"/>
  <c r="N278" i="16"/>
  <c r="M278" i="16"/>
  <c r="N277" i="16"/>
  <c r="M277" i="16"/>
  <c r="N276" i="16"/>
  <c r="M276" i="16"/>
  <c r="N275" i="16"/>
  <c r="M275" i="16"/>
  <c r="N274" i="16"/>
  <c r="M274" i="16"/>
  <c r="N273" i="16"/>
  <c r="M273" i="16"/>
  <c r="N272" i="16"/>
  <c r="M272" i="16"/>
  <c r="N271" i="16"/>
  <c r="M271" i="16"/>
  <c r="N270" i="16"/>
  <c r="M270" i="16"/>
  <c r="N269" i="16"/>
  <c r="M269" i="16"/>
  <c r="N268" i="16"/>
  <c r="M268" i="16"/>
  <c r="N267" i="16"/>
  <c r="M267" i="16"/>
  <c r="N266" i="16"/>
  <c r="M266" i="16"/>
  <c r="N265" i="16"/>
  <c r="M265" i="16"/>
  <c r="N264" i="16"/>
  <c r="M264" i="16"/>
  <c r="N263" i="16"/>
  <c r="M263" i="16"/>
  <c r="N262" i="16"/>
  <c r="M262" i="16"/>
  <c r="N261" i="16"/>
  <c r="M261" i="16"/>
  <c r="N260" i="16"/>
  <c r="M260" i="16"/>
  <c r="N259" i="16"/>
  <c r="M259" i="16"/>
  <c r="N258" i="16"/>
  <c r="M258" i="16"/>
  <c r="N257" i="16"/>
  <c r="M257" i="16"/>
  <c r="N256" i="16"/>
  <c r="M256" i="16"/>
  <c r="N255" i="16"/>
  <c r="M255" i="16"/>
  <c r="N254" i="16"/>
  <c r="M254" i="16"/>
  <c r="N253" i="16"/>
  <c r="M253" i="16"/>
  <c r="N252" i="16"/>
  <c r="M252" i="16"/>
  <c r="N251" i="16"/>
  <c r="M251" i="16"/>
  <c r="N250" i="16"/>
  <c r="M250" i="16"/>
  <c r="N249" i="16"/>
  <c r="M249" i="16"/>
  <c r="N248" i="16"/>
  <c r="M248" i="16"/>
  <c r="N247" i="16"/>
  <c r="M247" i="16"/>
  <c r="N246" i="16"/>
  <c r="M246" i="16"/>
  <c r="N245" i="16"/>
  <c r="M245" i="16"/>
  <c r="N244" i="16"/>
  <c r="M244" i="16"/>
  <c r="N243" i="16"/>
  <c r="M243" i="16"/>
  <c r="N242" i="16"/>
  <c r="M242" i="16"/>
  <c r="N241" i="16"/>
  <c r="M241" i="16"/>
  <c r="N240" i="16"/>
  <c r="M240" i="16"/>
  <c r="N239" i="16"/>
  <c r="M239" i="16"/>
  <c r="N238" i="16"/>
  <c r="M238" i="16"/>
  <c r="N237" i="16"/>
  <c r="M237" i="16"/>
  <c r="N236" i="16"/>
  <c r="M236" i="16"/>
  <c r="N235" i="16"/>
  <c r="M235" i="16"/>
  <c r="N234" i="16"/>
  <c r="M234" i="16"/>
  <c r="N233" i="16"/>
  <c r="M233" i="16"/>
  <c r="N232" i="16"/>
  <c r="M232" i="16"/>
  <c r="N231" i="16"/>
  <c r="M231" i="16"/>
  <c r="N230" i="16"/>
  <c r="M230" i="16"/>
  <c r="N229" i="16"/>
  <c r="M229" i="16"/>
  <c r="N228" i="16"/>
  <c r="M228" i="16"/>
  <c r="N227" i="16"/>
  <c r="M227" i="16"/>
  <c r="N226" i="16"/>
  <c r="M226" i="16"/>
  <c r="N225" i="16"/>
  <c r="M225" i="16"/>
  <c r="N224" i="16"/>
  <c r="M224" i="16"/>
  <c r="N223" i="16"/>
  <c r="M223" i="16"/>
  <c r="N222" i="16"/>
  <c r="M222" i="16"/>
  <c r="N221" i="16"/>
  <c r="M221" i="16"/>
  <c r="N220" i="16"/>
  <c r="M220" i="16"/>
  <c r="N219" i="16"/>
  <c r="M219" i="16"/>
  <c r="N218" i="16"/>
  <c r="M218" i="16"/>
  <c r="N217" i="16"/>
  <c r="M217" i="16"/>
  <c r="N216" i="16"/>
  <c r="M216" i="16"/>
  <c r="N215" i="16"/>
  <c r="M215" i="16"/>
  <c r="N214" i="16"/>
  <c r="M214" i="16"/>
  <c r="N213" i="16"/>
  <c r="M213" i="16"/>
  <c r="N212" i="16"/>
  <c r="M212" i="16"/>
  <c r="N211" i="16"/>
  <c r="M211" i="16"/>
  <c r="N210" i="16"/>
  <c r="M210" i="16"/>
  <c r="N209" i="16"/>
  <c r="M209" i="16"/>
  <c r="N208" i="16"/>
  <c r="M208" i="16"/>
  <c r="N207" i="16"/>
  <c r="M207" i="16"/>
  <c r="N206" i="16"/>
  <c r="M206" i="16"/>
  <c r="N205" i="16"/>
  <c r="M205" i="16"/>
  <c r="N204" i="16"/>
  <c r="M204" i="16"/>
  <c r="N203" i="16"/>
  <c r="M203" i="16"/>
  <c r="N202" i="16"/>
  <c r="M202" i="16"/>
  <c r="N201" i="16"/>
  <c r="M201" i="16"/>
  <c r="N200" i="16"/>
  <c r="M200" i="16"/>
  <c r="N199" i="16"/>
  <c r="M199" i="16"/>
  <c r="N198" i="16"/>
  <c r="M198" i="16"/>
  <c r="N197" i="16"/>
  <c r="M197" i="16"/>
  <c r="N196" i="16"/>
  <c r="M196" i="16"/>
  <c r="N195" i="16"/>
  <c r="M195" i="16"/>
  <c r="N194" i="16"/>
  <c r="M194" i="16"/>
  <c r="N193" i="16"/>
  <c r="M193" i="16"/>
  <c r="N192" i="16"/>
  <c r="M192" i="16"/>
  <c r="N191" i="16"/>
  <c r="M191" i="16"/>
  <c r="N190" i="16"/>
  <c r="M190" i="16"/>
  <c r="N189" i="16"/>
  <c r="M189" i="16"/>
  <c r="N188" i="16"/>
  <c r="M188" i="16"/>
  <c r="N187" i="16"/>
  <c r="M187" i="16"/>
  <c r="N186" i="16"/>
  <c r="M186" i="16"/>
  <c r="N185" i="16"/>
  <c r="M185" i="16"/>
  <c r="N184" i="16"/>
  <c r="M184" i="16"/>
  <c r="N183" i="16"/>
  <c r="M183" i="16"/>
  <c r="N182" i="16"/>
  <c r="M182" i="16"/>
  <c r="N181" i="16"/>
  <c r="M181" i="16"/>
  <c r="N180" i="16"/>
  <c r="M180" i="16"/>
  <c r="N179" i="16"/>
  <c r="M179" i="16"/>
  <c r="N178" i="16"/>
  <c r="M178" i="16"/>
  <c r="N177" i="16"/>
  <c r="M177" i="16"/>
  <c r="N176" i="16"/>
  <c r="M176" i="16"/>
  <c r="N175" i="16"/>
  <c r="M175" i="16"/>
  <c r="N174" i="16"/>
  <c r="M174" i="16"/>
  <c r="N173" i="16"/>
  <c r="M173" i="16"/>
  <c r="N172" i="16"/>
  <c r="M172" i="16"/>
  <c r="N171" i="16"/>
  <c r="M171" i="16"/>
  <c r="N170" i="16"/>
  <c r="M170" i="16"/>
  <c r="N169" i="16"/>
  <c r="M169" i="16"/>
  <c r="N168" i="16"/>
  <c r="M168" i="16"/>
  <c r="N167" i="16"/>
  <c r="M167" i="16"/>
  <c r="N166" i="16"/>
  <c r="M166" i="16"/>
  <c r="N165" i="16"/>
  <c r="M165" i="16"/>
  <c r="N164" i="16"/>
  <c r="M164" i="16"/>
  <c r="N163" i="16"/>
  <c r="M163" i="16"/>
  <c r="N162" i="16"/>
  <c r="M162" i="16"/>
  <c r="N161" i="16"/>
  <c r="M161" i="16"/>
  <c r="N160" i="16"/>
  <c r="M160" i="16"/>
  <c r="N159" i="16"/>
  <c r="M159" i="16"/>
  <c r="N158" i="16"/>
  <c r="M158" i="16"/>
  <c r="N157" i="16"/>
  <c r="M157" i="16"/>
  <c r="N156" i="16"/>
  <c r="M156" i="16"/>
  <c r="N155" i="16"/>
  <c r="M155" i="16"/>
  <c r="N154" i="16"/>
  <c r="M154" i="16"/>
  <c r="N153" i="16"/>
  <c r="M153" i="16"/>
  <c r="N152" i="16"/>
  <c r="M152" i="16"/>
  <c r="N151" i="16"/>
  <c r="M151" i="16"/>
  <c r="N150" i="16"/>
  <c r="M150" i="16"/>
  <c r="N149" i="16"/>
  <c r="M149" i="16"/>
  <c r="N148" i="16"/>
  <c r="M148" i="16"/>
  <c r="N147" i="16"/>
  <c r="M147" i="16"/>
  <c r="N146" i="16"/>
  <c r="M146" i="16"/>
  <c r="N145" i="16"/>
  <c r="M145" i="16"/>
  <c r="N144" i="16"/>
  <c r="M144" i="16"/>
  <c r="N143" i="16"/>
  <c r="M143" i="16"/>
  <c r="N142" i="16"/>
  <c r="M142" i="16"/>
  <c r="N141" i="16"/>
  <c r="M141" i="16"/>
  <c r="N140" i="16"/>
  <c r="M140" i="16"/>
  <c r="N139" i="16"/>
  <c r="M139" i="16"/>
  <c r="N138" i="16"/>
  <c r="M138" i="16"/>
  <c r="N137" i="16"/>
  <c r="M137" i="16"/>
  <c r="N136" i="16"/>
  <c r="M136" i="16"/>
  <c r="N135" i="16"/>
  <c r="M135" i="16"/>
  <c r="N134" i="16"/>
  <c r="M134" i="16"/>
  <c r="N133" i="16"/>
  <c r="M133" i="16"/>
  <c r="N132" i="16"/>
  <c r="M132" i="16"/>
  <c r="N131" i="16"/>
  <c r="M131" i="16"/>
  <c r="N130" i="16"/>
  <c r="M130" i="16"/>
  <c r="N129" i="16"/>
  <c r="M129" i="16"/>
  <c r="N128" i="16"/>
  <c r="M128" i="16"/>
  <c r="N127" i="16"/>
  <c r="M127" i="16"/>
  <c r="N126" i="16"/>
  <c r="M126" i="16"/>
  <c r="N125" i="16"/>
  <c r="M125" i="16"/>
  <c r="N124" i="16"/>
  <c r="M124" i="16"/>
  <c r="N123" i="16"/>
  <c r="M123" i="16"/>
  <c r="N122" i="16"/>
  <c r="M122" i="16"/>
  <c r="N121" i="16"/>
  <c r="M121" i="16"/>
  <c r="N120" i="16"/>
  <c r="M120" i="16"/>
  <c r="N119" i="16"/>
  <c r="M119" i="16"/>
  <c r="N118" i="16"/>
  <c r="M118" i="16"/>
  <c r="N117" i="16"/>
  <c r="M117" i="16"/>
  <c r="N116" i="16"/>
  <c r="M116" i="16"/>
  <c r="N115" i="16"/>
  <c r="M115" i="16"/>
  <c r="N114" i="16"/>
  <c r="M114" i="16"/>
  <c r="N113" i="16"/>
  <c r="M113" i="16"/>
  <c r="N112" i="16"/>
  <c r="M112" i="16"/>
  <c r="N111" i="16"/>
  <c r="M111" i="16"/>
  <c r="N110" i="16"/>
  <c r="M110" i="16"/>
  <c r="N109" i="16"/>
  <c r="M109" i="16"/>
  <c r="N108" i="16"/>
  <c r="M108" i="16"/>
  <c r="N107" i="16"/>
  <c r="M107" i="16"/>
  <c r="AA106" i="16"/>
  <c r="N106" i="16"/>
  <c r="M106" i="16"/>
  <c r="N105" i="16"/>
  <c r="M105" i="16"/>
  <c r="N104" i="16"/>
  <c r="M104" i="16"/>
  <c r="N103" i="16"/>
  <c r="M103" i="16"/>
  <c r="AA102" i="16"/>
  <c r="N102" i="16"/>
  <c r="M102" i="16"/>
  <c r="N101" i="16"/>
  <c r="M101" i="16"/>
  <c r="N100" i="16"/>
  <c r="M100" i="16"/>
  <c r="N99" i="16"/>
  <c r="M99" i="16"/>
  <c r="AA98" i="16"/>
  <c r="N98" i="16"/>
  <c r="M98" i="16"/>
  <c r="N97" i="16"/>
  <c r="M97" i="16"/>
  <c r="N96" i="16"/>
  <c r="M96" i="16"/>
  <c r="N95" i="16"/>
  <c r="M95" i="16"/>
  <c r="AA94" i="16"/>
  <c r="N94" i="16"/>
  <c r="M94" i="16"/>
  <c r="N93" i="16"/>
  <c r="M93" i="16"/>
  <c r="N92" i="16"/>
  <c r="M92" i="16"/>
  <c r="N91" i="16"/>
  <c r="M91" i="16"/>
  <c r="AA90" i="16"/>
  <c r="N90" i="16"/>
  <c r="M90" i="16"/>
  <c r="N89" i="16"/>
  <c r="M89" i="16"/>
  <c r="N88" i="16"/>
  <c r="M88" i="16"/>
  <c r="N87" i="16"/>
  <c r="M87" i="16"/>
  <c r="N86" i="16"/>
  <c r="N85" i="16"/>
  <c r="M85" i="16"/>
  <c r="N84" i="16"/>
  <c r="M84" i="16"/>
  <c r="N83" i="16"/>
  <c r="M83" i="16"/>
  <c r="N82" i="16"/>
  <c r="M82" i="16"/>
  <c r="N81" i="16"/>
  <c r="M81" i="16"/>
  <c r="N80" i="16"/>
  <c r="M80" i="16"/>
  <c r="N79" i="16"/>
  <c r="M79" i="16"/>
  <c r="N78" i="16"/>
  <c r="M78" i="16"/>
  <c r="N77" i="16"/>
  <c r="M77" i="16"/>
  <c r="N76" i="16"/>
  <c r="M76" i="16"/>
  <c r="N75" i="16"/>
  <c r="M75" i="16"/>
  <c r="N74" i="16"/>
  <c r="M74" i="16"/>
  <c r="N73" i="16"/>
  <c r="M73" i="16"/>
  <c r="N72" i="16"/>
  <c r="M72" i="16"/>
  <c r="N71" i="16"/>
  <c r="M71" i="16"/>
  <c r="N70" i="16"/>
  <c r="M70" i="16"/>
  <c r="N69" i="16"/>
  <c r="M69" i="16"/>
  <c r="N68" i="16"/>
  <c r="M68" i="16"/>
  <c r="N67" i="16"/>
  <c r="M67" i="16"/>
  <c r="N66" i="16"/>
  <c r="M66" i="16"/>
  <c r="N65" i="16"/>
  <c r="M65" i="16"/>
  <c r="N64" i="16"/>
  <c r="M64" i="16"/>
  <c r="X64" i="16" s="1"/>
  <c r="N63" i="16"/>
  <c r="M63" i="16"/>
  <c r="N62" i="16"/>
  <c r="M62" i="16"/>
  <c r="X62" i="16" s="1"/>
  <c r="N61" i="16"/>
  <c r="M61" i="16"/>
  <c r="N60" i="16"/>
  <c r="M60" i="16"/>
  <c r="X60" i="16" s="1"/>
  <c r="N59" i="16"/>
  <c r="M59" i="16"/>
  <c r="N58" i="16"/>
  <c r="M58" i="16"/>
  <c r="X58" i="16" s="1"/>
  <c r="N57" i="16"/>
  <c r="M57" i="16"/>
  <c r="N56" i="16"/>
  <c r="M56" i="16"/>
  <c r="X56" i="16" s="1"/>
  <c r="N55" i="16"/>
  <c r="M55" i="16"/>
  <c r="N54" i="16"/>
  <c r="M54" i="16"/>
  <c r="X54" i="16" s="1"/>
  <c r="N53" i="16"/>
  <c r="M53" i="16"/>
  <c r="N52" i="16"/>
  <c r="M52" i="16"/>
  <c r="X52" i="16" s="1"/>
  <c r="N51" i="16"/>
  <c r="M51" i="16"/>
  <c r="N50" i="16"/>
  <c r="M50" i="16"/>
  <c r="X50" i="16" s="1"/>
  <c r="N49" i="16"/>
  <c r="M49" i="16"/>
  <c r="N48" i="16"/>
  <c r="M48" i="16"/>
  <c r="X48" i="16" s="1"/>
  <c r="N47" i="16"/>
  <c r="M47" i="16"/>
  <c r="N46" i="16"/>
  <c r="N45" i="16"/>
  <c r="M45" i="16"/>
  <c r="N44" i="16"/>
  <c r="M44" i="16"/>
  <c r="N43" i="16"/>
  <c r="M43" i="16"/>
  <c r="N42" i="16"/>
  <c r="M42" i="16"/>
  <c r="N41" i="16"/>
  <c r="M41" i="16"/>
  <c r="N40" i="16"/>
  <c r="M40" i="16"/>
  <c r="N39" i="16"/>
  <c r="M39" i="16"/>
  <c r="N38" i="16"/>
  <c r="M38" i="16"/>
  <c r="N37" i="16"/>
  <c r="M37" i="16"/>
  <c r="N36" i="16"/>
  <c r="M36" i="16"/>
  <c r="N35" i="16"/>
  <c r="M35" i="16"/>
  <c r="N34" i="16"/>
  <c r="M34" i="16"/>
  <c r="N33" i="16"/>
  <c r="M33" i="16"/>
  <c r="N32" i="16"/>
  <c r="M32" i="16"/>
  <c r="N31" i="16"/>
  <c r="M31" i="16"/>
  <c r="N30" i="16"/>
  <c r="M30" i="16"/>
  <c r="N29" i="16"/>
  <c r="M29" i="16"/>
  <c r="N28" i="16"/>
  <c r="M28" i="16"/>
  <c r="N27" i="16"/>
  <c r="M27" i="16"/>
  <c r="N26" i="16"/>
  <c r="M26" i="16"/>
  <c r="N25" i="16"/>
  <c r="M25" i="16"/>
  <c r="N24" i="16"/>
  <c r="M24" i="16"/>
  <c r="N23" i="16"/>
  <c r="M23" i="16"/>
  <c r="N22" i="16"/>
  <c r="M22" i="16"/>
  <c r="N21" i="16"/>
  <c r="M21" i="16"/>
  <c r="N20" i="16"/>
  <c r="M20" i="16"/>
  <c r="N19" i="16"/>
  <c r="M19" i="16"/>
  <c r="N18" i="16"/>
  <c r="M18" i="16"/>
  <c r="N17" i="16"/>
  <c r="M17" i="16"/>
  <c r="N16" i="16"/>
  <c r="M16" i="16"/>
  <c r="W15" i="16"/>
  <c r="N15" i="16"/>
  <c r="M15" i="16"/>
  <c r="N14" i="16"/>
  <c r="M14" i="16"/>
  <c r="N13" i="16"/>
  <c r="M13" i="16"/>
  <c r="N12" i="16"/>
  <c r="M12" i="16"/>
  <c r="W11" i="16"/>
  <c r="N11" i="16"/>
  <c r="M11" i="16"/>
  <c r="N10" i="16"/>
  <c r="M10" i="16"/>
  <c r="N9" i="16"/>
  <c r="M9" i="16"/>
  <c r="N8" i="16"/>
  <c r="M8" i="16"/>
  <c r="W7" i="16"/>
  <c r="N7" i="16"/>
  <c r="M7" i="16"/>
  <c r="N6" i="16"/>
  <c r="M6" i="16"/>
  <c r="T5" i="16"/>
  <c r="S5" i="16"/>
  <c r="R5" i="16"/>
  <c r="Y267" i="16" s="1"/>
  <c r="Q5" i="16"/>
  <c r="P5" i="16"/>
  <c r="O5" i="16"/>
  <c r="N5" i="16"/>
  <c r="AA5" i="16" s="1"/>
  <c r="M5" i="16"/>
  <c r="T3" i="16"/>
  <c r="N3" i="16"/>
  <c r="O3" i="16" s="1"/>
  <c r="M3" i="16"/>
  <c r="T2" i="16"/>
  <c r="V118" i="16" s="1"/>
  <c r="N297" i="15"/>
  <c r="M297" i="15"/>
  <c r="N296" i="15"/>
  <c r="M296" i="15"/>
  <c r="N295" i="15"/>
  <c r="M295" i="15"/>
  <c r="N294" i="15"/>
  <c r="M294" i="15"/>
  <c r="N293" i="15"/>
  <c r="M293" i="15"/>
  <c r="N292" i="15"/>
  <c r="M292" i="15"/>
  <c r="N291" i="15"/>
  <c r="M291" i="15"/>
  <c r="N290" i="15"/>
  <c r="M290" i="15"/>
  <c r="N289" i="15"/>
  <c r="M289" i="15"/>
  <c r="N288" i="15"/>
  <c r="M288" i="15"/>
  <c r="N287" i="15"/>
  <c r="M287" i="15"/>
  <c r="N286" i="15"/>
  <c r="M286" i="15"/>
  <c r="N285" i="15"/>
  <c r="M285" i="15"/>
  <c r="N284" i="15"/>
  <c r="M284" i="15"/>
  <c r="N283" i="15"/>
  <c r="M283" i="15"/>
  <c r="N282" i="15"/>
  <c r="M282" i="15"/>
  <c r="N281" i="15"/>
  <c r="M281" i="15"/>
  <c r="N280" i="15"/>
  <c r="M280" i="15"/>
  <c r="N279" i="15"/>
  <c r="M279" i="15"/>
  <c r="N278" i="15"/>
  <c r="M278" i="15"/>
  <c r="N277" i="15"/>
  <c r="M277" i="15"/>
  <c r="N276" i="15"/>
  <c r="M276" i="15"/>
  <c r="N275" i="15"/>
  <c r="M275" i="15"/>
  <c r="N274" i="15"/>
  <c r="M274" i="15"/>
  <c r="N273" i="15"/>
  <c r="M273" i="15"/>
  <c r="N272" i="15"/>
  <c r="M272" i="15"/>
  <c r="N271" i="15"/>
  <c r="M271" i="15"/>
  <c r="N270" i="15"/>
  <c r="M270" i="15"/>
  <c r="N269" i="15"/>
  <c r="M269" i="15"/>
  <c r="N268" i="15"/>
  <c r="M268" i="15"/>
  <c r="N267" i="15"/>
  <c r="M267" i="15"/>
  <c r="N266" i="15"/>
  <c r="M266" i="15"/>
  <c r="N265" i="15"/>
  <c r="M265" i="15"/>
  <c r="N264" i="15"/>
  <c r="M264" i="15"/>
  <c r="N263" i="15"/>
  <c r="M263" i="15"/>
  <c r="N262" i="15"/>
  <c r="M262" i="15"/>
  <c r="N261" i="15"/>
  <c r="M261" i="15"/>
  <c r="N260" i="15"/>
  <c r="M260" i="15"/>
  <c r="N259" i="15"/>
  <c r="M259" i="15"/>
  <c r="N258" i="15"/>
  <c r="M258" i="15"/>
  <c r="N257" i="15"/>
  <c r="M257" i="15"/>
  <c r="N256" i="15"/>
  <c r="M256" i="15"/>
  <c r="N255" i="15"/>
  <c r="M255" i="15"/>
  <c r="N254" i="15"/>
  <c r="M254" i="15"/>
  <c r="N253" i="15"/>
  <c r="M253" i="15"/>
  <c r="N252" i="15"/>
  <c r="M252" i="15"/>
  <c r="N251" i="15"/>
  <c r="M251" i="15"/>
  <c r="N250" i="15"/>
  <c r="M250" i="15"/>
  <c r="N249" i="15"/>
  <c r="M249" i="15"/>
  <c r="N248" i="15"/>
  <c r="M248" i="15"/>
  <c r="N247" i="15"/>
  <c r="M247" i="15"/>
  <c r="N246" i="15"/>
  <c r="M246" i="15"/>
  <c r="N245" i="15"/>
  <c r="M245" i="15"/>
  <c r="N244" i="15"/>
  <c r="M244" i="15"/>
  <c r="N243" i="15"/>
  <c r="M243" i="15"/>
  <c r="N242" i="15"/>
  <c r="M242" i="15"/>
  <c r="N241" i="15"/>
  <c r="M241" i="15"/>
  <c r="N240" i="15"/>
  <c r="M240" i="15"/>
  <c r="N239" i="15"/>
  <c r="M239" i="15"/>
  <c r="N238" i="15"/>
  <c r="M238" i="15"/>
  <c r="N237" i="15"/>
  <c r="M237" i="15"/>
  <c r="N236" i="15"/>
  <c r="M236" i="15"/>
  <c r="N235" i="15"/>
  <c r="M235" i="15"/>
  <c r="N234" i="15"/>
  <c r="M234" i="15"/>
  <c r="N233" i="15"/>
  <c r="M233" i="15"/>
  <c r="N232" i="15"/>
  <c r="M232" i="15"/>
  <c r="N231" i="15"/>
  <c r="M231" i="15"/>
  <c r="N230" i="15"/>
  <c r="M230" i="15"/>
  <c r="N229" i="15"/>
  <c r="M229" i="15"/>
  <c r="N228" i="15"/>
  <c r="M228" i="15"/>
  <c r="N227" i="15"/>
  <c r="M227" i="15"/>
  <c r="N226" i="15"/>
  <c r="M226" i="15"/>
  <c r="N225" i="15"/>
  <c r="M225" i="15"/>
  <c r="N224" i="15"/>
  <c r="M224" i="15"/>
  <c r="N223" i="15"/>
  <c r="M223" i="15"/>
  <c r="N222" i="15"/>
  <c r="M222" i="15"/>
  <c r="N221" i="15"/>
  <c r="M221" i="15"/>
  <c r="N220" i="15"/>
  <c r="M220" i="15"/>
  <c r="N219" i="15"/>
  <c r="M219" i="15"/>
  <c r="N218" i="15"/>
  <c r="M218" i="15"/>
  <c r="N217" i="15"/>
  <c r="M217" i="15"/>
  <c r="N216" i="15"/>
  <c r="M216" i="15"/>
  <c r="N215" i="15"/>
  <c r="M215" i="15"/>
  <c r="N214" i="15"/>
  <c r="M214" i="15"/>
  <c r="N213" i="15"/>
  <c r="M213" i="15"/>
  <c r="N212" i="15"/>
  <c r="M212" i="15"/>
  <c r="N211" i="15"/>
  <c r="M211" i="15"/>
  <c r="N210" i="15"/>
  <c r="M210" i="15"/>
  <c r="N209" i="15"/>
  <c r="M209" i="15"/>
  <c r="N208" i="15"/>
  <c r="M208" i="15"/>
  <c r="N207" i="15"/>
  <c r="M207" i="15"/>
  <c r="N206" i="15"/>
  <c r="M206" i="15"/>
  <c r="N205" i="15"/>
  <c r="M205" i="15"/>
  <c r="N204" i="15"/>
  <c r="M204" i="15"/>
  <c r="N203" i="15"/>
  <c r="M203" i="15"/>
  <c r="N202" i="15"/>
  <c r="M202" i="15"/>
  <c r="N201" i="15"/>
  <c r="M201" i="15"/>
  <c r="N200" i="15"/>
  <c r="M200" i="15"/>
  <c r="N199" i="15"/>
  <c r="M199" i="15"/>
  <c r="N198" i="15"/>
  <c r="M198" i="15"/>
  <c r="N197" i="15"/>
  <c r="M197" i="15"/>
  <c r="N196" i="15"/>
  <c r="M196" i="15"/>
  <c r="N195" i="15"/>
  <c r="M195" i="15"/>
  <c r="N194" i="15"/>
  <c r="M194" i="15"/>
  <c r="N193" i="15"/>
  <c r="M193" i="15"/>
  <c r="N192" i="15"/>
  <c r="M192" i="15"/>
  <c r="N191" i="15"/>
  <c r="M191" i="15"/>
  <c r="N190" i="15"/>
  <c r="M190" i="15"/>
  <c r="N189" i="15"/>
  <c r="M189" i="15"/>
  <c r="N188" i="15"/>
  <c r="M188" i="15"/>
  <c r="N187" i="15"/>
  <c r="M187" i="15"/>
  <c r="N186" i="15"/>
  <c r="M186" i="15"/>
  <c r="N185" i="15"/>
  <c r="M185" i="15"/>
  <c r="N184" i="15"/>
  <c r="M184" i="15"/>
  <c r="N183" i="15"/>
  <c r="M183" i="15"/>
  <c r="N182" i="15"/>
  <c r="M182" i="15"/>
  <c r="N181" i="15"/>
  <c r="M181" i="15"/>
  <c r="N180" i="15"/>
  <c r="M180" i="15"/>
  <c r="N179" i="15"/>
  <c r="M179" i="15"/>
  <c r="N178" i="15"/>
  <c r="M178" i="15"/>
  <c r="N177" i="15"/>
  <c r="M177" i="15"/>
  <c r="N176" i="15"/>
  <c r="M176" i="15"/>
  <c r="N175" i="15"/>
  <c r="M175" i="15"/>
  <c r="N174" i="15"/>
  <c r="M174" i="15"/>
  <c r="N173" i="15"/>
  <c r="M173" i="15"/>
  <c r="N172" i="15"/>
  <c r="M172" i="15"/>
  <c r="N171" i="15"/>
  <c r="M171" i="15"/>
  <c r="N170" i="15"/>
  <c r="M170" i="15"/>
  <c r="N169" i="15"/>
  <c r="M169" i="15"/>
  <c r="N168" i="15"/>
  <c r="M168" i="15"/>
  <c r="N167" i="15"/>
  <c r="M167" i="15"/>
  <c r="N166" i="15"/>
  <c r="M166" i="15"/>
  <c r="N165" i="15"/>
  <c r="M165" i="15"/>
  <c r="N164" i="15"/>
  <c r="M164" i="15"/>
  <c r="N163" i="15"/>
  <c r="M163" i="15"/>
  <c r="N162" i="15"/>
  <c r="M162" i="15"/>
  <c r="N161" i="15"/>
  <c r="M161" i="15"/>
  <c r="N160" i="15"/>
  <c r="M160" i="15"/>
  <c r="N159" i="15"/>
  <c r="M159" i="15"/>
  <c r="N158" i="15"/>
  <c r="M158" i="15"/>
  <c r="N157" i="15"/>
  <c r="M157" i="15"/>
  <c r="N156" i="15"/>
  <c r="M156" i="15"/>
  <c r="N155" i="15"/>
  <c r="M155" i="15"/>
  <c r="N154" i="15"/>
  <c r="M154" i="15"/>
  <c r="N153" i="15"/>
  <c r="M153" i="15"/>
  <c r="N152" i="15"/>
  <c r="M152" i="15"/>
  <c r="N151" i="15"/>
  <c r="M151" i="15"/>
  <c r="N150" i="15"/>
  <c r="M150" i="15"/>
  <c r="N149" i="15"/>
  <c r="M149" i="15"/>
  <c r="N148" i="15"/>
  <c r="M148" i="15"/>
  <c r="N147" i="15"/>
  <c r="M147" i="15"/>
  <c r="N146" i="15"/>
  <c r="M146" i="15"/>
  <c r="N145" i="15"/>
  <c r="M145" i="15"/>
  <c r="N144" i="15"/>
  <c r="M144" i="15"/>
  <c r="N143" i="15"/>
  <c r="M143" i="15"/>
  <c r="N142" i="15"/>
  <c r="M142" i="15"/>
  <c r="N141" i="15"/>
  <c r="M141" i="15"/>
  <c r="N140" i="15"/>
  <c r="M140" i="15"/>
  <c r="N139" i="15"/>
  <c r="M139" i="15"/>
  <c r="N138" i="15"/>
  <c r="M138" i="15"/>
  <c r="N137" i="15"/>
  <c r="M137" i="15"/>
  <c r="N136" i="15"/>
  <c r="M136" i="15"/>
  <c r="N135" i="15"/>
  <c r="M135" i="15"/>
  <c r="N134" i="15"/>
  <c r="M134" i="15"/>
  <c r="N133" i="15"/>
  <c r="M133" i="15"/>
  <c r="N132" i="15"/>
  <c r="M132" i="15"/>
  <c r="N131" i="15"/>
  <c r="M131" i="15"/>
  <c r="N130" i="15"/>
  <c r="M130" i="15"/>
  <c r="N129" i="15"/>
  <c r="M129" i="15"/>
  <c r="N128" i="15"/>
  <c r="M128" i="15"/>
  <c r="N127" i="15"/>
  <c r="M127" i="15"/>
  <c r="N126" i="15"/>
  <c r="M126" i="15"/>
  <c r="N125" i="15"/>
  <c r="M125" i="15"/>
  <c r="N124" i="15"/>
  <c r="M124" i="15"/>
  <c r="N123" i="15"/>
  <c r="M123" i="15"/>
  <c r="N122" i="15"/>
  <c r="M122" i="15"/>
  <c r="N121" i="15"/>
  <c r="M121" i="15"/>
  <c r="N120" i="15"/>
  <c r="M120" i="15"/>
  <c r="N119" i="15"/>
  <c r="M119" i="15"/>
  <c r="N118" i="15"/>
  <c r="M118" i="15"/>
  <c r="N117" i="15"/>
  <c r="M117" i="15"/>
  <c r="N116" i="15"/>
  <c r="M116" i="15"/>
  <c r="N115" i="15"/>
  <c r="M115" i="15"/>
  <c r="N114" i="15"/>
  <c r="M114" i="15"/>
  <c r="N113" i="15"/>
  <c r="M113" i="15"/>
  <c r="N112" i="15"/>
  <c r="M112" i="15"/>
  <c r="N111" i="15"/>
  <c r="M111" i="15"/>
  <c r="N110" i="15"/>
  <c r="M110" i="15"/>
  <c r="N109" i="15"/>
  <c r="M109" i="15"/>
  <c r="N108" i="15"/>
  <c r="M108" i="15"/>
  <c r="N107" i="15"/>
  <c r="M107" i="15"/>
  <c r="N106" i="15"/>
  <c r="M106" i="15"/>
  <c r="N105" i="15"/>
  <c r="M105" i="15"/>
  <c r="N104" i="15"/>
  <c r="M104" i="15"/>
  <c r="N103" i="15"/>
  <c r="M103" i="15"/>
  <c r="N102" i="15"/>
  <c r="M102" i="15"/>
  <c r="N101" i="15"/>
  <c r="M101" i="15"/>
  <c r="N100" i="15"/>
  <c r="M100" i="15"/>
  <c r="N99" i="15"/>
  <c r="M99" i="15"/>
  <c r="N98" i="15"/>
  <c r="M98" i="15"/>
  <c r="N97" i="15"/>
  <c r="M97" i="15"/>
  <c r="N96" i="15"/>
  <c r="M96" i="15"/>
  <c r="N95" i="15"/>
  <c r="M95" i="15"/>
  <c r="N94" i="15"/>
  <c r="M94" i="15"/>
  <c r="N93" i="15"/>
  <c r="M93" i="15"/>
  <c r="N92" i="15"/>
  <c r="M92" i="15"/>
  <c r="N91" i="15"/>
  <c r="M91" i="15"/>
  <c r="N90" i="15"/>
  <c r="M90" i="15"/>
  <c r="N89" i="15"/>
  <c r="M89" i="15"/>
  <c r="N88" i="15"/>
  <c r="M88" i="15"/>
  <c r="N87" i="15"/>
  <c r="M87" i="15"/>
  <c r="N86" i="15"/>
  <c r="N85" i="15"/>
  <c r="M85" i="15"/>
  <c r="N84" i="15"/>
  <c r="M84" i="15"/>
  <c r="N83" i="15"/>
  <c r="M83" i="15"/>
  <c r="N82" i="15"/>
  <c r="M82" i="15"/>
  <c r="N81" i="15"/>
  <c r="M81" i="15"/>
  <c r="N80" i="15"/>
  <c r="M80" i="15"/>
  <c r="N79" i="15"/>
  <c r="M79" i="15"/>
  <c r="N78" i="15"/>
  <c r="M78" i="15"/>
  <c r="N77" i="15"/>
  <c r="M77" i="15"/>
  <c r="N76" i="15"/>
  <c r="M76" i="15"/>
  <c r="N75" i="15"/>
  <c r="M75" i="15"/>
  <c r="N74" i="15"/>
  <c r="M74" i="15"/>
  <c r="N73" i="15"/>
  <c r="M73" i="15"/>
  <c r="N72" i="15"/>
  <c r="M72" i="15"/>
  <c r="N71" i="15"/>
  <c r="M71" i="15"/>
  <c r="N70" i="15"/>
  <c r="M70" i="15"/>
  <c r="N69" i="15"/>
  <c r="M69" i="15"/>
  <c r="N68" i="15"/>
  <c r="M68" i="15"/>
  <c r="N67" i="15"/>
  <c r="M67" i="15"/>
  <c r="N66" i="15"/>
  <c r="M66" i="15"/>
  <c r="N65" i="15"/>
  <c r="M65" i="15"/>
  <c r="N64" i="15"/>
  <c r="M64" i="15"/>
  <c r="N63" i="15"/>
  <c r="M63" i="15"/>
  <c r="N62" i="15"/>
  <c r="M62" i="15"/>
  <c r="N61" i="15"/>
  <c r="M61" i="15"/>
  <c r="N60" i="15"/>
  <c r="M60" i="15"/>
  <c r="N59" i="15"/>
  <c r="M59" i="15"/>
  <c r="N58" i="15"/>
  <c r="M58" i="15"/>
  <c r="X58" i="15" s="1"/>
  <c r="N57" i="15"/>
  <c r="M57" i="15"/>
  <c r="N56" i="15"/>
  <c r="M56" i="15"/>
  <c r="X56" i="15" s="1"/>
  <c r="N55" i="15"/>
  <c r="M55" i="15"/>
  <c r="N54" i="15"/>
  <c r="M54" i="15"/>
  <c r="X54" i="15" s="1"/>
  <c r="N53" i="15"/>
  <c r="M53" i="15"/>
  <c r="N52" i="15"/>
  <c r="M52" i="15"/>
  <c r="X52" i="15" s="1"/>
  <c r="N51" i="15"/>
  <c r="M51" i="15"/>
  <c r="N50" i="15"/>
  <c r="M50" i="15"/>
  <c r="X50" i="15" s="1"/>
  <c r="N49" i="15"/>
  <c r="M49" i="15"/>
  <c r="N48" i="15"/>
  <c r="M48" i="15"/>
  <c r="X48" i="15" s="1"/>
  <c r="N47" i="15"/>
  <c r="M47" i="15"/>
  <c r="N46" i="15"/>
  <c r="M46" i="15"/>
  <c r="X46" i="15" s="1"/>
  <c r="N45" i="15"/>
  <c r="M45" i="15"/>
  <c r="N44" i="15"/>
  <c r="M44" i="15"/>
  <c r="X44" i="15" s="1"/>
  <c r="N43" i="15"/>
  <c r="M43" i="15"/>
  <c r="N42" i="15"/>
  <c r="M42" i="15"/>
  <c r="X42" i="15" s="1"/>
  <c r="N41" i="15"/>
  <c r="M41" i="15"/>
  <c r="N40" i="15"/>
  <c r="M40" i="15"/>
  <c r="X40" i="15" s="1"/>
  <c r="N39" i="15"/>
  <c r="M39" i="15"/>
  <c r="N38" i="15"/>
  <c r="M38" i="15"/>
  <c r="X38" i="15" s="1"/>
  <c r="N37" i="15"/>
  <c r="M37" i="15"/>
  <c r="N36" i="15"/>
  <c r="M36" i="15"/>
  <c r="X36" i="15" s="1"/>
  <c r="N35" i="15"/>
  <c r="M35" i="15"/>
  <c r="N34" i="15"/>
  <c r="M34" i="15"/>
  <c r="X34" i="15" s="1"/>
  <c r="N33" i="15"/>
  <c r="N32" i="15"/>
  <c r="M32" i="15"/>
  <c r="N31" i="15"/>
  <c r="Y31" i="15" s="1"/>
  <c r="M31" i="15"/>
  <c r="N30" i="15"/>
  <c r="M30" i="15"/>
  <c r="N29" i="15"/>
  <c r="Y29" i="15" s="1"/>
  <c r="M29" i="15"/>
  <c r="N28" i="15"/>
  <c r="M28" i="15"/>
  <c r="N27" i="15"/>
  <c r="Y27" i="15" s="1"/>
  <c r="M27" i="15"/>
  <c r="N26" i="15"/>
  <c r="M26" i="15"/>
  <c r="N25" i="15"/>
  <c r="Y25" i="15" s="1"/>
  <c r="M25" i="15"/>
  <c r="N24" i="15"/>
  <c r="M24" i="15"/>
  <c r="N23" i="15"/>
  <c r="Y23" i="15" s="1"/>
  <c r="M23" i="15"/>
  <c r="N22" i="15"/>
  <c r="M22" i="15"/>
  <c r="N21" i="15"/>
  <c r="Y21" i="15" s="1"/>
  <c r="M21" i="15"/>
  <c r="N20" i="15"/>
  <c r="M20" i="15"/>
  <c r="N19" i="15"/>
  <c r="Y19" i="15" s="1"/>
  <c r="M19" i="15"/>
  <c r="N18" i="15"/>
  <c r="M18" i="15"/>
  <c r="N17" i="15"/>
  <c r="Y17" i="15" s="1"/>
  <c r="M17" i="15"/>
  <c r="N16" i="15"/>
  <c r="M16" i="15"/>
  <c r="N15" i="15"/>
  <c r="Y15" i="15" s="1"/>
  <c r="M15" i="15"/>
  <c r="N14" i="15"/>
  <c r="M14" i="15"/>
  <c r="N13" i="15"/>
  <c r="Y13" i="15" s="1"/>
  <c r="M13" i="15"/>
  <c r="N12" i="15"/>
  <c r="M12" i="15"/>
  <c r="N11" i="15"/>
  <c r="Y11" i="15" s="1"/>
  <c r="M11" i="15"/>
  <c r="N10" i="15"/>
  <c r="M10" i="15"/>
  <c r="N9" i="15"/>
  <c r="Y9" i="15" s="1"/>
  <c r="M9" i="15"/>
  <c r="N8" i="15"/>
  <c r="M8" i="15"/>
  <c r="N7" i="15"/>
  <c r="Y7" i="15" s="1"/>
  <c r="M7" i="15"/>
  <c r="N6" i="15"/>
  <c r="M6" i="15"/>
  <c r="X5" i="15"/>
  <c r="T5" i="15"/>
  <c r="S5" i="15"/>
  <c r="R5" i="15"/>
  <c r="Q5" i="15"/>
  <c r="X276" i="15" s="1"/>
  <c r="P5" i="15"/>
  <c r="O5" i="15"/>
  <c r="N5" i="15"/>
  <c r="M5" i="15"/>
  <c r="T3" i="15"/>
  <c r="O3" i="15"/>
  <c r="M33" i="15" s="1"/>
  <c r="N3" i="15"/>
  <c r="M3" i="15"/>
  <c r="T2" i="15"/>
  <c r="X183" i="15" s="1"/>
  <c r="M297" i="14"/>
  <c r="M296" i="14"/>
  <c r="M295" i="14"/>
  <c r="M294" i="14"/>
  <c r="M293" i="14"/>
  <c r="M292" i="14"/>
  <c r="M291" i="14"/>
  <c r="M290" i="14"/>
  <c r="M289" i="14"/>
  <c r="M288" i="14"/>
  <c r="M287" i="14"/>
  <c r="X286" i="14"/>
  <c r="M286" i="14"/>
  <c r="M285" i="14"/>
  <c r="M284" i="14"/>
  <c r="M283" i="14"/>
  <c r="M282" i="14"/>
  <c r="M281" i="14"/>
  <c r="M280" i="14"/>
  <c r="M279" i="14"/>
  <c r="M278" i="14"/>
  <c r="M277" i="14"/>
  <c r="M276" i="14"/>
  <c r="M275" i="14"/>
  <c r="M274" i="14"/>
  <c r="M273" i="14"/>
  <c r="M272" i="14"/>
  <c r="M271" i="14"/>
  <c r="M270" i="14"/>
  <c r="M269" i="14"/>
  <c r="M268" i="14"/>
  <c r="M267" i="14"/>
  <c r="M266" i="14"/>
  <c r="M265" i="14"/>
  <c r="M264" i="14"/>
  <c r="M263" i="14"/>
  <c r="M262" i="14"/>
  <c r="M261" i="14"/>
  <c r="M260" i="14"/>
  <c r="M259" i="14"/>
  <c r="M258" i="14"/>
  <c r="M257" i="14"/>
  <c r="M256" i="14"/>
  <c r="M255" i="14"/>
  <c r="X254" i="14"/>
  <c r="M254" i="14"/>
  <c r="M253" i="14"/>
  <c r="M252" i="14"/>
  <c r="M251" i="14"/>
  <c r="M250" i="14"/>
  <c r="M249" i="14"/>
  <c r="M248" i="14"/>
  <c r="M247" i="14"/>
  <c r="M246" i="14"/>
  <c r="M245" i="14"/>
  <c r="M244" i="14"/>
  <c r="M243" i="14"/>
  <c r="M242" i="14"/>
  <c r="M241" i="14"/>
  <c r="M240" i="14"/>
  <c r="M239" i="14"/>
  <c r="M238" i="14"/>
  <c r="M237" i="14"/>
  <c r="V236" i="14"/>
  <c r="M236" i="14"/>
  <c r="M235" i="14"/>
  <c r="M234" i="14"/>
  <c r="M233" i="14"/>
  <c r="M232" i="14"/>
  <c r="M231" i="14"/>
  <c r="M230" i="14"/>
  <c r="M229" i="14"/>
  <c r="M228" i="14"/>
  <c r="M227" i="14"/>
  <c r="M226" i="14"/>
  <c r="Z225" i="14"/>
  <c r="M225" i="14"/>
  <c r="M224" i="14"/>
  <c r="M223" i="14"/>
  <c r="M222" i="14"/>
  <c r="M221" i="14"/>
  <c r="M220" i="14"/>
  <c r="M219" i="14"/>
  <c r="M218" i="14"/>
  <c r="Z217" i="14"/>
  <c r="M217" i="14"/>
  <c r="M216" i="14"/>
  <c r="M215" i="14"/>
  <c r="M214" i="14"/>
  <c r="M213" i="14"/>
  <c r="M212" i="14"/>
  <c r="M211" i="14"/>
  <c r="M210" i="14"/>
  <c r="Z209" i="14"/>
  <c r="M209" i="14"/>
  <c r="M208" i="14"/>
  <c r="M207" i="14"/>
  <c r="M206" i="14"/>
  <c r="M205" i="14"/>
  <c r="M204" i="14"/>
  <c r="M203" i="14"/>
  <c r="M202" i="14"/>
  <c r="Z201" i="14"/>
  <c r="M201" i="14"/>
  <c r="M200" i="14"/>
  <c r="M199" i="14"/>
  <c r="M198" i="14"/>
  <c r="M197" i="14"/>
  <c r="M196" i="14"/>
  <c r="M195" i="14"/>
  <c r="M194" i="14"/>
  <c r="Z193" i="14"/>
  <c r="M193" i="14"/>
  <c r="M192" i="14"/>
  <c r="M191" i="14"/>
  <c r="M190" i="14"/>
  <c r="M189" i="14"/>
  <c r="M188" i="14"/>
  <c r="M187" i="14"/>
  <c r="M186" i="14"/>
  <c r="Z185" i="14"/>
  <c r="M185" i="14"/>
  <c r="M184" i="14"/>
  <c r="M183" i="14"/>
  <c r="M182" i="14"/>
  <c r="M181" i="14"/>
  <c r="M180" i="14"/>
  <c r="M179" i="14"/>
  <c r="M178" i="14"/>
  <c r="M177" i="14"/>
  <c r="M176" i="14"/>
  <c r="M175" i="14"/>
  <c r="M174" i="14"/>
  <c r="M173" i="14"/>
  <c r="M172" i="14"/>
  <c r="M171" i="14"/>
  <c r="M170" i="14"/>
  <c r="V169" i="14"/>
  <c r="M169" i="14"/>
  <c r="M168" i="14"/>
  <c r="W167" i="14"/>
  <c r="M167" i="14"/>
  <c r="M166" i="14"/>
  <c r="M165" i="14"/>
  <c r="X164" i="14"/>
  <c r="M164" i="14"/>
  <c r="M163" i="14"/>
  <c r="Z162" i="14"/>
  <c r="M162" i="14"/>
  <c r="M161" i="14"/>
  <c r="M160" i="14"/>
  <c r="W159" i="14"/>
  <c r="M159" i="14"/>
  <c r="M158" i="14"/>
  <c r="M157" i="14"/>
  <c r="X156" i="14"/>
  <c r="M156" i="14"/>
  <c r="M155" i="14"/>
  <c r="Z154" i="14"/>
  <c r="M154" i="14"/>
  <c r="M153" i="14"/>
  <c r="M152" i="14"/>
  <c r="W151" i="14"/>
  <c r="M151" i="14"/>
  <c r="M150" i="14"/>
  <c r="M149" i="14"/>
  <c r="X148" i="14"/>
  <c r="M148" i="14"/>
  <c r="M147" i="14"/>
  <c r="Z146" i="14"/>
  <c r="M146" i="14"/>
  <c r="M145" i="14"/>
  <c r="M144" i="14"/>
  <c r="W143" i="14"/>
  <c r="M143" i="14"/>
  <c r="M142" i="14"/>
  <c r="M141" i="14"/>
  <c r="X140" i="14"/>
  <c r="M140" i="14"/>
  <c r="M139" i="14"/>
  <c r="Z138" i="14"/>
  <c r="M138" i="14"/>
  <c r="M137" i="14"/>
  <c r="M136" i="14"/>
  <c r="W135" i="14"/>
  <c r="M135" i="14"/>
  <c r="M134" i="14"/>
  <c r="M133" i="14"/>
  <c r="X132" i="14"/>
  <c r="M132" i="14"/>
  <c r="M131" i="14"/>
  <c r="Z130" i="14"/>
  <c r="M130" i="14"/>
  <c r="M129" i="14"/>
  <c r="M128" i="14"/>
  <c r="W127" i="14"/>
  <c r="M127" i="14"/>
  <c r="M126" i="14"/>
  <c r="M125" i="14"/>
  <c r="X124" i="14"/>
  <c r="M124" i="14"/>
  <c r="M123" i="14"/>
  <c r="Z122" i="14"/>
  <c r="M122" i="14"/>
  <c r="M121" i="14"/>
  <c r="M120" i="14"/>
  <c r="W119" i="14"/>
  <c r="M119" i="14"/>
  <c r="M118" i="14"/>
  <c r="M117" i="14"/>
  <c r="X116" i="14"/>
  <c r="M116" i="14"/>
  <c r="M115" i="14"/>
  <c r="Z114" i="14"/>
  <c r="M114" i="14"/>
  <c r="M113" i="14"/>
  <c r="M112" i="14"/>
  <c r="W111" i="14"/>
  <c r="M111" i="14"/>
  <c r="M110" i="14"/>
  <c r="M109" i="14"/>
  <c r="X108" i="14"/>
  <c r="M108" i="14"/>
  <c r="M107" i="14"/>
  <c r="Z106" i="14"/>
  <c r="M106" i="14"/>
  <c r="M105" i="14"/>
  <c r="M104" i="14"/>
  <c r="W103" i="14"/>
  <c r="M103" i="14"/>
  <c r="M102" i="14"/>
  <c r="M101" i="14"/>
  <c r="X100" i="14"/>
  <c r="M100" i="14"/>
  <c r="M99" i="14"/>
  <c r="Z98" i="14"/>
  <c r="M98" i="14"/>
  <c r="M97" i="14"/>
  <c r="M96" i="14"/>
  <c r="M95" i="14"/>
  <c r="M94" i="14"/>
  <c r="M93" i="14"/>
  <c r="M92" i="14"/>
  <c r="M91" i="14"/>
  <c r="M90" i="14"/>
  <c r="M89" i="14"/>
  <c r="M88" i="14"/>
  <c r="M87" i="14"/>
  <c r="X86" i="14"/>
  <c r="M86" i="14"/>
  <c r="W85" i="14"/>
  <c r="M85" i="14"/>
  <c r="Z84" i="14"/>
  <c r="V84" i="14"/>
  <c r="M84" i="14"/>
  <c r="M83" i="14"/>
  <c r="M82" i="14"/>
  <c r="X82" i="14" s="1"/>
  <c r="W81" i="14"/>
  <c r="M81" i="14"/>
  <c r="Z80" i="14"/>
  <c r="V80" i="14"/>
  <c r="M80" i="14"/>
  <c r="M79" i="14"/>
  <c r="M78" i="14"/>
  <c r="X78" i="14" s="1"/>
  <c r="W77" i="14"/>
  <c r="M77" i="14"/>
  <c r="Z76" i="14"/>
  <c r="V76" i="14"/>
  <c r="M76" i="14"/>
  <c r="M75" i="14"/>
  <c r="M74" i="14"/>
  <c r="X74" i="14" s="1"/>
  <c r="W73" i="14"/>
  <c r="M73" i="14"/>
  <c r="Z72" i="14"/>
  <c r="V72" i="14"/>
  <c r="M72" i="14"/>
  <c r="Y71" i="14"/>
  <c r="M71" i="14"/>
  <c r="M70" i="14"/>
  <c r="X70" i="14" s="1"/>
  <c r="W69" i="14"/>
  <c r="M69" i="14"/>
  <c r="Z68" i="14"/>
  <c r="V68" i="14"/>
  <c r="M68" i="14"/>
  <c r="M67" i="14"/>
  <c r="X66" i="14"/>
  <c r="M66" i="14"/>
  <c r="W65" i="14"/>
  <c r="M65" i="14"/>
  <c r="Z64" i="14"/>
  <c r="V64" i="14"/>
  <c r="M64" i="14"/>
  <c r="Y63" i="14"/>
  <c r="M63" i="14"/>
  <c r="M62" i="14"/>
  <c r="X62" i="14" s="1"/>
  <c r="W61" i="14"/>
  <c r="M61" i="14"/>
  <c r="Z60" i="14"/>
  <c r="V60" i="14"/>
  <c r="M60" i="14"/>
  <c r="M59" i="14"/>
  <c r="X58" i="14"/>
  <c r="M58" i="14"/>
  <c r="W57" i="14"/>
  <c r="M57" i="14"/>
  <c r="Z56" i="14"/>
  <c r="V56" i="14"/>
  <c r="M56" i="14"/>
  <c r="Y55" i="14"/>
  <c r="M55" i="14"/>
  <c r="M54" i="14"/>
  <c r="X54" i="14" s="1"/>
  <c r="W53" i="14"/>
  <c r="M53" i="14"/>
  <c r="Z52" i="14"/>
  <c r="V52" i="14"/>
  <c r="M52" i="14"/>
  <c r="M51" i="14"/>
  <c r="X50" i="14"/>
  <c r="M50" i="14"/>
  <c r="W49" i="14"/>
  <c r="M49" i="14"/>
  <c r="Z48" i="14"/>
  <c r="V48" i="14"/>
  <c r="M48" i="14"/>
  <c r="Y47" i="14"/>
  <c r="M47" i="14"/>
  <c r="M46" i="14"/>
  <c r="X46" i="14" s="1"/>
  <c r="W45" i="14"/>
  <c r="M45" i="14"/>
  <c r="Z44" i="14"/>
  <c r="V44" i="14"/>
  <c r="M44" i="14"/>
  <c r="M43" i="14"/>
  <c r="X42" i="14"/>
  <c r="M42" i="14"/>
  <c r="W41" i="14"/>
  <c r="M41" i="14"/>
  <c r="Z40" i="14"/>
  <c r="V40" i="14"/>
  <c r="M40" i="14"/>
  <c r="Y39" i="14"/>
  <c r="M39" i="14"/>
  <c r="M38" i="14"/>
  <c r="X38" i="14" s="1"/>
  <c r="W37" i="14"/>
  <c r="M37" i="14"/>
  <c r="Z36" i="14"/>
  <c r="V36" i="14"/>
  <c r="M36" i="14"/>
  <c r="M35" i="14"/>
  <c r="X34" i="14"/>
  <c r="M34" i="14"/>
  <c r="W33" i="14"/>
  <c r="M33" i="14"/>
  <c r="Z32" i="14"/>
  <c r="V32" i="14"/>
  <c r="M32" i="14"/>
  <c r="Y31" i="14"/>
  <c r="M31" i="14"/>
  <c r="M30" i="14"/>
  <c r="X30" i="14" s="1"/>
  <c r="W29" i="14"/>
  <c r="M29" i="14"/>
  <c r="Z28" i="14"/>
  <c r="V28" i="14"/>
  <c r="M28" i="14"/>
  <c r="M27" i="14"/>
  <c r="X26" i="14"/>
  <c r="M26" i="14"/>
  <c r="W25" i="14"/>
  <c r="M25" i="14"/>
  <c r="Z24" i="14"/>
  <c r="V24" i="14"/>
  <c r="M24" i="14"/>
  <c r="Y23" i="14"/>
  <c r="M23" i="14"/>
  <c r="M22" i="14"/>
  <c r="X22" i="14" s="1"/>
  <c r="W21" i="14"/>
  <c r="M21" i="14"/>
  <c r="Z20" i="14"/>
  <c r="V20" i="14"/>
  <c r="M20" i="14"/>
  <c r="M19" i="14"/>
  <c r="X18" i="14"/>
  <c r="M18" i="14"/>
  <c r="W17" i="14"/>
  <c r="M17" i="14"/>
  <c r="Z16" i="14"/>
  <c r="V16" i="14"/>
  <c r="M16" i="14"/>
  <c r="Y15" i="14"/>
  <c r="M15" i="14"/>
  <c r="M14" i="14"/>
  <c r="X14" i="14" s="1"/>
  <c r="W13" i="14"/>
  <c r="M13" i="14"/>
  <c r="Z12" i="14"/>
  <c r="V12" i="14"/>
  <c r="M12" i="14"/>
  <c r="M11" i="14"/>
  <c r="X10" i="14"/>
  <c r="M10" i="14"/>
  <c r="W9" i="14"/>
  <c r="M9" i="14"/>
  <c r="Z8" i="14"/>
  <c r="V8" i="14"/>
  <c r="M8" i="14"/>
  <c r="Y7" i="14"/>
  <c r="U7" i="14"/>
  <c r="M7" i="14"/>
  <c r="M6" i="14"/>
  <c r="X6" i="14" s="1"/>
  <c r="W5" i="14"/>
  <c r="S5" i="14"/>
  <c r="R5" i="14"/>
  <c r="Q5" i="14"/>
  <c r="X270" i="14" s="1"/>
  <c r="P5" i="14"/>
  <c r="W96" i="14" s="1"/>
  <c r="O5" i="14"/>
  <c r="V166" i="14" s="1"/>
  <c r="N5" i="14"/>
  <c r="U75" i="14" s="1"/>
  <c r="M5" i="14"/>
  <c r="O3" i="14"/>
  <c r="Z143" i="16" l="1"/>
  <c r="W6" i="16"/>
  <c r="W10" i="16"/>
  <c r="W14" i="16"/>
  <c r="X16" i="16"/>
  <c r="X18" i="16"/>
  <c r="X20" i="16"/>
  <c r="X22" i="16"/>
  <c r="X24" i="16"/>
  <c r="X26" i="16"/>
  <c r="X28" i="16"/>
  <c r="X30" i="16"/>
  <c r="X32" i="16"/>
  <c r="AA89" i="16"/>
  <c r="AA93" i="16"/>
  <c r="AA97" i="16"/>
  <c r="AA101" i="16"/>
  <c r="AA105" i="16"/>
  <c r="AA109" i="16"/>
  <c r="X194" i="16"/>
  <c r="W9" i="16"/>
  <c r="W13" i="16"/>
  <c r="X47" i="16"/>
  <c r="X49" i="16"/>
  <c r="X51" i="16"/>
  <c r="X53" i="16"/>
  <c r="X55" i="16"/>
  <c r="X57" i="16"/>
  <c r="X59" i="16"/>
  <c r="X61" i="16"/>
  <c r="X63" i="16"/>
  <c r="X65" i="16"/>
  <c r="AA88" i="16"/>
  <c r="AA92" i="16"/>
  <c r="AA96" i="16"/>
  <c r="AA100" i="16"/>
  <c r="AA104" i="16"/>
  <c r="AA108" i="16"/>
  <c r="Z116" i="16"/>
  <c r="X117" i="16"/>
  <c r="W8" i="16"/>
  <c r="W12" i="16"/>
  <c r="X17" i="16"/>
  <c r="X19" i="16"/>
  <c r="X21" i="16"/>
  <c r="X23" i="16"/>
  <c r="X25" i="16"/>
  <c r="X27" i="16"/>
  <c r="X29" i="16"/>
  <c r="X31" i="16"/>
  <c r="AA87" i="16"/>
  <c r="AA91" i="16"/>
  <c r="AA95" i="16"/>
  <c r="AA99" i="16"/>
  <c r="AA103" i="16"/>
  <c r="AA107" i="16"/>
  <c r="X62" i="15"/>
  <c r="X64" i="15"/>
  <c r="Y73" i="15"/>
  <c r="Y81" i="15"/>
  <c r="Y87" i="15"/>
  <c r="X107" i="15"/>
  <c r="Y155" i="15"/>
  <c r="Y165" i="15"/>
  <c r="X6" i="15"/>
  <c r="X8" i="15"/>
  <c r="X10" i="15"/>
  <c r="X12" i="15"/>
  <c r="X14" i="15"/>
  <c r="X16" i="15"/>
  <c r="X18" i="15"/>
  <c r="X20" i="15"/>
  <c r="X22" i="15"/>
  <c r="X24" i="15"/>
  <c r="X26" i="15"/>
  <c r="X28" i="15"/>
  <c r="X30" i="15"/>
  <c r="X32" i="15"/>
  <c r="Y34" i="15"/>
  <c r="Y36" i="15"/>
  <c r="Y38" i="15"/>
  <c r="Y40" i="15"/>
  <c r="Y42" i="15"/>
  <c r="Y44" i="15"/>
  <c r="Y46" i="15"/>
  <c r="AA66" i="15"/>
  <c r="X69" i="15"/>
  <c r="Y72" i="15"/>
  <c r="Y76" i="15"/>
  <c r="Y80" i="15"/>
  <c r="Y84" i="15"/>
  <c r="Y90" i="15"/>
  <c r="X95" i="15"/>
  <c r="X111" i="15"/>
  <c r="Y135" i="15"/>
  <c r="Y167" i="15"/>
  <c r="X60" i="15"/>
  <c r="X67" i="15"/>
  <c r="Y77" i="15"/>
  <c r="Y85" i="15"/>
  <c r="Y91" i="15"/>
  <c r="X123" i="15"/>
  <c r="X33" i="15"/>
  <c r="Z220" i="15"/>
  <c r="Y6" i="15"/>
  <c r="Y8" i="15"/>
  <c r="Y10" i="15"/>
  <c r="Y12" i="15"/>
  <c r="Y14" i="15"/>
  <c r="Y16" i="15"/>
  <c r="Y18" i="15"/>
  <c r="Y20" i="15"/>
  <c r="Y22" i="15"/>
  <c r="Y24" i="15"/>
  <c r="Y26" i="15"/>
  <c r="Y28" i="15"/>
  <c r="Y30" i="15"/>
  <c r="Y32" i="15"/>
  <c r="X35" i="15"/>
  <c r="X37" i="15"/>
  <c r="X39" i="15"/>
  <c r="X41" i="15"/>
  <c r="X43" i="15"/>
  <c r="X45" i="15"/>
  <c r="X47" i="15"/>
  <c r="X49" i="15"/>
  <c r="X51" i="15"/>
  <c r="X53" i="15"/>
  <c r="X55" i="15"/>
  <c r="X57" i="15"/>
  <c r="X59" i="15"/>
  <c r="X61" i="15"/>
  <c r="X63" i="15"/>
  <c r="X65" i="15"/>
  <c r="AA68" i="15"/>
  <c r="Y71" i="15"/>
  <c r="Y75" i="15"/>
  <c r="Y79" i="15"/>
  <c r="Y83" i="15"/>
  <c r="Y89" i="15"/>
  <c r="X99" i="15"/>
  <c r="X115" i="15"/>
  <c r="Y139" i="15"/>
  <c r="Y5" i="15"/>
  <c r="Y163" i="15"/>
  <c r="Y147" i="15"/>
  <c r="Y131" i="15"/>
  <c r="X201" i="15"/>
  <c r="Y159" i="15"/>
  <c r="Y143" i="15"/>
  <c r="AA127" i="15"/>
  <c r="AA69" i="15"/>
  <c r="X7" i="15"/>
  <c r="X9" i="15"/>
  <c r="X11" i="15"/>
  <c r="X13" i="15"/>
  <c r="X15" i="15"/>
  <c r="X17" i="15"/>
  <c r="X19" i="15"/>
  <c r="X21" i="15"/>
  <c r="X23" i="15"/>
  <c r="X25" i="15"/>
  <c r="X27" i="15"/>
  <c r="X29" i="15"/>
  <c r="X31" i="15"/>
  <c r="Y35" i="15"/>
  <c r="Y37" i="15"/>
  <c r="Y39" i="15"/>
  <c r="Y41" i="15"/>
  <c r="Y43" i="15"/>
  <c r="Y45" i="15"/>
  <c r="AA70" i="15"/>
  <c r="Y74" i="15"/>
  <c r="Y78" i="15"/>
  <c r="Y82" i="15"/>
  <c r="Y88" i="15"/>
  <c r="X103" i="15"/>
  <c r="X119" i="15"/>
  <c r="Y151" i="15"/>
  <c r="AA6" i="16"/>
  <c r="AA7" i="16"/>
  <c r="AA8" i="16"/>
  <c r="AA9" i="16"/>
  <c r="AA10" i="16"/>
  <c r="AA11" i="16"/>
  <c r="AA12" i="16"/>
  <c r="AA13" i="16"/>
  <c r="AA14" i="16"/>
  <c r="X15" i="16"/>
  <c r="W16" i="16"/>
  <c r="W17" i="16"/>
  <c r="W18" i="16"/>
  <c r="W19" i="16"/>
  <c r="W20" i="16"/>
  <c r="W21" i="16"/>
  <c r="W22" i="16"/>
  <c r="W23" i="16"/>
  <c r="W24" i="16"/>
  <c r="W25" i="16"/>
  <c r="W26" i="16"/>
  <c r="W27" i="16"/>
  <c r="W28" i="16"/>
  <c r="W29" i="16"/>
  <c r="W30" i="16"/>
  <c r="W31" i="16"/>
  <c r="W32" i="16"/>
  <c r="W33" i="16"/>
  <c r="W34" i="16"/>
  <c r="W35" i="16"/>
  <c r="W36" i="16"/>
  <c r="W37" i="16"/>
  <c r="W38" i="16"/>
  <c r="W39" i="16"/>
  <c r="W40" i="16"/>
  <c r="W41" i="16"/>
  <c r="W42" i="16"/>
  <c r="W43" i="16"/>
  <c r="W44" i="16"/>
  <c r="W45" i="16"/>
  <c r="V114" i="16"/>
  <c r="X210" i="16"/>
  <c r="X202" i="16"/>
  <c r="X6" i="16"/>
  <c r="X7" i="16"/>
  <c r="X8" i="16"/>
  <c r="X9" i="16"/>
  <c r="X10" i="16"/>
  <c r="X11" i="16"/>
  <c r="X12" i="16"/>
  <c r="X13" i="16"/>
  <c r="X14" i="16"/>
  <c r="AA15" i="16"/>
  <c r="AA16" i="16"/>
  <c r="AA17" i="16"/>
  <c r="AA18" i="16"/>
  <c r="AA19" i="16"/>
  <c r="AA20" i="16"/>
  <c r="AA21" i="16"/>
  <c r="AA22" i="16"/>
  <c r="AA23" i="16"/>
  <c r="AA24" i="16"/>
  <c r="AA25" i="16"/>
  <c r="AA26" i="16"/>
  <c r="AA27" i="16"/>
  <c r="AA28" i="16"/>
  <c r="AA29" i="16"/>
  <c r="AA30" i="16"/>
  <c r="AA31" i="16"/>
  <c r="AA32" i="16"/>
  <c r="AA33" i="16"/>
  <c r="AA34" i="16"/>
  <c r="AA35" i="16"/>
  <c r="AA36" i="16"/>
  <c r="AA37" i="16"/>
  <c r="AA38" i="16"/>
  <c r="AA39" i="16"/>
  <c r="AA40" i="16"/>
  <c r="AA41" i="16"/>
  <c r="AA42" i="16"/>
  <c r="AA43" i="16"/>
  <c r="AA44" i="16"/>
  <c r="AA45" i="16"/>
  <c r="W47" i="16"/>
  <c r="W48" i="16"/>
  <c r="W49" i="16"/>
  <c r="W50" i="16"/>
  <c r="W51" i="16"/>
  <c r="W52" i="16"/>
  <c r="W53" i="16"/>
  <c r="W54" i="16"/>
  <c r="W55" i="16"/>
  <c r="W56" i="16"/>
  <c r="W57" i="16"/>
  <c r="W58" i="16"/>
  <c r="W59" i="16"/>
  <c r="W60" i="16"/>
  <c r="W61" i="16"/>
  <c r="W62" i="16"/>
  <c r="W63" i="16"/>
  <c r="W64" i="16"/>
  <c r="W65" i="16"/>
  <c r="W66" i="16"/>
  <c r="W67" i="16"/>
  <c r="W68" i="16"/>
  <c r="W69" i="16"/>
  <c r="W70" i="16"/>
  <c r="W71" i="16"/>
  <c r="W72" i="16"/>
  <c r="W73" i="16"/>
  <c r="W74" i="16"/>
  <c r="W75" i="16"/>
  <c r="W76" i="16"/>
  <c r="W77" i="16"/>
  <c r="W78" i="16"/>
  <c r="W79" i="16"/>
  <c r="W80" i="16"/>
  <c r="W81" i="16"/>
  <c r="W82" i="16"/>
  <c r="W83" i="16"/>
  <c r="W84" i="16"/>
  <c r="W85" i="16"/>
  <c r="Z112" i="16"/>
  <c r="X113" i="16"/>
  <c r="X33" i="16"/>
  <c r="X34" i="16"/>
  <c r="X35" i="16"/>
  <c r="X36" i="16"/>
  <c r="X37" i="16"/>
  <c r="X38" i="16"/>
  <c r="X39" i="16"/>
  <c r="X40" i="16"/>
  <c r="X41" i="16"/>
  <c r="X42" i="16"/>
  <c r="X43" i="16"/>
  <c r="X44" i="16"/>
  <c r="X45" i="16"/>
  <c r="AA47" i="16"/>
  <c r="AA48" i="16"/>
  <c r="AA49" i="16"/>
  <c r="AA50" i="16"/>
  <c r="AA51" i="16"/>
  <c r="AA52" i="16"/>
  <c r="AA53" i="16"/>
  <c r="AA54" i="16"/>
  <c r="AA55" i="16"/>
  <c r="AA56" i="16"/>
  <c r="AA57" i="16"/>
  <c r="AA58" i="16"/>
  <c r="AA59" i="16"/>
  <c r="AA60" i="16"/>
  <c r="AA61" i="16"/>
  <c r="AA62" i="16"/>
  <c r="AA63" i="16"/>
  <c r="AA64" i="16"/>
  <c r="AA65" i="16"/>
  <c r="AA66" i="16"/>
  <c r="AA67" i="16"/>
  <c r="AA68" i="16"/>
  <c r="AA69" i="16"/>
  <c r="AA70" i="16"/>
  <c r="AA71" i="16"/>
  <c r="AA72" i="16"/>
  <c r="AA73" i="16"/>
  <c r="AA74" i="16"/>
  <c r="AA75" i="16"/>
  <c r="AA76" i="16"/>
  <c r="AA77" i="16"/>
  <c r="AA78" i="16"/>
  <c r="AA79" i="16"/>
  <c r="AA80" i="16"/>
  <c r="AA81" i="16"/>
  <c r="AA82" i="16"/>
  <c r="AA83" i="16"/>
  <c r="AA84" i="16"/>
  <c r="AA85" i="16"/>
  <c r="W87" i="16"/>
  <c r="W88" i="16"/>
  <c r="W89" i="16"/>
  <c r="W90" i="16"/>
  <c r="W91" i="16"/>
  <c r="W92" i="16"/>
  <c r="W93" i="16"/>
  <c r="W94" i="16"/>
  <c r="W95" i="16"/>
  <c r="W96" i="16"/>
  <c r="W97" i="16"/>
  <c r="W98" i="16"/>
  <c r="W99" i="16"/>
  <c r="W100" i="16"/>
  <c r="W101" i="16"/>
  <c r="W102" i="16"/>
  <c r="W103" i="16"/>
  <c r="W104" i="16"/>
  <c r="W105" i="16"/>
  <c r="W106" i="16"/>
  <c r="W107" i="16"/>
  <c r="W108" i="16"/>
  <c r="W109" i="16"/>
  <c r="W110" i="16"/>
  <c r="M86" i="16"/>
  <c r="M46" i="16"/>
  <c r="V297" i="16"/>
  <c r="V296" i="16"/>
  <c r="V295" i="16"/>
  <c r="V294" i="16"/>
  <c r="V293" i="16"/>
  <c r="V292" i="16"/>
  <c r="V291" i="16"/>
  <c r="V290" i="16"/>
  <c r="V289" i="16"/>
  <c r="V288" i="16"/>
  <c r="V287" i="16"/>
  <c r="V286" i="16"/>
  <c r="V285" i="16"/>
  <c r="V284" i="16"/>
  <c r="V283" i="16"/>
  <c r="V282" i="16"/>
  <c r="V281" i="16"/>
  <c r="V280" i="16"/>
  <c r="V279" i="16"/>
  <c r="V278" i="16"/>
  <c r="V277" i="16"/>
  <c r="V276" i="16"/>
  <c r="V275" i="16"/>
  <c r="V274" i="16"/>
  <c r="V273" i="16"/>
  <c r="V272" i="16"/>
  <c r="V271" i="16"/>
  <c r="V270" i="16"/>
  <c r="V269" i="16"/>
  <c r="V268" i="16"/>
  <c r="V267" i="16"/>
  <c r="V266" i="16"/>
  <c r="V265" i="16"/>
  <c r="V264" i="16"/>
  <c r="V263" i="16"/>
  <c r="V262" i="16"/>
  <c r="V261" i="16"/>
  <c r="V260" i="16"/>
  <c r="V259" i="16"/>
  <c r="V258" i="16"/>
  <c r="V257" i="16"/>
  <c r="V256" i="16"/>
  <c r="V255" i="16"/>
  <c r="V254" i="16"/>
  <c r="V253" i="16"/>
  <c r="V252" i="16"/>
  <c r="V251" i="16"/>
  <c r="V250" i="16"/>
  <c r="V249" i="16"/>
  <c r="V248" i="16"/>
  <c r="V247" i="16"/>
  <c r="V246" i="16"/>
  <c r="V245" i="16"/>
  <c r="V244" i="16"/>
  <c r="V243" i="16"/>
  <c r="V242" i="16"/>
  <c r="V241" i="16"/>
  <c r="V240" i="16"/>
  <c r="V239" i="16"/>
  <c r="V238" i="16"/>
  <c r="V237" i="16"/>
  <c r="V236" i="16"/>
  <c r="V235" i="16"/>
  <c r="V234" i="16"/>
  <c r="V233" i="16"/>
  <c r="V232" i="16"/>
  <c r="V231" i="16"/>
  <c r="V230" i="16"/>
  <c r="V228" i="16"/>
  <c r="V226" i="16"/>
  <c r="V224" i="16"/>
  <c r="V222" i="16"/>
  <c r="V220" i="16"/>
  <c r="V218" i="16"/>
  <c r="V216" i="16"/>
  <c r="V215" i="16"/>
  <c r="V214" i="16"/>
  <c r="V213" i="16"/>
  <c r="V212" i="16"/>
  <c r="V211" i="16"/>
  <c r="V210" i="16"/>
  <c r="V209" i="16"/>
  <c r="V208" i="16"/>
  <c r="V207" i="16"/>
  <c r="V206" i="16"/>
  <c r="V205" i="16"/>
  <c r="V204" i="16"/>
  <c r="V203" i="16"/>
  <c r="V202" i="16"/>
  <c r="V201" i="16"/>
  <c r="V200" i="16"/>
  <c r="V199" i="16"/>
  <c r="V198" i="16"/>
  <c r="V197" i="16"/>
  <c r="V196" i="16"/>
  <c r="V195" i="16"/>
  <c r="V194" i="16"/>
  <c r="V193" i="16"/>
  <c r="V192" i="16"/>
  <c r="V191" i="16"/>
  <c r="V190" i="16"/>
  <c r="V189" i="16"/>
  <c r="V188" i="16"/>
  <c r="V187" i="16"/>
  <c r="V186" i="16"/>
  <c r="V185" i="16"/>
  <c r="V184" i="16"/>
  <c r="V183" i="16"/>
  <c r="V182" i="16"/>
  <c r="V181" i="16"/>
  <c r="V180" i="16"/>
  <c r="V179" i="16"/>
  <c r="V178" i="16"/>
  <c r="V177" i="16"/>
  <c r="V176" i="16"/>
  <c r="V175" i="16"/>
  <c r="V174" i="16"/>
  <c r="V173" i="16"/>
  <c r="V172" i="16"/>
  <c r="V171" i="16"/>
  <c r="V170" i="16"/>
  <c r="V169" i="16"/>
  <c r="V168" i="16"/>
  <c r="V167" i="16"/>
  <c r="V166" i="16"/>
  <c r="V165" i="16"/>
  <c r="V164" i="16"/>
  <c r="V163" i="16"/>
  <c r="V162" i="16"/>
  <c r="V161" i="16"/>
  <c r="V160" i="16"/>
  <c r="V159" i="16"/>
  <c r="V158" i="16"/>
  <c r="V157" i="16"/>
  <c r="V156" i="16"/>
  <c r="V155" i="16"/>
  <c r="V154" i="16"/>
  <c r="V153" i="16"/>
  <c r="V152" i="16"/>
  <c r="V151" i="16"/>
  <c r="V150" i="16"/>
  <c r="V149" i="16"/>
  <c r="V148" i="16"/>
  <c r="V147" i="16"/>
  <c r="V146" i="16"/>
  <c r="V145" i="16"/>
  <c r="V227" i="16"/>
  <c r="V223" i="16"/>
  <c r="V219" i="16"/>
  <c r="V229" i="16"/>
  <c r="V225" i="16"/>
  <c r="V221" i="16"/>
  <c r="V217" i="16"/>
  <c r="X5" i="16"/>
  <c r="X66" i="16"/>
  <c r="X67" i="16"/>
  <c r="X68" i="16"/>
  <c r="X69" i="16"/>
  <c r="X70" i="16"/>
  <c r="X71" i="16"/>
  <c r="X72" i="16"/>
  <c r="X73" i="16"/>
  <c r="X74" i="16"/>
  <c r="X75" i="16"/>
  <c r="X76" i="16"/>
  <c r="X77" i="16"/>
  <c r="X78" i="16"/>
  <c r="X79" i="16"/>
  <c r="X80" i="16"/>
  <c r="X81" i="16"/>
  <c r="X82" i="16"/>
  <c r="X83" i="16"/>
  <c r="X84" i="16"/>
  <c r="X85" i="16"/>
  <c r="X86" i="16"/>
  <c r="X87" i="16"/>
  <c r="X88" i="16"/>
  <c r="X89" i="16"/>
  <c r="X90" i="16"/>
  <c r="X91" i="16"/>
  <c r="X92" i="16"/>
  <c r="X93" i="16"/>
  <c r="X94" i="16"/>
  <c r="X95" i="16"/>
  <c r="X96" i="16"/>
  <c r="X97" i="16"/>
  <c r="X98" i="16"/>
  <c r="X99" i="16"/>
  <c r="X100" i="16"/>
  <c r="X101" i="16"/>
  <c r="X102" i="16"/>
  <c r="X103" i="16"/>
  <c r="X104" i="16"/>
  <c r="X105" i="16"/>
  <c r="X106" i="16"/>
  <c r="X107" i="16"/>
  <c r="X108" i="16"/>
  <c r="X109" i="16"/>
  <c r="X110" i="16"/>
  <c r="V111" i="16"/>
  <c r="Z113" i="16"/>
  <c r="X114" i="16"/>
  <c r="V115" i="16"/>
  <c r="Z117" i="16"/>
  <c r="X118" i="16"/>
  <c r="V119" i="16"/>
  <c r="V120" i="16"/>
  <c r="V121" i="16"/>
  <c r="V122" i="16"/>
  <c r="V123" i="16"/>
  <c r="V124" i="16"/>
  <c r="V125" i="16"/>
  <c r="V126" i="16"/>
  <c r="V127" i="16"/>
  <c r="V128" i="16"/>
  <c r="V129" i="16"/>
  <c r="V130" i="16"/>
  <c r="V131" i="16"/>
  <c r="V132" i="16"/>
  <c r="V133" i="16"/>
  <c r="V134" i="16"/>
  <c r="V135" i="16"/>
  <c r="V136" i="16"/>
  <c r="V137" i="16"/>
  <c r="V138" i="16"/>
  <c r="V139" i="16"/>
  <c r="V140" i="16"/>
  <c r="V141" i="16"/>
  <c r="V142" i="16"/>
  <c r="V143" i="16"/>
  <c r="V144" i="16"/>
  <c r="Y145" i="16"/>
  <c r="Y149" i="16"/>
  <c r="Y153" i="16"/>
  <c r="Y157" i="16"/>
  <c r="Y161" i="16"/>
  <c r="Y165" i="16"/>
  <c r="Y169" i="16"/>
  <c r="Y173" i="16"/>
  <c r="Y177" i="16"/>
  <c r="X182" i="16"/>
  <c r="X198" i="16"/>
  <c r="X214" i="16"/>
  <c r="Y230" i="16"/>
  <c r="Y251" i="16"/>
  <c r="X276" i="16"/>
  <c r="W5" i="16"/>
  <c r="Y146" i="16"/>
  <c r="Y154" i="16"/>
  <c r="Y162" i="16"/>
  <c r="Y226" i="16"/>
  <c r="W297" i="16"/>
  <c r="W296" i="16"/>
  <c r="W295" i="16"/>
  <c r="W294" i="16"/>
  <c r="W293" i="16"/>
  <c r="W292" i="16"/>
  <c r="W291" i="16"/>
  <c r="W290" i="16"/>
  <c r="W289" i="16"/>
  <c r="W288" i="16"/>
  <c r="W287" i="16"/>
  <c r="W286" i="16"/>
  <c r="W285" i="16"/>
  <c r="W284" i="16"/>
  <c r="W283" i="16"/>
  <c r="W282" i="16"/>
  <c r="W281" i="16"/>
  <c r="W280" i="16"/>
  <c r="W279" i="16"/>
  <c r="W278" i="16"/>
  <c r="W277" i="16"/>
  <c r="W276" i="16"/>
  <c r="W275" i="16"/>
  <c r="W274" i="16"/>
  <c r="W273" i="16"/>
  <c r="W272" i="16"/>
  <c r="W271" i="16"/>
  <c r="W270" i="16"/>
  <c r="W269" i="16"/>
  <c r="W268" i="16"/>
  <c r="W267" i="16"/>
  <c r="W266" i="16"/>
  <c r="W265" i="16"/>
  <c r="W264" i="16"/>
  <c r="W263" i="16"/>
  <c r="W262" i="16"/>
  <c r="W261" i="16"/>
  <c r="W260" i="16"/>
  <c r="W259" i="16"/>
  <c r="W258" i="16"/>
  <c r="W257" i="16"/>
  <c r="W256" i="16"/>
  <c r="W255" i="16"/>
  <c r="W254" i="16"/>
  <c r="W253" i="16"/>
  <c r="W252" i="16"/>
  <c r="W251" i="16"/>
  <c r="W250" i="16"/>
  <c r="W249" i="16"/>
  <c r="W248" i="16"/>
  <c r="W247" i="16"/>
  <c r="W246" i="16"/>
  <c r="W245" i="16"/>
  <c r="W244" i="16"/>
  <c r="W243" i="16"/>
  <c r="W242" i="16"/>
  <c r="W241" i="16"/>
  <c r="W240" i="16"/>
  <c r="W239" i="16"/>
  <c r="W238" i="16"/>
  <c r="W237" i="16"/>
  <c r="W236" i="16"/>
  <c r="W235" i="16"/>
  <c r="W234" i="16"/>
  <c r="W233" i="16"/>
  <c r="W232" i="16"/>
  <c r="W231" i="16"/>
  <c r="W230" i="16"/>
  <c r="W229" i="16"/>
  <c r="W228" i="16"/>
  <c r="W227" i="16"/>
  <c r="W226" i="16"/>
  <c r="W225" i="16"/>
  <c r="W224" i="16"/>
  <c r="W223" i="16"/>
  <c r="W222" i="16"/>
  <c r="W221" i="16"/>
  <c r="W220" i="16"/>
  <c r="W219" i="16"/>
  <c r="W218" i="16"/>
  <c r="W217" i="16"/>
  <c r="W216" i="16"/>
  <c r="W215" i="16"/>
  <c r="W214" i="16"/>
  <c r="W213" i="16"/>
  <c r="W212" i="16"/>
  <c r="W211" i="16"/>
  <c r="W210" i="16"/>
  <c r="W209" i="16"/>
  <c r="W208" i="16"/>
  <c r="W207" i="16"/>
  <c r="W206" i="16"/>
  <c r="W205" i="16"/>
  <c r="W204" i="16"/>
  <c r="W203" i="16"/>
  <c r="W202" i="16"/>
  <c r="W201" i="16"/>
  <c r="W200" i="16"/>
  <c r="W199" i="16"/>
  <c r="W198" i="16"/>
  <c r="W197" i="16"/>
  <c r="W196" i="16"/>
  <c r="W195" i="16"/>
  <c r="W194" i="16"/>
  <c r="W193" i="16"/>
  <c r="W192" i="16"/>
  <c r="W191" i="16"/>
  <c r="W190" i="16"/>
  <c r="W189" i="16"/>
  <c r="W188" i="16"/>
  <c r="W187" i="16"/>
  <c r="W186" i="16"/>
  <c r="W185" i="16"/>
  <c r="W184" i="16"/>
  <c r="W183" i="16"/>
  <c r="W182" i="16"/>
  <c r="W181" i="16"/>
  <c r="W180" i="16"/>
  <c r="W179" i="16"/>
  <c r="W178" i="16"/>
  <c r="W177" i="16"/>
  <c r="W176" i="16"/>
  <c r="W175" i="16"/>
  <c r="W174" i="16"/>
  <c r="W173" i="16"/>
  <c r="W172" i="16"/>
  <c r="W171" i="16"/>
  <c r="W170" i="16"/>
  <c r="W169" i="16"/>
  <c r="W168" i="16"/>
  <c r="W167" i="16"/>
  <c r="W166" i="16"/>
  <c r="W165" i="16"/>
  <c r="W164" i="16"/>
  <c r="W163" i="16"/>
  <c r="W162" i="16"/>
  <c r="W161" i="16"/>
  <c r="W160" i="16"/>
  <c r="W159" i="16"/>
  <c r="W158" i="16"/>
  <c r="W157" i="16"/>
  <c r="W156" i="16"/>
  <c r="W155" i="16"/>
  <c r="W154" i="16"/>
  <c r="W153" i="16"/>
  <c r="W152" i="16"/>
  <c r="W151" i="16"/>
  <c r="W150" i="16"/>
  <c r="W149" i="16"/>
  <c r="W148" i="16"/>
  <c r="W147" i="16"/>
  <c r="W146" i="16"/>
  <c r="W145" i="16"/>
  <c r="W144" i="16"/>
  <c r="W143" i="16"/>
  <c r="W142" i="16"/>
  <c r="W141" i="16"/>
  <c r="W140" i="16"/>
  <c r="W139" i="16"/>
  <c r="W138" i="16"/>
  <c r="W137" i="16"/>
  <c r="W136" i="16"/>
  <c r="W135" i="16"/>
  <c r="W134" i="16"/>
  <c r="W133" i="16"/>
  <c r="W132" i="16"/>
  <c r="W131" i="16"/>
  <c r="W130" i="16"/>
  <c r="W129" i="16"/>
  <c r="W128" i="16"/>
  <c r="W127" i="16"/>
  <c r="W126" i="16"/>
  <c r="W125" i="16"/>
  <c r="W124" i="16"/>
  <c r="W123" i="16"/>
  <c r="W122" i="16"/>
  <c r="W121" i="16"/>
  <c r="W120" i="16"/>
  <c r="W119" i="16"/>
  <c r="W118" i="16"/>
  <c r="W117" i="16"/>
  <c r="W116" i="16"/>
  <c r="W115" i="16"/>
  <c r="W114" i="16"/>
  <c r="W113" i="16"/>
  <c r="W112" i="16"/>
  <c r="W111" i="16"/>
  <c r="AA297" i="16"/>
  <c r="AA296" i="16"/>
  <c r="AA295" i="16"/>
  <c r="AA294" i="16"/>
  <c r="AA293" i="16"/>
  <c r="AA292" i="16"/>
  <c r="AA291" i="16"/>
  <c r="AA290" i="16"/>
  <c r="AA289" i="16"/>
  <c r="AA288" i="16"/>
  <c r="AA287" i="16"/>
  <c r="AA286" i="16"/>
  <c r="AA285" i="16"/>
  <c r="AA284" i="16"/>
  <c r="AA283" i="16"/>
  <c r="AA282" i="16"/>
  <c r="AA281" i="16"/>
  <c r="AA280" i="16"/>
  <c r="AA279" i="16"/>
  <c r="AA278" i="16"/>
  <c r="AA277" i="16"/>
  <c r="AA276" i="16"/>
  <c r="AA275" i="16"/>
  <c r="AA274" i="16"/>
  <c r="AA273" i="16"/>
  <c r="AA272" i="16"/>
  <c r="AA271" i="16"/>
  <c r="AA270" i="16"/>
  <c r="AA269" i="16"/>
  <c r="AA268" i="16"/>
  <c r="AA267" i="16"/>
  <c r="AA266" i="16"/>
  <c r="AA265" i="16"/>
  <c r="AA264" i="16"/>
  <c r="AA263" i="16"/>
  <c r="AA262" i="16"/>
  <c r="AA261" i="16"/>
  <c r="AA260" i="16"/>
  <c r="AA259" i="16"/>
  <c r="AA258" i="16"/>
  <c r="AA257" i="16"/>
  <c r="AA256" i="16"/>
  <c r="AA255" i="16"/>
  <c r="AA254" i="16"/>
  <c r="AA253" i="16"/>
  <c r="AA252" i="16"/>
  <c r="AA251" i="16"/>
  <c r="AA250" i="16"/>
  <c r="AA249" i="16"/>
  <c r="AA248" i="16"/>
  <c r="AA247" i="16"/>
  <c r="AA246" i="16"/>
  <c r="AA245" i="16"/>
  <c r="AA244" i="16"/>
  <c r="AA243" i="16"/>
  <c r="AA242" i="16"/>
  <c r="AA241" i="16"/>
  <c r="AA240" i="16"/>
  <c r="AA239" i="16"/>
  <c r="AA238" i="16"/>
  <c r="AA237" i="16"/>
  <c r="AA236" i="16"/>
  <c r="AA235" i="16"/>
  <c r="AA234" i="16"/>
  <c r="AA233" i="16"/>
  <c r="AA232" i="16"/>
  <c r="AA231" i="16"/>
  <c r="AA230" i="16"/>
  <c r="AA229" i="16"/>
  <c r="AA228" i="16"/>
  <c r="AA227" i="16"/>
  <c r="AA226" i="16"/>
  <c r="AA225" i="16"/>
  <c r="AA224" i="16"/>
  <c r="AA223" i="16"/>
  <c r="AA222" i="16"/>
  <c r="AA221" i="16"/>
  <c r="AA220" i="16"/>
  <c r="AA219" i="16"/>
  <c r="AA218" i="16"/>
  <c r="AA217" i="16"/>
  <c r="AA216" i="16"/>
  <c r="AA215" i="16"/>
  <c r="AA214" i="16"/>
  <c r="AA213" i="16"/>
  <c r="AA212" i="16"/>
  <c r="AA211" i="16"/>
  <c r="AA210" i="16"/>
  <c r="AA209" i="16"/>
  <c r="AA208" i="16"/>
  <c r="AA207" i="16"/>
  <c r="AA206" i="16"/>
  <c r="AA205" i="16"/>
  <c r="AA204" i="16"/>
  <c r="AA203" i="16"/>
  <c r="AA202" i="16"/>
  <c r="AA201" i="16"/>
  <c r="AA200" i="16"/>
  <c r="AA199" i="16"/>
  <c r="AA198" i="16"/>
  <c r="AA197" i="16"/>
  <c r="AA196" i="16"/>
  <c r="AA195" i="16"/>
  <c r="AA194" i="16"/>
  <c r="AA193" i="16"/>
  <c r="AA192" i="16"/>
  <c r="AA191" i="16"/>
  <c r="AA190" i="16"/>
  <c r="AA189" i="16"/>
  <c r="AA188" i="16"/>
  <c r="AA187" i="16"/>
  <c r="AA186" i="16"/>
  <c r="AA185" i="16"/>
  <c r="AA184" i="16"/>
  <c r="AA183" i="16"/>
  <c r="AA182" i="16"/>
  <c r="AA181" i="16"/>
  <c r="AA180" i="16"/>
  <c r="AA179" i="16"/>
  <c r="AA178" i="16"/>
  <c r="AA177" i="16"/>
  <c r="AA176" i="16"/>
  <c r="AA175" i="16"/>
  <c r="AA174" i="16"/>
  <c r="AA173" i="16"/>
  <c r="AA172" i="16"/>
  <c r="AA171" i="16"/>
  <c r="AA170" i="16"/>
  <c r="AA169" i="16"/>
  <c r="AA168" i="16"/>
  <c r="AA167" i="16"/>
  <c r="AA166" i="16"/>
  <c r="AA165" i="16"/>
  <c r="AA164" i="16"/>
  <c r="AA163" i="16"/>
  <c r="AA162" i="16"/>
  <c r="AA161" i="16"/>
  <c r="AA160" i="16"/>
  <c r="AA159" i="16"/>
  <c r="AA158" i="16"/>
  <c r="AA157" i="16"/>
  <c r="AA156" i="16"/>
  <c r="AA155" i="16"/>
  <c r="AA154" i="16"/>
  <c r="AA153" i="16"/>
  <c r="AA152" i="16"/>
  <c r="AA151" i="16"/>
  <c r="AA150" i="16"/>
  <c r="AA149" i="16"/>
  <c r="AA148" i="16"/>
  <c r="AA147" i="16"/>
  <c r="AA146" i="16"/>
  <c r="AA145" i="16"/>
  <c r="AA143" i="16"/>
  <c r="AA142" i="16"/>
  <c r="AA141" i="16"/>
  <c r="AA140" i="16"/>
  <c r="AA139" i="16"/>
  <c r="AA138" i="16"/>
  <c r="AA137" i="16"/>
  <c r="AA136" i="16"/>
  <c r="AA135" i="16"/>
  <c r="AA134" i="16"/>
  <c r="AA133" i="16"/>
  <c r="AA132" i="16"/>
  <c r="AA131" i="16"/>
  <c r="AA130" i="16"/>
  <c r="AA129" i="16"/>
  <c r="AA128" i="16"/>
  <c r="AA127" i="16"/>
  <c r="AA126" i="16"/>
  <c r="AA125" i="16"/>
  <c r="AA124" i="16"/>
  <c r="AA123" i="16"/>
  <c r="AA122" i="16"/>
  <c r="AA121" i="16"/>
  <c r="AA120" i="16"/>
  <c r="AA119" i="16"/>
  <c r="AA118" i="16"/>
  <c r="AA117" i="16"/>
  <c r="AA116" i="16"/>
  <c r="AA115" i="16"/>
  <c r="AA114" i="16"/>
  <c r="AA113" i="16"/>
  <c r="AA112" i="16"/>
  <c r="AA111" i="16"/>
  <c r="AA110" i="16"/>
  <c r="Y5" i="16"/>
  <c r="Y6" i="16"/>
  <c r="Y7" i="16"/>
  <c r="Y8" i="16"/>
  <c r="Y9" i="16"/>
  <c r="Y10" i="16"/>
  <c r="Y11" i="16"/>
  <c r="Y12" i="16"/>
  <c r="Y13" i="16"/>
  <c r="Y14" i="16"/>
  <c r="Y15" i="16"/>
  <c r="Y16" i="16"/>
  <c r="Y17" i="16"/>
  <c r="Y18" i="16"/>
  <c r="Y19" i="16"/>
  <c r="Y20" i="16"/>
  <c r="Y21" i="16"/>
  <c r="Y22" i="16"/>
  <c r="Y23" i="16"/>
  <c r="Y24" i="16"/>
  <c r="Y25" i="16"/>
  <c r="Y26" i="16"/>
  <c r="Y27" i="16"/>
  <c r="Y28" i="16"/>
  <c r="Y29" i="16"/>
  <c r="Y30" i="16"/>
  <c r="Y31" i="16"/>
  <c r="Y32" i="16"/>
  <c r="Y33" i="16"/>
  <c r="Y34" i="16"/>
  <c r="Y35" i="16"/>
  <c r="Y36" i="16"/>
  <c r="Y37" i="16"/>
  <c r="Y38" i="16"/>
  <c r="Y39" i="16"/>
  <c r="Y40" i="16"/>
  <c r="Y41" i="16"/>
  <c r="Y42" i="16"/>
  <c r="Y43" i="16"/>
  <c r="Y44" i="16"/>
  <c r="Y45" i="16"/>
  <c r="Y46" i="16"/>
  <c r="Y47" i="16"/>
  <c r="Y48" i="16"/>
  <c r="Y49" i="16"/>
  <c r="Y50" i="16"/>
  <c r="Y51" i="16"/>
  <c r="Y52" i="16"/>
  <c r="Y53" i="16"/>
  <c r="Y54" i="16"/>
  <c r="Y55" i="16"/>
  <c r="Y56" i="16"/>
  <c r="Y57" i="16"/>
  <c r="Y58" i="16"/>
  <c r="Y59" i="16"/>
  <c r="Y60" i="16"/>
  <c r="Y61" i="16"/>
  <c r="Y62" i="16"/>
  <c r="Y63" i="16"/>
  <c r="Y64" i="16"/>
  <c r="Y65" i="16"/>
  <c r="Y66" i="16"/>
  <c r="Y67" i="16"/>
  <c r="Y68" i="16"/>
  <c r="Y69" i="16"/>
  <c r="Y70" i="16"/>
  <c r="Y71" i="16"/>
  <c r="Y72" i="16"/>
  <c r="Y73" i="16"/>
  <c r="Y74" i="16"/>
  <c r="Y75" i="16"/>
  <c r="Y76" i="16"/>
  <c r="Y77" i="16"/>
  <c r="Y78" i="16"/>
  <c r="Y79" i="16"/>
  <c r="Y80" i="16"/>
  <c r="Y81" i="16"/>
  <c r="Y82" i="16"/>
  <c r="Y83" i="16"/>
  <c r="Y84" i="16"/>
  <c r="Y85" i="16"/>
  <c r="Y86" i="16"/>
  <c r="Y87" i="16"/>
  <c r="Y88" i="16"/>
  <c r="Y89" i="16"/>
  <c r="Y90" i="16"/>
  <c r="Y91" i="16"/>
  <c r="Y92" i="16"/>
  <c r="Y93" i="16"/>
  <c r="Y94" i="16"/>
  <c r="Y95" i="16"/>
  <c r="Y96" i="16"/>
  <c r="Y97" i="16"/>
  <c r="Y98" i="16"/>
  <c r="Y99" i="16"/>
  <c r="Y100" i="16"/>
  <c r="Y101" i="16"/>
  <c r="Y102" i="16"/>
  <c r="Y103" i="16"/>
  <c r="Y104" i="16"/>
  <c r="Y105" i="16"/>
  <c r="Y106" i="16"/>
  <c r="Y107" i="16"/>
  <c r="Y108" i="16"/>
  <c r="Y109" i="16"/>
  <c r="Z110" i="16"/>
  <c r="X111" i="16"/>
  <c r="V112" i="16"/>
  <c r="Z114" i="16"/>
  <c r="X115" i="16"/>
  <c r="V116" i="16"/>
  <c r="Z118" i="16"/>
  <c r="Z119" i="16"/>
  <c r="Z120" i="16"/>
  <c r="Z121" i="16"/>
  <c r="Z122" i="16"/>
  <c r="Z123" i="16"/>
  <c r="Z124" i="16"/>
  <c r="Z125" i="16"/>
  <c r="Z126" i="16"/>
  <c r="Z127" i="16"/>
  <c r="Z128" i="16"/>
  <c r="Z129" i="16"/>
  <c r="Z130" i="16"/>
  <c r="Z131" i="16"/>
  <c r="Z132" i="16"/>
  <c r="Z133" i="16"/>
  <c r="Z134" i="16"/>
  <c r="Z135" i="16"/>
  <c r="Z136" i="16"/>
  <c r="Z137" i="16"/>
  <c r="Z138" i="16"/>
  <c r="Z139" i="16"/>
  <c r="Z140" i="16"/>
  <c r="Z141" i="16"/>
  <c r="Z142" i="16"/>
  <c r="AA144" i="16"/>
  <c r="Y148" i="16"/>
  <c r="Y152" i="16"/>
  <c r="Y156" i="16"/>
  <c r="Y160" i="16"/>
  <c r="Y164" i="16"/>
  <c r="Y168" i="16"/>
  <c r="Y172" i="16"/>
  <c r="Y176" i="16"/>
  <c r="X186" i="16"/>
  <c r="Y218" i="16"/>
  <c r="Y297" i="16"/>
  <c r="Y296" i="16"/>
  <c r="Y295" i="16"/>
  <c r="Y294" i="16"/>
  <c r="Y293" i="16"/>
  <c r="Y292" i="16"/>
  <c r="Y291" i="16"/>
  <c r="Y290" i="16"/>
  <c r="Y289" i="16"/>
  <c r="Y288" i="16"/>
  <c r="Y287" i="16"/>
  <c r="Y286" i="16"/>
  <c r="Y285" i="16"/>
  <c r="Y284" i="16"/>
  <c r="Y283" i="16"/>
  <c r="Y282" i="16"/>
  <c r="Y281" i="16"/>
  <c r="Y280" i="16"/>
  <c r="Y279" i="16"/>
  <c r="Y278" i="16"/>
  <c r="Y277" i="16"/>
  <c r="Y276" i="16"/>
  <c r="Y275" i="16"/>
  <c r="Y274" i="16"/>
  <c r="Y273" i="16"/>
  <c r="Y272" i="16"/>
  <c r="Y268" i="16"/>
  <c r="Y264" i="16"/>
  <c r="Y260" i="16"/>
  <c r="Y256" i="16"/>
  <c r="Y252" i="16"/>
  <c r="Y248" i="16"/>
  <c r="Y244" i="16"/>
  <c r="Y240" i="16"/>
  <c r="Y236" i="16"/>
  <c r="Y232" i="16"/>
  <c r="Y269" i="16"/>
  <c r="Y265" i="16"/>
  <c r="Y261" i="16"/>
  <c r="Y257" i="16"/>
  <c r="Y253" i="16"/>
  <c r="Y249" i="16"/>
  <c r="Y245" i="16"/>
  <c r="Y241" i="16"/>
  <c r="Y237" i="16"/>
  <c r="Y233" i="16"/>
  <c r="Y229" i="16"/>
  <c r="Y227" i="16"/>
  <c r="Y225" i="16"/>
  <c r="Y223" i="16"/>
  <c r="Y221" i="16"/>
  <c r="Y219" i="16"/>
  <c r="Y217" i="16"/>
  <c r="Y270" i="16"/>
  <c r="Y266" i="16"/>
  <c r="Y262" i="16"/>
  <c r="Y258" i="16"/>
  <c r="Y254" i="16"/>
  <c r="Y250" i="16"/>
  <c r="Y246" i="16"/>
  <c r="Y242" i="16"/>
  <c r="Y238" i="16"/>
  <c r="Y234" i="16"/>
  <c r="Y215" i="16"/>
  <c r="Y214" i="16"/>
  <c r="Y213" i="16"/>
  <c r="Y212" i="16"/>
  <c r="Y211" i="16"/>
  <c r="Y210" i="16"/>
  <c r="Y209" i="16"/>
  <c r="Y208" i="16"/>
  <c r="Y207" i="16"/>
  <c r="Y206" i="16"/>
  <c r="Y205" i="16"/>
  <c r="Y204" i="16"/>
  <c r="Y203" i="16"/>
  <c r="Y202" i="16"/>
  <c r="Y201" i="16"/>
  <c r="Y200" i="16"/>
  <c r="Y199" i="16"/>
  <c r="Y198" i="16"/>
  <c r="Y197" i="16"/>
  <c r="Y196" i="16"/>
  <c r="Y195" i="16"/>
  <c r="Y194" i="16"/>
  <c r="Y193" i="16"/>
  <c r="Y192" i="16"/>
  <c r="Y191" i="16"/>
  <c r="Y190" i="16"/>
  <c r="Y189" i="16"/>
  <c r="Y188" i="16"/>
  <c r="Y187" i="16"/>
  <c r="Y186" i="16"/>
  <c r="Y185" i="16"/>
  <c r="Y184" i="16"/>
  <c r="Y183" i="16"/>
  <c r="Y182" i="16"/>
  <c r="Y181" i="16"/>
  <c r="Y180" i="16"/>
  <c r="Y179" i="16"/>
  <c r="Y263" i="16"/>
  <c r="Y247" i="16"/>
  <c r="Y231" i="16"/>
  <c r="Y144" i="16"/>
  <c r="Y143" i="16"/>
  <c r="Y142" i="16"/>
  <c r="Y141" i="16"/>
  <c r="Y140" i="16"/>
  <c r="Y139" i="16"/>
  <c r="Y138" i="16"/>
  <c r="Y137" i="16"/>
  <c r="Y136" i="16"/>
  <c r="Y135" i="16"/>
  <c r="Y134" i="16"/>
  <c r="Y133" i="16"/>
  <c r="Y132" i="16"/>
  <c r="Y131" i="16"/>
  <c r="Y130" i="16"/>
  <c r="Y129" i="16"/>
  <c r="Y128" i="16"/>
  <c r="Y127" i="16"/>
  <c r="Y126" i="16"/>
  <c r="Y125" i="16"/>
  <c r="Y124" i="16"/>
  <c r="Y123" i="16"/>
  <c r="Y122" i="16"/>
  <c r="Y121" i="16"/>
  <c r="Y120" i="16"/>
  <c r="Y119" i="16"/>
  <c r="Y118" i="16"/>
  <c r="Y117" i="16"/>
  <c r="Y116" i="16"/>
  <c r="Y115" i="16"/>
  <c r="Y114" i="16"/>
  <c r="Y113" i="16"/>
  <c r="Y112" i="16"/>
  <c r="Y111" i="16"/>
  <c r="Y110" i="16"/>
  <c r="Y259" i="16"/>
  <c r="Y243" i="16"/>
  <c r="Y228" i="16"/>
  <c r="Y224" i="16"/>
  <c r="Y220" i="16"/>
  <c r="Y216" i="16"/>
  <c r="Y271" i="16"/>
  <c r="Y255" i="16"/>
  <c r="Y239" i="16"/>
  <c r="Y150" i="16"/>
  <c r="Y158" i="16"/>
  <c r="Y166" i="16"/>
  <c r="Y170" i="16"/>
  <c r="Y174" i="16"/>
  <c r="Y178" i="16"/>
  <c r="Y235" i="16"/>
  <c r="Z297" i="16"/>
  <c r="Z296" i="16"/>
  <c r="Z295" i="16"/>
  <c r="Z294" i="16"/>
  <c r="Z293" i="16"/>
  <c r="Z292" i="16"/>
  <c r="Z291" i="16"/>
  <c r="Z290" i="16"/>
  <c r="Z289" i="16"/>
  <c r="Z288" i="16"/>
  <c r="Z287" i="16"/>
  <c r="Z286" i="16"/>
  <c r="Z285" i="16"/>
  <c r="Z284" i="16"/>
  <c r="Z283" i="16"/>
  <c r="Z282" i="16"/>
  <c r="Z281" i="16"/>
  <c r="Z280" i="16"/>
  <c r="Z279" i="16"/>
  <c r="Z278" i="16"/>
  <c r="Z277" i="16"/>
  <c r="Z276" i="16"/>
  <c r="Z275" i="16"/>
  <c r="Z274" i="16"/>
  <c r="Z273" i="16"/>
  <c r="Z272" i="16"/>
  <c r="Z271" i="16"/>
  <c r="Z270" i="16"/>
  <c r="Z269" i="16"/>
  <c r="Z268" i="16"/>
  <c r="Z267" i="16"/>
  <c r="Z266" i="16"/>
  <c r="Z265" i="16"/>
  <c r="Z264" i="16"/>
  <c r="Z263" i="16"/>
  <c r="Z262" i="16"/>
  <c r="Z261" i="16"/>
  <c r="Z260" i="16"/>
  <c r="Z259" i="16"/>
  <c r="Z258" i="16"/>
  <c r="Z257" i="16"/>
  <c r="Z256" i="16"/>
  <c r="Z255" i="16"/>
  <c r="Z254" i="16"/>
  <c r="Z253" i="16"/>
  <c r="Z252" i="16"/>
  <c r="Z251" i="16"/>
  <c r="Z250" i="16"/>
  <c r="Z249" i="16"/>
  <c r="Z248" i="16"/>
  <c r="Z247" i="16"/>
  <c r="Z246" i="16"/>
  <c r="Z245" i="16"/>
  <c r="Z244" i="16"/>
  <c r="Z243" i="16"/>
  <c r="Z242" i="16"/>
  <c r="Z241" i="16"/>
  <c r="Z240" i="16"/>
  <c r="Z239" i="16"/>
  <c r="Z238" i="16"/>
  <c r="Z237" i="16"/>
  <c r="Z236" i="16"/>
  <c r="Z235" i="16"/>
  <c r="Z234" i="16"/>
  <c r="Z233" i="16"/>
  <c r="Z232" i="16"/>
  <c r="Z231" i="16"/>
  <c r="Z230" i="16"/>
  <c r="Z229" i="16"/>
  <c r="Z227" i="16"/>
  <c r="Z225" i="16"/>
  <c r="Z223" i="16"/>
  <c r="Z221" i="16"/>
  <c r="Z219" i="16"/>
  <c r="Z217" i="16"/>
  <c r="Z215" i="16"/>
  <c r="Z214" i="16"/>
  <c r="Z213" i="16"/>
  <c r="Z212" i="16"/>
  <c r="Z211" i="16"/>
  <c r="Z210" i="16"/>
  <c r="Z209" i="16"/>
  <c r="Z208" i="16"/>
  <c r="Z207" i="16"/>
  <c r="Z206" i="16"/>
  <c r="Z205" i="16"/>
  <c r="Z204" i="16"/>
  <c r="Z203" i="16"/>
  <c r="Z202" i="16"/>
  <c r="Z201" i="16"/>
  <c r="Z200" i="16"/>
  <c r="Z199" i="16"/>
  <c r="Z198" i="16"/>
  <c r="Z197" i="16"/>
  <c r="Z196" i="16"/>
  <c r="Z195" i="16"/>
  <c r="Z194" i="16"/>
  <c r="Z193" i="16"/>
  <c r="Z192" i="16"/>
  <c r="Z191" i="16"/>
  <c r="Z190" i="16"/>
  <c r="Z189" i="16"/>
  <c r="Z188" i="16"/>
  <c r="Z187" i="16"/>
  <c r="Z186" i="16"/>
  <c r="Z185" i="16"/>
  <c r="Z184" i="16"/>
  <c r="Z183" i="16"/>
  <c r="Z182" i="16"/>
  <c r="Z181" i="16"/>
  <c r="Z180" i="16"/>
  <c r="Z179" i="16"/>
  <c r="Z178" i="16"/>
  <c r="Z177" i="16"/>
  <c r="Z176" i="16"/>
  <c r="Z175" i="16"/>
  <c r="Z174" i="16"/>
  <c r="Z173" i="16"/>
  <c r="Z172" i="16"/>
  <c r="Z171" i="16"/>
  <c r="Z170" i="16"/>
  <c r="Z169" i="16"/>
  <c r="Z168" i="16"/>
  <c r="Z167" i="16"/>
  <c r="Z166" i="16"/>
  <c r="Z165" i="16"/>
  <c r="Z164" i="16"/>
  <c r="Z163" i="16"/>
  <c r="Z162" i="16"/>
  <c r="Z161" i="16"/>
  <c r="Z160" i="16"/>
  <c r="Z159" i="16"/>
  <c r="Z158" i="16"/>
  <c r="Z157" i="16"/>
  <c r="Z156" i="16"/>
  <c r="Z155" i="16"/>
  <c r="Z154" i="16"/>
  <c r="Z153" i="16"/>
  <c r="Z152" i="16"/>
  <c r="Z151" i="16"/>
  <c r="Z150" i="16"/>
  <c r="Z149" i="16"/>
  <c r="Z148" i="16"/>
  <c r="Z147" i="16"/>
  <c r="Z146" i="16"/>
  <c r="Z145" i="16"/>
  <c r="Z144" i="16"/>
  <c r="Z228" i="16"/>
  <c r="Z226" i="16"/>
  <c r="Z224" i="16"/>
  <c r="Z222" i="16"/>
  <c r="Z220" i="16"/>
  <c r="Z218" i="16"/>
  <c r="Z216" i="16"/>
  <c r="X297" i="16"/>
  <c r="X293" i="16"/>
  <c r="X289" i="16"/>
  <c r="X285" i="16"/>
  <c r="X281" i="16"/>
  <c r="X277" i="16"/>
  <c r="X273" i="16"/>
  <c r="X272" i="16"/>
  <c r="X271" i="16"/>
  <c r="X270" i="16"/>
  <c r="X269" i="16"/>
  <c r="X268" i="16"/>
  <c r="X267" i="16"/>
  <c r="X266" i="16"/>
  <c r="X265" i="16"/>
  <c r="X264" i="16"/>
  <c r="X263" i="16"/>
  <c r="X262" i="16"/>
  <c r="X261" i="16"/>
  <c r="X260" i="16"/>
  <c r="X259" i="16"/>
  <c r="X258" i="16"/>
  <c r="X257" i="16"/>
  <c r="X256" i="16"/>
  <c r="X255" i="16"/>
  <c r="X254" i="16"/>
  <c r="X253" i="16"/>
  <c r="X252" i="16"/>
  <c r="X251" i="16"/>
  <c r="X250" i="16"/>
  <c r="X249" i="16"/>
  <c r="X248" i="16"/>
  <c r="X247" i="16"/>
  <c r="X246" i="16"/>
  <c r="X245" i="16"/>
  <c r="X244" i="16"/>
  <c r="X243" i="16"/>
  <c r="X242" i="16"/>
  <c r="X241" i="16"/>
  <c r="X240" i="16"/>
  <c r="X239" i="16"/>
  <c r="X238" i="16"/>
  <c r="X237" i="16"/>
  <c r="X236" i="16"/>
  <c r="X235" i="16"/>
  <c r="X234" i="16"/>
  <c r="X233" i="16"/>
  <c r="X232" i="16"/>
  <c r="X294" i="16"/>
  <c r="X290" i="16"/>
  <c r="X286" i="16"/>
  <c r="X282" i="16"/>
  <c r="X278" i="16"/>
  <c r="X274" i="16"/>
  <c r="X295" i="16"/>
  <c r="X291" i="16"/>
  <c r="X287" i="16"/>
  <c r="X283" i="16"/>
  <c r="X279" i="16"/>
  <c r="X275" i="16"/>
  <c r="X288" i="16"/>
  <c r="X231" i="16"/>
  <c r="X230" i="16"/>
  <c r="X228" i="16"/>
  <c r="X226" i="16"/>
  <c r="X224" i="16"/>
  <c r="X222" i="16"/>
  <c r="X220" i="16"/>
  <c r="X218" i="16"/>
  <c r="X216" i="16"/>
  <c r="X284" i="16"/>
  <c r="X296" i="16"/>
  <c r="X280" i="16"/>
  <c r="X229" i="16"/>
  <c r="X227" i="16"/>
  <c r="X225" i="16"/>
  <c r="X223" i="16"/>
  <c r="X221" i="16"/>
  <c r="X219" i="16"/>
  <c r="X217" i="16"/>
  <c r="X215" i="16"/>
  <c r="X211" i="16"/>
  <c r="X207" i="16"/>
  <c r="X203" i="16"/>
  <c r="X199" i="16"/>
  <c r="X195" i="16"/>
  <c r="X191" i="16"/>
  <c r="X187" i="16"/>
  <c r="X183" i="16"/>
  <c r="X179" i="16"/>
  <c r="X178" i="16"/>
  <c r="X177" i="16"/>
  <c r="X176" i="16"/>
  <c r="X175" i="16"/>
  <c r="X174" i="16"/>
  <c r="X173" i="16"/>
  <c r="X172" i="16"/>
  <c r="X171" i="16"/>
  <c r="X170" i="16"/>
  <c r="X169" i="16"/>
  <c r="X168" i="16"/>
  <c r="X167" i="16"/>
  <c r="X166" i="16"/>
  <c r="X165" i="16"/>
  <c r="X164" i="16"/>
  <c r="X163" i="16"/>
  <c r="X162" i="16"/>
  <c r="X161" i="16"/>
  <c r="X160" i="16"/>
  <c r="X159" i="16"/>
  <c r="X158" i="16"/>
  <c r="X157" i="16"/>
  <c r="X156" i="16"/>
  <c r="X155" i="16"/>
  <c r="X154" i="16"/>
  <c r="X153" i="16"/>
  <c r="X152" i="16"/>
  <c r="X151" i="16"/>
  <c r="X150" i="16"/>
  <c r="X149" i="16"/>
  <c r="X148" i="16"/>
  <c r="X147" i="16"/>
  <c r="X146" i="16"/>
  <c r="X145" i="16"/>
  <c r="X212" i="16"/>
  <c r="X208" i="16"/>
  <c r="X204" i="16"/>
  <c r="X200" i="16"/>
  <c r="X196" i="16"/>
  <c r="X192" i="16"/>
  <c r="X188" i="16"/>
  <c r="X184" i="16"/>
  <c r="X180" i="16"/>
  <c r="X144" i="16"/>
  <c r="X143" i="16"/>
  <c r="X142" i="16"/>
  <c r="X141" i="16"/>
  <c r="X140" i="16"/>
  <c r="X139" i="16"/>
  <c r="X138" i="16"/>
  <c r="X137" i="16"/>
  <c r="X136" i="16"/>
  <c r="X135" i="16"/>
  <c r="X134" i="16"/>
  <c r="X133" i="16"/>
  <c r="X132" i="16"/>
  <c r="X131" i="16"/>
  <c r="X130" i="16"/>
  <c r="X129" i="16"/>
  <c r="X128" i="16"/>
  <c r="X127" i="16"/>
  <c r="X126" i="16"/>
  <c r="X125" i="16"/>
  <c r="X124" i="16"/>
  <c r="X123" i="16"/>
  <c r="X122" i="16"/>
  <c r="X121" i="16"/>
  <c r="X120" i="16"/>
  <c r="X119" i="16"/>
  <c r="X292" i="16"/>
  <c r="X213" i="16"/>
  <c r="X209" i="16"/>
  <c r="X205" i="16"/>
  <c r="X201" i="16"/>
  <c r="X197" i="16"/>
  <c r="X193" i="16"/>
  <c r="X189" i="16"/>
  <c r="X185" i="16"/>
  <c r="X181" i="16"/>
  <c r="V5" i="16"/>
  <c r="Z5" i="16"/>
  <c r="V6" i="16"/>
  <c r="Z6" i="16"/>
  <c r="V7" i="16"/>
  <c r="Z7" i="16"/>
  <c r="V8" i="16"/>
  <c r="Z8" i="16"/>
  <c r="V9" i="16"/>
  <c r="Z9" i="16"/>
  <c r="V10" i="16"/>
  <c r="Z10" i="16"/>
  <c r="V11" i="16"/>
  <c r="Z11" i="16"/>
  <c r="V12" i="16"/>
  <c r="Z12" i="16"/>
  <c r="V13" i="16"/>
  <c r="Z13" i="16"/>
  <c r="V14" i="16"/>
  <c r="Z14" i="16"/>
  <c r="V15" i="16"/>
  <c r="Z15" i="16"/>
  <c r="V16" i="16"/>
  <c r="Z16" i="16"/>
  <c r="V17" i="16"/>
  <c r="Z17" i="16"/>
  <c r="V18" i="16"/>
  <c r="Z18" i="16"/>
  <c r="V19" i="16"/>
  <c r="Z19" i="16"/>
  <c r="V20" i="16"/>
  <c r="Z20" i="16"/>
  <c r="V21" i="16"/>
  <c r="Z21" i="16"/>
  <c r="V22" i="16"/>
  <c r="Z22" i="16"/>
  <c r="V23" i="16"/>
  <c r="Z23" i="16"/>
  <c r="V24" i="16"/>
  <c r="Z24" i="16"/>
  <c r="V25" i="16"/>
  <c r="Z25" i="16"/>
  <c r="V26" i="16"/>
  <c r="Z26" i="16"/>
  <c r="V27" i="16"/>
  <c r="Z27" i="16"/>
  <c r="V28" i="16"/>
  <c r="Z28" i="16"/>
  <c r="V29" i="16"/>
  <c r="Z29" i="16"/>
  <c r="V30" i="16"/>
  <c r="Z30" i="16"/>
  <c r="V31" i="16"/>
  <c r="Z31" i="16"/>
  <c r="V32" i="16"/>
  <c r="Z32" i="16"/>
  <c r="V33" i="16"/>
  <c r="Z33" i="16"/>
  <c r="V34" i="16"/>
  <c r="Z34" i="16"/>
  <c r="V35" i="16"/>
  <c r="Z35" i="16"/>
  <c r="V36" i="16"/>
  <c r="Z36" i="16"/>
  <c r="V37" i="16"/>
  <c r="Z37" i="16"/>
  <c r="V38" i="16"/>
  <c r="Z38" i="16"/>
  <c r="V39" i="16"/>
  <c r="Z39" i="16"/>
  <c r="V40" i="16"/>
  <c r="Z40" i="16"/>
  <c r="V41" i="16"/>
  <c r="Z41" i="16"/>
  <c r="V42" i="16"/>
  <c r="Z42" i="16"/>
  <c r="V43" i="16"/>
  <c r="Z43" i="16"/>
  <c r="V44" i="16"/>
  <c r="Z44" i="16"/>
  <c r="V45" i="16"/>
  <c r="Z45" i="16"/>
  <c r="V46" i="16"/>
  <c r="Z46" i="16"/>
  <c r="V47" i="16"/>
  <c r="Z47" i="16"/>
  <c r="V48" i="16"/>
  <c r="Z48" i="16"/>
  <c r="V49" i="16"/>
  <c r="Z49" i="16"/>
  <c r="V50" i="16"/>
  <c r="Z50" i="16"/>
  <c r="V51" i="16"/>
  <c r="Z51" i="16"/>
  <c r="V52" i="16"/>
  <c r="Z52" i="16"/>
  <c r="V53" i="16"/>
  <c r="Z53" i="16"/>
  <c r="V54" i="16"/>
  <c r="Z54" i="16"/>
  <c r="V55" i="16"/>
  <c r="Z55" i="16"/>
  <c r="V56" i="16"/>
  <c r="Z56" i="16"/>
  <c r="V57" i="16"/>
  <c r="Z57" i="16"/>
  <c r="V58" i="16"/>
  <c r="Z58" i="16"/>
  <c r="V59" i="16"/>
  <c r="Z59" i="16"/>
  <c r="V60" i="16"/>
  <c r="Z60" i="16"/>
  <c r="V61" i="16"/>
  <c r="Z61" i="16"/>
  <c r="V62" i="16"/>
  <c r="Z62" i="16"/>
  <c r="V63" i="16"/>
  <c r="Z63" i="16"/>
  <c r="V64" i="16"/>
  <c r="Z64" i="16"/>
  <c r="V65" i="16"/>
  <c r="Z65" i="16"/>
  <c r="V66" i="16"/>
  <c r="Z66" i="16"/>
  <c r="V67" i="16"/>
  <c r="Z67" i="16"/>
  <c r="V68" i="16"/>
  <c r="Z68" i="16"/>
  <c r="V69" i="16"/>
  <c r="Z69" i="16"/>
  <c r="V70" i="16"/>
  <c r="Z70" i="16"/>
  <c r="V71" i="16"/>
  <c r="Z71" i="16"/>
  <c r="V72" i="16"/>
  <c r="Z72" i="16"/>
  <c r="V73" i="16"/>
  <c r="Z73" i="16"/>
  <c r="V74" i="16"/>
  <c r="Z74" i="16"/>
  <c r="V75" i="16"/>
  <c r="Z75" i="16"/>
  <c r="V76" i="16"/>
  <c r="Z76" i="16"/>
  <c r="V77" i="16"/>
  <c r="Z77" i="16"/>
  <c r="V78" i="16"/>
  <c r="Z78" i="16"/>
  <c r="V79" i="16"/>
  <c r="Z79" i="16"/>
  <c r="V80" i="16"/>
  <c r="Z80" i="16"/>
  <c r="V81" i="16"/>
  <c r="Z81" i="16"/>
  <c r="V82" i="16"/>
  <c r="Z82" i="16"/>
  <c r="V83" i="16"/>
  <c r="Z83" i="16"/>
  <c r="V84" i="16"/>
  <c r="Z84" i="16"/>
  <c r="V85" i="16"/>
  <c r="Z85" i="16"/>
  <c r="V86" i="16"/>
  <c r="Z86" i="16"/>
  <c r="V87" i="16"/>
  <c r="Z87" i="16"/>
  <c r="V88" i="16"/>
  <c r="Z88" i="16"/>
  <c r="V89" i="16"/>
  <c r="Z89" i="16"/>
  <c r="V90" i="16"/>
  <c r="Z90" i="16"/>
  <c r="V91" i="16"/>
  <c r="Z91" i="16"/>
  <c r="V92" i="16"/>
  <c r="Z92" i="16"/>
  <c r="V93" i="16"/>
  <c r="Z93" i="16"/>
  <c r="V94" i="16"/>
  <c r="Z94" i="16"/>
  <c r="V95" i="16"/>
  <c r="Z95" i="16"/>
  <c r="V96" i="16"/>
  <c r="Z96" i="16"/>
  <c r="V97" i="16"/>
  <c r="Z97" i="16"/>
  <c r="V98" i="16"/>
  <c r="Z98" i="16"/>
  <c r="V99" i="16"/>
  <c r="Z99" i="16"/>
  <c r="V100" i="16"/>
  <c r="Z100" i="16"/>
  <c r="V101" i="16"/>
  <c r="Z101" i="16"/>
  <c r="V102" i="16"/>
  <c r="Z102" i="16"/>
  <c r="V103" i="16"/>
  <c r="Z103" i="16"/>
  <c r="V104" i="16"/>
  <c r="Z104" i="16"/>
  <c r="V105" i="16"/>
  <c r="Z105" i="16"/>
  <c r="V106" i="16"/>
  <c r="Z106" i="16"/>
  <c r="V107" i="16"/>
  <c r="Z107" i="16"/>
  <c r="V108" i="16"/>
  <c r="Z108" i="16"/>
  <c r="V109" i="16"/>
  <c r="Z109" i="16"/>
  <c r="V110" i="16"/>
  <c r="Z111" i="16"/>
  <c r="X112" i="16"/>
  <c r="V113" i="16"/>
  <c r="Z115" i="16"/>
  <c r="X116" i="16"/>
  <c r="V117" i="16"/>
  <c r="Y147" i="16"/>
  <c r="Y151" i="16"/>
  <c r="Y155" i="16"/>
  <c r="Y159" i="16"/>
  <c r="Y163" i="16"/>
  <c r="Y167" i="16"/>
  <c r="Y171" i="16"/>
  <c r="Y175" i="16"/>
  <c r="X190" i="16"/>
  <c r="X206" i="16"/>
  <c r="Y222" i="16"/>
  <c r="Y33" i="15"/>
  <c r="V297" i="15"/>
  <c r="V296" i="15"/>
  <c r="V295" i="15"/>
  <c r="V294" i="15"/>
  <c r="V293" i="15"/>
  <c r="V292" i="15"/>
  <c r="V291" i="15"/>
  <c r="V290" i="15"/>
  <c r="V289" i="15"/>
  <c r="V288" i="15"/>
  <c r="V287" i="15"/>
  <c r="V286" i="15"/>
  <c r="V285" i="15"/>
  <c r="V284" i="15"/>
  <c r="V283" i="15"/>
  <c r="V282" i="15"/>
  <c r="V281" i="15"/>
  <c r="V280" i="15"/>
  <c r="V279" i="15"/>
  <c r="V278" i="15"/>
  <c r="V277" i="15"/>
  <c r="V276" i="15"/>
  <c r="V275" i="15"/>
  <c r="V274" i="15"/>
  <c r="V273" i="15"/>
  <c r="V272" i="15"/>
  <c r="V271" i="15"/>
  <c r="V270" i="15"/>
  <c r="V269" i="15"/>
  <c r="V268" i="15"/>
  <c r="V267" i="15"/>
  <c r="V266" i="15"/>
  <c r="V265" i="15"/>
  <c r="V264" i="15"/>
  <c r="V263" i="15"/>
  <c r="V262" i="15"/>
  <c r="V261" i="15"/>
  <c r="V260" i="15"/>
  <c r="V259" i="15"/>
  <c r="V258" i="15"/>
  <c r="V257" i="15"/>
  <c r="V256" i="15"/>
  <c r="V255" i="15"/>
  <c r="V254" i="15"/>
  <c r="V253" i="15"/>
  <c r="V252" i="15"/>
  <c r="V251" i="15"/>
  <c r="V250" i="15"/>
  <c r="V249" i="15"/>
  <c r="V248" i="15"/>
  <c r="V247" i="15"/>
  <c r="V245" i="15"/>
  <c r="V241" i="15"/>
  <c r="V237" i="15"/>
  <c r="V233" i="15"/>
  <c r="V229" i="15"/>
  <c r="V225" i="15"/>
  <c r="V221" i="15"/>
  <c r="V217" i="15"/>
  <c r="V213" i="15"/>
  <c r="V209" i="15"/>
  <c r="V205" i="15"/>
  <c r="V201" i="15"/>
  <c r="V197" i="15"/>
  <c r="V193" i="15"/>
  <c r="V191" i="15"/>
  <c r="V189" i="15"/>
  <c r="V187" i="15"/>
  <c r="V185" i="15"/>
  <c r="V244" i="15"/>
  <c r="V240" i="15"/>
  <c r="V236" i="15"/>
  <c r="V232" i="15"/>
  <c r="V228" i="15"/>
  <c r="V224" i="15"/>
  <c r="V220" i="15"/>
  <c r="V216" i="15"/>
  <c r="V212" i="15"/>
  <c r="V208" i="15"/>
  <c r="V204" i="15"/>
  <c r="V200" i="15"/>
  <c r="V196" i="15"/>
  <c r="V183" i="15"/>
  <c r="V182" i="15"/>
  <c r="V181" i="15"/>
  <c r="V180" i="15"/>
  <c r="V179" i="15"/>
  <c r="V178" i="15"/>
  <c r="V177" i="15"/>
  <c r="V176" i="15"/>
  <c r="V175" i="15"/>
  <c r="V174" i="15"/>
  <c r="V173" i="15"/>
  <c r="V172" i="15"/>
  <c r="V171" i="15"/>
  <c r="V170" i="15"/>
  <c r="V169" i="15"/>
  <c r="V168" i="15"/>
  <c r="V167" i="15"/>
  <c r="V166" i="15"/>
  <c r="V165" i="15"/>
  <c r="V164" i="15"/>
  <c r="V163" i="15"/>
  <c r="V162" i="15"/>
  <c r="V161" i="15"/>
  <c r="V160" i="15"/>
  <c r="V159" i="15"/>
  <c r="V158" i="15"/>
  <c r="V157" i="15"/>
  <c r="V156" i="15"/>
  <c r="V155" i="15"/>
  <c r="V154" i="15"/>
  <c r="V153" i="15"/>
  <c r="V152" i="15"/>
  <c r="V151" i="15"/>
  <c r="V150" i="15"/>
  <c r="V149" i="15"/>
  <c r="V148" i="15"/>
  <c r="V147" i="15"/>
  <c r="V146" i="15"/>
  <c r="V145" i="15"/>
  <c r="V144" i="15"/>
  <c r="V143" i="15"/>
  <c r="V142" i="15"/>
  <c r="V141" i="15"/>
  <c r="V140" i="15"/>
  <c r="V139" i="15"/>
  <c r="V138" i="15"/>
  <c r="V137" i="15"/>
  <c r="V136" i="15"/>
  <c r="V135" i="15"/>
  <c r="V134" i="15"/>
  <c r="V133" i="15"/>
  <c r="V132" i="15"/>
  <c r="V131" i="15"/>
  <c r="V130" i="15"/>
  <c r="V129" i="15"/>
  <c r="V128" i="15"/>
  <c r="V127" i="15"/>
  <c r="V243" i="15"/>
  <c r="V239" i="15"/>
  <c r="V235" i="15"/>
  <c r="V231" i="15"/>
  <c r="V227" i="15"/>
  <c r="V223" i="15"/>
  <c r="V219" i="15"/>
  <c r="V215" i="15"/>
  <c r="V211" i="15"/>
  <c r="V207" i="15"/>
  <c r="V203" i="15"/>
  <c r="V199" i="15"/>
  <c r="V195" i="15"/>
  <c r="V192" i="15"/>
  <c r="V190" i="15"/>
  <c r="V188" i="15"/>
  <c r="V186" i="15"/>
  <c r="V184" i="15"/>
  <c r="V234" i="15"/>
  <c r="V218" i="15"/>
  <c r="V202" i="15"/>
  <c r="V238" i="15"/>
  <c r="V222" i="15"/>
  <c r="V206" i="15"/>
  <c r="V126" i="15"/>
  <c r="V125" i="15"/>
  <c r="V124" i="15"/>
  <c r="V123" i="15"/>
  <c r="V122" i="15"/>
  <c r="V121" i="15"/>
  <c r="V120" i="15"/>
  <c r="V119" i="15"/>
  <c r="V118" i="15"/>
  <c r="V117" i="15"/>
  <c r="V116" i="15"/>
  <c r="V115" i="15"/>
  <c r="V114" i="15"/>
  <c r="V113" i="15"/>
  <c r="V112" i="15"/>
  <c r="V111" i="15"/>
  <c r="V110" i="15"/>
  <c r="V109" i="15"/>
  <c r="V108" i="15"/>
  <c r="V107" i="15"/>
  <c r="V106" i="15"/>
  <c r="V105" i="15"/>
  <c r="V104" i="15"/>
  <c r="V103" i="15"/>
  <c r="V102" i="15"/>
  <c r="V101" i="15"/>
  <c r="V100" i="15"/>
  <c r="V99" i="15"/>
  <c r="V98" i="15"/>
  <c r="V97" i="15"/>
  <c r="V96" i="15"/>
  <c r="V95" i="15"/>
  <c r="V94" i="15"/>
  <c r="V93" i="15"/>
  <c r="V92" i="15"/>
  <c r="V91" i="15"/>
  <c r="V90" i="15"/>
  <c r="V89" i="15"/>
  <c r="V88" i="15"/>
  <c r="V87" i="15"/>
  <c r="V85" i="15"/>
  <c r="V84" i="15"/>
  <c r="V83" i="15"/>
  <c r="V82" i="15"/>
  <c r="V81" i="15"/>
  <c r="V80" i="15"/>
  <c r="V79" i="15"/>
  <c r="V78" i="15"/>
  <c r="V77" i="15"/>
  <c r="V76" i="15"/>
  <c r="V75" i="15"/>
  <c r="V74" i="15"/>
  <c r="V73" i="15"/>
  <c r="V72" i="15"/>
  <c r="V71" i="15"/>
  <c r="V70" i="15"/>
  <c r="V69" i="15"/>
  <c r="V68" i="15"/>
  <c r="V67" i="15"/>
  <c r="V66" i="15"/>
  <c r="V242" i="15"/>
  <c r="V226" i="15"/>
  <c r="V210" i="15"/>
  <c r="V194" i="15"/>
  <c r="W297" i="15"/>
  <c r="W296" i="15"/>
  <c r="W295" i="15"/>
  <c r="W294" i="15"/>
  <c r="W293" i="15"/>
  <c r="W292" i="15"/>
  <c r="W291" i="15"/>
  <c r="W290" i="15"/>
  <c r="W289" i="15"/>
  <c r="W288" i="15"/>
  <c r="W287" i="15"/>
  <c r="W286" i="15"/>
  <c r="W285" i="15"/>
  <c r="W284" i="15"/>
  <c r="W283" i="15"/>
  <c r="W282" i="15"/>
  <c r="W281" i="15"/>
  <c r="W280" i="15"/>
  <c r="W279" i="15"/>
  <c r="W278" i="15"/>
  <c r="W277" i="15"/>
  <c r="W276" i="15"/>
  <c r="W275" i="15"/>
  <c r="W274" i="15"/>
  <c r="W273" i="15"/>
  <c r="W272" i="15"/>
  <c r="W271" i="15"/>
  <c r="W270" i="15"/>
  <c r="W269" i="15"/>
  <c r="W268" i="15"/>
  <c r="W267" i="15"/>
  <c r="W266" i="15"/>
  <c r="W265" i="15"/>
  <c r="W264" i="15"/>
  <c r="W263" i="15"/>
  <c r="W262" i="15"/>
  <c r="W261" i="15"/>
  <c r="W260" i="15"/>
  <c r="W259" i="15"/>
  <c r="W258" i="15"/>
  <c r="W257" i="15"/>
  <c r="W256" i="15"/>
  <c r="W255" i="15"/>
  <c r="W254" i="15"/>
  <c r="W253" i="15"/>
  <c r="W252" i="15"/>
  <c r="W251" i="15"/>
  <c r="W250" i="15"/>
  <c r="W249" i="15"/>
  <c r="W248" i="15"/>
  <c r="W247" i="15"/>
  <c r="W246" i="15"/>
  <c r="W245" i="15"/>
  <c r="W244" i="15"/>
  <c r="W243" i="15"/>
  <c r="W242" i="15"/>
  <c r="W241" i="15"/>
  <c r="W240" i="15"/>
  <c r="W239" i="15"/>
  <c r="W238" i="15"/>
  <c r="W237" i="15"/>
  <c r="W236" i="15"/>
  <c r="W235" i="15"/>
  <c r="W234" i="15"/>
  <c r="W233" i="15"/>
  <c r="W232" i="15"/>
  <c r="W231" i="15"/>
  <c r="W230" i="15"/>
  <c r="W229" i="15"/>
  <c r="W228" i="15"/>
  <c r="W227" i="15"/>
  <c r="W226" i="15"/>
  <c r="W225" i="15"/>
  <c r="W224" i="15"/>
  <c r="W223" i="15"/>
  <c r="W222" i="15"/>
  <c r="W221" i="15"/>
  <c r="W220" i="15"/>
  <c r="W219" i="15"/>
  <c r="W218" i="15"/>
  <c r="W217" i="15"/>
  <c r="W216" i="15"/>
  <c r="W215" i="15"/>
  <c r="W214" i="15"/>
  <c r="W213" i="15"/>
  <c r="W212" i="15"/>
  <c r="W211" i="15"/>
  <c r="W210" i="15"/>
  <c r="W209" i="15"/>
  <c r="W208" i="15"/>
  <c r="W207" i="15"/>
  <c r="W206" i="15"/>
  <c r="W205" i="15"/>
  <c r="W204" i="15"/>
  <c r="W203" i="15"/>
  <c r="W202" i="15"/>
  <c r="W201" i="15"/>
  <c r="W200" i="15"/>
  <c r="W199" i="15"/>
  <c r="W198" i="15"/>
  <c r="W197" i="15"/>
  <c r="W196" i="15"/>
  <c r="W195" i="15"/>
  <c r="W194" i="15"/>
  <c r="W193" i="15"/>
  <c r="W192" i="15"/>
  <c r="W191" i="15"/>
  <c r="W190" i="15"/>
  <c r="W189" i="15"/>
  <c r="W188" i="15"/>
  <c r="W187" i="15"/>
  <c r="W186" i="15"/>
  <c r="W185" i="15"/>
  <c r="W184" i="15"/>
  <c r="W183" i="15"/>
  <c r="W182" i="15"/>
  <c r="W181" i="15"/>
  <c r="W180" i="15"/>
  <c r="W179" i="15"/>
  <c r="W178" i="15"/>
  <c r="W177" i="15"/>
  <c r="W176" i="15"/>
  <c r="W175" i="15"/>
  <c r="W174" i="15"/>
  <c r="W173" i="15"/>
  <c r="W172" i="15"/>
  <c r="W171" i="15"/>
  <c r="W170" i="15"/>
  <c r="W169" i="15"/>
  <c r="W168" i="15"/>
  <c r="W167" i="15"/>
  <c r="W166" i="15"/>
  <c r="W165" i="15"/>
  <c r="W164" i="15"/>
  <c r="W163" i="15"/>
  <c r="W162" i="15"/>
  <c r="W161" i="15"/>
  <c r="W160" i="15"/>
  <c r="W159" i="15"/>
  <c r="W158" i="15"/>
  <c r="W157" i="15"/>
  <c r="W156" i="15"/>
  <c r="W155" i="15"/>
  <c r="W154" i="15"/>
  <c r="W153" i="15"/>
  <c r="W152" i="15"/>
  <c r="W151" i="15"/>
  <c r="W150" i="15"/>
  <c r="W149" i="15"/>
  <c r="W148" i="15"/>
  <c r="W147" i="15"/>
  <c r="W146" i="15"/>
  <c r="W145" i="15"/>
  <c r="W144" i="15"/>
  <c r="W143" i="15"/>
  <c r="W142" i="15"/>
  <c r="W141" i="15"/>
  <c r="W140" i="15"/>
  <c r="W139" i="15"/>
  <c r="W138" i="15"/>
  <c r="W137" i="15"/>
  <c r="W136" i="15"/>
  <c r="W135" i="15"/>
  <c r="W134" i="15"/>
  <c r="W133" i="15"/>
  <c r="W132" i="15"/>
  <c r="W131" i="15"/>
  <c r="W130" i="15"/>
  <c r="W129" i="15"/>
  <c r="W128" i="15"/>
  <c r="W126" i="15"/>
  <c r="W125" i="15"/>
  <c r="W124" i="15"/>
  <c r="W123" i="15"/>
  <c r="W122" i="15"/>
  <c r="W121" i="15"/>
  <c r="W120" i="15"/>
  <c r="W119" i="15"/>
  <c r="W118" i="15"/>
  <c r="W117" i="15"/>
  <c r="W116" i="15"/>
  <c r="W115" i="15"/>
  <c r="W114" i="15"/>
  <c r="W113" i="15"/>
  <c r="W112" i="15"/>
  <c r="W111" i="15"/>
  <c r="W110" i="15"/>
  <c r="W109" i="15"/>
  <c r="W108" i="15"/>
  <c r="W107" i="15"/>
  <c r="W106" i="15"/>
  <c r="W105" i="15"/>
  <c r="W104" i="15"/>
  <c r="W103" i="15"/>
  <c r="W102" i="15"/>
  <c r="W101" i="15"/>
  <c r="W100" i="15"/>
  <c r="W99" i="15"/>
  <c r="W98" i="15"/>
  <c r="W97" i="15"/>
  <c r="W96" i="15"/>
  <c r="W95" i="15"/>
  <c r="W94" i="15"/>
  <c r="W93" i="15"/>
  <c r="W92" i="15"/>
  <c r="W91" i="15"/>
  <c r="W90" i="15"/>
  <c r="W89" i="15"/>
  <c r="W88" i="15"/>
  <c r="W87" i="15"/>
  <c r="W86" i="15"/>
  <c r="W85" i="15"/>
  <c r="W84" i="15"/>
  <c r="W83" i="15"/>
  <c r="W82" i="15"/>
  <c r="W81" i="15"/>
  <c r="W80" i="15"/>
  <c r="W79" i="15"/>
  <c r="W78" i="15"/>
  <c r="W77" i="15"/>
  <c r="W76" i="15"/>
  <c r="W75" i="15"/>
  <c r="W74" i="15"/>
  <c r="W73" i="15"/>
  <c r="W72" i="15"/>
  <c r="W71" i="15"/>
  <c r="W127" i="15"/>
  <c r="Y47" i="15"/>
  <c r="Y48" i="15"/>
  <c r="Y49" i="15"/>
  <c r="Y50" i="15"/>
  <c r="Y51" i="15"/>
  <c r="Y52" i="15"/>
  <c r="Y53" i="15"/>
  <c r="Y54" i="15"/>
  <c r="Y55" i="15"/>
  <c r="Y56" i="15"/>
  <c r="Y57" i="15"/>
  <c r="Y58" i="15"/>
  <c r="Y59" i="15"/>
  <c r="Y60" i="15"/>
  <c r="Y61" i="15"/>
  <c r="Y62" i="15"/>
  <c r="Y63" i="15"/>
  <c r="Y64" i="15"/>
  <c r="Y65" i="15"/>
  <c r="W66" i="15"/>
  <c r="Y67" i="15"/>
  <c r="W68" i="15"/>
  <c r="Y69" i="15"/>
  <c r="W70" i="15"/>
  <c r="M86" i="15"/>
  <c r="Y86" i="15" s="1"/>
  <c r="X94" i="15"/>
  <c r="X98" i="15"/>
  <c r="X102" i="15"/>
  <c r="X106" i="15"/>
  <c r="X110" i="15"/>
  <c r="X114" i="15"/>
  <c r="X118" i="15"/>
  <c r="X122" i="15"/>
  <c r="X126" i="15"/>
  <c r="Y130" i="15"/>
  <c r="Y134" i="15"/>
  <c r="Y138" i="15"/>
  <c r="Y142" i="15"/>
  <c r="Y146" i="15"/>
  <c r="Y150" i="15"/>
  <c r="Y154" i="15"/>
  <c r="Y158" i="15"/>
  <c r="Y162" i="15"/>
  <c r="Y166" i="15"/>
  <c r="X171" i="15"/>
  <c r="X187" i="15"/>
  <c r="V198" i="15"/>
  <c r="Z236" i="15"/>
  <c r="X251" i="15"/>
  <c r="X297" i="15"/>
  <c r="X293" i="15"/>
  <c r="X289" i="15"/>
  <c r="X285" i="15"/>
  <c r="X281" i="15"/>
  <c r="X277" i="15"/>
  <c r="X273" i="15"/>
  <c r="X294" i="15"/>
  <c r="X290" i="15"/>
  <c r="X286" i="15"/>
  <c r="X282" i="15"/>
  <c r="X278" i="15"/>
  <c r="X274" i="15"/>
  <c r="X295" i="15"/>
  <c r="X291" i="15"/>
  <c r="X287" i="15"/>
  <c r="X283" i="15"/>
  <c r="X279" i="15"/>
  <c r="X275" i="15"/>
  <c r="X288" i="15"/>
  <c r="X272" i="15"/>
  <c r="X268" i="15"/>
  <c r="X264" i="15"/>
  <c r="X260" i="15"/>
  <c r="X256" i="15"/>
  <c r="X252" i="15"/>
  <c r="X248" i="15"/>
  <c r="X244" i="15"/>
  <c r="X240" i="15"/>
  <c r="X236" i="15"/>
  <c r="X232" i="15"/>
  <c r="X228" i="15"/>
  <c r="X224" i="15"/>
  <c r="X220" i="15"/>
  <c r="X216" i="15"/>
  <c r="X212" i="15"/>
  <c r="X208" i="15"/>
  <c r="X204" i="15"/>
  <c r="X200" i="15"/>
  <c r="X196" i="15"/>
  <c r="X284" i="15"/>
  <c r="X269" i="15"/>
  <c r="X265" i="15"/>
  <c r="X261" i="15"/>
  <c r="X257" i="15"/>
  <c r="X253" i="15"/>
  <c r="X249" i="15"/>
  <c r="X243" i="15"/>
  <c r="X239" i="15"/>
  <c r="X235" i="15"/>
  <c r="X231" i="15"/>
  <c r="X227" i="15"/>
  <c r="X223" i="15"/>
  <c r="X219" i="15"/>
  <c r="X215" i="15"/>
  <c r="X211" i="15"/>
  <c r="X207" i="15"/>
  <c r="X203" i="15"/>
  <c r="X199" i="15"/>
  <c r="X195" i="15"/>
  <c r="X192" i="15"/>
  <c r="X190" i="15"/>
  <c r="X188" i="15"/>
  <c r="X186" i="15"/>
  <c r="X184" i="15"/>
  <c r="X296" i="15"/>
  <c r="X280" i="15"/>
  <c r="X270" i="15"/>
  <c r="X266" i="15"/>
  <c r="X262" i="15"/>
  <c r="X258" i="15"/>
  <c r="X254" i="15"/>
  <c r="X250" i="15"/>
  <c r="X246" i="15"/>
  <c r="X242" i="15"/>
  <c r="X238" i="15"/>
  <c r="X234" i="15"/>
  <c r="X230" i="15"/>
  <c r="X226" i="15"/>
  <c r="X222" i="15"/>
  <c r="X218" i="15"/>
  <c r="X214" i="15"/>
  <c r="X210" i="15"/>
  <c r="X206" i="15"/>
  <c r="X202" i="15"/>
  <c r="X198" i="15"/>
  <c r="X194" i="15"/>
  <c r="X263" i="15"/>
  <c r="X247" i="15"/>
  <c r="X237" i="15"/>
  <c r="X221" i="15"/>
  <c r="X205" i="15"/>
  <c r="X180" i="15"/>
  <c r="X176" i="15"/>
  <c r="X172" i="15"/>
  <c r="X168" i="15"/>
  <c r="X167" i="15"/>
  <c r="X166" i="15"/>
  <c r="X165" i="15"/>
  <c r="X164" i="15"/>
  <c r="X163" i="15"/>
  <c r="X162" i="15"/>
  <c r="X161" i="15"/>
  <c r="X160" i="15"/>
  <c r="X159" i="15"/>
  <c r="X158" i="15"/>
  <c r="X157" i="15"/>
  <c r="X156" i="15"/>
  <c r="X155" i="15"/>
  <c r="X154" i="15"/>
  <c r="X153" i="15"/>
  <c r="X152" i="15"/>
  <c r="X151" i="15"/>
  <c r="X150" i="15"/>
  <c r="X149" i="15"/>
  <c r="X148" i="15"/>
  <c r="X147" i="15"/>
  <c r="X146" i="15"/>
  <c r="X145" i="15"/>
  <c r="X144" i="15"/>
  <c r="X143" i="15"/>
  <c r="X142" i="15"/>
  <c r="X141" i="15"/>
  <c r="X140" i="15"/>
  <c r="X139" i="15"/>
  <c r="X138" i="15"/>
  <c r="X137" i="15"/>
  <c r="X136" i="15"/>
  <c r="X135" i="15"/>
  <c r="X134" i="15"/>
  <c r="X133" i="15"/>
  <c r="X132" i="15"/>
  <c r="X131" i="15"/>
  <c r="X130" i="15"/>
  <c r="X129" i="15"/>
  <c r="X128" i="15"/>
  <c r="X259" i="15"/>
  <c r="X241" i="15"/>
  <c r="X225" i="15"/>
  <c r="X209" i="15"/>
  <c r="X193" i="15"/>
  <c r="X189" i="15"/>
  <c r="X185" i="15"/>
  <c r="X181" i="15"/>
  <c r="X177" i="15"/>
  <c r="X173" i="15"/>
  <c r="X169" i="15"/>
  <c r="X127" i="15"/>
  <c r="X292" i="15"/>
  <c r="X271" i="15"/>
  <c r="X255" i="15"/>
  <c r="X245" i="15"/>
  <c r="X229" i="15"/>
  <c r="X213" i="15"/>
  <c r="X197" i="15"/>
  <c r="X182" i="15"/>
  <c r="X178" i="15"/>
  <c r="X174" i="15"/>
  <c r="X170" i="15"/>
  <c r="V5" i="15"/>
  <c r="Z5" i="15"/>
  <c r="V6" i="15"/>
  <c r="Z6" i="15"/>
  <c r="V7" i="15"/>
  <c r="Z7" i="15"/>
  <c r="V8" i="15"/>
  <c r="Z8" i="15"/>
  <c r="V9" i="15"/>
  <c r="Z9" i="15"/>
  <c r="V10" i="15"/>
  <c r="Z10" i="15"/>
  <c r="V11" i="15"/>
  <c r="Z11" i="15"/>
  <c r="V12" i="15"/>
  <c r="Z12" i="15"/>
  <c r="V13" i="15"/>
  <c r="Z13" i="15"/>
  <c r="V14" i="15"/>
  <c r="Z14" i="15"/>
  <c r="V15" i="15"/>
  <c r="Z15" i="15"/>
  <c r="V16" i="15"/>
  <c r="Z16" i="15"/>
  <c r="V17" i="15"/>
  <c r="Z17" i="15"/>
  <c r="V18" i="15"/>
  <c r="Z18" i="15"/>
  <c r="V19" i="15"/>
  <c r="Z19" i="15"/>
  <c r="V20" i="15"/>
  <c r="Z20" i="15"/>
  <c r="V21" i="15"/>
  <c r="Z21" i="15"/>
  <c r="V22" i="15"/>
  <c r="Z22" i="15"/>
  <c r="V23" i="15"/>
  <c r="Z23" i="15"/>
  <c r="V24" i="15"/>
  <c r="Z24" i="15"/>
  <c r="V25" i="15"/>
  <c r="Z25" i="15"/>
  <c r="V26" i="15"/>
  <c r="Z26" i="15"/>
  <c r="V27" i="15"/>
  <c r="Z27" i="15"/>
  <c r="V28" i="15"/>
  <c r="Z28" i="15"/>
  <c r="V29" i="15"/>
  <c r="Z29" i="15"/>
  <c r="V30" i="15"/>
  <c r="Z30" i="15"/>
  <c r="V31" i="15"/>
  <c r="Z31" i="15"/>
  <c r="V32" i="15"/>
  <c r="Z32" i="15"/>
  <c r="V33" i="15"/>
  <c r="Z33" i="15"/>
  <c r="V34" i="15"/>
  <c r="Z34" i="15"/>
  <c r="V35" i="15"/>
  <c r="Z35" i="15"/>
  <c r="V36" i="15"/>
  <c r="Z36" i="15"/>
  <c r="V37" i="15"/>
  <c r="Z37" i="15"/>
  <c r="V38" i="15"/>
  <c r="Z38" i="15"/>
  <c r="V39" i="15"/>
  <c r="Z39" i="15"/>
  <c r="V40" i="15"/>
  <c r="Z40" i="15"/>
  <c r="V41" i="15"/>
  <c r="Z41" i="15"/>
  <c r="V42" i="15"/>
  <c r="Z42" i="15"/>
  <c r="V43" i="15"/>
  <c r="Z43" i="15"/>
  <c r="V44" i="15"/>
  <c r="Z44" i="15"/>
  <c r="V45" i="15"/>
  <c r="Z45" i="15"/>
  <c r="V46" i="15"/>
  <c r="Z46" i="15"/>
  <c r="V47" i="15"/>
  <c r="Z47" i="15"/>
  <c r="V48" i="15"/>
  <c r="Z48" i="15"/>
  <c r="V49" i="15"/>
  <c r="Z49" i="15"/>
  <c r="V50" i="15"/>
  <c r="Z50" i="15"/>
  <c r="V51" i="15"/>
  <c r="Z51" i="15"/>
  <c r="V52" i="15"/>
  <c r="Z52" i="15"/>
  <c r="V53" i="15"/>
  <c r="Z53" i="15"/>
  <c r="V54" i="15"/>
  <c r="Z54" i="15"/>
  <c r="V55" i="15"/>
  <c r="Z55" i="15"/>
  <c r="V56" i="15"/>
  <c r="Z56" i="15"/>
  <c r="V57" i="15"/>
  <c r="Z57" i="15"/>
  <c r="V58" i="15"/>
  <c r="Z58" i="15"/>
  <c r="V59" i="15"/>
  <c r="Z59" i="15"/>
  <c r="V60" i="15"/>
  <c r="Z60" i="15"/>
  <c r="V61" i="15"/>
  <c r="Z61" i="15"/>
  <c r="V62" i="15"/>
  <c r="Z62" i="15"/>
  <c r="V63" i="15"/>
  <c r="Z63" i="15"/>
  <c r="V64" i="15"/>
  <c r="Z64" i="15"/>
  <c r="V65" i="15"/>
  <c r="AA65" i="15"/>
  <c r="X66" i="15"/>
  <c r="AA67" i="15"/>
  <c r="X68" i="15"/>
  <c r="X70" i="15"/>
  <c r="X93" i="15"/>
  <c r="X97" i="15"/>
  <c r="X101" i="15"/>
  <c r="X105" i="15"/>
  <c r="X109" i="15"/>
  <c r="X113" i="15"/>
  <c r="X117" i="15"/>
  <c r="X121" i="15"/>
  <c r="X125" i="15"/>
  <c r="Y129" i="15"/>
  <c r="Y133" i="15"/>
  <c r="Y137" i="15"/>
  <c r="Y141" i="15"/>
  <c r="Y145" i="15"/>
  <c r="Y149" i="15"/>
  <c r="Y153" i="15"/>
  <c r="Y157" i="15"/>
  <c r="Y161" i="15"/>
  <c r="X175" i="15"/>
  <c r="X191" i="15"/>
  <c r="X233" i="15"/>
  <c r="V246" i="15"/>
  <c r="X267" i="15"/>
  <c r="Z297" i="15"/>
  <c r="Z296" i="15"/>
  <c r="Z295" i="15"/>
  <c r="Z294" i="15"/>
  <c r="Z293" i="15"/>
  <c r="Z292" i="15"/>
  <c r="Z291" i="15"/>
  <c r="Z290" i="15"/>
  <c r="Z289" i="15"/>
  <c r="Z288" i="15"/>
  <c r="Z287" i="15"/>
  <c r="Z286" i="15"/>
  <c r="Z285" i="15"/>
  <c r="Z284" i="15"/>
  <c r="Z283" i="15"/>
  <c r="Z282" i="15"/>
  <c r="Z281" i="15"/>
  <c r="Z280" i="15"/>
  <c r="Z279" i="15"/>
  <c r="Z278" i="15"/>
  <c r="Z277" i="15"/>
  <c r="Z276" i="15"/>
  <c r="Z275" i="15"/>
  <c r="Z274" i="15"/>
  <c r="Z273" i="15"/>
  <c r="Z272" i="15"/>
  <c r="Z271" i="15"/>
  <c r="Z270" i="15"/>
  <c r="Z269" i="15"/>
  <c r="Z268" i="15"/>
  <c r="Z267" i="15"/>
  <c r="Z266" i="15"/>
  <c r="Z265" i="15"/>
  <c r="Z264" i="15"/>
  <c r="Z263" i="15"/>
  <c r="Z262" i="15"/>
  <c r="Z261" i="15"/>
  <c r="Z260" i="15"/>
  <c r="Z259" i="15"/>
  <c r="Z258" i="15"/>
  <c r="Z257" i="15"/>
  <c r="Z256" i="15"/>
  <c r="Z255" i="15"/>
  <c r="Z254" i="15"/>
  <c r="Z253" i="15"/>
  <c r="Z252" i="15"/>
  <c r="Z251" i="15"/>
  <c r="Z250" i="15"/>
  <c r="Z249" i="15"/>
  <c r="Z248" i="15"/>
  <c r="Z247" i="15"/>
  <c r="Z246" i="15"/>
  <c r="Z243" i="15"/>
  <c r="Z239" i="15"/>
  <c r="Z235" i="15"/>
  <c r="Z231" i="15"/>
  <c r="Z227" i="15"/>
  <c r="Z223" i="15"/>
  <c r="Z219" i="15"/>
  <c r="Z215" i="15"/>
  <c r="Z211" i="15"/>
  <c r="Z207" i="15"/>
  <c r="Z203" i="15"/>
  <c r="Z199" i="15"/>
  <c r="Z195" i="15"/>
  <c r="Z242" i="15"/>
  <c r="Z238" i="15"/>
  <c r="Z234" i="15"/>
  <c r="Z230" i="15"/>
  <c r="Z226" i="15"/>
  <c r="Z222" i="15"/>
  <c r="Z218" i="15"/>
  <c r="Z214" i="15"/>
  <c r="Z210" i="15"/>
  <c r="Z206" i="15"/>
  <c r="Z202" i="15"/>
  <c r="Z198" i="15"/>
  <c r="Z194" i="15"/>
  <c r="Z191" i="15"/>
  <c r="Z189" i="15"/>
  <c r="Z187" i="15"/>
  <c r="Z185" i="15"/>
  <c r="Z183" i="15"/>
  <c r="Z182" i="15"/>
  <c r="Z181" i="15"/>
  <c r="Z180" i="15"/>
  <c r="Z179" i="15"/>
  <c r="Z178" i="15"/>
  <c r="Z177" i="15"/>
  <c r="Z176" i="15"/>
  <c r="Z175" i="15"/>
  <c r="Z174" i="15"/>
  <c r="Z173" i="15"/>
  <c r="Z172" i="15"/>
  <c r="Z171" i="15"/>
  <c r="Z170" i="15"/>
  <c r="Z169" i="15"/>
  <c r="Z168" i="15"/>
  <c r="Z167" i="15"/>
  <c r="Z166" i="15"/>
  <c r="Z165" i="15"/>
  <c r="Z164" i="15"/>
  <c r="Z163" i="15"/>
  <c r="Z162" i="15"/>
  <c r="Z161" i="15"/>
  <c r="Z160" i="15"/>
  <c r="Z159" i="15"/>
  <c r="Z158" i="15"/>
  <c r="Z157" i="15"/>
  <c r="Z156" i="15"/>
  <c r="Z155" i="15"/>
  <c r="Z154" i="15"/>
  <c r="Z153" i="15"/>
  <c r="Z152" i="15"/>
  <c r="Z151" i="15"/>
  <c r="Z150" i="15"/>
  <c r="Z149" i="15"/>
  <c r="Z148" i="15"/>
  <c r="Z147" i="15"/>
  <c r="Z146" i="15"/>
  <c r="Z145" i="15"/>
  <c r="Z144" i="15"/>
  <c r="Z143" i="15"/>
  <c r="Z142" i="15"/>
  <c r="Z141" i="15"/>
  <c r="Z140" i="15"/>
  <c r="Z139" i="15"/>
  <c r="Z138" i="15"/>
  <c r="Z137" i="15"/>
  <c r="Z136" i="15"/>
  <c r="Z135" i="15"/>
  <c r="Z134" i="15"/>
  <c r="Z133" i="15"/>
  <c r="Z132" i="15"/>
  <c r="Z131" i="15"/>
  <c r="Z130" i="15"/>
  <c r="Z129" i="15"/>
  <c r="Z128" i="15"/>
  <c r="Z127" i="15"/>
  <c r="Z126" i="15"/>
  <c r="Z245" i="15"/>
  <c r="Z241" i="15"/>
  <c r="Z237" i="15"/>
  <c r="Z233" i="15"/>
  <c r="Z229" i="15"/>
  <c r="Z225" i="15"/>
  <c r="Z221" i="15"/>
  <c r="Z217" i="15"/>
  <c r="Z213" i="15"/>
  <c r="Z209" i="15"/>
  <c r="Z205" i="15"/>
  <c r="Z201" i="15"/>
  <c r="Z197" i="15"/>
  <c r="Z193" i="15"/>
  <c r="Z240" i="15"/>
  <c r="Z224" i="15"/>
  <c r="Z208" i="15"/>
  <c r="Z192" i="15"/>
  <c r="Z188" i="15"/>
  <c r="Z184" i="15"/>
  <c r="Z244" i="15"/>
  <c r="Z228" i="15"/>
  <c r="Z212" i="15"/>
  <c r="Z196" i="15"/>
  <c r="Z125" i="15"/>
  <c r="Z124" i="15"/>
  <c r="Z123" i="15"/>
  <c r="Z122" i="15"/>
  <c r="Z121" i="15"/>
  <c r="Z120" i="15"/>
  <c r="Z119" i="15"/>
  <c r="Z118" i="15"/>
  <c r="Z117" i="15"/>
  <c r="Z116" i="15"/>
  <c r="Z115" i="15"/>
  <c r="Z114" i="15"/>
  <c r="Z113" i="15"/>
  <c r="Z112" i="15"/>
  <c r="Z111" i="15"/>
  <c r="Z110" i="15"/>
  <c r="Z109" i="15"/>
  <c r="Z108" i="15"/>
  <c r="Z107" i="15"/>
  <c r="Z106" i="15"/>
  <c r="Z105" i="15"/>
  <c r="Z104" i="15"/>
  <c r="Z103" i="15"/>
  <c r="Z102" i="15"/>
  <c r="Z101" i="15"/>
  <c r="Z100" i="15"/>
  <c r="Z99" i="15"/>
  <c r="Z98" i="15"/>
  <c r="Z97" i="15"/>
  <c r="Z96" i="15"/>
  <c r="Z95" i="15"/>
  <c r="Z94" i="15"/>
  <c r="Z93" i="15"/>
  <c r="Z92" i="15"/>
  <c r="Z91" i="15"/>
  <c r="Z90" i="15"/>
  <c r="Z89" i="15"/>
  <c r="Z88" i="15"/>
  <c r="Z87" i="15"/>
  <c r="Z86" i="15"/>
  <c r="Z85" i="15"/>
  <c r="Z84" i="15"/>
  <c r="Z83" i="15"/>
  <c r="Z82" i="15"/>
  <c r="Z81" i="15"/>
  <c r="Z80" i="15"/>
  <c r="Z79" i="15"/>
  <c r="Z78" i="15"/>
  <c r="Z77" i="15"/>
  <c r="Z76" i="15"/>
  <c r="Z75" i="15"/>
  <c r="Z74" i="15"/>
  <c r="Z73" i="15"/>
  <c r="Z72" i="15"/>
  <c r="Z71" i="15"/>
  <c r="Z70" i="15"/>
  <c r="Z69" i="15"/>
  <c r="Z68" i="15"/>
  <c r="Z67" i="15"/>
  <c r="Z66" i="15"/>
  <c r="Z65" i="15"/>
  <c r="Z232" i="15"/>
  <c r="Z216" i="15"/>
  <c r="Z200" i="15"/>
  <c r="Z190" i="15"/>
  <c r="Z186" i="15"/>
  <c r="V214" i="15"/>
  <c r="AA297" i="15"/>
  <c r="AA296" i="15"/>
  <c r="AA295" i="15"/>
  <c r="AA294" i="15"/>
  <c r="AA293" i="15"/>
  <c r="AA292" i="15"/>
  <c r="AA291" i="15"/>
  <c r="AA290" i="15"/>
  <c r="AA289" i="15"/>
  <c r="AA288" i="15"/>
  <c r="AA287" i="15"/>
  <c r="AA286" i="15"/>
  <c r="AA285" i="15"/>
  <c r="AA284" i="15"/>
  <c r="AA283" i="15"/>
  <c r="AA282" i="15"/>
  <c r="AA281" i="15"/>
  <c r="AA280" i="15"/>
  <c r="AA279" i="15"/>
  <c r="AA278" i="15"/>
  <c r="AA277" i="15"/>
  <c r="AA276" i="15"/>
  <c r="AA275" i="15"/>
  <c r="AA274" i="15"/>
  <c r="AA273" i="15"/>
  <c r="AA272" i="15"/>
  <c r="AA271" i="15"/>
  <c r="AA270" i="15"/>
  <c r="AA269" i="15"/>
  <c r="AA268" i="15"/>
  <c r="AA267" i="15"/>
  <c r="AA266" i="15"/>
  <c r="AA265" i="15"/>
  <c r="AA264" i="15"/>
  <c r="AA263" i="15"/>
  <c r="AA262" i="15"/>
  <c r="AA261" i="15"/>
  <c r="AA260" i="15"/>
  <c r="AA259" i="15"/>
  <c r="AA258" i="15"/>
  <c r="AA257" i="15"/>
  <c r="AA256" i="15"/>
  <c r="AA255" i="15"/>
  <c r="AA254" i="15"/>
  <c r="AA253" i="15"/>
  <c r="AA252" i="15"/>
  <c r="AA251" i="15"/>
  <c r="AA250" i="15"/>
  <c r="AA249" i="15"/>
  <c r="AA248" i="15"/>
  <c r="AA247" i="15"/>
  <c r="AA246" i="15"/>
  <c r="AA245" i="15"/>
  <c r="AA244" i="15"/>
  <c r="AA243" i="15"/>
  <c r="AA242" i="15"/>
  <c r="AA241" i="15"/>
  <c r="AA240" i="15"/>
  <c r="AA239" i="15"/>
  <c r="AA238" i="15"/>
  <c r="AA237" i="15"/>
  <c r="AA236" i="15"/>
  <c r="AA235" i="15"/>
  <c r="AA234" i="15"/>
  <c r="AA233" i="15"/>
  <c r="AA232" i="15"/>
  <c r="AA231" i="15"/>
  <c r="AA230" i="15"/>
  <c r="AA229" i="15"/>
  <c r="AA228" i="15"/>
  <c r="AA227" i="15"/>
  <c r="AA226" i="15"/>
  <c r="AA225" i="15"/>
  <c r="AA224" i="15"/>
  <c r="AA223" i="15"/>
  <c r="AA222" i="15"/>
  <c r="AA221" i="15"/>
  <c r="AA220" i="15"/>
  <c r="AA219" i="15"/>
  <c r="AA218" i="15"/>
  <c r="AA217" i="15"/>
  <c r="AA216" i="15"/>
  <c r="AA215" i="15"/>
  <c r="AA214" i="15"/>
  <c r="AA213" i="15"/>
  <c r="AA212" i="15"/>
  <c r="AA211" i="15"/>
  <c r="AA210" i="15"/>
  <c r="AA209" i="15"/>
  <c r="AA208" i="15"/>
  <c r="AA207" i="15"/>
  <c r="AA206" i="15"/>
  <c r="AA205" i="15"/>
  <c r="AA204" i="15"/>
  <c r="AA203" i="15"/>
  <c r="AA202" i="15"/>
  <c r="AA201" i="15"/>
  <c r="AA200" i="15"/>
  <c r="AA199" i="15"/>
  <c r="AA198" i="15"/>
  <c r="AA197" i="15"/>
  <c r="AA196" i="15"/>
  <c r="AA195" i="15"/>
  <c r="AA194" i="15"/>
  <c r="AA193" i="15"/>
  <c r="AA192" i="15"/>
  <c r="AA191" i="15"/>
  <c r="AA190" i="15"/>
  <c r="AA189" i="15"/>
  <c r="AA188" i="15"/>
  <c r="AA187" i="15"/>
  <c r="AA186" i="15"/>
  <c r="AA185" i="15"/>
  <c r="AA184" i="15"/>
  <c r="AA183" i="15"/>
  <c r="AA182" i="15"/>
  <c r="AA181" i="15"/>
  <c r="AA180" i="15"/>
  <c r="AA179" i="15"/>
  <c r="AA178" i="15"/>
  <c r="AA177" i="15"/>
  <c r="AA176" i="15"/>
  <c r="AA175" i="15"/>
  <c r="AA174" i="15"/>
  <c r="AA173" i="15"/>
  <c r="AA172" i="15"/>
  <c r="AA171" i="15"/>
  <c r="AA170" i="15"/>
  <c r="AA169" i="15"/>
  <c r="AA168" i="15"/>
  <c r="AA167" i="15"/>
  <c r="AA166" i="15"/>
  <c r="AA165" i="15"/>
  <c r="AA164" i="15"/>
  <c r="AA163" i="15"/>
  <c r="AA162" i="15"/>
  <c r="AA161" i="15"/>
  <c r="AA160" i="15"/>
  <c r="AA159" i="15"/>
  <c r="AA158" i="15"/>
  <c r="AA157" i="15"/>
  <c r="AA156" i="15"/>
  <c r="AA155" i="15"/>
  <c r="AA154" i="15"/>
  <c r="AA153" i="15"/>
  <c r="AA152" i="15"/>
  <c r="AA151" i="15"/>
  <c r="AA150" i="15"/>
  <c r="AA149" i="15"/>
  <c r="AA148" i="15"/>
  <c r="AA147" i="15"/>
  <c r="AA146" i="15"/>
  <c r="AA145" i="15"/>
  <c r="AA144" i="15"/>
  <c r="AA143" i="15"/>
  <c r="AA142" i="15"/>
  <c r="AA141" i="15"/>
  <c r="AA140" i="15"/>
  <c r="AA139" i="15"/>
  <c r="AA138" i="15"/>
  <c r="AA137" i="15"/>
  <c r="AA136" i="15"/>
  <c r="AA135" i="15"/>
  <c r="AA134" i="15"/>
  <c r="AA133" i="15"/>
  <c r="AA132" i="15"/>
  <c r="AA131" i="15"/>
  <c r="AA130" i="15"/>
  <c r="AA129" i="15"/>
  <c r="AA128" i="15"/>
  <c r="AA125" i="15"/>
  <c r="AA124" i="15"/>
  <c r="AA123" i="15"/>
  <c r="AA122" i="15"/>
  <c r="AA121" i="15"/>
  <c r="AA120" i="15"/>
  <c r="AA119" i="15"/>
  <c r="AA118" i="15"/>
  <c r="AA117" i="15"/>
  <c r="AA116" i="15"/>
  <c r="AA115" i="15"/>
  <c r="AA114" i="15"/>
  <c r="AA113" i="15"/>
  <c r="AA112" i="15"/>
  <c r="AA111" i="15"/>
  <c r="AA110" i="15"/>
  <c r="AA109" i="15"/>
  <c r="AA108" i="15"/>
  <c r="AA107" i="15"/>
  <c r="AA106" i="15"/>
  <c r="AA105" i="15"/>
  <c r="AA104" i="15"/>
  <c r="AA103" i="15"/>
  <c r="AA102" i="15"/>
  <c r="AA101" i="15"/>
  <c r="AA100" i="15"/>
  <c r="AA99" i="15"/>
  <c r="AA98" i="15"/>
  <c r="AA97" i="15"/>
  <c r="AA96" i="15"/>
  <c r="AA95" i="15"/>
  <c r="AA94" i="15"/>
  <c r="AA93" i="15"/>
  <c r="AA92" i="15"/>
  <c r="AA91" i="15"/>
  <c r="AA90" i="15"/>
  <c r="AA89" i="15"/>
  <c r="AA88" i="15"/>
  <c r="AA87" i="15"/>
  <c r="AA86" i="15"/>
  <c r="AA85" i="15"/>
  <c r="AA84" i="15"/>
  <c r="AA83" i="15"/>
  <c r="AA82" i="15"/>
  <c r="AA81" i="15"/>
  <c r="AA80" i="15"/>
  <c r="AA79" i="15"/>
  <c r="AA78" i="15"/>
  <c r="AA77" i="15"/>
  <c r="AA76" i="15"/>
  <c r="AA75" i="15"/>
  <c r="AA74" i="15"/>
  <c r="AA73" i="15"/>
  <c r="AA72" i="15"/>
  <c r="AA71" i="15"/>
  <c r="AA126" i="15"/>
  <c r="Y297" i="15"/>
  <c r="Y296" i="15"/>
  <c r="Y295" i="15"/>
  <c r="Y294" i="15"/>
  <c r="Y293" i="15"/>
  <c r="Y292" i="15"/>
  <c r="Y291" i="15"/>
  <c r="Y290" i="15"/>
  <c r="Y289" i="15"/>
  <c r="Y288" i="15"/>
  <c r="Y287" i="15"/>
  <c r="Y286" i="15"/>
  <c r="Y285" i="15"/>
  <c r="Y284" i="15"/>
  <c r="Y283" i="15"/>
  <c r="Y282" i="15"/>
  <c r="Y281" i="15"/>
  <c r="Y280" i="15"/>
  <c r="Y279" i="15"/>
  <c r="Y278" i="15"/>
  <c r="Y277" i="15"/>
  <c r="Y276" i="15"/>
  <c r="Y275" i="15"/>
  <c r="Y274" i="15"/>
  <c r="Y273" i="15"/>
  <c r="Y272" i="15"/>
  <c r="Y271" i="15"/>
  <c r="Y270" i="15"/>
  <c r="Y269" i="15"/>
  <c r="Y268" i="15"/>
  <c r="Y267" i="15"/>
  <c r="Y266" i="15"/>
  <c r="Y265" i="15"/>
  <c r="Y264" i="15"/>
  <c r="Y263" i="15"/>
  <c r="Y262" i="15"/>
  <c r="Y261" i="15"/>
  <c r="Y260" i="15"/>
  <c r="Y259" i="15"/>
  <c r="Y258" i="15"/>
  <c r="Y257" i="15"/>
  <c r="Y256" i="15"/>
  <c r="Y255" i="15"/>
  <c r="Y254" i="15"/>
  <c r="Y253" i="15"/>
  <c r="Y252" i="15"/>
  <c r="Y251" i="15"/>
  <c r="Y250" i="15"/>
  <c r="Y249" i="15"/>
  <c r="Y248" i="15"/>
  <c r="Y247" i="15"/>
  <c r="Y246" i="15"/>
  <c r="Y245" i="15"/>
  <c r="Y244" i="15"/>
  <c r="Y243" i="15"/>
  <c r="Y242" i="15"/>
  <c r="Y241" i="15"/>
  <c r="Y240" i="15"/>
  <c r="Y239" i="15"/>
  <c r="Y238" i="15"/>
  <c r="Y237" i="15"/>
  <c r="Y236" i="15"/>
  <c r="Y235" i="15"/>
  <c r="Y234" i="15"/>
  <c r="Y233" i="15"/>
  <c r="Y232" i="15"/>
  <c r="Y231" i="15"/>
  <c r="Y230" i="15"/>
  <c r="Y229" i="15"/>
  <c r="Y228" i="15"/>
  <c r="Y227" i="15"/>
  <c r="Y226" i="15"/>
  <c r="Y225" i="15"/>
  <c r="Y224" i="15"/>
  <c r="Y223" i="15"/>
  <c r="Y222" i="15"/>
  <c r="Y221" i="15"/>
  <c r="Y220" i="15"/>
  <c r="Y219" i="15"/>
  <c r="Y218" i="15"/>
  <c r="Y217" i="15"/>
  <c r="Y216" i="15"/>
  <c r="Y215" i="15"/>
  <c r="Y214" i="15"/>
  <c r="Y213" i="15"/>
  <c r="Y212" i="15"/>
  <c r="Y211" i="15"/>
  <c r="Y210" i="15"/>
  <c r="Y209" i="15"/>
  <c r="Y208" i="15"/>
  <c r="Y207" i="15"/>
  <c r="Y206" i="15"/>
  <c r="Y205" i="15"/>
  <c r="Y204" i="15"/>
  <c r="Y203" i="15"/>
  <c r="Y202" i="15"/>
  <c r="Y201" i="15"/>
  <c r="Y200" i="15"/>
  <c r="Y199" i="15"/>
  <c r="Y198" i="15"/>
  <c r="Y197" i="15"/>
  <c r="Y196" i="15"/>
  <c r="Y195" i="15"/>
  <c r="Y194" i="15"/>
  <c r="Y193" i="15"/>
  <c r="Y192" i="15"/>
  <c r="Y190" i="15"/>
  <c r="Y188" i="15"/>
  <c r="Y186" i="15"/>
  <c r="Y184" i="15"/>
  <c r="Y191" i="15"/>
  <c r="Y189" i="15"/>
  <c r="Y187" i="15"/>
  <c r="Y185" i="15"/>
  <c r="Y183" i="15"/>
  <c r="Y182" i="15"/>
  <c r="Y181" i="15"/>
  <c r="Y180" i="15"/>
  <c r="Y179" i="15"/>
  <c r="Y178" i="15"/>
  <c r="Y177" i="15"/>
  <c r="Y176" i="15"/>
  <c r="Y175" i="15"/>
  <c r="Y174" i="15"/>
  <c r="Y173" i="15"/>
  <c r="Y172" i="15"/>
  <c r="Y171" i="15"/>
  <c r="Y170" i="15"/>
  <c r="Y169" i="15"/>
  <c r="Y168" i="15"/>
  <c r="Y127" i="15"/>
  <c r="Y126" i="15"/>
  <c r="Y125" i="15"/>
  <c r="Y124" i="15"/>
  <c r="Y123" i="15"/>
  <c r="Y122" i="15"/>
  <c r="Y121" i="15"/>
  <c r="Y120" i="15"/>
  <c r="Y119" i="15"/>
  <c r="Y118" i="15"/>
  <c r="Y117" i="15"/>
  <c r="Y116" i="15"/>
  <c r="Y115" i="15"/>
  <c r="Y114" i="15"/>
  <c r="Y113" i="15"/>
  <c r="Y112" i="15"/>
  <c r="Y111" i="15"/>
  <c r="Y110" i="15"/>
  <c r="Y109" i="15"/>
  <c r="Y108" i="15"/>
  <c r="Y107" i="15"/>
  <c r="Y106" i="15"/>
  <c r="Y105" i="15"/>
  <c r="Y104" i="15"/>
  <c r="Y103" i="15"/>
  <c r="Y102" i="15"/>
  <c r="Y101" i="15"/>
  <c r="Y100" i="15"/>
  <c r="Y99" i="15"/>
  <c r="Y98" i="15"/>
  <c r="Y97" i="15"/>
  <c r="Y96" i="15"/>
  <c r="Y95" i="15"/>
  <c r="Y94" i="15"/>
  <c r="Y93" i="15"/>
  <c r="Y92" i="15"/>
  <c r="W5" i="15"/>
  <c r="AA5" i="15"/>
  <c r="W6" i="15"/>
  <c r="AA6" i="15"/>
  <c r="W7" i="15"/>
  <c r="AA7" i="15"/>
  <c r="W8" i="15"/>
  <c r="AA8" i="15"/>
  <c r="W9" i="15"/>
  <c r="AA9" i="15"/>
  <c r="W10" i="15"/>
  <c r="AA10" i="15"/>
  <c r="W11" i="15"/>
  <c r="AA11" i="15"/>
  <c r="W12" i="15"/>
  <c r="AA12" i="15"/>
  <c r="W13" i="15"/>
  <c r="AA13" i="15"/>
  <c r="W14" i="15"/>
  <c r="AA14" i="15"/>
  <c r="W15" i="15"/>
  <c r="AA15" i="15"/>
  <c r="W16" i="15"/>
  <c r="AA16" i="15"/>
  <c r="W17" i="15"/>
  <c r="AA17" i="15"/>
  <c r="W18" i="15"/>
  <c r="AA18" i="15"/>
  <c r="W19" i="15"/>
  <c r="AA19" i="15"/>
  <c r="W20" i="15"/>
  <c r="AA20" i="15"/>
  <c r="W21" i="15"/>
  <c r="AA21" i="15"/>
  <c r="W22" i="15"/>
  <c r="AA22" i="15"/>
  <c r="W23" i="15"/>
  <c r="AA23" i="15"/>
  <c r="W24" i="15"/>
  <c r="AA24" i="15"/>
  <c r="W25" i="15"/>
  <c r="AA25" i="15"/>
  <c r="W26" i="15"/>
  <c r="AA26" i="15"/>
  <c r="W27" i="15"/>
  <c r="AA27" i="15"/>
  <c r="W28" i="15"/>
  <c r="AA28" i="15"/>
  <c r="W29" i="15"/>
  <c r="AA29" i="15"/>
  <c r="W30" i="15"/>
  <c r="AA30" i="15"/>
  <c r="W31" i="15"/>
  <c r="AA31" i="15"/>
  <c r="W32" i="15"/>
  <c r="AA32" i="15"/>
  <c r="W33" i="15"/>
  <c r="AA33" i="15"/>
  <c r="W34" i="15"/>
  <c r="AA34" i="15"/>
  <c r="W35" i="15"/>
  <c r="AA35" i="15"/>
  <c r="W36" i="15"/>
  <c r="AA36" i="15"/>
  <c r="W37" i="15"/>
  <c r="AA37" i="15"/>
  <c r="W38" i="15"/>
  <c r="AA38" i="15"/>
  <c r="W39" i="15"/>
  <c r="AA39" i="15"/>
  <c r="W40" i="15"/>
  <c r="AA40" i="15"/>
  <c r="W41" i="15"/>
  <c r="AA41" i="15"/>
  <c r="W42" i="15"/>
  <c r="AA42" i="15"/>
  <c r="W43" i="15"/>
  <c r="AA43" i="15"/>
  <c r="W44" i="15"/>
  <c r="AA44" i="15"/>
  <c r="W45" i="15"/>
  <c r="AA45" i="15"/>
  <c r="W46" i="15"/>
  <c r="AA46" i="15"/>
  <c r="W47" i="15"/>
  <c r="AA47" i="15"/>
  <c r="W48" i="15"/>
  <c r="AA48" i="15"/>
  <c r="W49" i="15"/>
  <c r="AA49" i="15"/>
  <c r="W50" i="15"/>
  <c r="AA50" i="15"/>
  <c r="W51" i="15"/>
  <c r="AA51" i="15"/>
  <c r="W52" i="15"/>
  <c r="AA52" i="15"/>
  <c r="W53" i="15"/>
  <c r="AA53" i="15"/>
  <c r="W54" i="15"/>
  <c r="AA54" i="15"/>
  <c r="W55" i="15"/>
  <c r="AA55" i="15"/>
  <c r="W56" i="15"/>
  <c r="AA56" i="15"/>
  <c r="W57" i="15"/>
  <c r="AA57" i="15"/>
  <c r="W58" i="15"/>
  <c r="AA58" i="15"/>
  <c r="W59" i="15"/>
  <c r="AA59" i="15"/>
  <c r="W60" i="15"/>
  <c r="AA60" i="15"/>
  <c r="W61" i="15"/>
  <c r="AA61" i="15"/>
  <c r="W62" i="15"/>
  <c r="AA62" i="15"/>
  <c r="W63" i="15"/>
  <c r="AA63" i="15"/>
  <c r="W64" i="15"/>
  <c r="AA64" i="15"/>
  <c r="W65" i="15"/>
  <c r="Y66" i="15"/>
  <c r="W67" i="15"/>
  <c r="Y68" i="15"/>
  <c r="W69" i="15"/>
  <c r="Y70" i="15"/>
  <c r="X71" i="15"/>
  <c r="X72" i="15"/>
  <c r="X73" i="15"/>
  <c r="X74" i="15"/>
  <c r="X75" i="15"/>
  <c r="X76" i="15"/>
  <c r="X77" i="15"/>
  <c r="X78" i="15"/>
  <c r="X79" i="15"/>
  <c r="X80" i="15"/>
  <c r="X81" i="15"/>
  <c r="X82" i="15"/>
  <c r="X83" i="15"/>
  <c r="X84" i="15"/>
  <c r="X85" i="15"/>
  <c r="X86" i="15"/>
  <c r="X87" i="15"/>
  <c r="X88" i="15"/>
  <c r="X89" i="15"/>
  <c r="X90" i="15"/>
  <c r="X91" i="15"/>
  <c r="X92" i="15"/>
  <c r="X96" i="15"/>
  <c r="X100" i="15"/>
  <c r="X104" i="15"/>
  <c r="X108" i="15"/>
  <c r="X112" i="15"/>
  <c r="X116" i="15"/>
  <c r="X120" i="15"/>
  <c r="X124" i="15"/>
  <c r="Y128" i="15"/>
  <c r="Y132" i="15"/>
  <c r="Y136" i="15"/>
  <c r="Y140" i="15"/>
  <c r="Y144" i="15"/>
  <c r="Y148" i="15"/>
  <c r="Y152" i="15"/>
  <c r="Y156" i="15"/>
  <c r="Y160" i="15"/>
  <c r="Y164" i="15"/>
  <c r="X179" i="15"/>
  <c r="Z204" i="15"/>
  <c r="X217" i="15"/>
  <c r="V230" i="15"/>
  <c r="Y296" i="14"/>
  <c r="Y292" i="14"/>
  <c r="Y297" i="14"/>
  <c r="Y293" i="14"/>
  <c r="Y289" i="14"/>
  <c r="Y285" i="14"/>
  <c r="Y281" i="14"/>
  <c r="Y277" i="14"/>
  <c r="Y273" i="14"/>
  <c r="Y269" i="14"/>
  <c r="Y265" i="14"/>
  <c r="Y261" i="14"/>
  <c r="Y257" i="14"/>
  <c r="Y253" i="14"/>
  <c r="Y249" i="14"/>
  <c r="Y245" i="14"/>
  <c r="Y241" i="14"/>
  <c r="Y295" i="14"/>
  <c r="Y294" i="14"/>
  <c r="Y291" i="14"/>
  <c r="Y290" i="14"/>
  <c r="Y282" i="14"/>
  <c r="Y274" i="14"/>
  <c r="Y266" i="14"/>
  <c r="Y258" i="14"/>
  <c r="Y250" i="14"/>
  <c r="Y242" i="14"/>
  <c r="Y240" i="14"/>
  <c r="Y236" i="14"/>
  <c r="Y232" i="14"/>
  <c r="Y287" i="14"/>
  <c r="Y284" i="14"/>
  <c r="Y279" i="14"/>
  <c r="Y276" i="14"/>
  <c r="Y271" i="14"/>
  <c r="Y268" i="14"/>
  <c r="Y263" i="14"/>
  <c r="Y260" i="14"/>
  <c r="Y255" i="14"/>
  <c r="Y252" i="14"/>
  <c r="Y247" i="14"/>
  <c r="Y244" i="14"/>
  <c r="Y237" i="14"/>
  <c r="Y233" i="14"/>
  <c r="Y286" i="14"/>
  <c r="Y278" i="14"/>
  <c r="Y270" i="14"/>
  <c r="Y262" i="14"/>
  <c r="Y254" i="14"/>
  <c r="Y246" i="14"/>
  <c r="Y238" i="14"/>
  <c r="Y229" i="14"/>
  <c r="Y225" i="14"/>
  <c r="Y221" i="14"/>
  <c r="Y217" i="14"/>
  <c r="Y213" i="14"/>
  <c r="Y209" i="14"/>
  <c r="Y205" i="14"/>
  <c r="Y201" i="14"/>
  <c r="Y197" i="14"/>
  <c r="Y193" i="14"/>
  <c r="Y189" i="14"/>
  <c r="Y185" i="14"/>
  <c r="Y181" i="14"/>
  <c r="Y177" i="14"/>
  <c r="Y173" i="14"/>
  <c r="Y169" i="14"/>
  <c r="Y283" i="14"/>
  <c r="Y275" i="14"/>
  <c r="Y267" i="14"/>
  <c r="Y259" i="14"/>
  <c r="Y251" i="14"/>
  <c r="Y243" i="14"/>
  <c r="Y226" i="14"/>
  <c r="Y222" i="14"/>
  <c r="Y218" i="14"/>
  <c r="Y214" i="14"/>
  <c r="Y210" i="14"/>
  <c r="Y206" i="14"/>
  <c r="Y202" i="14"/>
  <c r="Y198" i="14"/>
  <c r="Y194" i="14"/>
  <c r="Y190" i="14"/>
  <c r="Y186" i="14"/>
  <c r="Y182" i="14"/>
  <c r="Y178" i="14"/>
  <c r="Y174" i="14"/>
  <c r="Y170" i="14"/>
  <c r="Y239" i="14"/>
  <c r="Y235" i="14"/>
  <c r="Y234" i="14"/>
  <c r="Y231" i="14"/>
  <c r="Y230" i="14"/>
  <c r="Y227" i="14"/>
  <c r="Y223" i="14"/>
  <c r="Y219" i="14"/>
  <c r="Y215" i="14"/>
  <c r="Y211" i="14"/>
  <c r="Y207" i="14"/>
  <c r="Y203" i="14"/>
  <c r="Y199" i="14"/>
  <c r="Y195" i="14"/>
  <c r="Y191" i="14"/>
  <c r="Y187" i="14"/>
  <c r="Y183" i="14"/>
  <c r="Y179" i="14"/>
  <c r="Y288" i="14"/>
  <c r="Y280" i="14"/>
  <c r="Y272" i="14"/>
  <c r="Y264" i="14"/>
  <c r="Y256" i="14"/>
  <c r="Y248" i="14"/>
  <c r="Y228" i="14"/>
  <c r="Y220" i="14"/>
  <c r="Y212" i="14"/>
  <c r="Y204" i="14"/>
  <c r="Y196" i="14"/>
  <c r="Y188" i="14"/>
  <c r="Y180" i="14"/>
  <c r="Y166" i="14"/>
  <c r="Y162" i="14"/>
  <c r="Y158" i="14"/>
  <c r="Y154" i="14"/>
  <c r="Y150" i="14"/>
  <c r="Y146" i="14"/>
  <c r="Y142" i="14"/>
  <c r="Y138" i="14"/>
  <c r="Y134" i="14"/>
  <c r="Y130" i="14"/>
  <c r="Y126" i="14"/>
  <c r="Y122" i="14"/>
  <c r="Y118" i="14"/>
  <c r="Y114" i="14"/>
  <c r="Y110" i="14"/>
  <c r="Y106" i="14"/>
  <c r="Y102" i="14"/>
  <c r="Y98" i="14"/>
  <c r="Y176" i="14"/>
  <c r="Y175" i="14"/>
  <c r="Y172" i="14"/>
  <c r="Y171" i="14"/>
  <c r="Y167" i="14"/>
  <c r="Y163" i="14"/>
  <c r="Y159" i="14"/>
  <c r="Y155" i="14"/>
  <c r="Y151" i="14"/>
  <c r="Y147" i="14"/>
  <c r="Y143" i="14"/>
  <c r="Y139" i="14"/>
  <c r="Y135" i="14"/>
  <c r="Y131" i="14"/>
  <c r="Y127" i="14"/>
  <c r="Y123" i="14"/>
  <c r="Y119" i="14"/>
  <c r="Y115" i="14"/>
  <c r="Y111" i="14"/>
  <c r="Y107" i="14"/>
  <c r="Y103" i="14"/>
  <c r="Y99" i="14"/>
  <c r="Y95" i="14"/>
  <c r="Y91" i="14"/>
  <c r="Y87" i="14"/>
  <c r="Y224" i="14"/>
  <c r="Y216" i="14"/>
  <c r="Y208" i="14"/>
  <c r="Y200" i="14"/>
  <c r="Y192" i="14"/>
  <c r="Y184" i="14"/>
  <c r="Y168" i="14"/>
  <c r="Y164" i="14"/>
  <c r="Y160" i="14"/>
  <c r="Y156" i="14"/>
  <c r="Y152" i="14"/>
  <c r="Y148" i="14"/>
  <c r="Y144" i="14"/>
  <c r="Y140" i="14"/>
  <c r="Y136" i="14"/>
  <c r="Y132" i="14"/>
  <c r="Y128" i="14"/>
  <c r="Y124" i="14"/>
  <c r="Y120" i="14"/>
  <c r="Y116" i="14"/>
  <c r="Y112" i="14"/>
  <c r="Y108" i="14"/>
  <c r="Y104" i="14"/>
  <c r="Y100" i="14"/>
  <c r="Y96" i="14"/>
  <c r="Y92" i="14"/>
  <c r="Y88" i="14"/>
  <c r="Y165" i="14"/>
  <c r="Y157" i="14"/>
  <c r="Y149" i="14"/>
  <c r="Y141" i="14"/>
  <c r="Y133" i="14"/>
  <c r="Y125" i="14"/>
  <c r="Y117" i="14"/>
  <c r="Y109" i="14"/>
  <c r="Y101" i="14"/>
  <c r="Y84" i="14"/>
  <c r="Y80" i="14"/>
  <c r="Y76" i="14"/>
  <c r="Y72" i="14"/>
  <c r="Y68" i="14"/>
  <c r="Y64" i="14"/>
  <c r="Y60" i="14"/>
  <c r="Y56" i="14"/>
  <c r="Y52" i="14"/>
  <c r="Y48" i="14"/>
  <c r="Y44" i="14"/>
  <c r="Y40" i="14"/>
  <c r="Y36" i="14"/>
  <c r="Y32" i="14"/>
  <c r="Y28" i="14"/>
  <c r="Y24" i="14"/>
  <c r="Y20" i="14"/>
  <c r="Y16" i="14"/>
  <c r="Y12" i="14"/>
  <c r="Y8" i="14"/>
  <c r="Y79" i="14"/>
  <c r="Y94" i="14"/>
  <c r="Y93" i="14"/>
  <c r="Y90" i="14"/>
  <c r="Y89" i="14"/>
  <c r="Y85" i="14"/>
  <c r="Y81" i="14"/>
  <c r="Y77" i="14"/>
  <c r="Y73" i="14"/>
  <c r="Y69" i="14"/>
  <c r="Y65" i="14"/>
  <c r="Y61" i="14"/>
  <c r="Y57" i="14"/>
  <c r="Y53" i="14"/>
  <c r="Y49" i="14"/>
  <c r="Y45" i="14"/>
  <c r="Y41" i="14"/>
  <c r="Y37" i="14"/>
  <c r="Y33" i="14"/>
  <c r="Y29" i="14"/>
  <c r="Y25" i="14"/>
  <c r="Y21" i="14"/>
  <c r="Y17" i="14"/>
  <c r="Y13" i="14"/>
  <c r="Y9" i="14"/>
  <c r="Y5" i="14"/>
  <c r="Y83" i="14"/>
  <c r="Y161" i="14"/>
  <c r="Y153" i="14"/>
  <c r="Y145" i="14"/>
  <c r="Y137" i="14"/>
  <c r="Y129" i="14"/>
  <c r="Y121" i="14"/>
  <c r="Y113" i="14"/>
  <c r="Y105" i="14"/>
  <c r="Y97" i="14"/>
  <c r="Y86" i="14"/>
  <c r="Y82" i="14"/>
  <c r="Y78" i="14"/>
  <c r="Y74" i="14"/>
  <c r="Y70" i="14"/>
  <c r="Y66" i="14"/>
  <c r="Y62" i="14"/>
  <c r="Y58" i="14"/>
  <c r="Y54" i="14"/>
  <c r="Y50" i="14"/>
  <c r="Y46" i="14"/>
  <c r="Y42" i="14"/>
  <c r="Y38" i="14"/>
  <c r="Y34" i="14"/>
  <c r="Y30" i="14"/>
  <c r="Y26" i="14"/>
  <c r="Y22" i="14"/>
  <c r="Y18" i="14"/>
  <c r="Y14" i="14"/>
  <c r="Y10" i="14"/>
  <c r="Y6" i="14"/>
  <c r="U11" i="14"/>
  <c r="U19" i="14"/>
  <c r="U27" i="14"/>
  <c r="U35" i="14"/>
  <c r="U43" i="14"/>
  <c r="U51" i="14"/>
  <c r="U59" i="14"/>
  <c r="U67" i="14"/>
  <c r="U296" i="14"/>
  <c r="U292" i="14"/>
  <c r="U297" i="14"/>
  <c r="U293" i="14"/>
  <c r="U289" i="14"/>
  <c r="U285" i="14"/>
  <c r="U281" i="14"/>
  <c r="U277" i="14"/>
  <c r="U273" i="14"/>
  <c r="U269" i="14"/>
  <c r="U265" i="14"/>
  <c r="U261" i="14"/>
  <c r="U257" i="14"/>
  <c r="U253" i="14"/>
  <c r="U249" i="14"/>
  <c r="U245" i="14"/>
  <c r="U287" i="14"/>
  <c r="U284" i="14"/>
  <c r="U279" i="14"/>
  <c r="U276" i="14"/>
  <c r="U271" i="14"/>
  <c r="U268" i="14"/>
  <c r="U263" i="14"/>
  <c r="U260" i="14"/>
  <c r="U255" i="14"/>
  <c r="U252" i="14"/>
  <c r="U247" i="14"/>
  <c r="U244" i="14"/>
  <c r="U240" i="14"/>
  <c r="U236" i="14"/>
  <c r="U232" i="14"/>
  <c r="U286" i="14"/>
  <c r="U278" i="14"/>
  <c r="U270" i="14"/>
  <c r="U262" i="14"/>
  <c r="U254" i="14"/>
  <c r="U246" i="14"/>
  <c r="U241" i="14"/>
  <c r="U237" i="14"/>
  <c r="U233" i="14"/>
  <c r="U295" i="14"/>
  <c r="U294" i="14"/>
  <c r="U291" i="14"/>
  <c r="U288" i="14"/>
  <c r="U283" i="14"/>
  <c r="U280" i="14"/>
  <c r="U275" i="14"/>
  <c r="U272" i="14"/>
  <c r="U267" i="14"/>
  <c r="U264" i="14"/>
  <c r="U259" i="14"/>
  <c r="U256" i="14"/>
  <c r="U251" i="14"/>
  <c r="U248" i="14"/>
  <c r="U243" i="14"/>
  <c r="U238" i="14"/>
  <c r="U235" i="14"/>
  <c r="U234" i="14"/>
  <c r="U231" i="14"/>
  <c r="U229" i="14"/>
  <c r="U225" i="14"/>
  <c r="U221" i="14"/>
  <c r="U217" i="14"/>
  <c r="U213" i="14"/>
  <c r="U209" i="14"/>
  <c r="U205" i="14"/>
  <c r="U201" i="14"/>
  <c r="U197" i="14"/>
  <c r="U193" i="14"/>
  <c r="U189" i="14"/>
  <c r="U185" i="14"/>
  <c r="U181" i="14"/>
  <c r="U177" i="14"/>
  <c r="U173" i="14"/>
  <c r="U169" i="14"/>
  <c r="U230" i="14"/>
  <c r="U226" i="14"/>
  <c r="U222" i="14"/>
  <c r="U218" i="14"/>
  <c r="U214" i="14"/>
  <c r="U210" i="14"/>
  <c r="U206" i="14"/>
  <c r="U202" i="14"/>
  <c r="U198" i="14"/>
  <c r="U194" i="14"/>
  <c r="U190" i="14"/>
  <c r="U186" i="14"/>
  <c r="U182" i="14"/>
  <c r="U178" i="14"/>
  <c r="U174" i="14"/>
  <c r="U170" i="14"/>
  <c r="U227" i="14"/>
  <c r="U223" i="14"/>
  <c r="U219" i="14"/>
  <c r="U215" i="14"/>
  <c r="U211" i="14"/>
  <c r="U207" i="14"/>
  <c r="U203" i="14"/>
  <c r="U199" i="14"/>
  <c r="U195" i="14"/>
  <c r="U191" i="14"/>
  <c r="U187" i="14"/>
  <c r="U183" i="14"/>
  <c r="U179" i="14"/>
  <c r="U166" i="14"/>
  <c r="U162" i="14"/>
  <c r="U158" i="14"/>
  <c r="U154" i="14"/>
  <c r="U150" i="14"/>
  <c r="U146" i="14"/>
  <c r="U142" i="14"/>
  <c r="U138" i="14"/>
  <c r="U134" i="14"/>
  <c r="U130" i="14"/>
  <c r="U126" i="14"/>
  <c r="U122" i="14"/>
  <c r="U118" i="14"/>
  <c r="U114" i="14"/>
  <c r="U110" i="14"/>
  <c r="U106" i="14"/>
  <c r="U102" i="14"/>
  <c r="U98" i="14"/>
  <c r="U290" i="14"/>
  <c r="U282" i="14"/>
  <c r="U274" i="14"/>
  <c r="U266" i="14"/>
  <c r="U258" i="14"/>
  <c r="U250" i="14"/>
  <c r="U242" i="14"/>
  <c r="U228" i="14"/>
  <c r="U220" i="14"/>
  <c r="U212" i="14"/>
  <c r="U204" i="14"/>
  <c r="U196" i="14"/>
  <c r="U188" i="14"/>
  <c r="U180" i="14"/>
  <c r="U167" i="14"/>
  <c r="U163" i="14"/>
  <c r="U159" i="14"/>
  <c r="U155" i="14"/>
  <c r="U151" i="14"/>
  <c r="U147" i="14"/>
  <c r="U143" i="14"/>
  <c r="U139" i="14"/>
  <c r="U135" i="14"/>
  <c r="U131" i="14"/>
  <c r="U127" i="14"/>
  <c r="U123" i="14"/>
  <c r="U119" i="14"/>
  <c r="U115" i="14"/>
  <c r="U111" i="14"/>
  <c r="U107" i="14"/>
  <c r="U103" i="14"/>
  <c r="U99" i="14"/>
  <c r="U95" i="14"/>
  <c r="U91" i="14"/>
  <c r="U239" i="14"/>
  <c r="U168" i="14"/>
  <c r="U164" i="14"/>
  <c r="U160" i="14"/>
  <c r="U156" i="14"/>
  <c r="U152" i="14"/>
  <c r="U148" i="14"/>
  <c r="U144" i="14"/>
  <c r="U140" i="14"/>
  <c r="U136" i="14"/>
  <c r="U132" i="14"/>
  <c r="U128" i="14"/>
  <c r="U124" i="14"/>
  <c r="U120" i="14"/>
  <c r="U116" i="14"/>
  <c r="U112" i="14"/>
  <c r="U108" i="14"/>
  <c r="U104" i="14"/>
  <c r="U100" i="14"/>
  <c r="U96" i="14"/>
  <c r="U92" i="14"/>
  <c r="U88" i="14"/>
  <c r="U176" i="14"/>
  <c r="U171" i="14"/>
  <c r="U84" i="14"/>
  <c r="U80" i="14"/>
  <c r="U76" i="14"/>
  <c r="U72" i="14"/>
  <c r="U68" i="14"/>
  <c r="U64" i="14"/>
  <c r="U60" i="14"/>
  <c r="U56" i="14"/>
  <c r="U52" i="14"/>
  <c r="U48" i="14"/>
  <c r="U44" i="14"/>
  <c r="U40" i="14"/>
  <c r="U36" i="14"/>
  <c r="U32" i="14"/>
  <c r="U28" i="14"/>
  <c r="U24" i="14"/>
  <c r="U20" i="14"/>
  <c r="U16" i="14"/>
  <c r="U12" i="14"/>
  <c r="U8" i="14"/>
  <c r="U153" i="14"/>
  <c r="U137" i="14"/>
  <c r="U113" i="14"/>
  <c r="U83" i="14"/>
  <c r="U224" i="14"/>
  <c r="U216" i="14"/>
  <c r="U208" i="14"/>
  <c r="U200" i="14"/>
  <c r="U192" i="14"/>
  <c r="U184" i="14"/>
  <c r="U165" i="14"/>
  <c r="U157" i="14"/>
  <c r="U149" i="14"/>
  <c r="U141" i="14"/>
  <c r="U133" i="14"/>
  <c r="U125" i="14"/>
  <c r="U117" i="14"/>
  <c r="U109" i="14"/>
  <c r="U101" i="14"/>
  <c r="U85" i="14"/>
  <c r="U81" i="14"/>
  <c r="U77" i="14"/>
  <c r="U73" i="14"/>
  <c r="U69" i="14"/>
  <c r="U65" i="14"/>
  <c r="U61" i="14"/>
  <c r="U57" i="14"/>
  <c r="U53" i="14"/>
  <c r="U49" i="14"/>
  <c r="U45" i="14"/>
  <c r="U41" i="14"/>
  <c r="U37" i="14"/>
  <c r="U33" i="14"/>
  <c r="U29" i="14"/>
  <c r="U25" i="14"/>
  <c r="U21" i="14"/>
  <c r="U17" i="14"/>
  <c r="U13" i="14"/>
  <c r="U9" i="14"/>
  <c r="U5" i="14"/>
  <c r="U161" i="14"/>
  <c r="U145" i="14"/>
  <c r="U129" i="14"/>
  <c r="U121" i="14"/>
  <c r="U105" i="14"/>
  <c r="U97" i="14"/>
  <c r="U93" i="14"/>
  <c r="U89" i="14"/>
  <c r="U87" i="14"/>
  <c r="U79" i="14"/>
  <c r="U175" i="14"/>
  <c r="U172" i="14"/>
  <c r="U86" i="14"/>
  <c r="U82" i="14"/>
  <c r="U78" i="14"/>
  <c r="U74" i="14"/>
  <c r="U70" i="14"/>
  <c r="U66" i="14"/>
  <c r="U62" i="14"/>
  <c r="U58" i="14"/>
  <c r="U54" i="14"/>
  <c r="U50" i="14"/>
  <c r="U46" i="14"/>
  <c r="U42" i="14"/>
  <c r="U38" i="14"/>
  <c r="U34" i="14"/>
  <c r="U30" i="14"/>
  <c r="U26" i="14"/>
  <c r="U22" i="14"/>
  <c r="U18" i="14"/>
  <c r="U14" i="14"/>
  <c r="U10" i="14"/>
  <c r="U6" i="14"/>
  <c r="U94" i="14"/>
  <c r="U90" i="14"/>
  <c r="Y11" i="14"/>
  <c r="Y19" i="14"/>
  <c r="Y27" i="14"/>
  <c r="Y35" i="14"/>
  <c r="Y43" i="14"/>
  <c r="Y51" i="14"/>
  <c r="Y59" i="14"/>
  <c r="Y67" i="14"/>
  <c r="Y75" i="14"/>
  <c r="U15" i="14"/>
  <c r="U23" i="14"/>
  <c r="U31" i="14"/>
  <c r="U39" i="14"/>
  <c r="U47" i="14"/>
  <c r="U55" i="14"/>
  <c r="U63" i="14"/>
  <c r="U71" i="14"/>
  <c r="Z297" i="14"/>
  <c r="Z293" i="14"/>
  <c r="Z294" i="14"/>
  <c r="Z290" i="14"/>
  <c r="Z286" i="14"/>
  <c r="Z282" i="14"/>
  <c r="Z278" i="14"/>
  <c r="Z274" i="14"/>
  <c r="Z270" i="14"/>
  <c r="Z266" i="14"/>
  <c r="Z262" i="14"/>
  <c r="Z258" i="14"/>
  <c r="Z254" i="14"/>
  <c r="Z250" i="14"/>
  <c r="Z246" i="14"/>
  <c r="Z242" i="14"/>
  <c r="Z287" i="14"/>
  <c r="Z284" i="14"/>
  <c r="Z279" i="14"/>
  <c r="Z276" i="14"/>
  <c r="Z271" i="14"/>
  <c r="Z268" i="14"/>
  <c r="Z263" i="14"/>
  <c r="Z260" i="14"/>
  <c r="Z255" i="14"/>
  <c r="Z252" i="14"/>
  <c r="Z247" i="14"/>
  <c r="Z244" i="14"/>
  <c r="Z237" i="14"/>
  <c r="Z233" i="14"/>
  <c r="Z289" i="14"/>
  <c r="Z281" i="14"/>
  <c r="Z273" i="14"/>
  <c r="Z265" i="14"/>
  <c r="Z257" i="14"/>
  <c r="Z249" i="14"/>
  <c r="Z241" i="14"/>
  <c r="Z238" i="14"/>
  <c r="Z234" i="14"/>
  <c r="Z230" i="14"/>
  <c r="Z288" i="14"/>
  <c r="Z283" i="14"/>
  <c r="Z280" i="14"/>
  <c r="Z275" i="14"/>
  <c r="Z272" i="14"/>
  <c r="Z267" i="14"/>
  <c r="Z264" i="14"/>
  <c r="Z259" i="14"/>
  <c r="Z256" i="14"/>
  <c r="Z251" i="14"/>
  <c r="Z248" i="14"/>
  <c r="Z243" i="14"/>
  <c r="Z239" i="14"/>
  <c r="Z226" i="14"/>
  <c r="Z222" i="14"/>
  <c r="Z218" i="14"/>
  <c r="Z214" i="14"/>
  <c r="Z210" i="14"/>
  <c r="Z206" i="14"/>
  <c r="Z202" i="14"/>
  <c r="Z198" i="14"/>
  <c r="Z194" i="14"/>
  <c r="Z190" i="14"/>
  <c r="Z186" i="14"/>
  <c r="Z182" i="14"/>
  <c r="Z178" i="14"/>
  <c r="Z174" i="14"/>
  <c r="Z170" i="14"/>
  <c r="Z296" i="14"/>
  <c r="Z291" i="14"/>
  <c r="Z285" i="14"/>
  <c r="Z277" i="14"/>
  <c r="Z269" i="14"/>
  <c r="Z261" i="14"/>
  <c r="Z253" i="14"/>
  <c r="Z245" i="14"/>
  <c r="Z236" i="14"/>
  <c r="Z235" i="14"/>
  <c r="Z232" i="14"/>
  <c r="Z231" i="14"/>
  <c r="Z227" i="14"/>
  <c r="Z223" i="14"/>
  <c r="Z219" i="14"/>
  <c r="Z215" i="14"/>
  <c r="Z211" i="14"/>
  <c r="Z207" i="14"/>
  <c r="Z203" i="14"/>
  <c r="Z199" i="14"/>
  <c r="Z195" i="14"/>
  <c r="Z191" i="14"/>
  <c r="Z187" i="14"/>
  <c r="Z183" i="14"/>
  <c r="Z179" i="14"/>
  <c r="Z175" i="14"/>
  <c r="Z171" i="14"/>
  <c r="Z228" i="14"/>
  <c r="Z224" i="14"/>
  <c r="Z220" i="14"/>
  <c r="Z216" i="14"/>
  <c r="Z212" i="14"/>
  <c r="Z208" i="14"/>
  <c r="Z204" i="14"/>
  <c r="Z200" i="14"/>
  <c r="Z196" i="14"/>
  <c r="Z192" i="14"/>
  <c r="Z188" i="14"/>
  <c r="Z184" i="14"/>
  <c r="Z180" i="14"/>
  <c r="Z240" i="14"/>
  <c r="Z177" i="14"/>
  <c r="Z176" i="14"/>
  <c r="Z173" i="14"/>
  <c r="Z172" i="14"/>
  <c r="Z169" i="14"/>
  <c r="Z167" i="14"/>
  <c r="Z163" i="14"/>
  <c r="Z159" i="14"/>
  <c r="Z155" i="14"/>
  <c r="Z151" i="14"/>
  <c r="Z147" i="14"/>
  <c r="Z143" i="14"/>
  <c r="Z139" i="14"/>
  <c r="Z135" i="14"/>
  <c r="Z131" i="14"/>
  <c r="Z127" i="14"/>
  <c r="Z123" i="14"/>
  <c r="Z119" i="14"/>
  <c r="Z115" i="14"/>
  <c r="Z111" i="14"/>
  <c r="Z107" i="14"/>
  <c r="Z103" i="14"/>
  <c r="Z99" i="14"/>
  <c r="Z229" i="14"/>
  <c r="Z221" i="14"/>
  <c r="Z213" i="14"/>
  <c r="Z205" i="14"/>
  <c r="Z197" i="14"/>
  <c r="Z189" i="14"/>
  <c r="Z181" i="14"/>
  <c r="Z168" i="14"/>
  <c r="Z164" i="14"/>
  <c r="Z160" i="14"/>
  <c r="Z156" i="14"/>
  <c r="Z152" i="14"/>
  <c r="Z148" i="14"/>
  <c r="Z144" i="14"/>
  <c r="Z140" i="14"/>
  <c r="Z136" i="14"/>
  <c r="Z132" i="14"/>
  <c r="Z128" i="14"/>
  <c r="Z124" i="14"/>
  <c r="Z120" i="14"/>
  <c r="Z116" i="14"/>
  <c r="Z112" i="14"/>
  <c r="Z108" i="14"/>
  <c r="Z104" i="14"/>
  <c r="Z100" i="14"/>
  <c r="Z96" i="14"/>
  <c r="Z92" i="14"/>
  <c r="Z88" i="14"/>
  <c r="Z295" i="14"/>
  <c r="Z292" i="14"/>
  <c r="Z165" i="14"/>
  <c r="Z161" i="14"/>
  <c r="Z157" i="14"/>
  <c r="Z153" i="14"/>
  <c r="Z149" i="14"/>
  <c r="Z145" i="14"/>
  <c r="Z141" i="14"/>
  <c r="Z137" i="14"/>
  <c r="Z133" i="14"/>
  <c r="Z129" i="14"/>
  <c r="Z125" i="14"/>
  <c r="Z121" i="14"/>
  <c r="Z117" i="14"/>
  <c r="Z113" i="14"/>
  <c r="Z109" i="14"/>
  <c r="Z105" i="14"/>
  <c r="Z101" i="14"/>
  <c r="Z97" i="14"/>
  <c r="Z93" i="14"/>
  <c r="Z89" i="14"/>
  <c r="X5" i="14"/>
  <c r="V7" i="14"/>
  <c r="Z7" i="14"/>
  <c r="W8" i="14"/>
  <c r="X9" i="14"/>
  <c r="V11" i="14"/>
  <c r="Z11" i="14"/>
  <c r="W12" i="14"/>
  <c r="X13" i="14"/>
  <c r="V15" i="14"/>
  <c r="Z15" i="14"/>
  <c r="W16" i="14"/>
  <c r="X17" i="14"/>
  <c r="V19" i="14"/>
  <c r="Z19" i="14"/>
  <c r="W20" i="14"/>
  <c r="X21" i="14"/>
  <c r="V23" i="14"/>
  <c r="Z23" i="14"/>
  <c r="W24" i="14"/>
  <c r="X25" i="14"/>
  <c r="V27" i="14"/>
  <c r="Z27" i="14"/>
  <c r="W28" i="14"/>
  <c r="X29" i="14"/>
  <c r="V31" i="14"/>
  <c r="Z31" i="14"/>
  <c r="W32" i="14"/>
  <c r="X33" i="14"/>
  <c r="V35" i="14"/>
  <c r="Z35" i="14"/>
  <c r="W36" i="14"/>
  <c r="X37" i="14"/>
  <c r="V39" i="14"/>
  <c r="Z39" i="14"/>
  <c r="W40" i="14"/>
  <c r="X41" i="14"/>
  <c r="V43" i="14"/>
  <c r="Z43" i="14"/>
  <c r="W44" i="14"/>
  <c r="X45" i="14"/>
  <c r="V47" i="14"/>
  <c r="Z47" i="14"/>
  <c r="W48" i="14"/>
  <c r="X49" i="14"/>
  <c r="V51" i="14"/>
  <c r="Z51" i="14"/>
  <c r="W52" i="14"/>
  <c r="X53" i="14"/>
  <c r="V55" i="14"/>
  <c r="Z55" i="14"/>
  <c r="W56" i="14"/>
  <c r="X57" i="14"/>
  <c r="V59" i="14"/>
  <c r="Z59" i="14"/>
  <c r="W60" i="14"/>
  <c r="X61" i="14"/>
  <c r="V63" i="14"/>
  <c r="Z63" i="14"/>
  <c r="W64" i="14"/>
  <c r="X65" i="14"/>
  <c r="V67" i="14"/>
  <c r="Z67" i="14"/>
  <c r="W68" i="14"/>
  <c r="X69" i="14"/>
  <c r="V71" i="14"/>
  <c r="Z71" i="14"/>
  <c r="W72" i="14"/>
  <c r="X73" i="14"/>
  <c r="V75" i="14"/>
  <c r="Z75" i="14"/>
  <c r="W76" i="14"/>
  <c r="X77" i="14"/>
  <c r="V79" i="14"/>
  <c r="Z79" i="14"/>
  <c r="W80" i="14"/>
  <c r="X81" i="14"/>
  <c r="V83" i="14"/>
  <c r="Z83" i="14"/>
  <c r="W84" i="14"/>
  <c r="X85" i="14"/>
  <c r="V87" i="14"/>
  <c r="W88" i="14"/>
  <c r="X89" i="14"/>
  <c r="V90" i="14"/>
  <c r="V91" i="14"/>
  <c r="W92" i="14"/>
  <c r="X93" i="14"/>
  <c r="V94" i="14"/>
  <c r="V95" i="14"/>
  <c r="V102" i="14"/>
  <c r="V110" i="14"/>
  <c r="V118" i="14"/>
  <c r="V126" i="14"/>
  <c r="V134" i="14"/>
  <c r="V142" i="14"/>
  <c r="V150" i="14"/>
  <c r="V158" i="14"/>
  <c r="X234" i="14"/>
  <c r="X262" i="14"/>
  <c r="V297" i="14"/>
  <c r="V293" i="14"/>
  <c r="V294" i="14"/>
  <c r="V290" i="14"/>
  <c r="V286" i="14"/>
  <c r="V282" i="14"/>
  <c r="V278" i="14"/>
  <c r="V274" i="14"/>
  <c r="V270" i="14"/>
  <c r="V266" i="14"/>
  <c r="V262" i="14"/>
  <c r="V258" i="14"/>
  <c r="V254" i="14"/>
  <c r="V250" i="14"/>
  <c r="V246" i="14"/>
  <c r="V242" i="14"/>
  <c r="V289" i="14"/>
  <c r="V281" i="14"/>
  <c r="V273" i="14"/>
  <c r="V265" i="14"/>
  <c r="V257" i="14"/>
  <c r="V249" i="14"/>
  <c r="V241" i="14"/>
  <c r="V237" i="14"/>
  <c r="V233" i="14"/>
  <c r="V296" i="14"/>
  <c r="V295" i="14"/>
  <c r="V292" i="14"/>
  <c r="V291" i="14"/>
  <c r="V288" i="14"/>
  <c r="V283" i="14"/>
  <c r="V280" i="14"/>
  <c r="V275" i="14"/>
  <c r="V272" i="14"/>
  <c r="V267" i="14"/>
  <c r="V264" i="14"/>
  <c r="V259" i="14"/>
  <c r="V256" i="14"/>
  <c r="V251" i="14"/>
  <c r="V248" i="14"/>
  <c r="V243" i="14"/>
  <c r="V238" i="14"/>
  <c r="V234" i="14"/>
  <c r="V285" i="14"/>
  <c r="V277" i="14"/>
  <c r="V269" i="14"/>
  <c r="V261" i="14"/>
  <c r="V253" i="14"/>
  <c r="V245" i="14"/>
  <c r="V239" i="14"/>
  <c r="V240" i="14"/>
  <c r="V230" i="14"/>
  <c r="V226" i="14"/>
  <c r="V222" i="14"/>
  <c r="V218" i="14"/>
  <c r="V214" i="14"/>
  <c r="V210" i="14"/>
  <c r="V206" i="14"/>
  <c r="V202" i="14"/>
  <c r="V198" i="14"/>
  <c r="V194" i="14"/>
  <c r="V190" i="14"/>
  <c r="V186" i="14"/>
  <c r="V182" i="14"/>
  <c r="V178" i="14"/>
  <c r="V174" i="14"/>
  <c r="V170" i="14"/>
  <c r="V287" i="14"/>
  <c r="V279" i="14"/>
  <c r="V271" i="14"/>
  <c r="V263" i="14"/>
  <c r="V255" i="14"/>
  <c r="V247" i="14"/>
  <c r="V227" i="14"/>
  <c r="V223" i="14"/>
  <c r="V219" i="14"/>
  <c r="V215" i="14"/>
  <c r="V211" i="14"/>
  <c r="V207" i="14"/>
  <c r="V203" i="14"/>
  <c r="V199" i="14"/>
  <c r="V195" i="14"/>
  <c r="V191" i="14"/>
  <c r="V187" i="14"/>
  <c r="V183" i="14"/>
  <c r="V179" i="14"/>
  <c r="V175" i="14"/>
  <c r="V171" i="14"/>
  <c r="V228" i="14"/>
  <c r="V224" i="14"/>
  <c r="V220" i="14"/>
  <c r="V216" i="14"/>
  <c r="V212" i="14"/>
  <c r="V208" i="14"/>
  <c r="V204" i="14"/>
  <c r="V200" i="14"/>
  <c r="V196" i="14"/>
  <c r="V192" i="14"/>
  <c r="V188" i="14"/>
  <c r="V184" i="14"/>
  <c r="V180" i="14"/>
  <c r="V225" i="14"/>
  <c r="V217" i="14"/>
  <c r="V209" i="14"/>
  <c r="V201" i="14"/>
  <c r="V193" i="14"/>
  <c r="V185" i="14"/>
  <c r="V167" i="14"/>
  <c r="V163" i="14"/>
  <c r="V159" i="14"/>
  <c r="V155" i="14"/>
  <c r="V151" i="14"/>
  <c r="V147" i="14"/>
  <c r="V143" i="14"/>
  <c r="V139" i="14"/>
  <c r="V135" i="14"/>
  <c r="V131" i="14"/>
  <c r="V127" i="14"/>
  <c r="V123" i="14"/>
  <c r="V119" i="14"/>
  <c r="V115" i="14"/>
  <c r="V111" i="14"/>
  <c r="V107" i="14"/>
  <c r="V103" i="14"/>
  <c r="V99" i="14"/>
  <c r="V235" i="14"/>
  <c r="V231" i="14"/>
  <c r="V168" i="14"/>
  <c r="V164" i="14"/>
  <c r="V160" i="14"/>
  <c r="V156" i="14"/>
  <c r="V152" i="14"/>
  <c r="V148" i="14"/>
  <c r="V144" i="14"/>
  <c r="V140" i="14"/>
  <c r="V136" i="14"/>
  <c r="V132" i="14"/>
  <c r="V128" i="14"/>
  <c r="V124" i="14"/>
  <c r="V120" i="14"/>
  <c r="V116" i="14"/>
  <c r="V112" i="14"/>
  <c r="V108" i="14"/>
  <c r="V104" i="14"/>
  <c r="V100" i="14"/>
  <c r="V96" i="14"/>
  <c r="V92" i="14"/>
  <c r="V88" i="14"/>
  <c r="V284" i="14"/>
  <c r="V276" i="14"/>
  <c r="V268" i="14"/>
  <c r="V260" i="14"/>
  <c r="V252" i="14"/>
  <c r="V244" i="14"/>
  <c r="V229" i="14"/>
  <c r="V221" i="14"/>
  <c r="V213" i="14"/>
  <c r="V205" i="14"/>
  <c r="V197" i="14"/>
  <c r="V189" i="14"/>
  <c r="V181" i="14"/>
  <c r="V177" i="14"/>
  <c r="V176" i="14"/>
  <c r="V173" i="14"/>
  <c r="V172" i="14"/>
  <c r="V165" i="14"/>
  <c r="V161" i="14"/>
  <c r="V157" i="14"/>
  <c r="V153" i="14"/>
  <c r="V149" i="14"/>
  <c r="V145" i="14"/>
  <c r="V141" i="14"/>
  <c r="V137" i="14"/>
  <c r="V133" i="14"/>
  <c r="V129" i="14"/>
  <c r="V125" i="14"/>
  <c r="V121" i="14"/>
  <c r="V117" i="14"/>
  <c r="V113" i="14"/>
  <c r="V109" i="14"/>
  <c r="V105" i="14"/>
  <c r="V101" i="14"/>
  <c r="V97" i="14"/>
  <c r="V93" i="14"/>
  <c r="V89" i="14"/>
  <c r="W294" i="14"/>
  <c r="W295" i="14"/>
  <c r="W291" i="14"/>
  <c r="W287" i="14"/>
  <c r="W283" i="14"/>
  <c r="W279" i="14"/>
  <c r="W275" i="14"/>
  <c r="W271" i="14"/>
  <c r="W267" i="14"/>
  <c r="W263" i="14"/>
  <c r="W259" i="14"/>
  <c r="W255" i="14"/>
  <c r="W251" i="14"/>
  <c r="W247" i="14"/>
  <c r="W243" i="14"/>
  <c r="W296" i="14"/>
  <c r="W292" i="14"/>
  <c r="W288" i="14"/>
  <c r="W286" i="14"/>
  <c r="W280" i="14"/>
  <c r="W278" i="14"/>
  <c r="W272" i="14"/>
  <c r="W270" i="14"/>
  <c r="W264" i="14"/>
  <c r="W262" i="14"/>
  <c r="W256" i="14"/>
  <c r="W254" i="14"/>
  <c r="W248" i="14"/>
  <c r="W246" i="14"/>
  <c r="W238" i="14"/>
  <c r="W234" i="14"/>
  <c r="W230" i="14"/>
  <c r="W297" i="14"/>
  <c r="W293" i="14"/>
  <c r="W285" i="14"/>
  <c r="W277" i="14"/>
  <c r="W269" i="14"/>
  <c r="W261" i="14"/>
  <c r="W253" i="14"/>
  <c r="W245" i="14"/>
  <c r="W239" i="14"/>
  <c r="W235" i="14"/>
  <c r="W231" i="14"/>
  <c r="W290" i="14"/>
  <c r="W284" i="14"/>
  <c r="W282" i="14"/>
  <c r="W276" i="14"/>
  <c r="W274" i="14"/>
  <c r="W268" i="14"/>
  <c r="W266" i="14"/>
  <c r="W260" i="14"/>
  <c r="W258" i="14"/>
  <c r="W252" i="14"/>
  <c r="W250" i="14"/>
  <c r="W244" i="14"/>
  <c r="W242" i="14"/>
  <c r="W240" i="14"/>
  <c r="W227" i="14"/>
  <c r="W223" i="14"/>
  <c r="W219" i="14"/>
  <c r="W215" i="14"/>
  <c r="W211" i="14"/>
  <c r="W207" i="14"/>
  <c r="W203" i="14"/>
  <c r="W199" i="14"/>
  <c r="W195" i="14"/>
  <c r="W191" i="14"/>
  <c r="W187" i="14"/>
  <c r="W183" i="14"/>
  <c r="W179" i="14"/>
  <c r="W175" i="14"/>
  <c r="W171" i="14"/>
  <c r="W289" i="14"/>
  <c r="W281" i="14"/>
  <c r="W273" i="14"/>
  <c r="W265" i="14"/>
  <c r="W257" i="14"/>
  <c r="W249" i="14"/>
  <c r="W241" i="14"/>
  <c r="W228" i="14"/>
  <c r="W224" i="14"/>
  <c r="W220" i="14"/>
  <c r="W216" i="14"/>
  <c r="W212" i="14"/>
  <c r="W208" i="14"/>
  <c r="W204" i="14"/>
  <c r="W200" i="14"/>
  <c r="W196" i="14"/>
  <c r="W192" i="14"/>
  <c r="W188" i="14"/>
  <c r="W184" i="14"/>
  <c r="W180" i="14"/>
  <c r="W176" i="14"/>
  <c r="W172" i="14"/>
  <c r="W236" i="14"/>
  <c r="W232" i="14"/>
  <c r="W229" i="14"/>
  <c r="W225" i="14"/>
  <c r="W221" i="14"/>
  <c r="W217" i="14"/>
  <c r="W213" i="14"/>
  <c r="W209" i="14"/>
  <c r="W205" i="14"/>
  <c r="W201" i="14"/>
  <c r="W197" i="14"/>
  <c r="W193" i="14"/>
  <c r="W189" i="14"/>
  <c r="W185" i="14"/>
  <c r="W181" i="14"/>
  <c r="W168" i="14"/>
  <c r="W164" i="14"/>
  <c r="W160" i="14"/>
  <c r="W156" i="14"/>
  <c r="W152" i="14"/>
  <c r="W148" i="14"/>
  <c r="W144" i="14"/>
  <c r="W140" i="14"/>
  <c r="W136" i="14"/>
  <c r="W132" i="14"/>
  <c r="W128" i="14"/>
  <c r="W124" i="14"/>
  <c r="W120" i="14"/>
  <c r="W116" i="14"/>
  <c r="W112" i="14"/>
  <c r="W108" i="14"/>
  <c r="W104" i="14"/>
  <c r="W100" i="14"/>
  <c r="W237" i="14"/>
  <c r="W233" i="14"/>
  <c r="W226" i="14"/>
  <c r="W218" i="14"/>
  <c r="W210" i="14"/>
  <c r="W202" i="14"/>
  <c r="W194" i="14"/>
  <c r="W186" i="14"/>
  <c r="W177" i="14"/>
  <c r="W173" i="14"/>
  <c r="W165" i="14"/>
  <c r="W161" i="14"/>
  <c r="W157" i="14"/>
  <c r="W153" i="14"/>
  <c r="W149" i="14"/>
  <c r="W145" i="14"/>
  <c r="W141" i="14"/>
  <c r="W137" i="14"/>
  <c r="W133" i="14"/>
  <c r="W129" i="14"/>
  <c r="W125" i="14"/>
  <c r="W121" i="14"/>
  <c r="W117" i="14"/>
  <c r="W113" i="14"/>
  <c r="W109" i="14"/>
  <c r="W105" i="14"/>
  <c r="W101" i="14"/>
  <c r="W97" i="14"/>
  <c r="W93" i="14"/>
  <c r="W89" i="14"/>
  <c r="W178" i="14"/>
  <c r="W174" i="14"/>
  <c r="W170" i="14"/>
  <c r="W169" i="14"/>
  <c r="W166" i="14"/>
  <c r="W162" i="14"/>
  <c r="W158" i="14"/>
  <c r="W154" i="14"/>
  <c r="W150" i="14"/>
  <c r="W146" i="14"/>
  <c r="W142" i="14"/>
  <c r="W138" i="14"/>
  <c r="W134" i="14"/>
  <c r="W130" i="14"/>
  <c r="W126" i="14"/>
  <c r="W122" i="14"/>
  <c r="W118" i="14"/>
  <c r="W114" i="14"/>
  <c r="W110" i="14"/>
  <c r="W106" i="14"/>
  <c r="W102" i="14"/>
  <c r="W98" i="14"/>
  <c r="W94" i="14"/>
  <c r="W90" i="14"/>
  <c r="V6" i="14"/>
  <c r="Z6" i="14"/>
  <c r="W7" i="14"/>
  <c r="X8" i="14"/>
  <c r="V10" i="14"/>
  <c r="Z10" i="14"/>
  <c r="W11" i="14"/>
  <c r="X12" i="14"/>
  <c r="V14" i="14"/>
  <c r="Z14" i="14"/>
  <c r="W15" i="14"/>
  <c r="X16" i="14"/>
  <c r="V18" i="14"/>
  <c r="Z18" i="14"/>
  <c r="W19" i="14"/>
  <c r="X20" i="14"/>
  <c r="V22" i="14"/>
  <c r="Z22" i="14"/>
  <c r="W23" i="14"/>
  <c r="X24" i="14"/>
  <c r="V26" i="14"/>
  <c r="Z26" i="14"/>
  <c r="W27" i="14"/>
  <c r="X28" i="14"/>
  <c r="V30" i="14"/>
  <c r="Z30" i="14"/>
  <c r="W31" i="14"/>
  <c r="X32" i="14"/>
  <c r="V34" i="14"/>
  <c r="Z34" i="14"/>
  <c r="W35" i="14"/>
  <c r="X36" i="14"/>
  <c r="V38" i="14"/>
  <c r="Z38" i="14"/>
  <c r="W39" i="14"/>
  <c r="X40" i="14"/>
  <c r="V42" i="14"/>
  <c r="Z42" i="14"/>
  <c r="W43" i="14"/>
  <c r="X44" i="14"/>
  <c r="V46" i="14"/>
  <c r="Z46" i="14"/>
  <c r="W47" i="14"/>
  <c r="X48" i="14"/>
  <c r="V50" i="14"/>
  <c r="Z50" i="14"/>
  <c r="W51" i="14"/>
  <c r="X52" i="14"/>
  <c r="V54" i="14"/>
  <c r="Z54" i="14"/>
  <c r="W55" i="14"/>
  <c r="X56" i="14"/>
  <c r="V58" i="14"/>
  <c r="Z58" i="14"/>
  <c r="W59" i="14"/>
  <c r="X60" i="14"/>
  <c r="V62" i="14"/>
  <c r="Z62" i="14"/>
  <c r="W63" i="14"/>
  <c r="X64" i="14"/>
  <c r="V66" i="14"/>
  <c r="Z66" i="14"/>
  <c r="W67" i="14"/>
  <c r="X68" i="14"/>
  <c r="V70" i="14"/>
  <c r="Z70" i="14"/>
  <c r="W71" i="14"/>
  <c r="X72" i="14"/>
  <c r="V74" i="14"/>
  <c r="Z74" i="14"/>
  <c r="W75" i="14"/>
  <c r="X76" i="14"/>
  <c r="V78" i="14"/>
  <c r="Z78" i="14"/>
  <c r="W79" i="14"/>
  <c r="X80" i="14"/>
  <c r="V82" i="14"/>
  <c r="Z82" i="14"/>
  <c r="W83" i="14"/>
  <c r="X84" i="14"/>
  <c r="V86" i="14"/>
  <c r="Z86" i="14"/>
  <c r="W87" i="14"/>
  <c r="X88" i="14"/>
  <c r="W91" i="14"/>
  <c r="X92" i="14"/>
  <c r="W95" i="14"/>
  <c r="X96" i="14"/>
  <c r="W99" i="14"/>
  <c r="Z102" i="14"/>
  <c r="X104" i="14"/>
  <c r="W107" i="14"/>
  <c r="Z110" i="14"/>
  <c r="X112" i="14"/>
  <c r="W115" i="14"/>
  <c r="Z118" i="14"/>
  <c r="X120" i="14"/>
  <c r="W123" i="14"/>
  <c r="Z126" i="14"/>
  <c r="X128" i="14"/>
  <c r="W131" i="14"/>
  <c r="Z134" i="14"/>
  <c r="X136" i="14"/>
  <c r="W139" i="14"/>
  <c r="Z142" i="14"/>
  <c r="X144" i="14"/>
  <c r="W147" i="14"/>
  <c r="Z150" i="14"/>
  <c r="X152" i="14"/>
  <c r="W155" i="14"/>
  <c r="Z158" i="14"/>
  <c r="X160" i="14"/>
  <c r="W163" i="14"/>
  <c r="Z166" i="14"/>
  <c r="X168" i="14"/>
  <c r="V232" i="14"/>
  <c r="X295" i="14"/>
  <c r="X291" i="14"/>
  <c r="X296" i="14"/>
  <c r="X292" i="14"/>
  <c r="X288" i="14"/>
  <c r="X284" i="14"/>
  <c r="X280" i="14"/>
  <c r="X276" i="14"/>
  <c r="X272" i="14"/>
  <c r="X268" i="14"/>
  <c r="X264" i="14"/>
  <c r="X260" i="14"/>
  <c r="X256" i="14"/>
  <c r="X252" i="14"/>
  <c r="X248" i="14"/>
  <c r="X244" i="14"/>
  <c r="X297" i="14"/>
  <c r="X293" i="14"/>
  <c r="X285" i="14"/>
  <c r="X283" i="14"/>
  <c r="X277" i="14"/>
  <c r="X275" i="14"/>
  <c r="X269" i="14"/>
  <c r="X267" i="14"/>
  <c r="X261" i="14"/>
  <c r="X259" i="14"/>
  <c r="X253" i="14"/>
  <c r="X251" i="14"/>
  <c r="X245" i="14"/>
  <c r="X243" i="14"/>
  <c r="X239" i="14"/>
  <c r="X235" i="14"/>
  <c r="X231" i="14"/>
  <c r="X294" i="14"/>
  <c r="X290" i="14"/>
  <c r="X282" i="14"/>
  <c r="X274" i="14"/>
  <c r="X266" i="14"/>
  <c r="X258" i="14"/>
  <c r="X250" i="14"/>
  <c r="X242" i="14"/>
  <c r="X240" i="14"/>
  <c r="X236" i="14"/>
  <c r="X232" i="14"/>
  <c r="X289" i="14"/>
  <c r="X287" i="14"/>
  <c r="X281" i="14"/>
  <c r="X279" i="14"/>
  <c r="X273" i="14"/>
  <c r="X271" i="14"/>
  <c r="X265" i="14"/>
  <c r="X263" i="14"/>
  <c r="X257" i="14"/>
  <c r="X255" i="14"/>
  <c r="X249" i="14"/>
  <c r="X247" i="14"/>
  <c r="X241" i="14"/>
  <c r="X237" i="14"/>
  <c r="X228" i="14"/>
  <c r="X224" i="14"/>
  <c r="X220" i="14"/>
  <c r="X216" i="14"/>
  <c r="X212" i="14"/>
  <c r="X208" i="14"/>
  <c r="X204" i="14"/>
  <c r="X200" i="14"/>
  <c r="X196" i="14"/>
  <c r="X192" i="14"/>
  <c r="X188" i="14"/>
  <c r="X184" i="14"/>
  <c r="X180" i="14"/>
  <c r="X176" i="14"/>
  <c r="X172" i="14"/>
  <c r="X238" i="14"/>
  <c r="X229" i="14"/>
  <c r="X225" i="14"/>
  <c r="X221" i="14"/>
  <c r="X217" i="14"/>
  <c r="X213" i="14"/>
  <c r="X209" i="14"/>
  <c r="X205" i="14"/>
  <c r="X201" i="14"/>
  <c r="X197" i="14"/>
  <c r="X193" i="14"/>
  <c r="X189" i="14"/>
  <c r="X185" i="14"/>
  <c r="X181" i="14"/>
  <c r="X177" i="14"/>
  <c r="X173" i="14"/>
  <c r="X233" i="14"/>
  <c r="X226" i="14"/>
  <c r="X222" i="14"/>
  <c r="X218" i="14"/>
  <c r="X214" i="14"/>
  <c r="X210" i="14"/>
  <c r="X206" i="14"/>
  <c r="X202" i="14"/>
  <c r="X198" i="14"/>
  <c r="X194" i="14"/>
  <c r="X190" i="14"/>
  <c r="X186" i="14"/>
  <c r="X182" i="14"/>
  <c r="X165" i="14"/>
  <c r="X161" i="14"/>
  <c r="X157" i="14"/>
  <c r="X153" i="14"/>
  <c r="X149" i="14"/>
  <c r="X145" i="14"/>
  <c r="X141" i="14"/>
  <c r="X137" i="14"/>
  <c r="X133" i="14"/>
  <c r="X129" i="14"/>
  <c r="X125" i="14"/>
  <c r="X121" i="14"/>
  <c r="X117" i="14"/>
  <c r="X113" i="14"/>
  <c r="X109" i="14"/>
  <c r="X105" i="14"/>
  <c r="X101" i="14"/>
  <c r="X97" i="14"/>
  <c r="X223" i="14"/>
  <c r="X215" i="14"/>
  <c r="X207" i="14"/>
  <c r="X199" i="14"/>
  <c r="X191" i="14"/>
  <c r="X183" i="14"/>
  <c r="X178" i="14"/>
  <c r="X174" i="14"/>
  <c r="X170" i="14"/>
  <c r="X169" i="14"/>
  <c r="X166" i="14"/>
  <c r="X162" i="14"/>
  <c r="X158" i="14"/>
  <c r="X154" i="14"/>
  <c r="X150" i="14"/>
  <c r="X146" i="14"/>
  <c r="X142" i="14"/>
  <c r="X138" i="14"/>
  <c r="X134" i="14"/>
  <c r="X130" i="14"/>
  <c r="X126" i="14"/>
  <c r="X122" i="14"/>
  <c r="X118" i="14"/>
  <c r="X114" i="14"/>
  <c r="X110" i="14"/>
  <c r="X106" i="14"/>
  <c r="X102" i="14"/>
  <c r="X98" i="14"/>
  <c r="X94" i="14"/>
  <c r="X90" i="14"/>
  <c r="X175" i="14"/>
  <c r="X171" i="14"/>
  <c r="X167" i="14"/>
  <c r="X163" i="14"/>
  <c r="X159" i="14"/>
  <c r="X155" i="14"/>
  <c r="X151" i="14"/>
  <c r="X147" i="14"/>
  <c r="X143" i="14"/>
  <c r="X139" i="14"/>
  <c r="X135" i="14"/>
  <c r="X131" i="14"/>
  <c r="X127" i="14"/>
  <c r="X123" i="14"/>
  <c r="X119" i="14"/>
  <c r="X115" i="14"/>
  <c r="X111" i="14"/>
  <c r="X107" i="14"/>
  <c r="X103" i="14"/>
  <c r="X99" i="14"/>
  <c r="X95" i="14"/>
  <c r="X91" i="14"/>
  <c r="X87" i="14"/>
  <c r="V5" i="14"/>
  <c r="Z5" i="14"/>
  <c r="W6" i="14"/>
  <c r="X7" i="14"/>
  <c r="V9" i="14"/>
  <c r="Z9" i="14"/>
  <c r="W10" i="14"/>
  <c r="X11" i="14"/>
  <c r="V13" i="14"/>
  <c r="Z13" i="14"/>
  <c r="W14" i="14"/>
  <c r="X15" i="14"/>
  <c r="V17" i="14"/>
  <c r="Z17" i="14"/>
  <c r="W18" i="14"/>
  <c r="X19" i="14"/>
  <c r="V21" i="14"/>
  <c r="Z21" i="14"/>
  <c r="W22" i="14"/>
  <c r="X23" i="14"/>
  <c r="V25" i="14"/>
  <c r="Z25" i="14"/>
  <c r="W26" i="14"/>
  <c r="X27" i="14"/>
  <c r="V29" i="14"/>
  <c r="Z29" i="14"/>
  <c r="W30" i="14"/>
  <c r="X31" i="14"/>
  <c r="V33" i="14"/>
  <c r="Z33" i="14"/>
  <c r="W34" i="14"/>
  <c r="X35" i="14"/>
  <c r="V37" i="14"/>
  <c r="Z37" i="14"/>
  <c r="W38" i="14"/>
  <c r="X39" i="14"/>
  <c r="V41" i="14"/>
  <c r="Z41" i="14"/>
  <c r="W42" i="14"/>
  <c r="X43" i="14"/>
  <c r="V45" i="14"/>
  <c r="Z45" i="14"/>
  <c r="W46" i="14"/>
  <c r="X47" i="14"/>
  <c r="V49" i="14"/>
  <c r="Z49" i="14"/>
  <c r="W50" i="14"/>
  <c r="X51" i="14"/>
  <c r="V53" i="14"/>
  <c r="Z53" i="14"/>
  <c r="W54" i="14"/>
  <c r="X55" i="14"/>
  <c r="V57" i="14"/>
  <c r="Z57" i="14"/>
  <c r="W58" i="14"/>
  <c r="X59" i="14"/>
  <c r="V61" i="14"/>
  <c r="Z61" i="14"/>
  <c r="W62" i="14"/>
  <c r="X63" i="14"/>
  <c r="V65" i="14"/>
  <c r="Z65" i="14"/>
  <c r="W66" i="14"/>
  <c r="X67" i="14"/>
  <c r="V69" i="14"/>
  <c r="Z69" i="14"/>
  <c r="W70" i="14"/>
  <c r="X71" i="14"/>
  <c r="V73" i="14"/>
  <c r="Z73" i="14"/>
  <c r="W74" i="14"/>
  <c r="X75" i="14"/>
  <c r="V77" i="14"/>
  <c r="Z77" i="14"/>
  <c r="W78" i="14"/>
  <c r="X79" i="14"/>
  <c r="V81" i="14"/>
  <c r="Z81" i="14"/>
  <c r="W82" i="14"/>
  <c r="X83" i="14"/>
  <c r="V85" i="14"/>
  <c r="Z85" i="14"/>
  <c r="W86" i="14"/>
  <c r="Z87" i="14"/>
  <c r="Z90" i="14"/>
  <c r="Z91" i="14"/>
  <c r="Z94" i="14"/>
  <c r="Z95" i="14"/>
  <c r="V98" i="14"/>
  <c r="V106" i="14"/>
  <c r="V114" i="14"/>
  <c r="V122" i="14"/>
  <c r="V130" i="14"/>
  <c r="V138" i="14"/>
  <c r="V146" i="14"/>
  <c r="V154" i="14"/>
  <c r="V162" i="14"/>
  <c r="X179" i="14"/>
  <c r="W182" i="14"/>
  <c r="X187" i="14"/>
  <c r="W190" i="14"/>
  <c r="X195" i="14"/>
  <c r="W198" i="14"/>
  <c r="X203" i="14"/>
  <c r="W206" i="14"/>
  <c r="X211" i="14"/>
  <c r="W214" i="14"/>
  <c r="X219" i="14"/>
  <c r="W222" i="14"/>
  <c r="X227" i="14"/>
  <c r="X230" i="14"/>
  <c r="X246" i="14"/>
  <c r="X278" i="14"/>
  <c r="X46" i="16" l="1"/>
  <c r="AA46" i="16"/>
  <c r="W46" i="16"/>
  <c r="AA86" i="16"/>
  <c r="W86" i="16"/>
  <c r="V86" i="15"/>
  <c r="N9" i="1" l="1"/>
  <c r="I56" i="1" l="1"/>
  <c r="H56" i="1"/>
  <c r="G56" i="1"/>
  <c r="F56" i="1"/>
  <c r="I38" i="1"/>
  <c r="H38" i="1"/>
  <c r="G38" i="1"/>
  <c r="I20" i="1"/>
  <c r="H20" i="1"/>
  <c r="G20" i="1"/>
  <c r="BJ4" i="4"/>
  <c r="BJ5" i="4"/>
  <c r="BJ6" i="4"/>
  <c r="BJ7" i="4"/>
  <c r="BJ8" i="4"/>
  <c r="BJ9" i="4"/>
  <c r="BJ10" i="4"/>
  <c r="BJ11" i="4"/>
  <c r="BJ12" i="4"/>
  <c r="BJ13" i="4"/>
  <c r="BJ14" i="4"/>
  <c r="BJ15" i="4"/>
  <c r="BJ16" i="4"/>
  <c r="BJ17" i="4"/>
  <c r="BJ18" i="4"/>
  <c r="BJ19" i="4"/>
  <c r="BJ20" i="4"/>
  <c r="BJ21" i="4"/>
  <c r="BJ22" i="4"/>
  <c r="BJ23" i="4"/>
  <c r="BJ24" i="4"/>
  <c r="BJ25" i="4"/>
  <c r="BJ26" i="4"/>
  <c r="BJ27" i="4"/>
  <c r="BJ28" i="4"/>
  <c r="BJ29" i="4"/>
  <c r="BJ30" i="4"/>
  <c r="BJ31" i="4"/>
  <c r="BJ32" i="4"/>
  <c r="BJ33" i="4"/>
  <c r="BJ34" i="4"/>
  <c r="BJ35" i="4"/>
  <c r="BJ36" i="4"/>
  <c r="BJ37" i="4"/>
  <c r="BJ38" i="4"/>
  <c r="BJ39" i="4"/>
  <c r="BJ40" i="4"/>
  <c r="BJ41" i="4"/>
  <c r="BJ42" i="4"/>
  <c r="BJ43" i="4"/>
  <c r="BJ44" i="4"/>
  <c r="BJ45" i="4"/>
  <c r="BJ46" i="4"/>
  <c r="BJ47" i="4"/>
  <c r="BJ48" i="4"/>
  <c r="BJ49" i="4"/>
  <c r="BJ50" i="4"/>
  <c r="BJ51" i="4"/>
  <c r="BJ52" i="4"/>
  <c r="BJ53" i="4"/>
  <c r="BJ54" i="4"/>
  <c r="BJ55" i="4"/>
  <c r="BJ56" i="4"/>
  <c r="BJ57" i="4"/>
  <c r="BJ58" i="4"/>
  <c r="BJ59" i="4"/>
  <c r="BJ60" i="4"/>
  <c r="BJ61" i="4"/>
  <c r="BJ62" i="4"/>
  <c r="BJ63" i="4"/>
  <c r="BJ64" i="4"/>
  <c r="BJ65" i="4"/>
  <c r="BJ66" i="4"/>
  <c r="BJ67" i="4"/>
  <c r="BJ68" i="4"/>
  <c r="BJ69" i="4"/>
  <c r="BJ70" i="4"/>
  <c r="BJ71" i="4"/>
  <c r="BJ72" i="4"/>
  <c r="BJ73" i="4"/>
  <c r="BJ74" i="4"/>
  <c r="BJ75" i="4"/>
  <c r="BJ76" i="4"/>
  <c r="BJ77" i="4"/>
  <c r="BJ78" i="4"/>
  <c r="BJ79" i="4"/>
  <c r="BJ80" i="4"/>
  <c r="BJ81" i="4"/>
  <c r="BJ82" i="4"/>
  <c r="BJ83" i="4"/>
  <c r="BJ84" i="4"/>
  <c r="BJ85" i="4"/>
  <c r="BJ86" i="4"/>
  <c r="BJ87" i="4"/>
  <c r="BJ88" i="4"/>
  <c r="BJ89" i="4"/>
  <c r="BJ90" i="4"/>
  <c r="BJ91" i="4"/>
  <c r="BJ92" i="4"/>
  <c r="BJ93" i="4"/>
  <c r="BJ94" i="4"/>
  <c r="BJ95" i="4"/>
  <c r="BJ96" i="4"/>
  <c r="BJ97" i="4"/>
  <c r="BJ98" i="4"/>
  <c r="BJ99" i="4"/>
  <c r="BJ100" i="4"/>
  <c r="BJ101" i="4"/>
  <c r="BJ102" i="4"/>
  <c r="BJ103" i="4"/>
  <c r="BJ104" i="4"/>
  <c r="BJ105" i="4"/>
  <c r="BJ106" i="4"/>
  <c r="BJ107" i="4"/>
  <c r="BJ108" i="4"/>
  <c r="BJ109" i="4"/>
  <c r="BJ110" i="4"/>
  <c r="BJ111" i="4"/>
  <c r="BJ112" i="4"/>
  <c r="BJ113" i="4"/>
  <c r="BJ114" i="4"/>
  <c r="BJ115" i="4"/>
  <c r="BJ116" i="4"/>
  <c r="BJ117" i="4"/>
  <c r="BJ118" i="4"/>
  <c r="BJ119" i="4"/>
  <c r="BJ120" i="4"/>
  <c r="BJ121" i="4"/>
  <c r="BJ122" i="4"/>
  <c r="BJ123" i="4"/>
  <c r="BJ124" i="4"/>
  <c r="BJ125" i="4"/>
  <c r="BJ126" i="4"/>
  <c r="BJ127" i="4"/>
  <c r="BJ128" i="4"/>
  <c r="BJ129" i="4"/>
  <c r="BJ130" i="4"/>
  <c r="BJ131" i="4"/>
  <c r="BJ132" i="4"/>
  <c r="BJ133" i="4"/>
  <c r="BJ134" i="4"/>
  <c r="BJ135" i="4"/>
  <c r="BJ136" i="4"/>
  <c r="BJ137" i="4"/>
  <c r="BJ138" i="4"/>
  <c r="BJ139" i="4"/>
  <c r="BJ140" i="4"/>
  <c r="BJ141" i="4"/>
  <c r="BJ142" i="4"/>
  <c r="BJ143" i="4"/>
  <c r="BJ144" i="4"/>
  <c r="BJ145" i="4"/>
  <c r="BJ146" i="4"/>
  <c r="BJ147" i="4"/>
  <c r="BJ148" i="4"/>
  <c r="BJ149" i="4"/>
  <c r="BJ150" i="4"/>
  <c r="BJ151" i="4"/>
  <c r="BJ152" i="4"/>
  <c r="BJ153" i="4"/>
  <c r="BJ154" i="4"/>
  <c r="BJ155" i="4"/>
  <c r="BJ156" i="4"/>
  <c r="BJ157" i="4"/>
  <c r="BJ158" i="4"/>
  <c r="BJ159" i="4"/>
  <c r="BJ160" i="4"/>
  <c r="BJ161" i="4"/>
  <c r="BJ162" i="4"/>
  <c r="BJ163" i="4"/>
  <c r="BJ164" i="4"/>
  <c r="BJ165" i="4"/>
  <c r="BJ166" i="4"/>
  <c r="BJ167" i="4"/>
  <c r="BJ168" i="4"/>
  <c r="BJ169" i="4"/>
  <c r="BJ170" i="4"/>
  <c r="BJ171" i="4"/>
  <c r="BJ172" i="4"/>
  <c r="BJ173" i="4"/>
  <c r="BJ174" i="4"/>
  <c r="BJ175" i="4"/>
  <c r="BJ176" i="4"/>
  <c r="BJ177" i="4"/>
  <c r="BJ178" i="4"/>
  <c r="BJ179" i="4"/>
  <c r="BJ180" i="4"/>
  <c r="BJ181" i="4"/>
  <c r="BJ182" i="4"/>
  <c r="BJ183" i="4"/>
  <c r="BJ184" i="4"/>
  <c r="BJ185" i="4"/>
  <c r="BJ186" i="4"/>
  <c r="BJ187" i="4"/>
  <c r="BJ188" i="4"/>
  <c r="BJ189" i="4"/>
  <c r="BJ190" i="4"/>
  <c r="BJ191" i="4"/>
  <c r="BJ192" i="4"/>
  <c r="BJ193" i="4"/>
  <c r="BJ194" i="4"/>
  <c r="BJ195" i="4"/>
  <c r="BJ196" i="4"/>
  <c r="BJ197" i="4"/>
  <c r="BJ198" i="4"/>
  <c r="BJ199" i="4"/>
  <c r="BJ200" i="4"/>
  <c r="BJ201" i="4"/>
  <c r="BJ202" i="4"/>
  <c r="BJ203" i="4"/>
  <c r="BJ204" i="4"/>
  <c r="BJ205" i="4"/>
  <c r="BJ206" i="4"/>
  <c r="BJ207" i="4"/>
  <c r="BJ208" i="4"/>
  <c r="BJ209" i="4"/>
  <c r="BJ210" i="4"/>
  <c r="BJ211" i="4"/>
  <c r="BJ212" i="4"/>
  <c r="BJ213" i="4"/>
  <c r="BJ214" i="4"/>
  <c r="BJ215" i="4"/>
  <c r="BJ216" i="4"/>
  <c r="BJ217" i="4"/>
  <c r="BJ218" i="4"/>
  <c r="BJ219" i="4"/>
  <c r="BJ220" i="4"/>
  <c r="BJ221" i="4"/>
  <c r="BJ222" i="4"/>
  <c r="BJ223" i="4"/>
  <c r="BJ224" i="4"/>
  <c r="BJ225" i="4"/>
  <c r="BJ226" i="4"/>
  <c r="BJ227" i="4"/>
  <c r="BJ228" i="4"/>
  <c r="BJ229" i="4"/>
  <c r="BJ230" i="4"/>
  <c r="BJ231" i="4"/>
  <c r="BJ232" i="4"/>
  <c r="BJ233" i="4"/>
  <c r="BJ234" i="4"/>
  <c r="BJ235" i="4"/>
  <c r="BJ236" i="4"/>
  <c r="BJ237" i="4"/>
  <c r="BJ238" i="4"/>
  <c r="BJ239" i="4"/>
  <c r="BJ240" i="4"/>
  <c r="BJ241" i="4"/>
  <c r="BJ242" i="4"/>
  <c r="BJ243" i="4"/>
  <c r="BJ244" i="4"/>
  <c r="BJ245" i="4"/>
  <c r="BJ246" i="4"/>
  <c r="BJ247" i="4"/>
  <c r="BJ248" i="4"/>
  <c r="BJ249" i="4"/>
  <c r="BJ250" i="4"/>
  <c r="BJ251" i="4"/>
  <c r="BJ252" i="4"/>
  <c r="BJ253" i="4"/>
  <c r="BJ254" i="4"/>
  <c r="BJ255" i="4"/>
  <c r="BJ256" i="4"/>
  <c r="BJ257" i="4"/>
  <c r="BJ258" i="4"/>
  <c r="BJ259" i="4"/>
  <c r="BJ260" i="4"/>
  <c r="BJ261" i="4"/>
  <c r="BJ262" i="4"/>
  <c r="BJ263" i="4"/>
  <c r="BJ264" i="4"/>
  <c r="BJ265" i="4"/>
  <c r="BJ266" i="4"/>
  <c r="BJ267" i="4"/>
  <c r="BJ268" i="4"/>
  <c r="BJ269" i="4"/>
  <c r="BJ270" i="4"/>
  <c r="BJ271" i="4"/>
  <c r="BJ272" i="4"/>
  <c r="BJ273" i="4"/>
  <c r="BJ274" i="4"/>
  <c r="BJ275" i="4"/>
  <c r="BJ276" i="4"/>
  <c r="BJ277" i="4"/>
  <c r="BJ278" i="4"/>
  <c r="BJ279" i="4"/>
  <c r="BJ280" i="4"/>
  <c r="BJ281" i="4"/>
  <c r="BJ282" i="4"/>
  <c r="BJ283" i="4"/>
  <c r="BJ284" i="4"/>
  <c r="BJ285" i="4"/>
  <c r="BJ286" i="4"/>
  <c r="BJ287" i="4"/>
  <c r="BJ288" i="4"/>
  <c r="BJ289" i="4"/>
  <c r="BJ290" i="4"/>
  <c r="BJ291" i="4"/>
  <c r="BJ292" i="4"/>
  <c r="BJ293" i="4"/>
  <c r="BJ294" i="4"/>
  <c r="BJ295" i="4"/>
  <c r="BJ3" i="4"/>
  <c r="BG4" i="4"/>
  <c r="BG5" i="4"/>
  <c r="BG6" i="4"/>
  <c r="BG7" i="4"/>
  <c r="BG8" i="4"/>
  <c r="BG9" i="4"/>
  <c r="BG10" i="4"/>
  <c r="BG11" i="4"/>
  <c r="BG12" i="4"/>
  <c r="BG13" i="4"/>
  <c r="BG14" i="4"/>
  <c r="BG15" i="4"/>
  <c r="BG16" i="4"/>
  <c r="BG17" i="4"/>
  <c r="BG18" i="4"/>
  <c r="BG19" i="4"/>
  <c r="BG20" i="4"/>
  <c r="BG21" i="4"/>
  <c r="BG22" i="4"/>
  <c r="BG23" i="4"/>
  <c r="BG24" i="4"/>
  <c r="BG25" i="4"/>
  <c r="BG26" i="4"/>
  <c r="BG27" i="4"/>
  <c r="BG28" i="4"/>
  <c r="BG29" i="4"/>
  <c r="BG30" i="4"/>
  <c r="BG31" i="4"/>
  <c r="BG32" i="4"/>
  <c r="BG33" i="4"/>
  <c r="BG34" i="4"/>
  <c r="BG35" i="4"/>
  <c r="BG36" i="4"/>
  <c r="BG37" i="4"/>
  <c r="BG38" i="4"/>
  <c r="BG39" i="4"/>
  <c r="BG40" i="4"/>
  <c r="BG41" i="4"/>
  <c r="BG42" i="4"/>
  <c r="BG43" i="4"/>
  <c r="BG44" i="4"/>
  <c r="BG45" i="4"/>
  <c r="BG46" i="4"/>
  <c r="BG47" i="4"/>
  <c r="BG48" i="4"/>
  <c r="BG49" i="4"/>
  <c r="BG50" i="4"/>
  <c r="BG51" i="4"/>
  <c r="BG52" i="4"/>
  <c r="BG53" i="4"/>
  <c r="BG54" i="4"/>
  <c r="BG55" i="4"/>
  <c r="BG56" i="4"/>
  <c r="BG57" i="4"/>
  <c r="BG58" i="4"/>
  <c r="BG59" i="4"/>
  <c r="BG60" i="4"/>
  <c r="BG61" i="4"/>
  <c r="BG62" i="4"/>
  <c r="BG63" i="4"/>
  <c r="BG64" i="4"/>
  <c r="BG65" i="4"/>
  <c r="BG66" i="4"/>
  <c r="BG67" i="4"/>
  <c r="BG68" i="4"/>
  <c r="BG69" i="4"/>
  <c r="BG70" i="4"/>
  <c r="BG71" i="4"/>
  <c r="BG72" i="4"/>
  <c r="BG73" i="4"/>
  <c r="BG74" i="4"/>
  <c r="BG75" i="4"/>
  <c r="BG76" i="4"/>
  <c r="BG77" i="4"/>
  <c r="BG78" i="4"/>
  <c r="BG79" i="4"/>
  <c r="BG80" i="4"/>
  <c r="BG81" i="4"/>
  <c r="BG82" i="4"/>
  <c r="BG83" i="4"/>
  <c r="BG84" i="4"/>
  <c r="BG85" i="4"/>
  <c r="BG86" i="4"/>
  <c r="BG87" i="4"/>
  <c r="BG88" i="4"/>
  <c r="BG89" i="4"/>
  <c r="BG90" i="4"/>
  <c r="BG91" i="4"/>
  <c r="BG92" i="4"/>
  <c r="BG93" i="4"/>
  <c r="BG94" i="4"/>
  <c r="BG95" i="4"/>
  <c r="BG96" i="4"/>
  <c r="BG97" i="4"/>
  <c r="BG98" i="4"/>
  <c r="BG99" i="4"/>
  <c r="BG100" i="4"/>
  <c r="BG101" i="4"/>
  <c r="BG102" i="4"/>
  <c r="BG103" i="4"/>
  <c r="BG104" i="4"/>
  <c r="BG105" i="4"/>
  <c r="BG106" i="4"/>
  <c r="BG107" i="4"/>
  <c r="BG108" i="4"/>
  <c r="BG109" i="4"/>
  <c r="BG110" i="4"/>
  <c r="BG111" i="4"/>
  <c r="BG112" i="4"/>
  <c r="BG113" i="4"/>
  <c r="BG114" i="4"/>
  <c r="BG115" i="4"/>
  <c r="BG116" i="4"/>
  <c r="BG117" i="4"/>
  <c r="BG118" i="4"/>
  <c r="BG119" i="4"/>
  <c r="BG120" i="4"/>
  <c r="BG121" i="4"/>
  <c r="BG122" i="4"/>
  <c r="BG123" i="4"/>
  <c r="BG124" i="4"/>
  <c r="BG125" i="4"/>
  <c r="BG126" i="4"/>
  <c r="BG127" i="4"/>
  <c r="BG128" i="4"/>
  <c r="BG129" i="4"/>
  <c r="BG130" i="4"/>
  <c r="BG131" i="4"/>
  <c r="BG132" i="4"/>
  <c r="BG133" i="4"/>
  <c r="BG134" i="4"/>
  <c r="BG135" i="4"/>
  <c r="BG136" i="4"/>
  <c r="BG137" i="4"/>
  <c r="BG138" i="4"/>
  <c r="BG139" i="4"/>
  <c r="BG140" i="4"/>
  <c r="BG141" i="4"/>
  <c r="BG142" i="4"/>
  <c r="BG143" i="4"/>
  <c r="BG144" i="4"/>
  <c r="BG145" i="4"/>
  <c r="BG146" i="4"/>
  <c r="BG147" i="4"/>
  <c r="BG148" i="4"/>
  <c r="BG149" i="4"/>
  <c r="BG150" i="4"/>
  <c r="BG151" i="4"/>
  <c r="BG152" i="4"/>
  <c r="BG153" i="4"/>
  <c r="BG154" i="4"/>
  <c r="BG155" i="4"/>
  <c r="BG156" i="4"/>
  <c r="BG157" i="4"/>
  <c r="BG158" i="4"/>
  <c r="BG159" i="4"/>
  <c r="BG160" i="4"/>
  <c r="BG161" i="4"/>
  <c r="BG162" i="4"/>
  <c r="BG163" i="4"/>
  <c r="BG164" i="4"/>
  <c r="BG165" i="4"/>
  <c r="BG166" i="4"/>
  <c r="BG167" i="4"/>
  <c r="BG168" i="4"/>
  <c r="BG169" i="4"/>
  <c r="BG170" i="4"/>
  <c r="BG171" i="4"/>
  <c r="BG172" i="4"/>
  <c r="BG173" i="4"/>
  <c r="BG174" i="4"/>
  <c r="BG175" i="4"/>
  <c r="BG176" i="4"/>
  <c r="BG177" i="4"/>
  <c r="BG178" i="4"/>
  <c r="BG179" i="4"/>
  <c r="BG180" i="4"/>
  <c r="BG181" i="4"/>
  <c r="BG182" i="4"/>
  <c r="BG183" i="4"/>
  <c r="BG184" i="4"/>
  <c r="BG185" i="4"/>
  <c r="BG186" i="4"/>
  <c r="BG187" i="4"/>
  <c r="BG188" i="4"/>
  <c r="BG189" i="4"/>
  <c r="BG190" i="4"/>
  <c r="BG191" i="4"/>
  <c r="BG192" i="4"/>
  <c r="BG193" i="4"/>
  <c r="BG194" i="4"/>
  <c r="BG195" i="4"/>
  <c r="BG196" i="4"/>
  <c r="BG197" i="4"/>
  <c r="BG198" i="4"/>
  <c r="BG199" i="4"/>
  <c r="BG200" i="4"/>
  <c r="BG201" i="4"/>
  <c r="BG202" i="4"/>
  <c r="BG203" i="4"/>
  <c r="BG204" i="4"/>
  <c r="BG205" i="4"/>
  <c r="BG206" i="4"/>
  <c r="BG207" i="4"/>
  <c r="BG208" i="4"/>
  <c r="BG209" i="4"/>
  <c r="BG210" i="4"/>
  <c r="BG211" i="4"/>
  <c r="BG212" i="4"/>
  <c r="BG213" i="4"/>
  <c r="BG214" i="4"/>
  <c r="BG215" i="4"/>
  <c r="BG216" i="4"/>
  <c r="BG217" i="4"/>
  <c r="BG218" i="4"/>
  <c r="BG219" i="4"/>
  <c r="BG220" i="4"/>
  <c r="BG221" i="4"/>
  <c r="BG222" i="4"/>
  <c r="BG223" i="4"/>
  <c r="BG224" i="4"/>
  <c r="BG225" i="4"/>
  <c r="BG226" i="4"/>
  <c r="BG227" i="4"/>
  <c r="BG228" i="4"/>
  <c r="BG229" i="4"/>
  <c r="BG230" i="4"/>
  <c r="BG231" i="4"/>
  <c r="BG232" i="4"/>
  <c r="BG233" i="4"/>
  <c r="BG234" i="4"/>
  <c r="BG235" i="4"/>
  <c r="BG236" i="4"/>
  <c r="BG237" i="4"/>
  <c r="BG238" i="4"/>
  <c r="BG239" i="4"/>
  <c r="BG240" i="4"/>
  <c r="BG241" i="4"/>
  <c r="BG242" i="4"/>
  <c r="BG243" i="4"/>
  <c r="BG244" i="4"/>
  <c r="BG245" i="4"/>
  <c r="BG246" i="4"/>
  <c r="BG247" i="4"/>
  <c r="BG248" i="4"/>
  <c r="BG249" i="4"/>
  <c r="BG250" i="4"/>
  <c r="BG251" i="4"/>
  <c r="BG252" i="4"/>
  <c r="BG253" i="4"/>
  <c r="BG254" i="4"/>
  <c r="BG255" i="4"/>
  <c r="BG256" i="4"/>
  <c r="BG257" i="4"/>
  <c r="BG258" i="4"/>
  <c r="BG259" i="4"/>
  <c r="BG260" i="4"/>
  <c r="BG261" i="4"/>
  <c r="BG262" i="4"/>
  <c r="BG263" i="4"/>
  <c r="BG264" i="4"/>
  <c r="BG265" i="4"/>
  <c r="BG266" i="4"/>
  <c r="BG267" i="4"/>
  <c r="BG268" i="4"/>
  <c r="BG269" i="4"/>
  <c r="BG270" i="4"/>
  <c r="BG271" i="4"/>
  <c r="BG272" i="4"/>
  <c r="BG273" i="4"/>
  <c r="BG274" i="4"/>
  <c r="BG275" i="4"/>
  <c r="BG276" i="4"/>
  <c r="BG277" i="4"/>
  <c r="BG278" i="4"/>
  <c r="BG279" i="4"/>
  <c r="BG280" i="4"/>
  <c r="BG281" i="4"/>
  <c r="BG282" i="4"/>
  <c r="BG283" i="4"/>
  <c r="BG284" i="4"/>
  <c r="BG285" i="4"/>
  <c r="BG286" i="4"/>
  <c r="BG287" i="4"/>
  <c r="BG288" i="4"/>
  <c r="BG289" i="4"/>
  <c r="BG290" i="4"/>
  <c r="BG291" i="4"/>
  <c r="BG292" i="4"/>
  <c r="BG293" i="4"/>
  <c r="BG294" i="4"/>
  <c r="BG295" i="4"/>
  <c r="BG3" i="4"/>
  <c r="BD4" i="4"/>
  <c r="BD5" i="4"/>
  <c r="BD6" i="4"/>
  <c r="BD7" i="4"/>
  <c r="BD8" i="4"/>
  <c r="BD9" i="4"/>
  <c r="BD10" i="4"/>
  <c r="BD11" i="4"/>
  <c r="BD12" i="4"/>
  <c r="BD13" i="4"/>
  <c r="BD14" i="4"/>
  <c r="BD15" i="4"/>
  <c r="BD16" i="4"/>
  <c r="BD17" i="4"/>
  <c r="BD18" i="4"/>
  <c r="BD19" i="4"/>
  <c r="BD20" i="4"/>
  <c r="BD21" i="4"/>
  <c r="BD22" i="4"/>
  <c r="BD23" i="4"/>
  <c r="BD24" i="4"/>
  <c r="BD25" i="4"/>
  <c r="BD26" i="4"/>
  <c r="BD27" i="4"/>
  <c r="BD28" i="4"/>
  <c r="BD29" i="4"/>
  <c r="BD30" i="4"/>
  <c r="BD31" i="4"/>
  <c r="BD32" i="4"/>
  <c r="BD33" i="4"/>
  <c r="BD34" i="4"/>
  <c r="BD35" i="4"/>
  <c r="BD36" i="4"/>
  <c r="BD37" i="4"/>
  <c r="BD38" i="4"/>
  <c r="BD39" i="4"/>
  <c r="BD40" i="4"/>
  <c r="BD41" i="4"/>
  <c r="BD42" i="4"/>
  <c r="BD43" i="4"/>
  <c r="BD44" i="4"/>
  <c r="BD45" i="4"/>
  <c r="BD46" i="4"/>
  <c r="BD47" i="4"/>
  <c r="BD48" i="4"/>
  <c r="BD49" i="4"/>
  <c r="BD50" i="4"/>
  <c r="BD51" i="4"/>
  <c r="BD52" i="4"/>
  <c r="BD53" i="4"/>
  <c r="BD54" i="4"/>
  <c r="BD55" i="4"/>
  <c r="BD56" i="4"/>
  <c r="BD57" i="4"/>
  <c r="BD58" i="4"/>
  <c r="BD59" i="4"/>
  <c r="BD60" i="4"/>
  <c r="BD61" i="4"/>
  <c r="BD62" i="4"/>
  <c r="BD63" i="4"/>
  <c r="BD64" i="4"/>
  <c r="BD65" i="4"/>
  <c r="BD66" i="4"/>
  <c r="BD67" i="4"/>
  <c r="BD68" i="4"/>
  <c r="BD69" i="4"/>
  <c r="BD70" i="4"/>
  <c r="BD71" i="4"/>
  <c r="BD72" i="4"/>
  <c r="BD73" i="4"/>
  <c r="BD74" i="4"/>
  <c r="BD75" i="4"/>
  <c r="BD76" i="4"/>
  <c r="BD77" i="4"/>
  <c r="BD78" i="4"/>
  <c r="BD79" i="4"/>
  <c r="BD80" i="4"/>
  <c r="BD81" i="4"/>
  <c r="BD82" i="4"/>
  <c r="BD83" i="4"/>
  <c r="BD84" i="4"/>
  <c r="BD85" i="4"/>
  <c r="BD86" i="4"/>
  <c r="BD87" i="4"/>
  <c r="BD88" i="4"/>
  <c r="BD89" i="4"/>
  <c r="BD90" i="4"/>
  <c r="BD91" i="4"/>
  <c r="BD92" i="4"/>
  <c r="BD93" i="4"/>
  <c r="BD94" i="4"/>
  <c r="BD95" i="4"/>
  <c r="BD96" i="4"/>
  <c r="BD97" i="4"/>
  <c r="BD98" i="4"/>
  <c r="BD99" i="4"/>
  <c r="BD100" i="4"/>
  <c r="BD101" i="4"/>
  <c r="BD102" i="4"/>
  <c r="BD103" i="4"/>
  <c r="BD104" i="4"/>
  <c r="BD105" i="4"/>
  <c r="BD106" i="4"/>
  <c r="BD107" i="4"/>
  <c r="BD108" i="4"/>
  <c r="BD109" i="4"/>
  <c r="BD110" i="4"/>
  <c r="BD111" i="4"/>
  <c r="BD112" i="4"/>
  <c r="BD113" i="4"/>
  <c r="BD114" i="4"/>
  <c r="BD115" i="4"/>
  <c r="BD116" i="4"/>
  <c r="BD117" i="4"/>
  <c r="BD118" i="4"/>
  <c r="BD119" i="4"/>
  <c r="BD120" i="4"/>
  <c r="BD121" i="4"/>
  <c r="BD122" i="4"/>
  <c r="BD123" i="4"/>
  <c r="BD124" i="4"/>
  <c r="BD125" i="4"/>
  <c r="BD126" i="4"/>
  <c r="BD127" i="4"/>
  <c r="BD128" i="4"/>
  <c r="BD129" i="4"/>
  <c r="BD130" i="4"/>
  <c r="BD131" i="4"/>
  <c r="BD132" i="4"/>
  <c r="BD133" i="4"/>
  <c r="BD134" i="4"/>
  <c r="BD135" i="4"/>
  <c r="BD136" i="4"/>
  <c r="BD137" i="4"/>
  <c r="BD138" i="4"/>
  <c r="BD139" i="4"/>
  <c r="BD140" i="4"/>
  <c r="BD141" i="4"/>
  <c r="BD142" i="4"/>
  <c r="BD143" i="4"/>
  <c r="BD144" i="4"/>
  <c r="BD145" i="4"/>
  <c r="BD146" i="4"/>
  <c r="BD147" i="4"/>
  <c r="BD148" i="4"/>
  <c r="BD149" i="4"/>
  <c r="BD150" i="4"/>
  <c r="BD151" i="4"/>
  <c r="BD152" i="4"/>
  <c r="BD153" i="4"/>
  <c r="BD154" i="4"/>
  <c r="BD155" i="4"/>
  <c r="BD156" i="4"/>
  <c r="BD157" i="4"/>
  <c r="BD158" i="4"/>
  <c r="BD159" i="4"/>
  <c r="BD160" i="4"/>
  <c r="BD161" i="4"/>
  <c r="BD162" i="4"/>
  <c r="BD163" i="4"/>
  <c r="BD164" i="4"/>
  <c r="BD165" i="4"/>
  <c r="BD166" i="4"/>
  <c r="BD167" i="4"/>
  <c r="BD168" i="4"/>
  <c r="BD169" i="4"/>
  <c r="BD170" i="4"/>
  <c r="BD171" i="4"/>
  <c r="BD172" i="4"/>
  <c r="BD173" i="4"/>
  <c r="BD174" i="4"/>
  <c r="BD175" i="4"/>
  <c r="BD176" i="4"/>
  <c r="BD177" i="4"/>
  <c r="BD178" i="4"/>
  <c r="BD179" i="4"/>
  <c r="BD180" i="4"/>
  <c r="BD181" i="4"/>
  <c r="BD182" i="4"/>
  <c r="BD183" i="4"/>
  <c r="BD184" i="4"/>
  <c r="BD185" i="4"/>
  <c r="BD186" i="4"/>
  <c r="BD187" i="4"/>
  <c r="BD188" i="4"/>
  <c r="BD189" i="4"/>
  <c r="BD190" i="4"/>
  <c r="BD191" i="4"/>
  <c r="BD192" i="4"/>
  <c r="BD193" i="4"/>
  <c r="BD194" i="4"/>
  <c r="BD195" i="4"/>
  <c r="BD196" i="4"/>
  <c r="BD197" i="4"/>
  <c r="BD198" i="4"/>
  <c r="BD199" i="4"/>
  <c r="BD200" i="4"/>
  <c r="BD201" i="4"/>
  <c r="BD202" i="4"/>
  <c r="BD203" i="4"/>
  <c r="BD204" i="4"/>
  <c r="BD205" i="4"/>
  <c r="BD206" i="4"/>
  <c r="BD207" i="4"/>
  <c r="BD208" i="4"/>
  <c r="BD209" i="4"/>
  <c r="BD210" i="4"/>
  <c r="BD211" i="4"/>
  <c r="BD212" i="4"/>
  <c r="BD213" i="4"/>
  <c r="BD214" i="4"/>
  <c r="BD215" i="4"/>
  <c r="BD216" i="4"/>
  <c r="BD217" i="4"/>
  <c r="BD218" i="4"/>
  <c r="BD219" i="4"/>
  <c r="BD220" i="4"/>
  <c r="BD221" i="4"/>
  <c r="BD222" i="4"/>
  <c r="BD223" i="4"/>
  <c r="BD224" i="4"/>
  <c r="BD225" i="4"/>
  <c r="BD226" i="4"/>
  <c r="BD227" i="4"/>
  <c r="BD228" i="4"/>
  <c r="BD229" i="4"/>
  <c r="BD230" i="4"/>
  <c r="BD231" i="4"/>
  <c r="BD232" i="4"/>
  <c r="BD233" i="4"/>
  <c r="BD234" i="4"/>
  <c r="BD235" i="4"/>
  <c r="BD236" i="4"/>
  <c r="BD237" i="4"/>
  <c r="BD238" i="4"/>
  <c r="BD239" i="4"/>
  <c r="BD240" i="4"/>
  <c r="BD241" i="4"/>
  <c r="BD242" i="4"/>
  <c r="BD243" i="4"/>
  <c r="BD244" i="4"/>
  <c r="BD245" i="4"/>
  <c r="BD246" i="4"/>
  <c r="BD247" i="4"/>
  <c r="BD248" i="4"/>
  <c r="BD249" i="4"/>
  <c r="BD250" i="4"/>
  <c r="BD251" i="4"/>
  <c r="BD252" i="4"/>
  <c r="BD253" i="4"/>
  <c r="BD254" i="4"/>
  <c r="BD255" i="4"/>
  <c r="BD256" i="4"/>
  <c r="BD257" i="4"/>
  <c r="BD258" i="4"/>
  <c r="BD259" i="4"/>
  <c r="BD260" i="4"/>
  <c r="BD261" i="4"/>
  <c r="BD262" i="4"/>
  <c r="BD263" i="4"/>
  <c r="BD264" i="4"/>
  <c r="BD265" i="4"/>
  <c r="BD266" i="4"/>
  <c r="BD267" i="4"/>
  <c r="BD268" i="4"/>
  <c r="BD269" i="4"/>
  <c r="BD270" i="4"/>
  <c r="BD271" i="4"/>
  <c r="BD272" i="4"/>
  <c r="BD273" i="4"/>
  <c r="BD274" i="4"/>
  <c r="BD275" i="4"/>
  <c r="BD276" i="4"/>
  <c r="BD277" i="4"/>
  <c r="BD278" i="4"/>
  <c r="BD279" i="4"/>
  <c r="BD280" i="4"/>
  <c r="BD281" i="4"/>
  <c r="BD282" i="4"/>
  <c r="BD283" i="4"/>
  <c r="BD284" i="4"/>
  <c r="BD285" i="4"/>
  <c r="BD286" i="4"/>
  <c r="BD287" i="4"/>
  <c r="BD288" i="4"/>
  <c r="BD289" i="4"/>
  <c r="BD290" i="4"/>
  <c r="BD291" i="4"/>
  <c r="BD292" i="4"/>
  <c r="BD293" i="4"/>
  <c r="BD294" i="4"/>
  <c r="BD295" i="4"/>
  <c r="BD3" i="4"/>
  <c r="BA4" i="4"/>
  <c r="BA5" i="4"/>
  <c r="BA6" i="4"/>
  <c r="BA7" i="4"/>
  <c r="BA8" i="4"/>
  <c r="BA9" i="4"/>
  <c r="BA10" i="4"/>
  <c r="BA11" i="4"/>
  <c r="BA12" i="4"/>
  <c r="BA13" i="4"/>
  <c r="BA14" i="4"/>
  <c r="BA15" i="4"/>
  <c r="BA16" i="4"/>
  <c r="BA17" i="4"/>
  <c r="BA18" i="4"/>
  <c r="BA19" i="4"/>
  <c r="BA20" i="4"/>
  <c r="BA21" i="4"/>
  <c r="BA22" i="4"/>
  <c r="BA23" i="4"/>
  <c r="BA24" i="4"/>
  <c r="BA25" i="4"/>
  <c r="BA26" i="4"/>
  <c r="BA27" i="4"/>
  <c r="BA28" i="4"/>
  <c r="BA29" i="4"/>
  <c r="BA30" i="4"/>
  <c r="BA31" i="4"/>
  <c r="BA32" i="4"/>
  <c r="BA33" i="4"/>
  <c r="BA34" i="4"/>
  <c r="BA35" i="4"/>
  <c r="BA36" i="4"/>
  <c r="BA37" i="4"/>
  <c r="BA38" i="4"/>
  <c r="BA39" i="4"/>
  <c r="BA40" i="4"/>
  <c r="BA41" i="4"/>
  <c r="BA42" i="4"/>
  <c r="BA43" i="4"/>
  <c r="BA44" i="4"/>
  <c r="BA45" i="4"/>
  <c r="BA46" i="4"/>
  <c r="BA47" i="4"/>
  <c r="BA48" i="4"/>
  <c r="BA49" i="4"/>
  <c r="BA50" i="4"/>
  <c r="BA51" i="4"/>
  <c r="BA52" i="4"/>
  <c r="BA53" i="4"/>
  <c r="BA54" i="4"/>
  <c r="BA55" i="4"/>
  <c r="BA56" i="4"/>
  <c r="BA57" i="4"/>
  <c r="BA58" i="4"/>
  <c r="BA59" i="4"/>
  <c r="BA60" i="4"/>
  <c r="BA61" i="4"/>
  <c r="BA62" i="4"/>
  <c r="BA63" i="4"/>
  <c r="BA64" i="4"/>
  <c r="BA65" i="4"/>
  <c r="BA66" i="4"/>
  <c r="BA67" i="4"/>
  <c r="BA68" i="4"/>
  <c r="BA69" i="4"/>
  <c r="BA70" i="4"/>
  <c r="BA71" i="4"/>
  <c r="BA72" i="4"/>
  <c r="BA73" i="4"/>
  <c r="BA74" i="4"/>
  <c r="BA75" i="4"/>
  <c r="BA76" i="4"/>
  <c r="BA77" i="4"/>
  <c r="BA78" i="4"/>
  <c r="BA79" i="4"/>
  <c r="BA80" i="4"/>
  <c r="BA81" i="4"/>
  <c r="BA82" i="4"/>
  <c r="BA83" i="4"/>
  <c r="BA84" i="4"/>
  <c r="BA85" i="4"/>
  <c r="BA86" i="4"/>
  <c r="BA87" i="4"/>
  <c r="BA88" i="4"/>
  <c r="BA89" i="4"/>
  <c r="BA90" i="4"/>
  <c r="BA91" i="4"/>
  <c r="BA92" i="4"/>
  <c r="BA93" i="4"/>
  <c r="BA94" i="4"/>
  <c r="BA95" i="4"/>
  <c r="BA96" i="4"/>
  <c r="BA97" i="4"/>
  <c r="BA98" i="4"/>
  <c r="BA99" i="4"/>
  <c r="BA100" i="4"/>
  <c r="BA101" i="4"/>
  <c r="BA102" i="4"/>
  <c r="BA103" i="4"/>
  <c r="BA104" i="4"/>
  <c r="BA105" i="4"/>
  <c r="BA106" i="4"/>
  <c r="BA107" i="4"/>
  <c r="BA108" i="4"/>
  <c r="BA109" i="4"/>
  <c r="BA110" i="4"/>
  <c r="BA111" i="4"/>
  <c r="BA112" i="4"/>
  <c r="BA113" i="4"/>
  <c r="BA114" i="4"/>
  <c r="BA115" i="4"/>
  <c r="BA116" i="4"/>
  <c r="BA117" i="4"/>
  <c r="BA118" i="4"/>
  <c r="BA119" i="4"/>
  <c r="BA120" i="4"/>
  <c r="BA121" i="4"/>
  <c r="BA122" i="4"/>
  <c r="BA123" i="4"/>
  <c r="BA124" i="4"/>
  <c r="BA125" i="4"/>
  <c r="BA126" i="4"/>
  <c r="BA127" i="4"/>
  <c r="BA128" i="4"/>
  <c r="BA129" i="4"/>
  <c r="BA130" i="4"/>
  <c r="BA131" i="4"/>
  <c r="BA132" i="4"/>
  <c r="BA133" i="4"/>
  <c r="BA134" i="4"/>
  <c r="BA135" i="4"/>
  <c r="BA136" i="4"/>
  <c r="BA137" i="4"/>
  <c r="BA138" i="4"/>
  <c r="BA139" i="4"/>
  <c r="BA140" i="4"/>
  <c r="BA141" i="4"/>
  <c r="BA142" i="4"/>
  <c r="BA143" i="4"/>
  <c r="BA144" i="4"/>
  <c r="BA145" i="4"/>
  <c r="BA146" i="4"/>
  <c r="BA147" i="4"/>
  <c r="BA148" i="4"/>
  <c r="BA149" i="4"/>
  <c r="BA150" i="4"/>
  <c r="BA151" i="4"/>
  <c r="BA152" i="4"/>
  <c r="BA153" i="4"/>
  <c r="BA154" i="4"/>
  <c r="BA155" i="4"/>
  <c r="BA156" i="4"/>
  <c r="BA157" i="4"/>
  <c r="BA158" i="4"/>
  <c r="BA159" i="4"/>
  <c r="BA160" i="4"/>
  <c r="BA161" i="4"/>
  <c r="BA162" i="4"/>
  <c r="BA163" i="4"/>
  <c r="BA164" i="4"/>
  <c r="BA165" i="4"/>
  <c r="BA166" i="4"/>
  <c r="BA167" i="4"/>
  <c r="BA168" i="4"/>
  <c r="BA169" i="4"/>
  <c r="BA170" i="4"/>
  <c r="BA171" i="4"/>
  <c r="BA172" i="4"/>
  <c r="BA173" i="4"/>
  <c r="BA174" i="4"/>
  <c r="BA175" i="4"/>
  <c r="BA176" i="4"/>
  <c r="BA177" i="4"/>
  <c r="BA178" i="4"/>
  <c r="BA179" i="4"/>
  <c r="BA180" i="4"/>
  <c r="BA181" i="4"/>
  <c r="BA182" i="4"/>
  <c r="BA183" i="4"/>
  <c r="BA184" i="4"/>
  <c r="BA185" i="4"/>
  <c r="BA186" i="4"/>
  <c r="BA187" i="4"/>
  <c r="BA188" i="4"/>
  <c r="BA189" i="4"/>
  <c r="BA190" i="4"/>
  <c r="BA191" i="4"/>
  <c r="BA192" i="4"/>
  <c r="BA193" i="4"/>
  <c r="BA194" i="4"/>
  <c r="BA195" i="4"/>
  <c r="BA196" i="4"/>
  <c r="BA197" i="4"/>
  <c r="BA198" i="4"/>
  <c r="BA199" i="4"/>
  <c r="BA200" i="4"/>
  <c r="BA201" i="4"/>
  <c r="BA202" i="4"/>
  <c r="BA203" i="4"/>
  <c r="BA204" i="4"/>
  <c r="BA205" i="4"/>
  <c r="BA206" i="4"/>
  <c r="BA207" i="4"/>
  <c r="BA208" i="4"/>
  <c r="BA209" i="4"/>
  <c r="BA210" i="4"/>
  <c r="BA211" i="4"/>
  <c r="BA212" i="4"/>
  <c r="BA213" i="4"/>
  <c r="BA214" i="4"/>
  <c r="BA215" i="4"/>
  <c r="BA216" i="4"/>
  <c r="BA217" i="4"/>
  <c r="BA218" i="4"/>
  <c r="BA219" i="4"/>
  <c r="BA220" i="4"/>
  <c r="BA221" i="4"/>
  <c r="BA222" i="4"/>
  <c r="BA223" i="4"/>
  <c r="BA224" i="4"/>
  <c r="BA225" i="4"/>
  <c r="BA226" i="4"/>
  <c r="BA227" i="4"/>
  <c r="BA228" i="4"/>
  <c r="BA229" i="4"/>
  <c r="BA230" i="4"/>
  <c r="BA231" i="4"/>
  <c r="BA232" i="4"/>
  <c r="BA233" i="4"/>
  <c r="BA234" i="4"/>
  <c r="BA235" i="4"/>
  <c r="BA236" i="4"/>
  <c r="BA237" i="4"/>
  <c r="BA238" i="4"/>
  <c r="BA239" i="4"/>
  <c r="BA240" i="4"/>
  <c r="BA241" i="4"/>
  <c r="BA242" i="4"/>
  <c r="BA243" i="4"/>
  <c r="BA244" i="4"/>
  <c r="BA245" i="4"/>
  <c r="BA246" i="4"/>
  <c r="BA247" i="4"/>
  <c r="BA248" i="4"/>
  <c r="BA249" i="4"/>
  <c r="BA250" i="4"/>
  <c r="BA251" i="4"/>
  <c r="BA252" i="4"/>
  <c r="BA253" i="4"/>
  <c r="BA254" i="4"/>
  <c r="BA255" i="4"/>
  <c r="BA256" i="4"/>
  <c r="BA257" i="4"/>
  <c r="BA258" i="4"/>
  <c r="BA259" i="4"/>
  <c r="BA260" i="4"/>
  <c r="BA261" i="4"/>
  <c r="BA262" i="4"/>
  <c r="BA263" i="4"/>
  <c r="BA264" i="4"/>
  <c r="BA265" i="4"/>
  <c r="BA266" i="4"/>
  <c r="BA267" i="4"/>
  <c r="BA268" i="4"/>
  <c r="BA269" i="4"/>
  <c r="BA270" i="4"/>
  <c r="BA271" i="4"/>
  <c r="BA272" i="4"/>
  <c r="BA273" i="4"/>
  <c r="BA274" i="4"/>
  <c r="BA275" i="4"/>
  <c r="BA276" i="4"/>
  <c r="BA277" i="4"/>
  <c r="BA278" i="4"/>
  <c r="BA279" i="4"/>
  <c r="BA280" i="4"/>
  <c r="BA281" i="4"/>
  <c r="BA282" i="4"/>
  <c r="BA283" i="4"/>
  <c r="BA284" i="4"/>
  <c r="BA285" i="4"/>
  <c r="BA286" i="4"/>
  <c r="BA287" i="4"/>
  <c r="BA288" i="4"/>
  <c r="BA289" i="4"/>
  <c r="BA290" i="4"/>
  <c r="BA291" i="4"/>
  <c r="BA292" i="4"/>
  <c r="BA293" i="4"/>
  <c r="BA294" i="4"/>
  <c r="BA295" i="4"/>
  <c r="BA3" i="4"/>
  <c r="AX4" i="4"/>
  <c r="AX5" i="4"/>
  <c r="AX6" i="4"/>
  <c r="AX7" i="4"/>
  <c r="AX8" i="4"/>
  <c r="AX9" i="4"/>
  <c r="AX10" i="4"/>
  <c r="AX11" i="4"/>
  <c r="AX12" i="4"/>
  <c r="AX13" i="4"/>
  <c r="AX14" i="4"/>
  <c r="AX15" i="4"/>
  <c r="AX16" i="4"/>
  <c r="AX17" i="4"/>
  <c r="AX18" i="4"/>
  <c r="AX19" i="4"/>
  <c r="AX20" i="4"/>
  <c r="AX21" i="4"/>
  <c r="AX22" i="4"/>
  <c r="AX23" i="4"/>
  <c r="AX24" i="4"/>
  <c r="AX25" i="4"/>
  <c r="AX26" i="4"/>
  <c r="AX27" i="4"/>
  <c r="AX28" i="4"/>
  <c r="AX29" i="4"/>
  <c r="AX30" i="4"/>
  <c r="AX31" i="4"/>
  <c r="AX32" i="4"/>
  <c r="AX33" i="4"/>
  <c r="AX34" i="4"/>
  <c r="AX35" i="4"/>
  <c r="AX36" i="4"/>
  <c r="AX37" i="4"/>
  <c r="AX38" i="4"/>
  <c r="AX39" i="4"/>
  <c r="AX40" i="4"/>
  <c r="AX41" i="4"/>
  <c r="AX42" i="4"/>
  <c r="AX43" i="4"/>
  <c r="AX44" i="4"/>
  <c r="AX45" i="4"/>
  <c r="AX46" i="4"/>
  <c r="AX47" i="4"/>
  <c r="AX48" i="4"/>
  <c r="AX49" i="4"/>
  <c r="AX50" i="4"/>
  <c r="AX51" i="4"/>
  <c r="AX52" i="4"/>
  <c r="AX53" i="4"/>
  <c r="AX54" i="4"/>
  <c r="AX55" i="4"/>
  <c r="AX56" i="4"/>
  <c r="AX57" i="4"/>
  <c r="AX58" i="4"/>
  <c r="AX59" i="4"/>
  <c r="AX60" i="4"/>
  <c r="AX61" i="4"/>
  <c r="AX62" i="4"/>
  <c r="AX63" i="4"/>
  <c r="AX64" i="4"/>
  <c r="AX65" i="4"/>
  <c r="AX66" i="4"/>
  <c r="AX67" i="4"/>
  <c r="AX68" i="4"/>
  <c r="AX69" i="4"/>
  <c r="AX70" i="4"/>
  <c r="AX71" i="4"/>
  <c r="AX72" i="4"/>
  <c r="AX73" i="4"/>
  <c r="AX74" i="4"/>
  <c r="AX75" i="4"/>
  <c r="AX76" i="4"/>
  <c r="AX77" i="4"/>
  <c r="AX78" i="4"/>
  <c r="AX79" i="4"/>
  <c r="AX80" i="4"/>
  <c r="AX81" i="4"/>
  <c r="AX82" i="4"/>
  <c r="AX83" i="4"/>
  <c r="AX84" i="4"/>
  <c r="AX85" i="4"/>
  <c r="AX86" i="4"/>
  <c r="AX87" i="4"/>
  <c r="AX88" i="4"/>
  <c r="AX89" i="4"/>
  <c r="AX90" i="4"/>
  <c r="AX91" i="4"/>
  <c r="AX92" i="4"/>
  <c r="AX93" i="4"/>
  <c r="AX94" i="4"/>
  <c r="AX95" i="4"/>
  <c r="AX96" i="4"/>
  <c r="AX97" i="4"/>
  <c r="AX98" i="4"/>
  <c r="AX99" i="4"/>
  <c r="AX100" i="4"/>
  <c r="AX101" i="4"/>
  <c r="AX102" i="4"/>
  <c r="AX103" i="4"/>
  <c r="AX104" i="4"/>
  <c r="AX105" i="4"/>
  <c r="AX106" i="4"/>
  <c r="AX107" i="4"/>
  <c r="AX108" i="4"/>
  <c r="AX109" i="4"/>
  <c r="AX110" i="4"/>
  <c r="AX111" i="4"/>
  <c r="AX112" i="4"/>
  <c r="AX113" i="4"/>
  <c r="AX114" i="4"/>
  <c r="AX115" i="4"/>
  <c r="AX116" i="4"/>
  <c r="AX117" i="4"/>
  <c r="AX118" i="4"/>
  <c r="AX119" i="4"/>
  <c r="AX120" i="4"/>
  <c r="AX121" i="4"/>
  <c r="AX122" i="4"/>
  <c r="AX123" i="4"/>
  <c r="AX124" i="4"/>
  <c r="AX125" i="4"/>
  <c r="AX126" i="4"/>
  <c r="AX127" i="4"/>
  <c r="AX128" i="4"/>
  <c r="AX129" i="4"/>
  <c r="AX130" i="4"/>
  <c r="AX131" i="4"/>
  <c r="AX132" i="4"/>
  <c r="AX133" i="4"/>
  <c r="AX134" i="4"/>
  <c r="AX135" i="4"/>
  <c r="AX136" i="4"/>
  <c r="AX137" i="4"/>
  <c r="AX138" i="4"/>
  <c r="AX139" i="4"/>
  <c r="AX140" i="4"/>
  <c r="AX141" i="4"/>
  <c r="AX142" i="4"/>
  <c r="AX143" i="4"/>
  <c r="AX144" i="4"/>
  <c r="AX145" i="4"/>
  <c r="AX146" i="4"/>
  <c r="AX147" i="4"/>
  <c r="AX148" i="4"/>
  <c r="AX149" i="4"/>
  <c r="AX150" i="4"/>
  <c r="AX151" i="4"/>
  <c r="AX152" i="4"/>
  <c r="AX153" i="4"/>
  <c r="AX154" i="4"/>
  <c r="AX155" i="4"/>
  <c r="AX156" i="4"/>
  <c r="AX157" i="4"/>
  <c r="AX158" i="4"/>
  <c r="AX159" i="4"/>
  <c r="AX160" i="4"/>
  <c r="AX161" i="4"/>
  <c r="AX162" i="4"/>
  <c r="AX163" i="4"/>
  <c r="AX164" i="4"/>
  <c r="AX165" i="4"/>
  <c r="AX166" i="4"/>
  <c r="AX167" i="4"/>
  <c r="AX168" i="4"/>
  <c r="AX169" i="4"/>
  <c r="AX170" i="4"/>
  <c r="AX171" i="4"/>
  <c r="AX172" i="4"/>
  <c r="AX173" i="4"/>
  <c r="AX174" i="4"/>
  <c r="AX175" i="4"/>
  <c r="AX176" i="4"/>
  <c r="AX177" i="4"/>
  <c r="AX178" i="4"/>
  <c r="AX179" i="4"/>
  <c r="AX180" i="4"/>
  <c r="AX181" i="4"/>
  <c r="AX182" i="4"/>
  <c r="AX183" i="4"/>
  <c r="AX184" i="4"/>
  <c r="AX185" i="4"/>
  <c r="AX186" i="4"/>
  <c r="AX187" i="4"/>
  <c r="AX188" i="4"/>
  <c r="AX189" i="4"/>
  <c r="AX190" i="4"/>
  <c r="AX191" i="4"/>
  <c r="AX192" i="4"/>
  <c r="AX193" i="4"/>
  <c r="AX194" i="4"/>
  <c r="AX195" i="4"/>
  <c r="AX196" i="4"/>
  <c r="AX197" i="4"/>
  <c r="AX198" i="4"/>
  <c r="AX199" i="4"/>
  <c r="AX200" i="4"/>
  <c r="AX201" i="4"/>
  <c r="AX202" i="4"/>
  <c r="AX203" i="4"/>
  <c r="AX204" i="4"/>
  <c r="AX205" i="4"/>
  <c r="AX206" i="4"/>
  <c r="AX207" i="4"/>
  <c r="AX208" i="4"/>
  <c r="AX209" i="4"/>
  <c r="AX210" i="4"/>
  <c r="AX211" i="4"/>
  <c r="AX212" i="4"/>
  <c r="AX213" i="4"/>
  <c r="AX214" i="4"/>
  <c r="AX215" i="4"/>
  <c r="AX216" i="4"/>
  <c r="AX217" i="4"/>
  <c r="AX218" i="4"/>
  <c r="AX219" i="4"/>
  <c r="AX220" i="4"/>
  <c r="AX221" i="4"/>
  <c r="AX222" i="4"/>
  <c r="AX223" i="4"/>
  <c r="AX224" i="4"/>
  <c r="AX225" i="4"/>
  <c r="AX226" i="4"/>
  <c r="AX227" i="4"/>
  <c r="AX228" i="4"/>
  <c r="AX229" i="4"/>
  <c r="AX230" i="4"/>
  <c r="AX231" i="4"/>
  <c r="AX232" i="4"/>
  <c r="AX233" i="4"/>
  <c r="AX234" i="4"/>
  <c r="AX235" i="4"/>
  <c r="AX236" i="4"/>
  <c r="AX237" i="4"/>
  <c r="AX238" i="4"/>
  <c r="AX239" i="4"/>
  <c r="AX240" i="4"/>
  <c r="AX241" i="4"/>
  <c r="AX242" i="4"/>
  <c r="AX243" i="4"/>
  <c r="AX244" i="4"/>
  <c r="AX245" i="4"/>
  <c r="AX246" i="4"/>
  <c r="AX247" i="4"/>
  <c r="AX248" i="4"/>
  <c r="AX249" i="4"/>
  <c r="AX250" i="4"/>
  <c r="AX251" i="4"/>
  <c r="AX252" i="4"/>
  <c r="AX253" i="4"/>
  <c r="AX254" i="4"/>
  <c r="AX255" i="4"/>
  <c r="AX256" i="4"/>
  <c r="AX257" i="4"/>
  <c r="AX258" i="4"/>
  <c r="AX259" i="4"/>
  <c r="AX260" i="4"/>
  <c r="AX261" i="4"/>
  <c r="AX262" i="4"/>
  <c r="AX263" i="4"/>
  <c r="AX264" i="4"/>
  <c r="AX265" i="4"/>
  <c r="AX266" i="4"/>
  <c r="AX267" i="4"/>
  <c r="AX268" i="4"/>
  <c r="AX269" i="4"/>
  <c r="AX270" i="4"/>
  <c r="AX271" i="4"/>
  <c r="AX272" i="4"/>
  <c r="AX273" i="4"/>
  <c r="AX274" i="4"/>
  <c r="AX275" i="4"/>
  <c r="AX276" i="4"/>
  <c r="AX277" i="4"/>
  <c r="AX278" i="4"/>
  <c r="AX279" i="4"/>
  <c r="AX280" i="4"/>
  <c r="AX281" i="4"/>
  <c r="AX282" i="4"/>
  <c r="AX283" i="4"/>
  <c r="AX284" i="4"/>
  <c r="AX285" i="4"/>
  <c r="AX286" i="4"/>
  <c r="AX287" i="4"/>
  <c r="AX288" i="4"/>
  <c r="AX289" i="4"/>
  <c r="AX290" i="4"/>
  <c r="AX291" i="4"/>
  <c r="AX292" i="4"/>
  <c r="AX293" i="4"/>
  <c r="AX294" i="4"/>
  <c r="AX295" i="4"/>
  <c r="AX3" i="4"/>
  <c r="AU4" i="4"/>
  <c r="AU5" i="4"/>
  <c r="AU6" i="4"/>
  <c r="AU7" i="4"/>
  <c r="AU8" i="4"/>
  <c r="AU9" i="4"/>
  <c r="AU10" i="4"/>
  <c r="AU11" i="4"/>
  <c r="AU12" i="4"/>
  <c r="AU13" i="4"/>
  <c r="AU14" i="4"/>
  <c r="AU15" i="4"/>
  <c r="AU16" i="4"/>
  <c r="AU17" i="4"/>
  <c r="AU18" i="4"/>
  <c r="AU19" i="4"/>
  <c r="AU20" i="4"/>
  <c r="AU21" i="4"/>
  <c r="AU22" i="4"/>
  <c r="AU23" i="4"/>
  <c r="AU24" i="4"/>
  <c r="AU25" i="4"/>
  <c r="AU26" i="4"/>
  <c r="AU27" i="4"/>
  <c r="AU28" i="4"/>
  <c r="AU29" i="4"/>
  <c r="AU30" i="4"/>
  <c r="AU31" i="4"/>
  <c r="AU32" i="4"/>
  <c r="AU33" i="4"/>
  <c r="AU34" i="4"/>
  <c r="AU35" i="4"/>
  <c r="AU36" i="4"/>
  <c r="AU37" i="4"/>
  <c r="AU38" i="4"/>
  <c r="AU39" i="4"/>
  <c r="AU40" i="4"/>
  <c r="AU41" i="4"/>
  <c r="AU42" i="4"/>
  <c r="AU43" i="4"/>
  <c r="AU44" i="4"/>
  <c r="AU45" i="4"/>
  <c r="AU46" i="4"/>
  <c r="AU47" i="4"/>
  <c r="AU48" i="4"/>
  <c r="AU49" i="4"/>
  <c r="AU50" i="4"/>
  <c r="AU51" i="4"/>
  <c r="AU52" i="4"/>
  <c r="AU53" i="4"/>
  <c r="AU54" i="4"/>
  <c r="AU55" i="4"/>
  <c r="AU56" i="4"/>
  <c r="AU57" i="4"/>
  <c r="AU58" i="4"/>
  <c r="AU59" i="4"/>
  <c r="AU60" i="4"/>
  <c r="AU61" i="4"/>
  <c r="AU62" i="4"/>
  <c r="AU63" i="4"/>
  <c r="AU64" i="4"/>
  <c r="AU65" i="4"/>
  <c r="AU66" i="4"/>
  <c r="AU67" i="4"/>
  <c r="AU68" i="4"/>
  <c r="AU69" i="4"/>
  <c r="AU70" i="4"/>
  <c r="AU71" i="4"/>
  <c r="AU72" i="4"/>
  <c r="AU73" i="4"/>
  <c r="AU74" i="4"/>
  <c r="AU75" i="4"/>
  <c r="AU76" i="4"/>
  <c r="AU77" i="4"/>
  <c r="AU78" i="4"/>
  <c r="AU79" i="4"/>
  <c r="AU80" i="4"/>
  <c r="AU81" i="4"/>
  <c r="AU82" i="4"/>
  <c r="AU83" i="4"/>
  <c r="AU84" i="4"/>
  <c r="AU85" i="4"/>
  <c r="AU86" i="4"/>
  <c r="AU87" i="4"/>
  <c r="AU88" i="4"/>
  <c r="AU89" i="4"/>
  <c r="AU90" i="4"/>
  <c r="AU91" i="4"/>
  <c r="AU92" i="4"/>
  <c r="AU93" i="4"/>
  <c r="AU94" i="4"/>
  <c r="AU95" i="4"/>
  <c r="AU96" i="4"/>
  <c r="AU97" i="4"/>
  <c r="AU98" i="4"/>
  <c r="AU99" i="4"/>
  <c r="AU100" i="4"/>
  <c r="AU101" i="4"/>
  <c r="AU102" i="4"/>
  <c r="AU103" i="4"/>
  <c r="AU104" i="4"/>
  <c r="AU105" i="4"/>
  <c r="AU106" i="4"/>
  <c r="AU107" i="4"/>
  <c r="AU108" i="4"/>
  <c r="AU109" i="4"/>
  <c r="AU110" i="4"/>
  <c r="AU111" i="4"/>
  <c r="AU112" i="4"/>
  <c r="AU113" i="4"/>
  <c r="AU114" i="4"/>
  <c r="AU115" i="4"/>
  <c r="AU116" i="4"/>
  <c r="AU117" i="4"/>
  <c r="AU118" i="4"/>
  <c r="AU119" i="4"/>
  <c r="AU120" i="4"/>
  <c r="AU121" i="4"/>
  <c r="AU122" i="4"/>
  <c r="AU123" i="4"/>
  <c r="AU124" i="4"/>
  <c r="AU125" i="4"/>
  <c r="AU126" i="4"/>
  <c r="AU127" i="4"/>
  <c r="AU128" i="4"/>
  <c r="AU129" i="4"/>
  <c r="AU130" i="4"/>
  <c r="AU131" i="4"/>
  <c r="AU132" i="4"/>
  <c r="AU133" i="4"/>
  <c r="AU134" i="4"/>
  <c r="AU135" i="4"/>
  <c r="AU136" i="4"/>
  <c r="AU137" i="4"/>
  <c r="AU138" i="4"/>
  <c r="AU139" i="4"/>
  <c r="AU140" i="4"/>
  <c r="AU141" i="4"/>
  <c r="AU142" i="4"/>
  <c r="AU143" i="4"/>
  <c r="AU144" i="4"/>
  <c r="AU145" i="4"/>
  <c r="AU146" i="4"/>
  <c r="AU147" i="4"/>
  <c r="AU148" i="4"/>
  <c r="AU149" i="4"/>
  <c r="AU150" i="4"/>
  <c r="AU151" i="4"/>
  <c r="AU152" i="4"/>
  <c r="AU153" i="4"/>
  <c r="AU154" i="4"/>
  <c r="AU155" i="4"/>
  <c r="AU156" i="4"/>
  <c r="AU157" i="4"/>
  <c r="AU158" i="4"/>
  <c r="AU159" i="4"/>
  <c r="AU160" i="4"/>
  <c r="AU161" i="4"/>
  <c r="AU162" i="4"/>
  <c r="AU163" i="4"/>
  <c r="AU164" i="4"/>
  <c r="AU165" i="4"/>
  <c r="AU166" i="4"/>
  <c r="AU167" i="4"/>
  <c r="AU168" i="4"/>
  <c r="AU169" i="4"/>
  <c r="AU170" i="4"/>
  <c r="AU171" i="4"/>
  <c r="AU172" i="4"/>
  <c r="AU173" i="4"/>
  <c r="AU174" i="4"/>
  <c r="AU175" i="4"/>
  <c r="AU176" i="4"/>
  <c r="AU177" i="4"/>
  <c r="AU178" i="4"/>
  <c r="AU179" i="4"/>
  <c r="AU180" i="4"/>
  <c r="AU181" i="4"/>
  <c r="AU182" i="4"/>
  <c r="AU183" i="4"/>
  <c r="AU184" i="4"/>
  <c r="AU185" i="4"/>
  <c r="AU186" i="4"/>
  <c r="AU187" i="4"/>
  <c r="AU188" i="4"/>
  <c r="AU189" i="4"/>
  <c r="AU190" i="4"/>
  <c r="AU191" i="4"/>
  <c r="AU192" i="4"/>
  <c r="AU193" i="4"/>
  <c r="AU194" i="4"/>
  <c r="AU195" i="4"/>
  <c r="AU196" i="4"/>
  <c r="AU197" i="4"/>
  <c r="AU198" i="4"/>
  <c r="AU199" i="4"/>
  <c r="AU200" i="4"/>
  <c r="AU201" i="4"/>
  <c r="AU202" i="4"/>
  <c r="AU203" i="4"/>
  <c r="AU204" i="4"/>
  <c r="AU205" i="4"/>
  <c r="AU206" i="4"/>
  <c r="AU207" i="4"/>
  <c r="AU208" i="4"/>
  <c r="AU209" i="4"/>
  <c r="AU210" i="4"/>
  <c r="AU211" i="4"/>
  <c r="AU212" i="4"/>
  <c r="AU213" i="4"/>
  <c r="AU214" i="4"/>
  <c r="AU215" i="4"/>
  <c r="AU216" i="4"/>
  <c r="AU217" i="4"/>
  <c r="AU218" i="4"/>
  <c r="AU219" i="4"/>
  <c r="AU220" i="4"/>
  <c r="AU221" i="4"/>
  <c r="AU222" i="4"/>
  <c r="AU223" i="4"/>
  <c r="AU224" i="4"/>
  <c r="AU225" i="4"/>
  <c r="AU226" i="4"/>
  <c r="AU227" i="4"/>
  <c r="AU228" i="4"/>
  <c r="AU229" i="4"/>
  <c r="AU230" i="4"/>
  <c r="AU231" i="4"/>
  <c r="AU232" i="4"/>
  <c r="AU233" i="4"/>
  <c r="AU234" i="4"/>
  <c r="AU235" i="4"/>
  <c r="AU236" i="4"/>
  <c r="AU237" i="4"/>
  <c r="AU238" i="4"/>
  <c r="AU239" i="4"/>
  <c r="AU240" i="4"/>
  <c r="AU241" i="4"/>
  <c r="AU242" i="4"/>
  <c r="AU243" i="4"/>
  <c r="AU244" i="4"/>
  <c r="AU245" i="4"/>
  <c r="AU246" i="4"/>
  <c r="AU247" i="4"/>
  <c r="AU248" i="4"/>
  <c r="AU249" i="4"/>
  <c r="AU250" i="4"/>
  <c r="AU251" i="4"/>
  <c r="AU252" i="4"/>
  <c r="AU253" i="4"/>
  <c r="AU254" i="4"/>
  <c r="AU255" i="4"/>
  <c r="AU256" i="4"/>
  <c r="AU257" i="4"/>
  <c r="AU258" i="4"/>
  <c r="AU259" i="4"/>
  <c r="AU260" i="4"/>
  <c r="AU261" i="4"/>
  <c r="AU262" i="4"/>
  <c r="AU263" i="4"/>
  <c r="AU264" i="4"/>
  <c r="AU265" i="4"/>
  <c r="AU266" i="4"/>
  <c r="AU267" i="4"/>
  <c r="AU268" i="4"/>
  <c r="AU269" i="4"/>
  <c r="AU270" i="4"/>
  <c r="AU271" i="4"/>
  <c r="AU272" i="4"/>
  <c r="AU273" i="4"/>
  <c r="AU274" i="4"/>
  <c r="AU275" i="4"/>
  <c r="AU276" i="4"/>
  <c r="AU277" i="4"/>
  <c r="AU278" i="4"/>
  <c r="AU279" i="4"/>
  <c r="AU280" i="4"/>
  <c r="AU281" i="4"/>
  <c r="AU282" i="4"/>
  <c r="AU283" i="4"/>
  <c r="AU284" i="4"/>
  <c r="AU285" i="4"/>
  <c r="AU286" i="4"/>
  <c r="AU287" i="4"/>
  <c r="AU288" i="4"/>
  <c r="AU289" i="4"/>
  <c r="AU290" i="4"/>
  <c r="AU291" i="4"/>
  <c r="AU292" i="4"/>
  <c r="AU293" i="4"/>
  <c r="AU294" i="4"/>
  <c r="AU295" i="4"/>
  <c r="AU3" i="4"/>
  <c r="AR4" i="4"/>
  <c r="AR5" i="4"/>
  <c r="AR6" i="4"/>
  <c r="AR7" i="4"/>
  <c r="AR8" i="4"/>
  <c r="AR9" i="4"/>
  <c r="AR10" i="4"/>
  <c r="AR11" i="4"/>
  <c r="AR12" i="4"/>
  <c r="AR13" i="4"/>
  <c r="AR14" i="4"/>
  <c r="AR15" i="4"/>
  <c r="AR16" i="4"/>
  <c r="AR17" i="4"/>
  <c r="AR18" i="4"/>
  <c r="AR19" i="4"/>
  <c r="AR20" i="4"/>
  <c r="AR21" i="4"/>
  <c r="AR22" i="4"/>
  <c r="AR23" i="4"/>
  <c r="AR24" i="4"/>
  <c r="AR25" i="4"/>
  <c r="AR26" i="4"/>
  <c r="AR27" i="4"/>
  <c r="AR28" i="4"/>
  <c r="AR29" i="4"/>
  <c r="AR30" i="4"/>
  <c r="AR31" i="4"/>
  <c r="AR32" i="4"/>
  <c r="AR33" i="4"/>
  <c r="AR34" i="4"/>
  <c r="AR35" i="4"/>
  <c r="AR36" i="4"/>
  <c r="AR37" i="4"/>
  <c r="AR38" i="4"/>
  <c r="AR39" i="4"/>
  <c r="AR40" i="4"/>
  <c r="AR41" i="4"/>
  <c r="AR42" i="4"/>
  <c r="AR43" i="4"/>
  <c r="AR44" i="4"/>
  <c r="AR45" i="4"/>
  <c r="AR46" i="4"/>
  <c r="AR47" i="4"/>
  <c r="AR48" i="4"/>
  <c r="AR49" i="4"/>
  <c r="AR50" i="4"/>
  <c r="AR51" i="4"/>
  <c r="AR52" i="4"/>
  <c r="AR53" i="4"/>
  <c r="AR54" i="4"/>
  <c r="AR55" i="4"/>
  <c r="AR56" i="4"/>
  <c r="AR57" i="4"/>
  <c r="AR58" i="4"/>
  <c r="AR59" i="4"/>
  <c r="AR60" i="4"/>
  <c r="AR61" i="4"/>
  <c r="AR62" i="4"/>
  <c r="AR63" i="4"/>
  <c r="AR64" i="4"/>
  <c r="AR65" i="4"/>
  <c r="AR66" i="4"/>
  <c r="AR67" i="4"/>
  <c r="AR68" i="4"/>
  <c r="AR69" i="4"/>
  <c r="AR70" i="4"/>
  <c r="AR71" i="4"/>
  <c r="AR72" i="4"/>
  <c r="AR73" i="4"/>
  <c r="AR74" i="4"/>
  <c r="AR75" i="4"/>
  <c r="AR76" i="4"/>
  <c r="AR77" i="4"/>
  <c r="AR78" i="4"/>
  <c r="AR79" i="4"/>
  <c r="AR80" i="4"/>
  <c r="AR81" i="4"/>
  <c r="AR82" i="4"/>
  <c r="AR83" i="4"/>
  <c r="AR84" i="4"/>
  <c r="AR85" i="4"/>
  <c r="AR86" i="4"/>
  <c r="AR87" i="4"/>
  <c r="AR88" i="4"/>
  <c r="AR89" i="4"/>
  <c r="AR90" i="4"/>
  <c r="AR91" i="4"/>
  <c r="AR92" i="4"/>
  <c r="AR93" i="4"/>
  <c r="AR94" i="4"/>
  <c r="AR95" i="4"/>
  <c r="AR96" i="4"/>
  <c r="AR97" i="4"/>
  <c r="AR98" i="4"/>
  <c r="AR99" i="4"/>
  <c r="AR100" i="4"/>
  <c r="AR101" i="4"/>
  <c r="AR102" i="4"/>
  <c r="AR103" i="4"/>
  <c r="AR104" i="4"/>
  <c r="AR105" i="4"/>
  <c r="AR106" i="4"/>
  <c r="AR107" i="4"/>
  <c r="AR108" i="4"/>
  <c r="AR109" i="4"/>
  <c r="AR110" i="4"/>
  <c r="AR111" i="4"/>
  <c r="AR112" i="4"/>
  <c r="AR113" i="4"/>
  <c r="AR114" i="4"/>
  <c r="AR115" i="4"/>
  <c r="AR116" i="4"/>
  <c r="AR117" i="4"/>
  <c r="AR118" i="4"/>
  <c r="AR119" i="4"/>
  <c r="AR120" i="4"/>
  <c r="AR121" i="4"/>
  <c r="AR122" i="4"/>
  <c r="AR123" i="4"/>
  <c r="AR124" i="4"/>
  <c r="AR125" i="4"/>
  <c r="AR126" i="4"/>
  <c r="AR127" i="4"/>
  <c r="AR128" i="4"/>
  <c r="AR129" i="4"/>
  <c r="AR130" i="4"/>
  <c r="AR131" i="4"/>
  <c r="AR132" i="4"/>
  <c r="AR133" i="4"/>
  <c r="AR134" i="4"/>
  <c r="AR135" i="4"/>
  <c r="AR136" i="4"/>
  <c r="AR137" i="4"/>
  <c r="AR138" i="4"/>
  <c r="AR139" i="4"/>
  <c r="AR140" i="4"/>
  <c r="AR141" i="4"/>
  <c r="AR142" i="4"/>
  <c r="AR143" i="4"/>
  <c r="AR144" i="4"/>
  <c r="AR145" i="4"/>
  <c r="AR146" i="4"/>
  <c r="AR147" i="4"/>
  <c r="AR148" i="4"/>
  <c r="AR149" i="4"/>
  <c r="AR150" i="4"/>
  <c r="AR151" i="4"/>
  <c r="AR152" i="4"/>
  <c r="AR153" i="4"/>
  <c r="AR154" i="4"/>
  <c r="AR155" i="4"/>
  <c r="AR156" i="4"/>
  <c r="AR157" i="4"/>
  <c r="AR158" i="4"/>
  <c r="AR159" i="4"/>
  <c r="AR160" i="4"/>
  <c r="AR161" i="4"/>
  <c r="AR162" i="4"/>
  <c r="AR163" i="4"/>
  <c r="AR164" i="4"/>
  <c r="AR165" i="4"/>
  <c r="AR166" i="4"/>
  <c r="AR167" i="4"/>
  <c r="AR168" i="4"/>
  <c r="AR169" i="4"/>
  <c r="AR170" i="4"/>
  <c r="AR171" i="4"/>
  <c r="AR172" i="4"/>
  <c r="AR173" i="4"/>
  <c r="AR174" i="4"/>
  <c r="AR175" i="4"/>
  <c r="AR176" i="4"/>
  <c r="AR177" i="4"/>
  <c r="AR178" i="4"/>
  <c r="AR179" i="4"/>
  <c r="AR180" i="4"/>
  <c r="AR181" i="4"/>
  <c r="AR182" i="4"/>
  <c r="AR183" i="4"/>
  <c r="AR184" i="4"/>
  <c r="AR185" i="4"/>
  <c r="AR186" i="4"/>
  <c r="AR187" i="4"/>
  <c r="AR188" i="4"/>
  <c r="AR189" i="4"/>
  <c r="AR190" i="4"/>
  <c r="AR191" i="4"/>
  <c r="AR192" i="4"/>
  <c r="AR193" i="4"/>
  <c r="AR194" i="4"/>
  <c r="AR195" i="4"/>
  <c r="AR196" i="4"/>
  <c r="AR197" i="4"/>
  <c r="AR198" i="4"/>
  <c r="AR199" i="4"/>
  <c r="AR200" i="4"/>
  <c r="AR201" i="4"/>
  <c r="AR202" i="4"/>
  <c r="AR203" i="4"/>
  <c r="AR204" i="4"/>
  <c r="AR205" i="4"/>
  <c r="AR206" i="4"/>
  <c r="AR207" i="4"/>
  <c r="AR208" i="4"/>
  <c r="AR209" i="4"/>
  <c r="AR210" i="4"/>
  <c r="AR211" i="4"/>
  <c r="AR212" i="4"/>
  <c r="AR213" i="4"/>
  <c r="AR214" i="4"/>
  <c r="AR215" i="4"/>
  <c r="AR216" i="4"/>
  <c r="AR217" i="4"/>
  <c r="AR218" i="4"/>
  <c r="AR219" i="4"/>
  <c r="AR220" i="4"/>
  <c r="AR221" i="4"/>
  <c r="AR222" i="4"/>
  <c r="AR223" i="4"/>
  <c r="AR224" i="4"/>
  <c r="AR225" i="4"/>
  <c r="AR226" i="4"/>
  <c r="AR227" i="4"/>
  <c r="AR228" i="4"/>
  <c r="AR229" i="4"/>
  <c r="AR230" i="4"/>
  <c r="AR231" i="4"/>
  <c r="AR232" i="4"/>
  <c r="AR233" i="4"/>
  <c r="AR234" i="4"/>
  <c r="AR235" i="4"/>
  <c r="AR236" i="4"/>
  <c r="AR237" i="4"/>
  <c r="AR238" i="4"/>
  <c r="AR239" i="4"/>
  <c r="AR240" i="4"/>
  <c r="AR241" i="4"/>
  <c r="AR242" i="4"/>
  <c r="AR243" i="4"/>
  <c r="AR244" i="4"/>
  <c r="AR245" i="4"/>
  <c r="AR246" i="4"/>
  <c r="AR247" i="4"/>
  <c r="AR248" i="4"/>
  <c r="AR249" i="4"/>
  <c r="AR250" i="4"/>
  <c r="AR251" i="4"/>
  <c r="AR252" i="4"/>
  <c r="AR253" i="4"/>
  <c r="AR254" i="4"/>
  <c r="AR255" i="4"/>
  <c r="AR256" i="4"/>
  <c r="AR257" i="4"/>
  <c r="AR258" i="4"/>
  <c r="AR259" i="4"/>
  <c r="AR260" i="4"/>
  <c r="AR261" i="4"/>
  <c r="AR262" i="4"/>
  <c r="AR263" i="4"/>
  <c r="AR264" i="4"/>
  <c r="AR265" i="4"/>
  <c r="AR266" i="4"/>
  <c r="AR267" i="4"/>
  <c r="AR268" i="4"/>
  <c r="AR269" i="4"/>
  <c r="AR270" i="4"/>
  <c r="AR271" i="4"/>
  <c r="AR272" i="4"/>
  <c r="AR273" i="4"/>
  <c r="AR274" i="4"/>
  <c r="AR275" i="4"/>
  <c r="AR276" i="4"/>
  <c r="AR277" i="4"/>
  <c r="AR278" i="4"/>
  <c r="AR279" i="4"/>
  <c r="AR280" i="4"/>
  <c r="AR281" i="4"/>
  <c r="AR282" i="4"/>
  <c r="AR283" i="4"/>
  <c r="AR284" i="4"/>
  <c r="AR285" i="4"/>
  <c r="AR286" i="4"/>
  <c r="AR287" i="4"/>
  <c r="AR288" i="4"/>
  <c r="AR289" i="4"/>
  <c r="AR290" i="4"/>
  <c r="AR291" i="4"/>
  <c r="AR292" i="4"/>
  <c r="AR293" i="4"/>
  <c r="AR294" i="4"/>
  <c r="AR295" i="4"/>
  <c r="AR3" i="4"/>
  <c r="AO4" i="4"/>
  <c r="AO5" i="4"/>
  <c r="AO6" i="4"/>
  <c r="AO7" i="4"/>
  <c r="AO8" i="4"/>
  <c r="AO9" i="4"/>
  <c r="AO10" i="4"/>
  <c r="AO11" i="4"/>
  <c r="AO12" i="4"/>
  <c r="AO13" i="4"/>
  <c r="AO14" i="4"/>
  <c r="AO15" i="4"/>
  <c r="AO16" i="4"/>
  <c r="AO17" i="4"/>
  <c r="AO18" i="4"/>
  <c r="AO19" i="4"/>
  <c r="AO20" i="4"/>
  <c r="AO21" i="4"/>
  <c r="AO22" i="4"/>
  <c r="AO23" i="4"/>
  <c r="AO24" i="4"/>
  <c r="AO25" i="4"/>
  <c r="AO26" i="4"/>
  <c r="AO27" i="4"/>
  <c r="AO28" i="4"/>
  <c r="AO29" i="4"/>
  <c r="AO30" i="4"/>
  <c r="AO31" i="4"/>
  <c r="AO32" i="4"/>
  <c r="AO33" i="4"/>
  <c r="AO34" i="4"/>
  <c r="AO35" i="4"/>
  <c r="AO36" i="4"/>
  <c r="AO37" i="4"/>
  <c r="AO38" i="4"/>
  <c r="AO39" i="4"/>
  <c r="AO40" i="4"/>
  <c r="AO41" i="4"/>
  <c r="AO42" i="4"/>
  <c r="AO43" i="4"/>
  <c r="AO44" i="4"/>
  <c r="AO45" i="4"/>
  <c r="AO46" i="4"/>
  <c r="AO47" i="4"/>
  <c r="AO48" i="4"/>
  <c r="AO49" i="4"/>
  <c r="AO50" i="4"/>
  <c r="AO51" i="4"/>
  <c r="AO52" i="4"/>
  <c r="AO53" i="4"/>
  <c r="AO54" i="4"/>
  <c r="AO55" i="4"/>
  <c r="AO56" i="4"/>
  <c r="AO57" i="4"/>
  <c r="AO58" i="4"/>
  <c r="AO59" i="4"/>
  <c r="AO60" i="4"/>
  <c r="AO61" i="4"/>
  <c r="AO62" i="4"/>
  <c r="AO63" i="4"/>
  <c r="AO64" i="4"/>
  <c r="AO65" i="4"/>
  <c r="AO66" i="4"/>
  <c r="AO67" i="4"/>
  <c r="AO68" i="4"/>
  <c r="AO69" i="4"/>
  <c r="AO70" i="4"/>
  <c r="AO71" i="4"/>
  <c r="AO72" i="4"/>
  <c r="AO73" i="4"/>
  <c r="AO74" i="4"/>
  <c r="AO75" i="4"/>
  <c r="AO76" i="4"/>
  <c r="AO77" i="4"/>
  <c r="AO78" i="4"/>
  <c r="AO79" i="4"/>
  <c r="AO80" i="4"/>
  <c r="AO81" i="4"/>
  <c r="AO82" i="4"/>
  <c r="AO83" i="4"/>
  <c r="AO84" i="4"/>
  <c r="AO85" i="4"/>
  <c r="AO86" i="4"/>
  <c r="AO87" i="4"/>
  <c r="AO88" i="4"/>
  <c r="AO89" i="4"/>
  <c r="AO90" i="4"/>
  <c r="AO91" i="4"/>
  <c r="AO92" i="4"/>
  <c r="AO93" i="4"/>
  <c r="AO94" i="4"/>
  <c r="AO95" i="4"/>
  <c r="AO96" i="4"/>
  <c r="AO97" i="4"/>
  <c r="AO98" i="4"/>
  <c r="AO99" i="4"/>
  <c r="AO100" i="4"/>
  <c r="AO101" i="4"/>
  <c r="AO102" i="4"/>
  <c r="AO103" i="4"/>
  <c r="AO104" i="4"/>
  <c r="AO105" i="4"/>
  <c r="AO106" i="4"/>
  <c r="AO107" i="4"/>
  <c r="AO108" i="4"/>
  <c r="AO109" i="4"/>
  <c r="AO110" i="4"/>
  <c r="AO111" i="4"/>
  <c r="AO112" i="4"/>
  <c r="AO113" i="4"/>
  <c r="AO114" i="4"/>
  <c r="AO115" i="4"/>
  <c r="AO116" i="4"/>
  <c r="AO117" i="4"/>
  <c r="AO118" i="4"/>
  <c r="AO119" i="4"/>
  <c r="AO120" i="4"/>
  <c r="AO121" i="4"/>
  <c r="AO122" i="4"/>
  <c r="AO123" i="4"/>
  <c r="AO124" i="4"/>
  <c r="AO125" i="4"/>
  <c r="AO126" i="4"/>
  <c r="AO127" i="4"/>
  <c r="AO128" i="4"/>
  <c r="AO129" i="4"/>
  <c r="AO130" i="4"/>
  <c r="AO131" i="4"/>
  <c r="AO132" i="4"/>
  <c r="AO133" i="4"/>
  <c r="AO134" i="4"/>
  <c r="AO135" i="4"/>
  <c r="AO136" i="4"/>
  <c r="AO137" i="4"/>
  <c r="AO138" i="4"/>
  <c r="AO139" i="4"/>
  <c r="AO140" i="4"/>
  <c r="AO141" i="4"/>
  <c r="AO142" i="4"/>
  <c r="AO143" i="4"/>
  <c r="AO144" i="4"/>
  <c r="AO145" i="4"/>
  <c r="AO146" i="4"/>
  <c r="AO147" i="4"/>
  <c r="AO148" i="4"/>
  <c r="AO149" i="4"/>
  <c r="AO150" i="4"/>
  <c r="AO151" i="4"/>
  <c r="AO152" i="4"/>
  <c r="AO153" i="4"/>
  <c r="AO154" i="4"/>
  <c r="AO155" i="4"/>
  <c r="AO156" i="4"/>
  <c r="AO157" i="4"/>
  <c r="AO158" i="4"/>
  <c r="AO159" i="4"/>
  <c r="AO160" i="4"/>
  <c r="AO161" i="4"/>
  <c r="AO162" i="4"/>
  <c r="AO163" i="4"/>
  <c r="AO164" i="4"/>
  <c r="AO165" i="4"/>
  <c r="AO166" i="4"/>
  <c r="AO167" i="4"/>
  <c r="AO168" i="4"/>
  <c r="AO169" i="4"/>
  <c r="AO170" i="4"/>
  <c r="AO171" i="4"/>
  <c r="AO172" i="4"/>
  <c r="AO173" i="4"/>
  <c r="AO174" i="4"/>
  <c r="AO175" i="4"/>
  <c r="AO176" i="4"/>
  <c r="AO177" i="4"/>
  <c r="AO178" i="4"/>
  <c r="AO179" i="4"/>
  <c r="AO180" i="4"/>
  <c r="AO181" i="4"/>
  <c r="AO182" i="4"/>
  <c r="AO183" i="4"/>
  <c r="AO184" i="4"/>
  <c r="AO185" i="4"/>
  <c r="AO186" i="4"/>
  <c r="AO187" i="4"/>
  <c r="AO188" i="4"/>
  <c r="AO189" i="4"/>
  <c r="AO190" i="4"/>
  <c r="AO191" i="4"/>
  <c r="AO192" i="4"/>
  <c r="AO193" i="4"/>
  <c r="AO194" i="4"/>
  <c r="AO195" i="4"/>
  <c r="AO196" i="4"/>
  <c r="AO197" i="4"/>
  <c r="AO198" i="4"/>
  <c r="AO199" i="4"/>
  <c r="AO200" i="4"/>
  <c r="AO201" i="4"/>
  <c r="AO202" i="4"/>
  <c r="AO203" i="4"/>
  <c r="AO204" i="4"/>
  <c r="AO205" i="4"/>
  <c r="AO206" i="4"/>
  <c r="AO207" i="4"/>
  <c r="AO208" i="4"/>
  <c r="AO209" i="4"/>
  <c r="AO210" i="4"/>
  <c r="AO211" i="4"/>
  <c r="AO212" i="4"/>
  <c r="AO213" i="4"/>
  <c r="AO214" i="4"/>
  <c r="AO215" i="4"/>
  <c r="AO216" i="4"/>
  <c r="AO217" i="4"/>
  <c r="AO218" i="4"/>
  <c r="AO219" i="4"/>
  <c r="AO220" i="4"/>
  <c r="AO221" i="4"/>
  <c r="AO222" i="4"/>
  <c r="AO223" i="4"/>
  <c r="AO224" i="4"/>
  <c r="AO225" i="4"/>
  <c r="AO226" i="4"/>
  <c r="AO227" i="4"/>
  <c r="AO228" i="4"/>
  <c r="AO229" i="4"/>
  <c r="AO230" i="4"/>
  <c r="AO231" i="4"/>
  <c r="AO232" i="4"/>
  <c r="AO233" i="4"/>
  <c r="AO234" i="4"/>
  <c r="AO235" i="4"/>
  <c r="AO236" i="4"/>
  <c r="AO237" i="4"/>
  <c r="AO238" i="4"/>
  <c r="AO239" i="4"/>
  <c r="AO240" i="4"/>
  <c r="AO241" i="4"/>
  <c r="AO242" i="4"/>
  <c r="AO243" i="4"/>
  <c r="AO244" i="4"/>
  <c r="AO245" i="4"/>
  <c r="AO246" i="4"/>
  <c r="AO247" i="4"/>
  <c r="AO248" i="4"/>
  <c r="AO249" i="4"/>
  <c r="AO250" i="4"/>
  <c r="AO251" i="4"/>
  <c r="AO252" i="4"/>
  <c r="AO253" i="4"/>
  <c r="AO254" i="4"/>
  <c r="AO255" i="4"/>
  <c r="AO256" i="4"/>
  <c r="AO257" i="4"/>
  <c r="AO258" i="4"/>
  <c r="AO259" i="4"/>
  <c r="AO260" i="4"/>
  <c r="AO261" i="4"/>
  <c r="AO262" i="4"/>
  <c r="AO263" i="4"/>
  <c r="AO264" i="4"/>
  <c r="AO265" i="4"/>
  <c r="AO266" i="4"/>
  <c r="AO267" i="4"/>
  <c r="AO268" i="4"/>
  <c r="AO269" i="4"/>
  <c r="AO270" i="4"/>
  <c r="AO271" i="4"/>
  <c r="AO272" i="4"/>
  <c r="AO273" i="4"/>
  <c r="AO274" i="4"/>
  <c r="AO275" i="4"/>
  <c r="AO276" i="4"/>
  <c r="AO277" i="4"/>
  <c r="AO278" i="4"/>
  <c r="AO279" i="4"/>
  <c r="AO280" i="4"/>
  <c r="AO281" i="4"/>
  <c r="AO282" i="4"/>
  <c r="AO283" i="4"/>
  <c r="AO284" i="4"/>
  <c r="AO285" i="4"/>
  <c r="AO286" i="4"/>
  <c r="AO287" i="4"/>
  <c r="AO288" i="4"/>
  <c r="AO289" i="4"/>
  <c r="AO290" i="4"/>
  <c r="AO291" i="4"/>
  <c r="AO292" i="4"/>
  <c r="AO293" i="4"/>
  <c r="AO294" i="4"/>
  <c r="AO295" i="4"/>
  <c r="AO3" i="4"/>
  <c r="AL4" i="4"/>
  <c r="AL5" i="4"/>
  <c r="AL6" i="4"/>
  <c r="AL7" i="4"/>
  <c r="AL8" i="4"/>
  <c r="AL9" i="4"/>
  <c r="AL10" i="4"/>
  <c r="AL11" i="4"/>
  <c r="AL12" i="4"/>
  <c r="AL13" i="4"/>
  <c r="AL14" i="4"/>
  <c r="AL15" i="4"/>
  <c r="AL16" i="4"/>
  <c r="AL17" i="4"/>
  <c r="AL18" i="4"/>
  <c r="AL19" i="4"/>
  <c r="AL20" i="4"/>
  <c r="AL21" i="4"/>
  <c r="AL22" i="4"/>
  <c r="AL23" i="4"/>
  <c r="AL24" i="4"/>
  <c r="AL25" i="4"/>
  <c r="AL26" i="4"/>
  <c r="AL27" i="4"/>
  <c r="AL28" i="4"/>
  <c r="AL29" i="4"/>
  <c r="AL30" i="4"/>
  <c r="AL31" i="4"/>
  <c r="AL32" i="4"/>
  <c r="AL33" i="4"/>
  <c r="AL34" i="4"/>
  <c r="AL35" i="4"/>
  <c r="AL36" i="4"/>
  <c r="AL37" i="4"/>
  <c r="AL38" i="4"/>
  <c r="AL39" i="4"/>
  <c r="AL40" i="4"/>
  <c r="AL41" i="4"/>
  <c r="AL42" i="4"/>
  <c r="AL43" i="4"/>
  <c r="AL44" i="4"/>
  <c r="AL45" i="4"/>
  <c r="AL46" i="4"/>
  <c r="AL47" i="4"/>
  <c r="AL48" i="4"/>
  <c r="AL49" i="4"/>
  <c r="AL50" i="4"/>
  <c r="AL51" i="4"/>
  <c r="AL52" i="4"/>
  <c r="AL53" i="4"/>
  <c r="AL54" i="4"/>
  <c r="AL55" i="4"/>
  <c r="AL56" i="4"/>
  <c r="AL57" i="4"/>
  <c r="AL58" i="4"/>
  <c r="AL59" i="4"/>
  <c r="AL60" i="4"/>
  <c r="AL61" i="4"/>
  <c r="AL62" i="4"/>
  <c r="AL63" i="4"/>
  <c r="AL64" i="4"/>
  <c r="AL65" i="4"/>
  <c r="AL66" i="4"/>
  <c r="AL67" i="4"/>
  <c r="AL68" i="4"/>
  <c r="AL69" i="4"/>
  <c r="AL70" i="4"/>
  <c r="AL71" i="4"/>
  <c r="AL72" i="4"/>
  <c r="AL73" i="4"/>
  <c r="AL74" i="4"/>
  <c r="AL75" i="4"/>
  <c r="AL76" i="4"/>
  <c r="AL77" i="4"/>
  <c r="AL78" i="4"/>
  <c r="AL79" i="4"/>
  <c r="AL80" i="4"/>
  <c r="AL81" i="4"/>
  <c r="AL82" i="4"/>
  <c r="AL83" i="4"/>
  <c r="AL84" i="4"/>
  <c r="AL85" i="4"/>
  <c r="AL86" i="4"/>
  <c r="AL87" i="4"/>
  <c r="AL88" i="4"/>
  <c r="AL89" i="4"/>
  <c r="AL90" i="4"/>
  <c r="AL91" i="4"/>
  <c r="AL92" i="4"/>
  <c r="AL93" i="4"/>
  <c r="AL94" i="4"/>
  <c r="AL95" i="4"/>
  <c r="AL96" i="4"/>
  <c r="AL97" i="4"/>
  <c r="AL98" i="4"/>
  <c r="AL99" i="4"/>
  <c r="AL100" i="4"/>
  <c r="AL101" i="4"/>
  <c r="AL102" i="4"/>
  <c r="AL103" i="4"/>
  <c r="AL104" i="4"/>
  <c r="AL105" i="4"/>
  <c r="AL106" i="4"/>
  <c r="AL107" i="4"/>
  <c r="AL108" i="4"/>
  <c r="AL109" i="4"/>
  <c r="AL110" i="4"/>
  <c r="AL111" i="4"/>
  <c r="AL112" i="4"/>
  <c r="AL113" i="4"/>
  <c r="AL114" i="4"/>
  <c r="AL115" i="4"/>
  <c r="AL116" i="4"/>
  <c r="AL117" i="4"/>
  <c r="AL118" i="4"/>
  <c r="AL119" i="4"/>
  <c r="AL120" i="4"/>
  <c r="AL121" i="4"/>
  <c r="AL122" i="4"/>
  <c r="AL123" i="4"/>
  <c r="AL124" i="4"/>
  <c r="AL125" i="4"/>
  <c r="AL126" i="4"/>
  <c r="AL127" i="4"/>
  <c r="AL128" i="4"/>
  <c r="AL129" i="4"/>
  <c r="AL130" i="4"/>
  <c r="AL131" i="4"/>
  <c r="AL132" i="4"/>
  <c r="AL133" i="4"/>
  <c r="AL134" i="4"/>
  <c r="AL135" i="4"/>
  <c r="AL136" i="4"/>
  <c r="AL137" i="4"/>
  <c r="AL138" i="4"/>
  <c r="AL139" i="4"/>
  <c r="AL140" i="4"/>
  <c r="AL141" i="4"/>
  <c r="AL142" i="4"/>
  <c r="AL143" i="4"/>
  <c r="AL144" i="4"/>
  <c r="AL145" i="4"/>
  <c r="AL146" i="4"/>
  <c r="AL147" i="4"/>
  <c r="AL148" i="4"/>
  <c r="AL149" i="4"/>
  <c r="AL150" i="4"/>
  <c r="AL151" i="4"/>
  <c r="AL152" i="4"/>
  <c r="AL153" i="4"/>
  <c r="AL154" i="4"/>
  <c r="AL155" i="4"/>
  <c r="AL156" i="4"/>
  <c r="AL157" i="4"/>
  <c r="AL158" i="4"/>
  <c r="AL159" i="4"/>
  <c r="AL160" i="4"/>
  <c r="AL161" i="4"/>
  <c r="AL162" i="4"/>
  <c r="AL163" i="4"/>
  <c r="AL164" i="4"/>
  <c r="AL165" i="4"/>
  <c r="AL166" i="4"/>
  <c r="AL167" i="4"/>
  <c r="AL168" i="4"/>
  <c r="AL169" i="4"/>
  <c r="AL170" i="4"/>
  <c r="AL171" i="4"/>
  <c r="AL172" i="4"/>
  <c r="AL173" i="4"/>
  <c r="AL174" i="4"/>
  <c r="AL175" i="4"/>
  <c r="AL176" i="4"/>
  <c r="AL177" i="4"/>
  <c r="AL178" i="4"/>
  <c r="AL179" i="4"/>
  <c r="AL180" i="4"/>
  <c r="AL181" i="4"/>
  <c r="AL182" i="4"/>
  <c r="AL183" i="4"/>
  <c r="AL184" i="4"/>
  <c r="AL185" i="4"/>
  <c r="AL186" i="4"/>
  <c r="AL187" i="4"/>
  <c r="AL188" i="4"/>
  <c r="AL189" i="4"/>
  <c r="AL190" i="4"/>
  <c r="AL191" i="4"/>
  <c r="AL192" i="4"/>
  <c r="AL193" i="4"/>
  <c r="AL194" i="4"/>
  <c r="AL195" i="4"/>
  <c r="AL196" i="4"/>
  <c r="AL197" i="4"/>
  <c r="AL198" i="4"/>
  <c r="AL199" i="4"/>
  <c r="AL200" i="4"/>
  <c r="AL201" i="4"/>
  <c r="AL202" i="4"/>
  <c r="AL203" i="4"/>
  <c r="AL204" i="4"/>
  <c r="AL205" i="4"/>
  <c r="AL206" i="4"/>
  <c r="AL207" i="4"/>
  <c r="AL208" i="4"/>
  <c r="AL209" i="4"/>
  <c r="AL210" i="4"/>
  <c r="AL211" i="4"/>
  <c r="AL212" i="4"/>
  <c r="AL213" i="4"/>
  <c r="AL214" i="4"/>
  <c r="AL215" i="4"/>
  <c r="AL216" i="4"/>
  <c r="AL217" i="4"/>
  <c r="AL218" i="4"/>
  <c r="AL219" i="4"/>
  <c r="AL220" i="4"/>
  <c r="AL221" i="4"/>
  <c r="AL222" i="4"/>
  <c r="AL223" i="4"/>
  <c r="AL224" i="4"/>
  <c r="AL225" i="4"/>
  <c r="AL226" i="4"/>
  <c r="AL227" i="4"/>
  <c r="AL228" i="4"/>
  <c r="AL229" i="4"/>
  <c r="AL230" i="4"/>
  <c r="AL231" i="4"/>
  <c r="AL232" i="4"/>
  <c r="AL233" i="4"/>
  <c r="AL234" i="4"/>
  <c r="AL235" i="4"/>
  <c r="AL236" i="4"/>
  <c r="AL237" i="4"/>
  <c r="AL238" i="4"/>
  <c r="AL239" i="4"/>
  <c r="AL240" i="4"/>
  <c r="AL241" i="4"/>
  <c r="AL242" i="4"/>
  <c r="AL243" i="4"/>
  <c r="AL244" i="4"/>
  <c r="AL245" i="4"/>
  <c r="AL246" i="4"/>
  <c r="AL247" i="4"/>
  <c r="AL248" i="4"/>
  <c r="AL249" i="4"/>
  <c r="AL250" i="4"/>
  <c r="AL251" i="4"/>
  <c r="AL252" i="4"/>
  <c r="AL253" i="4"/>
  <c r="AL254" i="4"/>
  <c r="AL255" i="4"/>
  <c r="AL256" i="4"/>
  <c r="AL257" i="4"/>
  <c r="AL258" i="4"/>
  <c r="AL259" i="4"/>
  <c r="AL260" i="4"/>
  <c r="AL261" i="4"/>
  <c r="AL262" i="4"/>
  <c r="AL263" i="4"/>
  <c r="AL264" i="4"/>
  <c r="AL265" i="4"/>
  <c r="AL266" i="4"/>
  <c r="AL267" i="4"/>
  <c r="AL268" i="4"/>
  <c r="AL269" i="4"/>
  <c r="AL270" i="4"/>
  <c r="AL271" i="4"/>
  <c r="AL272" i="4"/>
  <c r="AL273" i="4"/>
  <c r="AL274" i="4"/>
  <c r="AL275" i="4"/>
  <c r="AL276" i="4"/>
  <c r="AL277" i="4"/>
  <c r="AL278" i="4"/>
  <c r="AL279" i="4"/>
  <c r="AL280" i="4"/>
  <c r="AL281" i="4"/>
  <c r="AL282" i="4"/>
  <c r="AL283" i="4"/>
  <c r="AL284" i="4"/>
  <c r="AL285" i="4"/>
  <c r="AL286" i="4"/>
  <c r="AL287" i="4"/>
  <c r="AL288" i="4"/>
  <c r="AL289" i="4"/>
  <c r="AL290" i="4"/>
  <c r="AL291" i="4"/>
  <c r="AL292" i="4"/>
  <c r="AL293" i="4"/>
  <c r="AL294" i="4"/>
  <c r="AL295" i="4"/>
  <c r="AL3" i="4"/>
  <c r="AI4" i="4"/>
  <c r="AI5" i="4"/>
  <c r="AI6" i="4"/>
  <c r="AI7" i="4"/>
  <c r="AI8" i="4"/>
  <c r="AI9" i="4"/>
  <c r="AI10" i="4"/>
  <c r="AI11" i="4"/>
  <c r="AI12" i="4"/>
  <c r="AI13" i="4"/>
  <c r="AI14" i="4"/>
  <c r="AI15" i="4"/>
  <c r="AI16" i="4"/>
  <c r="AI17" i="4"/>
  <c r="AI18" i="4"/>
  <c r="AI19" i="4"/>
  <c r="AI20" i="4"/>
  <c r="AI21" i="4"/>
  <c r="AI22" i="4"/>
  <c r="AI23" i="4"/>
  <c r="AI24" i="4"/>
  <c r="AI25" i="4"/>
  <c r="AI26" i="4"/>
  <c r="AI27" i="4"/>
  <c r="AI28" i="4"/>
  <c r="AI29" i="4"/>
  <c r="AI30" i="4"/>
  <c r="AI31" i="4"/>
  <c r="AI32" i="4"/>
  <c r="AI33" i="4"/>
  <c r="AI34" i="4"/>
  <c r="AI35" i="4"/>
  <c r="AI36" i="4"/>
  <c r="AI37" i="4"/>
  <c r="AI38" i="4"/>
  <c r="AI39" i="4"/>
  <c r="AI40" i="4"/>
  <c r="AI41" i="4"/>
  <c r="AI42" i="4"/>
  <c r="AI43" i="4"/>
  <c r="AI44" i="4"/>
  <c r="AI45" i="4"/>
  <c r="AI46" i="4"/>
  <c r="AI47" i="4"/>
  <c r="AI48" i="4"/>
  <c r="AI49" i="4"/>
  <c r="AI50" i="4"/>
  <c r="AI51" i="4"/>
  <c r="AI52" i="4"/>
  <c r="AI53" i="4"/>
  <c r="AI54" i="4"/>
  <c r="AI55" i="4"/>
  <c r="AI56" i="4"/>
  <c r="AI57" i="4"/>
  <c r="AI58" i="4"/>
  <c r="AI59" i="4"/>
  <c r="AI60" i="4"/>
  <c r="AI61" i="4"/>
  <c r="AI62" i="4"/>
  <c r="AI63" i="4"/>
  <c r="AI64" i="4"/>
  <c r="AI65" i="4"/>
  <c r="AI66" i="4"/>
  <c r="AI67" i="4"/>
  <c r="AI68" i="4"/>
  <c r="AI69" i="4"/>
  <c r="AI70" i="4"/>
  <c r="AI71" i="4"/>
  <c r="AI72" i="4"/>
  <c r="AI73" i="4"/>
  <c r="AI74" i="4"/>
  <c r="AI75" i="4"/>
  <c r="AI76" i="4"/>
  <c r="AI77" i="4"/>
  <c r="AI78" i="4"/>
  <c r="AI79" i="4"/>
  <c r="AI80" i="4"/>
  <c r="AI81" i="4"/>
  <c r="AI82" i="4"/>
  <c r="AI83" i="4"/>
  <c r="AI84" i="4"/>
  <c r="AI85" i="4"/>
  <c r="AI86" i="4"/>
  <c r="AI87" i="4"/>
  <c r="AI88" i="4"/>
  <c r="AI89" i="4"/>
  <c r="AI90" i="4"/>
  <c r="AI91" i="4"/>
  <c r="AI92" i="4"/>
  <c r="AI93" i="4"/>
  <c r="AI94" i="4"/>
  <c r="AI95" i="4"/>
  <c r="AI96" i="4"/>
  <c r="AI97" i="4"/>
  <c r="AI98" i="4"/>
  <c r="AI99" i="4"/>
  <c r="AI100" i="4"/>
  <c r="AI101" i="4"/>
  <c r="AI102" i="4"/>
  <c r="AI103" i="4"/>
  <c r="AI104" i="4"/>
  <c r="AI105" i="4"/>
  <c r="AI106" i="4"/>
  <c r="AI107" i="4"/>
  <c r="AI108" i="4"/>
  <c r="AI109" i="4"/>
  <c r="AI110" i="4"/>
  <c r="AI111" i="4"/>
  <c r="AI112" i="4"/>
  <c r="AI113" i="4"/>
  <c r="AI114" i="4"/>
  <c r="AI115" i="4"/>
  <c r="AI116" i="4"/>
  <c r="AI117" i="4"/>
  <c r="AI118" i="4"/>
  <c r="AI119" i="4"/>
  <c r="AI120" i="4"/>
  <c r="AI121" i="4"/>
  <c r="AI122" i="4"/>
  <c r="AI123" i="4"/>
  <c r="AI124" i="4"/>
  <c r="AI125" i="4"/>
  <c r="AI126" i="4"/>
  <c r="AI127" i="4"/>
  <c r="AI128" i="4"/>
  <c r="AI129" i="4"/>
  <c r="AI130" i="4"/>
  <c r="AI131" i="4"/>
  <c r="AI132" i="4"/>
  <c r="AI133" i="4"/>
  <c r="AI134" i="4"/>
  <c r="AI135" i="4"/>
  <c r="AI136" i="4"/>
  <c r="AI137" i="4"/>
  <c r="AI138" i="4"/>
  <c r="AI139" i="4"/>
  <c r="AI140" i="4"/>
  <c r="AI141" i="4"/>
  <c r="AI142" i="4"/>
  <c r="AI143" i="4"/>
  <c r="AI144" i="4"/>
  <c r="AI145" i="4"/>
  <c r="AI146" i="4"/>
  <c r="AI147" i="4"/>
  <c r="AI148" i="4"/>
  <c r="AI149" i="4"/>
  <c r="AI150" i="4"/>
  <c r="AI151" i="4"/>
  <c r="AI152" i="4"/>
  <c r="AI153" i="4"/>
  <c r="AI154" i="4"/>
  <c r="AI155" i="4"/>
  <c r="AI156" i="4"/>
  <c r="AI157" i="4"/>
  <c r="AI158" i="4"/>
  <c r="AI159" i="4"/>
  <c r="AI160" i="4"/>
  <c r="AI161" i="4"/>
  <c r="AI162" i="4"/>
  <c r="AI163" i="4"/>
  <c r="AI164" i="4"/>
  <c r="AI165" i="4"/>
  <c r="AI166" i="4"/>
  <c r="AI167" i="4"/>
  <c r="AI168" i="4"/>
  <c r="AI169" i="4"/>
  <c r="AI170" i="4"/>
  <c r="AI171" i="4"/>
  <c r="AI172" i="4"/>
  <c r="AI173" i="4"/>
  <c r="AI174" i="4"/>
  <c r="AI175" i="4"/>
  <c r="AI176" i="4"/>
  <c r="AI177" i="4"/>
  <c r="AI178" i="4"/>
  <c r="AI179" i="4"/>
  <c r="AI180" i="4"/>
  <c r="AI181" i="4"/>
  <c r="AI182" i="4"/>
  <c r="AI183" i="4"/>
  <c r="AI184" i="4"/>
  <c r="AI185" i="4"/>
  <c r="AI186" i="4"/>
  <c r="AI187" i="4"/>
  <c r="AI188" i="4"/>
  <c r="AI189" i="4"/>
  <c r="AI190" i="4"/>
  <c r="AI191" i="4"/>
  <c r="AI192" i="4"/>
  <c r="AI193" i="4"/>
  <c r="AI194" i="4"/>
  <c r="AI195" i="4"/>
  <c r="AI196" i="4"/>
  <c r="AI197" i="4"/>
  <c r="AI198" i="4"/>
  <c r="AI199" i="4"/>
  <c r="AI200" i="4"/>
  <c r="AI201" i="4"/>
  <c r="AI202" i="4"/>
  <c r="AI203" i="4"/>
  <c r="AI204" i="4"/>
  <c r="AI205" i="4"/>
  <c r="AI206" i="4"/>
  <c r="AI207" i="4"/>
  <c r="AI208" i="4"/>
  <c r="AI209" i="4"/>
  <c r="AI210" i="4"/>
  <c r="AI211" i="4"/>
  <c r="AI212" i="4"/>
  <c r="AI213" i="4"/>
  <c r="AI214" i="4"/>
  <c r="AI215" i="4"/>
  <c r="AI216" i="4"/>
  <c r="AI217" i="4"/>
  <c r="AI218" i="4"/>
  <c r="AI219" i="4"/>
  <c r="AI220" i="4"/>
  <c r="AI221" i="4"/>
  <c r="AI222" i="4"/>
  <c r="AI223" i="4"/>
  <c r="AI224" i="4"/>
  <c r="AI225" i="4"/>
  <c r="AI226" i="4"/>
  <c r="AI227" i="4"/>
  <c r="AI228" i="4"/>
  <c r="AI229" i="4"/>
  <c r="AI230" i="4"/>
  <c r="AI231" i="4"/>
  <c r="AI232" i="4"/>
  <c r="AI233" i="4"/>
  <c r="AI234" i="4"/>
  <c r="AI235" i="4"/>
  <c r="AI236" i="4"/>
  <c r="AI237" i="4"/>
  <c r="AI238" i="4"/>
  <c r="AI239" i="4"/>
  <c r="AI240" i="4"/>
  <c r="AI241" i="4"/>
  <c r="AI242" i="4"/>
  <c r="AI243" i="4"/>
  <c r="AI244" i="4"/>
  <c r="AI245" i="4"/>
  <c r="AI246" i="4"/>
  <c r="AI247" i="4"/>
  <c r="AI248" i="4"/>
  <c r="AI249" i="4"/>
  <c r="AI250" i="4"/>
  <c r="AI251" i="4"/>
  <c r="AI252" i="4"/>
  <c r="AI253" i="4"/>
  <c r="AI254" i="4"/>
  <c r="AI255" i="4"/>
  <c r="AI256" i="4"/>
  <c r="AI257" i="4"/>
  <c r="AI258" i="4"/>
  <c r="AI259" i="4"/>
  <c r="AI260" i="4"/>
  <c r="AI261" i="4"/>
  <c r="AI262" i="4"/>
  <c r="AI263" i="4"/>
  <c r="AI264" i="4"/>
  <c r="AI265" i="4"/>
  <c r="AI266" i="4"/>
  <c r="AI267" i="4"/>
  <c r="AI268" i="4"/>
  <c r="AI269" i="4"/>
  <c r="AI270" i="4"/>
  <c r="AI271" i="4"/>
  <c r="AI272" i="4"/>
  <c r="AI273" i="4"/>
  <c r="AI274" i="4"/>
  <c r="AI275" i="4"/>
  <c r="AI276" i="4"/>
  <c r="AI277" i="4"/>
  <c r="AI278" i="4"/>
  <c r="AI279" i="4"/>
  <c r="AI280" i="4"/>
  <c r="AI281" i="4"/>
  <c r="AI282" i="4"/>
  <c r="AI283" i="4"/>
  <c r="AI284" i="4"/>
  <c r="AI285" i="4"/>
  <c r="AI286" i="4"/>
  <c r="AI287" i="4"/>
  <c r="AI288" i="4"/>
  <c r="AI289" i="4"/>
  <c r="AI290" i="4"/>
  <c r="AI291" i="4"/>
  <c r="AI292" i="4"/>
  <c r="AI293" i="4"/>
  <c r="AI294" i="4"/>
  <c r="AI295" i="4"/>
  <c r="AI3" i="4"/>
  <c r="AF4" i="4"/>
  <c r="AF5" i="4"/>
  <c r="AF6" i="4"/>
  <c r="AF7" i="4"/>
  <c r="AF8" i="4"/>
  <c r="AF9" i="4"/>
  <c r="AF10" i="4"/>
  <c r="AF11" i="4"/>
  <c r="AF12" i="4"/>
  <c r="AF13" i="4"/>
  <c r="AF14" i="4"/>
  <c r="AF15" i="4"/>
  <c r="AF16" i="4"/>
  <c r="AF17" i="4"/>
  <c r="AF18" i="4"/>
  <c r="AF19" i="4"/>
  <c r="AF20" i="4"/>
  <c r="AF21" i="4"/>
  <c r="AF22" i="4"/>
  <c r="AF23" i="4"/>
  <c r="AF24" i="4"/>
  <c r="AF25" i="4"/>
  <c r="AF26" i="4"/>
  <c r="AF27" i="4"/>
  <c r="AF28" i="4"/>
  <c r="AF29" i="4"/>
  <c r="AF30" i="4"/>
  <c r="AF31" i="4"/>
  <c r="AF32" i="4"/>
  <c r="AF33" i="4"/>
  <c r="AF34" i="4"/>
  <c r="AF35" i="4"/>
  <c r="AF36" i="4"/>
  <c r="AF37" i="4"/>
  <c r="AF38" i="4"/>
  <c r="AF39" i="4"/>
  <c r="AF40" i="4"/>
  <c r="AF41" i="4"/>
  <c r="AF42" i="4"/>
  <c r="AF43" i="4"/>
  <c r="AF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61" i="4"/>
  <c r="AF62" i="4"/>
  <c r="AF63" i="4"/>
  <c r="AF64" i="4"/>
  <c r="AF65" i="4"/>
  <c r="AF66" i="4"/>
  <c r="AF67" i="4"/>
  <c r="AF68" i="4"/>
  <c r="AF69" i="4"/>
  <c r="AF70" i="4"/>
  <c r="AF71" i="4"/>
  <c r="AF72" i="4"/>
  <c r="AF73" i="4"/>
  <c r="AF74" i="4"/>
  <c r="AF75" i="4"/>
  <c r="AF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93" i="4"/>
  <c r="AF94" i="4"/>
  <c r="AF95" i="4"/>
  <c r="AF96" i="4"/>
  <c r="AF97" i="4"/>
  <c r="AF98" i="4"/>
  <c r="AF99" i="4"/>
  <c r="AF100" i="4"/>
  <c r="AF101" i="4"/>
  <c r="AF102" i="4"/>
  <c r="AF103" i="4"/>
  <c r="AF104" i="4"/>
  <c r="AF105" i="4"/>
  <c r="AF106" i="4"/>
  <c r="AF107" i="4"/>
  <c r="AF108" i="4"/>
  <c r="AF109" i="4"/>
  <c r="AF110" i="4"/>
  <c r="AF111" i="4"/>
  <c r="AF112" i="4"/>
  <c r="AF113" i="4"/>
  <c r="AF114" i="4"/>
  <c r="AF115" i="4"/>
  <c r="AF116" i="4"/>
  <c r="AF117" i="4"/>
  <c r="AF118" i="4"/>
  <c r="AF119" i="4"/>
  <c r="AF120" i="4"/>
  <c r="AF121" i="4"/>
  <c r="AF122" i="4"/>
  <c r="AF123" i="4"/>
  <c r="AF124" i="4"/>
  <c r="AF125" i="4"/>
  <c r="AF126" i="4"/>
  <c r="AF127" i="4"/>
  <c r="AF128" i="4"/>
  <c r="AF129" i="4"/>
  <c r="AF130" i="4"/>
  <c r="AF131" i="4"/>
  <c r="AF132" i="4"/>
  <c r="AF133" i="4"/>
  <c r="AF134" i="4"/>
  <c r="AF135" i="4"/>
  <c r="AF136" i="4"/>
  <c r="AF137" i="4"/>
  <c r="AF138" i="4"/>
  <c r="AF139" i="4"/>
  <c r="AF140" i="4"/>
  <c r="AF141" i="4"/>
  <c r="AF142" i="4"/>
  <c r="AF143" i="4"/>
  <c r="F38" i="1" s="1"/>
  <c r="AF144" i="4"/>
  <c r="AF145" i="4"/>
  <c r="AF146" i="4"/>
  <c r="AF147" i="4"/>
  <c r="AF148" i="4"/>
  <c r="AF149" i="4"/>
  <c r="AF150" i="4"/>
  <c r="AF151" i="4"/>
  <c r="AF152" i="4"/>
  <c r="AF153" i="4"/>
  <c r="AF154" i="4"/>
  <c r="AF155" i="4"/>
  <c r="AF156" i="4"/>
  <c r="AF157" i="4"/>
  <c r="AF158" i="4"/>
  <c r="AF159" i="4"/>
  <c r="AF160" i="4"/>
  <c r="AF161" i="4"/>
  <c r="AF162" i="4"/>
  <c r="AF163" i="4"/>
  <c r="AF164" i="4"/>
  <c r="AF165" i="4"/>
  <c r="AF166" i="4"/>
  <c r="AF167" i="4"/>
  <c r="AF168" i="4"/>
  <c r="AF169" i="4"/>
  <c r="AF170" i="4"/>
  <c r="AF171" i="4"/>
  <c r="AF172" i="4"/>
  <c r="AF173" i="4"/>
  <c r="AF174" i="4"/>
  <c r="AF175" i="4"/>
  <c r="AF176" i="4"/>
  <c r="AF177" i="4"/>
  <c r="AF178" i="4"/>
  <c r="AF179" i="4"/>
  <c r="AF180" i="4"/>
  <c r="AF181" i="4"/>
  <c r="AF182" i="4"/>
  <c r="AF183" i="4"/>
  <c r="AF184" i="4"/>
  <c r="AF185" i="4"/>
  <c r="AF186" i="4"/>
  <c r="AF187" i="4"/>
  <c r="AF188" i="4"/>
  <c r="AF189" i="4"/>
  <c r="AF190" i="4"/>
  <c r="AF191" i="4"/>
  <c r="AF192" i="4"/>
  <c r="AF193" i="4"/>
  <c r="AF194" i="4"/>
  <c r="AF195" i="4"/>
  <c r="AF196" i="4"/>
  <c r="AF197" i="4"/>
  <c r="AF198" i="4"/>
  <c r="AF199" i="4"/>
  <c r="AF200" i="4"/>
  <c r="AF201" i="4"/>
  <c r="AF202" i="4"/>
  <c r="AF203" i="4"/>
  <c r="AF204" i="4"/>
  <c r="AF205" i="4"/>
  <c r="AF206" i="4"/>
  <c r="AF207" i="4"/>
  <c r="AF208" i="4"/>
  <c r="AF209" i="4"/>
  <c r="AF210" i="4"/>
  <c r="AF211" i="4"/>
  <c r="AF212" i="4"/>
  <c r="AF213" i="4"/>
  <c r="AF214" i="4"/>
  <c r="AF215" i="4"/>
  <c r="AF216" i="4"/>
  <c r="AF217" i="4"/>
  <c r="AF218" i="4"/>
  <c r="AF219" i="4"/>
  <c r="AF220" i="4"/>
  <c r="AF221" i="4"/>
  <c r="AF222" i="4"/>
  <c r="AF223" i="4"/>
  <c r="AF224" i="4"/>
  <c r="AF225" i="4"/>
  <c r="AF226" i="4"/>
  <c r="AF227" i="4"/>
  <c r="AF228" i="4"/>
  <c r="AF229" i="4"/>
  <c r="AF230" i="4"/>
  <c r="AF231" i="4"/>
  <c r="AF232" i="4"/>
  <c r="AF233" i="4"/>
  <c r="AF234" i="4"/>
  <c r="AF235" i="4"/>
  <c r="AF236" i="4"/>
  <c r="AF237" i="4"/>
  <c r="AF238" i="4"/>
  <c r="AF239" i="4"/>
  <c r="AF240" i="4"/>
  <c r="AF241" i="4"/>
  <c r="AF242" i="4"/>
  <c r="AF243" i="4"/>
  <c r="AF244" i="4"/>
  <c r="AF245" i="4"/>
  <c r="AF246" i="4"/>
  <c r="AF247" i="4"/>
  <c r="AF248" i="4"/>
  <c r="AF249" i="4"/>
  <c r="AF250" i="4"/>
  <c r="AF251" i="4"/>
  <c r="AF252" i="4"/>
  <c r="AF253" i="4"/>
  <c r="AF254" i="4"/>
  <c r="AF255" i="4"/>
  <c r="AF256" i="4"/>
  <c r="AF257" i="4"/>
  <c r="AF258" i="4"/>
  <c r="AF259" i="4"/>
  <c r="AF260" i="4"/>
  <c r="AF261" i="4"/>
  <c r="AF262" i="4"/>
  <c r="AF263" i="4"/>
  <c r="AF264" i="4"/>
  <c r="AF265" i="4"/>
  <c r="AF266" i="4"/>
  <c r="AF267" i="4"/>
  <c r="AF268" i="4"/>
  <c r="AF269" i="4"/>
  <c r="AF270" i="4"/>
  <c r="AF271" i="4"/>
  <c r="AF272" i="4"/>
  <c r="AF273" i="4"/>
  <c r="AF274" i="4"/>
  <c r="AF275" i="4"/>
  <c r="AF276" i="4"/>
  <c r="AF277" i="4"/>
  <c r="AF278" i="4"/>
  <c r="AF279" i="4"/>
  <c r="AF280" i="4"/>
  <c r="AF281" i="4"/>
  <c r="AF282" i="4"/>
  <c r="AF283" i="4"/>
  <c r="AF284" i="4"/>
  <c r="AF285" i="4"/>
  <c r="AF286" i="4"/>
  <c r="AF287" i="4"/>
  <c r="AF288" i="4"/>
  <c r="AF289" i="4"/>
  <c r="AF290" i="4"/>
  <c r="AF291" i="4"/>
  <c r="AF292" i="4"/>
  <c r="AF293" i="4"/>
  <c r="AF294" i="4"/>
  <c r="AF295" i="4"/>
  <c r="AF3" i="4"/>
  <c r="AC4" i="4"/>
  <c r="AC5" i="4"/>
  <c r="AC6" i="4"/>
  <c r="AC7" i="4"/>
  <c r="AC8" i="4"/>
  <c r="AC9" i="4"/>
  <c r="AC10" i="4"/>
  <c r="AC11" i="4"/>
  <c r="AC12" i="4"/>
  <c r="AC13" i="4"/>
  <c r="AC14" i="4"/>
  <c r="AC15" i="4"/>
  <c r="AC16" i="4"/>
  <c r="AC17" i="4"/>
  <c r="AC18" i="4"/>
  <c r="AC19" i="4"/>
  <c r="AC20" i="4"/>
  <c r="AC21" i="4"/>
  <c r="AC22" i="4"/>
  <c r="AC23" i="4"/>
  <c r="AC24" i="4"/>
  <c r="AC25" i="4"/>
  <c r="AC26" i="4"/>
  <c r="AC27" i="4"/>
  <c r="AC28" i="4"/>
  <c r="AC29" i="4"/>
  <c r="AC30" i="4"/>
  <c r="AC31" i="4"/>
  <c r="AC32" i="4"/>
  <c r="AC33" i="4"/>
  <c r="AC34" i="4"/>
  <c r="AC35" i="4"/>
  <c r="AC36" i="4"/>
  <c r="AC37" i="4"/>
  <c r="AC38" i="4"/>
  <c r="AC39" i="4"/>
  <c r="AC40" i="4"/>
  <c r="AC41" i="4"/>
  <c r="AC42" i="4"/>
  <c r="AC43" i="4"/>
  <c r="AC44" i="4"/>
  <c r="AC45" i="4"/>
  <c r="AC46" i="4"/>
  <c r="AC47" i="4"/>
  <c r="AC48" i="4"/>
  <c r="AC49" i="4"/>
  <c r="AC50" i="4"/>
  <c r="AC51" i="4"/>
  <c r="AC52" i="4"/>
  <c r="AC53" i="4"/>
  <c r="AC54" i="4"/>
  <c r="AC55" i="4"/>
  <c r="AC56" i="4"/>
  <c r="AC57" i="4"/>
  <c r="AC58" i="4"/>
  <c r="AC59" i="4"/>
  <c r="AC60" i="4"/>
  <c r="AC61" i="4"/>
  <c r="AC62" i="4"/>
  <c r="AC63" i="4"/>
  <c r="AC64" i="4"/>
  <c r="AC65" i="4"/>
  <c r="AC66" i="4"/>
  <c r="AC67" i="4"/>
  <c r="AC68" i="4"/>
  <c r="AC69" i="4"/>
  <c r="AC70" i="4"/>
  <c r="AC71" i="4"/>
  <c r="AC72" i="4"/>
  <c r="AC73" i="4"/>
  <c r="AC74" i="4"/>
  <c r="AC75" i="4"/>
  <c r="AC76" i="4"/>
  <c r="AC77" i="4"/>
  <c r="AC78" i="4"/>
  <c r="AC79" i="4"/>
  <c r="AC80" i="4"/>
  <c r="AC81" i="4"/>
  <c r="AC82" i="4"/>
  <c r="AC83" i="4"/>
  <c r="AC84" i="4"/>
  <c r="AC85" i="4"/>
  <c r="AC86" i="4"/>
  <c r="AC87" i="4"/>
  <c r="AC88" i="4"/>
  <c r="AC89" i="4"/>
  <c r="AC90" i="4"/>
  <c r="AC91" i="4"/>
  <c r="AC92" i="4"/>
  <c r="AC93" i="4"/>
  <c r="AC94" i="4"/>
  <c r="AC95" i="4"/>
  <c r="AC96" i="4"/>
  <c r="AC97" i="4"/>
  <c r="AC98" i="4"/>
  <c r="AC99" i="4"/>
  <c r="AC100" i="4"/>
  <c r="AC101" i="4"/>
  <c r="AC102" i="4"/>
  <c r="AC103" i="4"/>
  <c r="AC104" i="4"/>
  <c r="AC105" i="4"/>
  <c r="AC106" i="4"/>
  <c r="AC107" i="4"/>
  <c r="AC108" i="4"/>
  <c r="AC109" i="4"/>
  <c r="AC110" i="4"/>
  <c r="AC111" i="4"/>
  <c r="AC112" i="4"/>
  <c r="AC113" i="4"/>
  <c r="AC114" i="4"/>
  <c r="AC115" i="4"/>
  <c r="AC116" i="4"/>
  <c r="AC117" i="4"/>
  <c r="AC118" i="4"/>
  <c r="AC119" i="4"/>
  <c r="AC120" i="4"/>
  <c r="AC121" i="4"/>
  <c r="AC122" i="4"/>
  <c r="AC123" i="4"/>
  <c r="AC124" i="4"/>
  <c r="AC125" i="4"/>
  <c r="AC126" i="4"/>
  <c r="AC127" i="4"/>
  <c r="AC128" i="4"/>
  <c r="AC129" i="4"/>
  <c r="AC130" i="4"/>
  <c r="AC131" i="4"/>
  <c r="AC132" i="4"/>
  <c r="AC133" i="4"/>
  <c r="AC134" i="4"/>
  <c r="AC135" i="4"/>
  <c r="AC136" i="4"/>
  <c r="AC137" i="4"/>
  <c r="AC138" i="4"/>
  <c r="AC139" i="4"/>
  <c r="AC140" i="4"/>
  <c r="AC141" i="4"/>
  <c r="AC142" i="4"/>
  <c r="AC143" i="4"/>
  <c r="F20" i="1" s="1"/>
  <c r="AC144" i="4"/>
  <c r="AC145" i="4"/>
  <c r="AC146" i="4"/>
  <c r="AC147" i="4"/>
  <c r="AC148" i="4"/>
  <c r="AC149" i="4"/>
  <c r="AC150" i="4"/>
  <c r="AC151" i="4"/>
  <c r="AC152" i="4"/>
  <c r="AC153" i="4"/>
  <c r="AC154" i="4"/>
  <c r="AC155" i="4"/>
  <c r="AC156" i="4"/>
  <c r="AC157" i="4"/>
  <c r="AC158" i="4"/>
  <c r="AC159" i="4"/>
  <c r="AC160" i="4"/>
  <c r="AC161" i="4"/>
  <c r="AC162" i="4"/>
  <c r="AC163" i="4"/>
  <c r="AC164" i="4"/>
  <c r="AC165" i="4"/>
  <c r="AC166" i="4"/>
  <c r="AC167" i="4"/>
  <c r="AC168" i="4"/>
  <c r="AC169" i="4"/>
  <c r="AC170" i="4"/>
  <c r="AC171" i="4"/>
  <c r="AC172" i="4"/>
  <c r="AC173" i="4"/>
  <c r="AC174" i="4"/>
  <c r="AC175" i="4"/>
  <c r="AC176" i="4"/>
  <c r="AC177" i="4"/>
  <c r="AC178" i="4"/>
  <c r="AC179" i="4"/>
  <c r="AC180" i="4"/>
  <c r="AC181" i="4"/>
  <c r="AC182" i="4"/>
  <c r="AC183" i="4"/>
  <c r="AC184" i="4"/>
  <c r="AC185" i="4"/>
  <c r="AC186" i="4"/>
  <c r="AC187" i="4"/>
  <c r="AC188" i="4"/>
  <c r="AC189" i="4"/>
  <c r="AC190" i="4"/>
  <c r="AC191" i="4"/>
  <c r="AC192" i="4"/>
  <c r="AC193" i="4"/>
  <c r="AC194" i="4"/>
  <c r="AC195" i="4"/>
  <c r="AC196" i="4"/>
  <c r="AC197" i="4"/>
  <c r="AC198" i="4"/>
  <c r="AC199" i="4"/>
  <c r="AC200" i="4"/>
  <c r="AC201" i="4"/>
  <c r="AC202" i="4"/>
  <c r="AC203" i="4"/>
  <c r="AC204" i="4"/>
  <c r="AC205" i="4"/>
  <c r="AC206" i="4"/>
  <c r="AC207" i="4"/>
  <c r="AC208" i="4"/>
  <c r="AC209" i="4"/>
  <c r="AC210" i="4"/>
  <c r="AC211" i="4"/>
  <c r="AC212" i="4"/>
  <c r="AC213" i="4"/>
  <c r="AC214" i="4"/>
  <c r="AC215" i="4"/>
  <c r="AC216" i="4"/>
  <c r="AC217" i="4"/>
  <c r="AC218" i="4"/>
  <c r="AC219" i="4"/>
  <c r="AC220" i="4"/>
  <c r="AC221" i="4"/>
  <c r="AC222" i="4"/>
  <c r="AC223" i="4"/>
  <c r="AC224" i="4"/>
  <c r="AC225" i="4"/>
  <c r="AC226" i="4"/>
  <c r="AC227" i="4"/>
  <c r="AC228" i="4"/>
  <c r="AC229" i="4"/>
  <c r="AC230" i="4"/>
  <c r="AC231" i="4"/>
  <c r="AC232" i="4"/>
  <c r="AC233" i="4"/>
  <c r="AC234" i="4"/>
  <c r="AC235" i="4"/>
  <c r="AC236" i="4"/>
  <c r="AC237" i="4"/>
  <c r="AC238" i="4"/>
  <c r="AC239" i="4"/>
  <c r="AC240" i="4"/>
  <c r="AC241" i="4"/>
  <c r="AC242" i="4"/>
  <c r="AC243" i="4"/>
  <c r="AC244" i="4"/>
  <c r="AC245" i="4"/>
  <c r="AC246" i="4"/>
  <c r="AC247" i="4"/>
  <c r="AC248" i="4"/>
  <c r="AC249" i="4"/>
  <c r="AC250" i="4"/>
  <c r="AC251" i="4"/>
  <c r="AC252" i="4"/>
  <c r="AC253" i="4"/>
  <c r="AC254" i="4"/>
  <c r="AC255" i="4"/>
  <c r="AC256" i="4"/>
  <c r="AC257" i="4"/>
  <c r="AC258" i="4"/>
  <c r="AC259" i="4"/>
  <c r="AC260" i="4"/>
  <c r="AC261" i="4"/>
  <c r="AC262" i="4"/>
  <c r="AC263" i="4"/>
  <c r="AC264" i="4"/>
  <c r="AC265" i="4"/>
  <c r="AC266" i="4"/>
  <c r="AC267" i="4"/>
  <c r="AC268" i="4"/>
  <c r="AC269" i="4"/>
  <c r="AC270" i="4"/>
  <c r="AC271" i="4"/>
  <c r="AC272" i="4"/>
  <c r="AC273" i="4"/>
  <c r="AC274" i="4"/>
  <c r="AC275" i="4"/>
  <c r="AC276" i="4"/>
  <c r="AC277" i="4"/>
  <c r="AC278" i="4"/>
  <c r="AC279" i="4"/>
  <c r="AC280" i="4"/>
  <c r="AC281" i="4"/>
  <c r="AC282" i="4"/>
  <c r="AC283" i="4"/>
  <c r="AC284" i="4"/>
  <c r="AC285" i="4"/>
  <c r="AC286" i="4"/>
  <c r="AC287" i="4"/>
  <c r="AC288" i="4"/>
  <c r="AC289" i="4"/>
  <c r="AC290" i="4"/>
  <c r="AC291" i="4"/>
  <c r="AC292" i="4"/>
  <c r="AC293" i="4"/>
  <c r="AC294" i="4"/>
  <c r="AC295" i="4"/>
  <c r="AC3" i="4"/>
  <c r="Z4" i="4"/>
  <c r="Z5" i="4"/>
  <c r="Z6" i="4"/>
  <c r="Z7" i="4"/>
  <c r="Z8" i="4"/>
  <c r="Z9" i="4"/>
  <c r="Z10" i="4"/>
  <c r="Z11" i="4"/>
  <c r="Z12" i="4"/>
  <c r="Z13" i="4"/>
  <c r="Z14" i="4"/>
  <c r="Z15" i="4"/>
  <c r="Z16" i="4"/>
  <c r="Z17" i="4"/>
  <c r="Z18" i="4"/>
  <c r="Z19" i="4"/>
  <c r="Z20" i="4"/>
  <c r="Z21" i="4"/>
  <c r="Z22" i="4"/>
  <c r="Z23" i="4"/>
  <c r="Z24" i="4"/>
  <c r="Z25" i="4"/>
  <c r="Z26" i="4"/>
  <c r="Z27" i="4"/>
  <c r="Z28" i="4"/>
  <c r="Z29" i="4"/>
  <c r="Z30" i="4"/>
  <c r="Z31" i="4"/>
  <c r="Z32" i="4"/>
  <c r="Z33" i="4"/>
  <c r="Z34" i="4"/>
  <c r="Z35" i="4"/>
  <c r="Z36" i="4"/>
  <c r="Z37" i="4"/>
  <c r="Z38" i="4"/>
  <c r="Z39" i="4"/>
  <c r="Z40" i="4"/>
  <c r="Z41" i="4"/>
  <c r="Z42" i="4"/>
  <c r="Z43" i="4"/>
  <c r="Z44" i="4"/>
  <c r="Z45" i="4"/>
  <c r="Z46" i="4"/>
  <c r="Z47" i="4"/>
  <c r="Z48" i="4"/>
  <c r="Z49" i="4"/>
  <c r="Z50" i="4"/>
  <c r="Z51" i="4"/>
  <c r="Z52" i="4"/>
  <c r="Z53" i="4"/>
  <c r="Z54" i="4"/>
  <c r="Z55" i="4"/>
  <c r="Z56" i="4"/>
  <c r="Z57" i="4"/>
  <c r="Z58" i="4"/>
  <c r="Z59" i="4"/>
  <c r="Z60" i="4"/>
  <c r="Z61" i="4"/>
  <c r="Z62" i="4"/>
  <c r="Z63" i="4"/>
  <c r="Z64" i="4"/>
  <c r="Z65" i="4"/>
  <c r="Z66" i="4"/>
  <c r="Z67" i="4"/>
  <c r="Z68" i="4"/>
  <c r="Z69" i="4"/>
  <c r="Z70" i="4"/>
  <c r="Z71" i="4"/>
  <c r="Z72" i="4"/>
  <c r="Z73" i="4"/>
  <c r="Z74" i="4"/>
  <c r="Z75" i="4"/>
  <c r="Z76" i="4"/>
  <c r="Z77" i="4"/>
  <c r="Z78" i="4"/>
  <c r="Z79" i="4"/>
  <c r="Z80" i="4"/>
  <c r="Z81" i="4"/>
  <c r="Z82" i="4"/>
  <c r="Z83" i="4"/>
  <c r="Z84" i="4"/>
  <c r="Z85" i="4"/>
  <c r="Z86" i="4"/>
  <c r="Z87" i="4"/>
  <c r="Z88" i="4"/>
  <c r="Z89" i="4"/>
  <c r="Z90" i="4"/>
  <c r="Z91" i="4"/>
  <c r="Z92" i="4"/>
  <c r="Z93" i="4"/>
  <c r="Z94" i="4"/>
  <c r="Z95" i="4"/>
  <c r="Z96" i="4"/>
  <c r="Z97" i="4"/>
  <c r="Z98" i="4"/>
  <c r="Z99" i="4"/>
  <c r="Z100" i="4"/>
  <c r="Z101" i="4"/>
  <c r="Z102" i="4"/>
  <c r="Z103" i="4"/>
  <c r="Z104" i="4"/>
  <c r="Z105" i="4"/>
  <c r="Z106" i="4"/>
  <c r="Z107" i="4"/>
  <c r="Z108" i="4"/>
  <c r="Z109" i="4"/>
  <c r="Z110" i="4"/>
  <c r="Z111" i="4"/>
  <c r="Z112" i="4"/>
  <c r="Z113" i="4"/>
  <c r="Z114" i="4"/>
  <c r="Z115" i="4"/>
  <c r="Z116" i="4"/>
  <c r="Z117" i="4"/>
  <c r="Z118" i="4"/>
  <c r="Z119" i="4"/>
  <c r="Z120" i="4"/>
  <c r="Z121" i="4"/>
  <c r="Z122" i="4"/>
  <c r="Z123" i="4"/>
  <c r="Z124" i="4"/>
  <c r="Z125" i="4"/>
  <c r="Z126" i="4"/>
  <c r="Z127" i="4"/>
  <c r="Z128" i="4"/>
  <c r="Z129" i="4"/>
  <c r="Z130" i="4"/>
  <c r="Z131" i="4"/>
  <c r="Z132" i="4"/>
  <c r="Z133" i="4"/>
  <c r="Z134" i="4"/>
  <c r="Z135" i="4"/>
  <c r="Z136" i="4"/>
  <c r="Z137" i="4"/>
  <c r="Z138" i="4"/>
  <c r="Z139" i="4"/>
  <c r="Z140" i="4"/>
  <c r="Z141" i="4"/>
  <c r="Z142" i="4"/>
  <c r="Z143" i="4"/>
  <c r="E56" i="1" s="1"/>
  <c r="Z144" i="4"/>
  <c r="Z145" i="4"/>
  <c r="Z146" i="4"/>
  <c r="Z147" i="4"/>
  <c r="Z148" i="4"/>
  <c r="Z149" i="4"/>
  <c r="Z150" i="4"/>
  <c r="Z151" i="4"/>
  <c r="Z152" i="4"/>
  <c r="Z153" i="4"/>
  <c r="Z154" i="4"/>
  <c r="Z155" i="4"/>
  <c r="Z156" i="4"/>
  <c r="Z157" i="4"/>
  <c r="Z158" i="4"/>
  <c r="Z159" i="4"/>
  <c r="Z160" i="4"/>
  <c r="Z161" i="4"/>
  <c r="Z162" i="4"/>
  <c r="Z163" i="4"/>
  <c r="Z164" i="4"/>
  <c r="Z165" i="4"/>
  <c r="Z166" i="4"/>
  <c r="Z167" i="4"/>
  <c r="Z168" i="4"/>
  <c r="Z169" i="4"/>
  <c r="Z170" i="4"/>
  <c r="Z171" i="4"/>
  <c r="Z172" i="4"/>
  <c r="Z173" i="4"/>
  <c r="Z174" i="4"/>
  <c r="Z175" i="4"/>
  <c r="Z176" i="4"/>
  <c r="Z177" i="4"/>
  <c r="Z178" i="4"/>
  <c r="Z179" i="4"/>
  <c r="Z180" i="4"/>
  <c r="Z181" i="4"/>
  <c r="Z182" i="4"/>
  <c r="Z183" i="4"/>
  <c r="Z184" i="4"/>
  <c r="Z185" i="4"/>
  <c r="Z186" i="4"/>
  <c r="Z187" i="4"/>
  <c r="Z188" i="4"/>
  <c r="Z189" i="4"/>
  <c r="Z190" i="4"/>
  <c r="Z191" i="4"/>
  <c r="Z192" i="4"/>
  <c r="Z193" i="4"/>
  <c r="Z194" i="4"/>
  <c r="Z195" i="4"/>
  <c r="Z196" i="4"/>
  <c r="Z197" i="4"/>
  <c r="Z198" i="4"/>
  <c r="Z199" i="4"/>
  <c r="Z200" i="4"/>
  <c r="Z201" i="4"/>
  <c r="Z202" i="4"/>
  <c r="Z203" i="4"/>
  <c r="Z204" i="4"/>
  <c r="Z205" i="4"/>
  <c r="Z206" i="4"/>
  <c r="Z207" i="4"/>
  <c r="Z208" i="4"/>
  <c r="Z209" i="4"/>
  <c r="Z210" i="4"/>
  <c r="Z211" i="4"/>
  <c r="Z212" i="4"/>
  <c r="Z213" i="4"/>
  <c r="Z214" i="4"/>
  <c r="Z215" i="4"/>
  <c r="Z216" i="4"/>
  <c r="Z217" i="4"/>
  <c r="Z218" i="4"/>
  <c r="Z219" i="4"/>
  <c r="Z220" i="4"/>
  <c r="Z221" i="4"/>
  <c r="Z222" i="4"/>
  <c r="Z223" i="4"/>
  <c r="Z224" i="4"/>
  <c r="Z225" i="4"/>
  <c r="Z226" i="4"/>
  <c r="Z227" i="4"/>
  <c r="Z228" i="4"/>
  <c r="Z229" i="4"/>
  <c r="Z230" i="4"/>
  <c r="Z231" i="4"/>
  <c r="Z232" i="4"/>
  <c r="Z233" i="4"/>
  <c r="Z234" i="4"/>
  <c r="Z235" i="4"/>
  <c r="Z236" i="4"/>
  <c r="Z237" i="4"/>
  <c r="Z238" i="4"/>
  <c r="Z239" i="4"/>
  <c r="Z240" i="4"/>
  <c r="Z241" i="4"/>
  <c r="Z242" i="4"/>
  <c r="Z243" i="4"/>
  <c r="Z244" i="4"/>
  <c r="Z245" i="4"/>
  <c r="Z246" i="4"/>
  <c r="Z247" i="4"/>
  <c r="Z248" i="4"/>
  <c r="Z249" i="4"/>
  <c r="Z250" i="4"/>
  <c r="Z251" i="4"/>
  <c r="Z252" i="4"/>
  <c r="Z253" i="4"/>
  <c r="Z254" i="4"/>
  <c r="Z255" i="4"/>
  <c r="Z256" i="4"/>
  <c r="Z257" i="4"/>
  <c r="Z258" i="4"/>
  <c r="Z259" i="4"/>
  <c r="Z260" i="4"/>
  <c r="Z261" i="4"/>
  <c r="Z262" i="4"/>
  <c r="Z263" i="4"/>
  <c r="Z264" i="4"/>
  <c r="Z265" i="4"/>
  <c r="Z266" i="4"/>
  <c r="Z267" i="4"/>
  <c r="Z268" i="4"/>
  <c r="Z269" i="4"/>
  <c r="Z270" i="4"/>
  <c r="Z271" i="4"/>
  <c r="Z272" i="4"/>
  <c r="Z273" i="4"/>
  <c r="Z274" i="4"/>
  <c r="Z275" i="4"/>
  <c r="Z276" i="4"/>
  <c r="Z277" i="4"/>
  <c r="Z278" i="4"/>
  <c r="Z279" i="4"/>
  <c r="Z280" i="4"/>
  <c r="Z281" i="4"/>
  <c r="Z282" i="4"/>
  <c r="Z283" i="4"/>
  <c r="Z284" i="4"/>
  <c r="Z285" i="4"/>
  <c r="Z286" i="4"/>
  <c r="Z287" i="4"/>
  <c r="Z288" i="4"/>
  <c r="Z289" i="4"/>
  <c r="Z290" i="4"/>
  <c r="Z291" i="4"/>
  <c r="Z292" i="4"/>
  <c r="Z293" i="4"/>
  <c r="Z294" i="4"/>
  <c r="Z295" i="4"/>
  <c r="Z3" i="4"/>
  <c r="W4" i="4"/>
  <c r="W5" i="4"/>
  <c r="W6" i="4"/>
  <c r="W7" i="4"/>
  <c r="W8" i="4"/>
  <c r="W9" i="4"/>
  <c r="W10" i="4"/>
  <c r="W11" i="4"/>
  <c r="W12" i="4"/>
  <c r="W13" i="4"/>
  <c r="W14" i="4"/>
  <c r="W15" i="4"/>
  <c r="W16" i="4"/>
  <c r="W17" i="4"/>
  <c r="W18" i="4"/>
  <c r="W19" i="4"/>
  <c r="W20" i="4"/>
  <c r="W21" i="4"/>
  <c r="W22" i="4"/>
  <c r="W23" i="4"/>
  <c r="W24" i="4"/>
  <c r="W25" i="4"/>
  <c r="W26" i="4"/>
  <c r="W27" i="4"/>
  <c r="W28" i="4"/>
  <c r="W29" i="4"/>
  <c r="W30" i="4"/>
  <c r="W31" i="4"/>
  <c r="W32" i="4"/>
  <c r="W33" i="4"/>
  <c r="W34" i="4"/>
  <c r="W35" i="4"/>
  <c r="W36" i="4"/>
  <c r="W37" i="4"/>
  <c r="W38" i="4"/>
  <c r="W39" i="4"/>
  <c r="W40" i="4"/>
  <c r="W41" i="4"/>
  <c r="W42" i="4"/>
  <c r="W43" i="4"/>
  <c r="W44" i="4"/>
  <c r="W45" i="4"/>
  <c r="W46" i="4"/>
  <c r="W47" i="4"/>
  <c r="W48" i="4"/>
  <c r="W49" i="4"/>
  <c r="W50" i="4"/>
  <c r="W51" i="4"/>
  <c r="W52" i="4"/>
  <c r="W53" i="4"/>
  <c r="W54" i="4"/>
  <c r="W55" i="4"/>
  <c r="W56" i="4"/>
  <c r="W57" i="4"/>
  <c r="W58" i="4"/>
  <c r="W59" i="4"/>
  <c r="W60" i="4"/>
  <c r="W61" i="4"/>
  <c r="W62" i="4"/>
  <c r="W63" i="4"/>
  <c r="W64" i="4"/>
  <c r="W65" i="4"/>
  <c r="W66" i="4"/>
  <c r="W67" i="4"/>
  <c r="W68" i="4"/>
  <c r="W69" i="4"/>
  <c r="W70" i="4"/>
  <c r="W71" i="4"/>
  <c r="W72" i="4"/>
  <c r="W73" i="4"/>
  <c r="W74" i="4"/>
  <c r="W75" i="4"/>
  <c r="W76" i="4"/>
  <c r="W77" i="4"/>
  <c r="W78" i="4"/>
  <c r="W79" i="4"/>
  <c r="W80" i="4"/>
  <c r="W81" i="4"/>
  <c r="W82" i="4"/>
  <c r="W83" i="4"/>
  <c r="W84" i="4"/>
  <c r="W85" i="4"/>
  <c r="W86" i="4"/>
  <c r="W87" i="4"/>
  <c r="W88" i="4"/>
  <c r="W89" i="4"/>
  <c r="W90" i="4"/>
  <c r="W91" i="4"/>
  <c r="W92" i="4"/>
  <c r="W93" i="4"/>
  <c r="W94" i="4"/>
  <c r="W95" i="4"/>
  <c r="W96" i="4"/>
  <c r="W97" i="4"/>
  <c r="W98" i="4"/>
  <c r="W99" i="4"/>
  <c r="W100" i="4"/>
  <c r="W101" i="4"/>
  <c r="W102" i="4"/>
  <c r="W103" i="4"/>
  <c r="W104" i="4"/>
  <c r="W105" i="4"/>
  <c r="W106" i="4"/>
  <c r="W107" i="4"/>
  <c r="W108" i="4"/>
  <c r="W109" i="4"/>
  <c r="W110" i="4"/>
  <c r="W111" i="4"/>
  <c r="W112" i="4"/>
  <c r="W113" i="4"/>
  <c r="W114" i="4"/>
  <c r="W115" i="4"/>
  <c r="W116" i="4"/>
  <c r="W117" i="4"/>
  <c r="W118" i="4"/>
  <c r="W119" i="4"/>
  <c r="W120" i="4"/>
  <c r="W121" i="4"/>
  <c r="W122" i="4"/>
  <c r="W123" i="4"/>
  <c r="W124" i="4"/>
  <c r="W125" i="4"/>
  <c r="W126" i="4"/>
  <c r="W127" i="4"/>
  <c r="W128" i="4"/>
  <c r="W129" i="4"/>
  <c r="W130" i="4"/>
  <c r="W131" i="4"/>
  <c r="W132" i="4"/>
  <c r="W133" i="4"/>
  <c r="W134" i="4"/>
  <c r="W135" i="4"/>
  <c r="W136" i="4"/>
  <c r="W137" i="4"/>
  <c r="W138" i="4"/>
  <c r="W139" i="4"/>
  <c r="W140" i="4"/>
  <c r="W141" i="4"/>
  <c r="W142" i="4"/>
  <c r="W143" i="4"/>
  <c r="E38" i="1" s="1"/>
  <c r="W144" i="4"/>
  <c r="W145" i="4"/>
  <c r="W146" i="4"/>
  <c r="W147" i="4"/>
  <c r="W148" i="4"/>
  <c r="W149" i="4"/>
  <c r="W150" i="4"/>
  <c r="W151" i="4"/>
  <c r="W152" i="4"/>
  <c r="W153" i="4"/>
  <c r="W154" i="4"/>
  <c r="W155" i="4"/>
  <c r="W156" i="4"/>
  <c r="W157" i="4"/>
  <c r="W158" i="4"/>
  <c r="W159" i="4"/>
  <c r="W160" i="4"/>
  <c r="W161" i="4"/>
  <c r="W162" i="4"/>
  <c r="W163" i="4"/>
  <c r="W164" i="4"/>
  <c r="W165" i="4"/>
  <c r="W166" i="4"/>
  <c r="W167" i="4"/>
  <c r="W168" i="4"/>
  <c r="W169" i="4"/>
  <c r="W170" i="4"/>
  <c r="W171" i="4"/>
  <c r="W172" i="4"/>
  <c r="W173" i="4"/>
  <c r="W174" i="4"/>
  <c r="W175" i="4"/>
  <c r="W176" i="4"/>
  <c r="W177" i="4"/>
  <c r="W178" i="4"/>
  <c r="W179" i="4"/>
  <c r="W180" i="4"/>
  <c r="W181" i="4"/>
  <c r="W182" i="4"/>
  <c r="W183" i="4"/>
  <c r="W184" i="4"/>
  <c r="W185" i="4"/>
  <c r="W186" i="4"/>
  <c r="W187" i="4"/>
  <c r="W188" i="4"/>
  <c r="W189" i="4"/>
  <c r="W190" i="4"/>
  <c r="W191" i="4"/>
  <c r="W192" i="4"/>
  <c r="W193" i="4"/>
  <c r="W194" i="4"/>
  <c r="W195" i="4"/>
  <c r="W196" i="4"/>
  <c r="W197" i="4"/>
  <c r="W198" i="4"/>
  <c r="W199" i="4"/>
  <c r="W200" i="4"/>
  <c r="W201" i="4"/>
  <c r="W202" i="4"/>
  <c r="W203" i="4"/>
  <c r="W204" i="4"/>
  <c r="W205" i="4"/>
  <c r="W206" i="4"/>
  <c r="W207" i="4"/>
  <c r="W208" i="4"/>
  <c r="W209" i="4"/>
  <c r="W210" i="4"/>
  <c r="W211" i="4"/>
  <c r="W212" i="4"/>
  <c r="W213" i="4"/>
  <c r="W214" i="4"/>
  <c r="W215" i="4"/>
  <c r="W216" i="4"/>
  <c r="W217" i="4"/>
  <c r="W218" i="4"/>
  <c r="W219" i="4"/>
  <c r="W220" i="4"/>
  <c r="W221" i="4"/>
  <c r="W222" i="4"/>
  <c r="W223" i="4"/>
  <c r="W224" i="4"/>
  <c r="W225" i="4"/>
  <c r="W226" i="4"/>
  <c r="W227" i="4"/>
  <c r="W228" i="4"/>
  <c r="W229" i="4"/>
  <c r="W230" i="4"/>
  <c r="W231" i="4"/>
  <c r="W232" i="4"/>
  <c r="W233" i="4"/>
  <c r="W234" i="4"/>
  <c r="W235" i="4"/>
  <c r="W236" i="4"/>
  <c r="W237" i="4"/>
  <c r="W238" i="4"/>
  <c r="W239" i="4"/>
  <c r="W240" i="4"/>
  <c r="W241" i="4"/>
  <c r="W242" i="4"/>
  <c r="W243" i="4"/>
  <c r="W244" i="4"/>
  <c r="W245" i="4"/>
  <c r="W246" i="4"/>
  <c r="W247" i="4"/>
  <c r="W248" i="4"/>
  <c r="W249" i="4"/>
  <c r="W250" i="4"/>
  <c r="W251" i="4"/>
  <c r="W252" i="4"/>
  <c r="W253" i="4"/>
  <c r="W254" i="4"/>
  <c r="W255" i="4"/>
  <c r="W256" i="4"/>
  <c r="W257" i="4"/>
  <c r="W258" i="4"/>
  <c r="W259" i="4"/>
  <c r="W260" i="4"/>
  <c r="W261" i="4"/>
  <c r="W262" i="4"/>
  <c r="W263" i="4"/>
  <c r="W264" i="4"/>
  <c r="W265" i="4"/>
  <c r="W266" i="4"/>
  <c r="W267" i="4"/>
  <c r="W268" i="4"/>
  <c r="W269" i="4"/>
  <c r="W270" i="4"/>
  <c r="W271" i="4"/>
  <c r="W272" i="4"/>
  <c r="W273" i="4"/>
  <c r="W274" i="4"/>
  <c r="W275" i="4"/>
  <c r="W276" i="4"/>
  <c r="W277" i="4"/>
  <c r="W278" i="4"/>
  <c r="W279" i="4"/>
  <c r="W280" i="4"/>
  <c r="W281" i="4"/>
  <c r="W282" i="4"/>
  <c r="W283" i="4"/>
  <c r="W284" i="4"/>
  <c r="W285" i="4"/>
  <c r="W286" i="4"/>
  <c r="W287" i="4"/>
  <c r="W288" i="4"/>
  <c r="W289" i="4"/>
  <c r="W290" i="4"/>
  <c r="W291" i="4"/>
  <c r="W292" i="4"/>
  <c r="W293" i="4"/>
  <c r="W294" i="4"/>
  <c r="W295" i="4"/>
  <c r="W3" i="4"/>
  <c r="T4" i="4"/>
  <c r="T5" i="4"/>
  <c r="T6" i="4"/>
  <c r="T7" i="4"/>
  <c r="T8" i="4"/>
  <c r="T9" i="4"/>
  <c r="T10" i="4"/>
  <c r="T11" i="4"/>
  <c r="T12" i="4"/>
  <c r="T13" i="4"/>
  <c r="T14" i="4"/>
  <c r="T15" i="4"/>
  <c r="T16" i="4"/>
  <c r="T17" i="4"/>
  <c r="T18" i="4"/>
  <c r="T19" i="4"/>
  <c r="T20" i="4"/>
  <c r="T21" i="4"/>
  <c r="T22" i="4"/>
  <c r="T23" i="4"/>
  <c r="T24" i="4"/>
  <c r="T25" i="4"/>
  <c r="T26" i="4"/>
  <c r="T27" i="4"/>
  <c r="T28" i="4"/>
  <c r="T29" i="4"/>
  <c r="T30" i="4"/>
  <c r="T31" i="4"/>
  <c r="T32" i="4"/>
  <c r="T33" i="4"/>
  <c r="T34" i="4"/>
  <c r="T35" i="4"/>
  <c r="T36" i="4"/>
  <c r="T37" i="4"/>
  <c r="T38" i="4"/>
  <c r="T39" i="4"/>
  <c r="T40" i="4"/>
  <c r="T41" i="4"/>
  <c r="T42" i="4"/>
  <c r="T43" i="4"/>
  <c r="T44" i="4"/>
  <c r="T45" i="4"/>
  <c r="T46" i="4"/>
  <c r="T47" i="4"/>
  <c r="T48" i="4"/>
  <c r="T49" i="4"/>
  <c r="T50" i="4"/>
  <c r="T51" i="4"/>
  <c r="T52" i="4"/>
  <c r="T53" i="4"/>
  <c r="T54" i="4"/>
  <c r="T55" i="4"/>
  <c r="T56" i="4"/>
  <c r="T57" i="4"/>
  <c r="T58" i="4"/>
  <c r="T59" i="4"/>
  <c r="T60" i="4"/>
  <c r="T61" i="4"/>
  <c r="T62" i="4"/>
  <c r="T63" i="4"/>
  <c r="T64" i="4"/>
  <c r="T65" i="4"/>
  <c r="T66" i="4"/>
  <c r="T67" i="4"/>
  <c r="T68" i="4"/>
  <c r="T69" i="4"/>
  <c r="T70" i="4"/>
  <c r="T71" i="4"/>
  <c r="T72" i="4"/>
  <c r="T73" i="4"/>
  <c r="T74" i="4"/>
  <c r="T75" i="4"/>
  <c r="T76" i="4"/>
  <c r="T77" i="4"/>
  <c r="T78" i="4"/>
  <c r="T79" i="4"/>
  <c r="T80" i="4"/>
  <c r="T81" i="4"/>
  <c r="T82" i="4"/>
  <c r="T83" i="4"/>
  <c r="T84" i="4"/>
  <c r="T85" i="4"/>
  <c r="T86" i="4"/>
  <c r="T87" i="4"/>
  <c r="T88" i="4"/>
  <c r="T89" i="4"/>
  <c r="T90" i="4"/>
  <c r="T91" i="4"/>
  <c r="T92" i="4"/>
  <c r="T93" i="4"/>
  <c r="T94" i="4"/>
  <c r="T95" i="4"/>
  <c r="T96" i="4"/>
  <c r="T97" i="4"/>
  <c r="T98" i="4"/>
  <c r="T99" i="4"/>
  <c r="T100" i="4"/>
  <c r="T101" i="4"/>
  <c r="T102" i="4"/>
  <c r="T103" i="4"/>
  <c r="T104" i="4"/>
  <c r="T105" i="4"/>
  <c r="T106" i="4"/>
  <c r="T107" i="4"/>
  <c r="T108" i="4"/>
  <c r="T109" i="4"/>
  <c r="T110" i="4"/>
  <c r="T111" i="4"/>
  <c r="T112" i="4"/>
  <c r="T113" i="4"/>
  <c r="T114" i="4"/>
  <c r="T115" i="4"/>
  <c r="T116" i="4"/>
  <c r="T117" i="4"/>
  <c r="T118" i="4"/>
  <c r="T119" i="4"/>
  <c r="T120" i="4"/>
  <c r="T121" i="4"/>
  <c r="T122" i="4"/>
  <c r="T123" i="4"/>
  <c r="T124" i="4"/>
  <c r="T125" i="4"/>
  <c r="T126" i="4"/>
  <c r="T127" i="4"/>
  <c r="T128" i="4"/>
  <c r="T129" i="4"/>
  <c r="T130" i="4"/>
  <c r="T131" i="4"/>
  <c r="T132" i="4"/>
  <c r="T133" i="4"/>
  <c r="T134" i="4"/>
  <c r="T135" i="4"/>
  <c r="T136" i="4"/>
  <c r="T137" i="4"/>
  <c r="T138" i="4"/>
  <c r="T139" i="4"/>
  <c r="T140" i="4"/>
  <c r="T141" i="4"/>
  <c r="T142" i="4"/>
  <c r="T143" i="4"/>
  <c r="E20" i="1" s="1"/>
  <c r="T144" i="4"/>
  <c r="T145" i="4"/>
  <c r="T146" i="4"/>
  <c r="T147" i="4"/>
  <c r="T148" i="4"/>
  <c r="T149" i="4"/>
  <c r="T150" i="4"/>
  <c r="T151" i="4"/>
  <c r="T152" i="4"/>
  <c r="T153" i="4"/>
  <c r="T154" i="4"/>
  <c r="T155" i="4"/>
  <c r="T156" i="4"/>
  <c r="T157" i="4"/>
  <c r="T158" i="4"/>
  <c r="T159" i="4"/>
  <c r="T160" i="4"/>
  <c r="T161" i="4"/>
  <c r="T162" i="4"/>
  <c r="T163" i="4"/>
  <c r="T164" i="4"/>
  <c r="T165" i="4"/>
  <c r="T166" i="4"/>
  <c r="T167" i="4"/>
  <c r="T168" i="4"/>
  <c r="T169" i="4"/>
  <c r="T170" i="4"/>
  <c r="T171" i="4"/>
  <c r="T172" i="4"/>
  <c r="T173" i="4"/>
  <c r="T174" i="4"/>
  <c r="T175" i="4"/>
  <c r="T176" i="4"/>
  <c r="T177" i="4"/>
  <c r="T178" i="4"/>
  <c r="T179" i="4"/>
  <c r="T180" i="4"/>
  <c r="T181" i="4"/>
  <c r="T182" i="4"/>
  <c r="T183" i="4"/>
  <c r="T184" i="4"/>
  <c r="T185" i="4"/>
  <c r="T186" i="4"/>
  <c r="T187" i="4"/>
  <c r="T188" i="4"/>
  <c r="T189" i="4"/>
  <c r="T190" i="4"/>
  <c r="T191" i="4"/>
  <c r="T192" i="4"/>
  <c r="T193" i="4"/>
  <c r="T194" i="4"/>
  <c r="T195" i="4"/>
  <c r="T196" i="4"/>
  <c r="T197" i="4"/>
  <c r="T198" i="4"/>
  <c r="T199" i="4"/>
  <c r="T200" i="4"/>
  <c r="T201" i="4"/>
  <c r="T202" i="4"/>
  <c r="T203" i="4"/>
  <c r="T204" i="4"/>
  <c r="T205" i="4"/>
  <c r="T206" i="4"/>
  <c r="T207" i="4"/>
  <c r="T208" i="4"/>
  <c r="T209" i="4"/>
  <c r="T210" i="4"/>
  <c r="T211" i="4"/>
  <c r="T212" i="4"/>
  <c r="T213" i="4"/>
  <c r="T214" i="4"/>
  <c r="T215" i="4"/>
  <c r="T216" i="4"/>
  <c r="T217" i="4"/>
  <c r="T218" i="4"/>
  <c r="T219" i="4"/>
  <c r="T220" i="4"/>
  <c r="T221" i="4"/>
  <c r="T222" i="4"/>
  <c r="T223" i="4"/>
  <c r="T224" i="4"/>
  <c r="T225" i="4"/>
  <c r="T226" i="4"/>
  <c r="T227" i="4"/>
  <c r="T228" i="4"/>
  <c r="T229" i="4"/>
  <c r="T230" i="4"/>
  <c r="T231" i="4"/>
  <c r="T232" i="4"/>
  <c r="T233" i="4"/>
  <c r="T234" i="4"/>
  <c r="T235" i="4"/>
  <c r="T236" i="4"/>
  <c r="T237" i="4"/>
  <c r="T238" i="4"/>
  <c r="T239" i="4"/>
  <c r="T240" i="4"/>
  <c r="T241" i="4"/>
  <c r="T242" i="4"/>
  <c r="T243" i="4"/>
  <c r="T244" i="4"/>
  <c r="T245" i="4"/>
  <c r="T246" i="4"/>
  <c r="T247" i="4"/>
  <c r="T248" i="4"/>
  <c r="T249" i="4"/>
  <c r="T250" i="4"/>
  <c r="T251" i="4"/>
  <c r="T252" i="4"/>
  <c r="T253" i="4"/>
  <c r="T254" i="4"/>
  <c r="T255" i="4"/>
  <c r="T256" i="4"/>
  <c r="T257" i="4"/>
  <c r="T258" i="4"/>
  <c r="T259" i="4"/>
  <c r="T260" i="4"/>
  <c r="T261" i="4"/>
  <c r="T262" i="4"/>
  <c r="T263" i="4"/>
  <c r="T264" i="4"/>
  <c r="T265" i="4"/>
  <c r="T266" i="4"/>
  <c r="T267" i="4"/>
  <c r="T268" i="4"/>
  <c r="T269" i="4"/>
  <c r="T270" i="4"/>
  <c r="T271" i="4"/>
  <c r="T272" i="4"/>
  <c r="T273" i="4"/>
  <c r="T274" i="4"/>
  <c r="T275" i="4"/>
  <c r="T276" i="4"/>
  <c r="T277" i="4"/>
  <c r="T278" i="4"/>
  <c r="T279" i="4"/>
  <c r="T280" i="4"/>
  <c r="T281" i="4"/>
  <c r="T282" i="4"/>
  <c r="T283" i="4"/>
  <c r="T284" i="4"/>
  <c r="T285" i="4"/>
  <c r="T286" i="4"/>
  <c r="T287" i="4"/>
  <c r="T288" i="4"/>
  <c r="T289" i="4"/>
  <c r="T290" i="4"/>
  <c r="T291" i="4"/>
  <c r="T292" i="4"/>
  <c r="T293" i="4"/>
  <c r="T294" i="4"/>
  <c r="T295" i="4"/>
  <c r="T3" i="4"/>
  <c r="Q4" i="4"/>
  <c r="Q5" i="4"/>
  <c r="Q6" i="4"/>
  <c r="Q7" i="4"/>
  <c r="Q8" i="4"/>
  <c r="Q9" i="4"/>
  <c r="Q10" i="4"/>
  <c r="Q11" i="4"/>
  <c r="Q12" i="4"/>
  <c r="Q13" i="4"/>
  <c r="Q14" i="4"/>
  <c r="Q15" i="4"/>
  <c r="Q16" i="4"/>
  <c r="Q17" i="4"/>
  <c r="Q18" i="4"/>
  <c r="Q19" i="4"/>
  <c r="Q20" i="4"/>
  <c r="Q21" i="4"/>
  <c r="Q22" i="4"/>
  <c r="Q23" i="4"/>
  <c r="Q24" i="4"/>
  <c r="Q25" i="4"/>
  <c r="Q26" i="4"/>
  <c r="Q27" i="4"/>
  <c r="Q28" i="4"/>
  <c r="Q29" i="4"/>
  <c r="Q30" i="4"/>
  <c r="Q31" i="4"/>
  <c r="Q32" i="4"/>
  <c r="Q33" i="4"/>
  <c r="Q34" i="4"/>
  <c r="Q35" i="4"/>
  <c r="Q36" i="4"/>
  <c r="Q37" i="4"/>
  <c r="Q38" i="4"/>
  <c r="Q39" i="4"/>
  <c r="Q40" i="4"/>
  <c r="Q41" i="4"/>
  <c r="Q42" i="4"/>
  <c r="Q43" i="4"/>
  <c r="Q44" i="4"/>
  <c r="Q45" i="4"/>
  <c r="Q46" i="4"/>
  <c r="Q47" i="4"/>
  <c r="Q48" i="4"/>
  <c r="Q49" i="4"/>
  <c r="Q50" i="4"/>
  <c r="Q51" i="4"/>
  <c r="Q52" i="4"/>
  <c r="Q53" i="4"/>
  <c r="Q54" i="4"/>
  <c r="Q55" i="4"/>
  <c r="Q56" i="4"/>
  <c r="Q57" i="4"/>
  <c r="Q58" i="4"/>
  <c r="Q59" i="4"/>
  <c r="Q60" i="4"/>
  <c r="Q61" i="4"/>
  <c r="Q62" i="4"/>
  <c r="Q63" i="4"/>
  <c r="Q64" i="4"/>
  <c r="Q65" i="4"/>
  <c r="Q66" i="4"/>
  <c r="Q67" i="4"/>
  <c r="Q68" i="4"/>
  <c r="Q69" i="4"/>
  <c r="Q70" i="4"/>
  <c r="Q71" i="4"/>
  <c r="Q72" i="4"/>
  <c r="Q73" i="4"/>
  <c r="Q74" i="4"/>
  <c r="Q75" i="4"/>
  <c r="Q76" i="4"/>
  <c r="Q77" i="4"/>
  <c r="Q78" i="4"/>
  <c r="Q79" i="4"/>
  <c r="Q80" i="4"/>
  <c r="Q81" i="4"/>
  <c r="Q82" i="4"/>
  <c r="Q83" i="4"/>
  <c r="Q84" i="4"/>
  <c r="Q85" i="4"/>
  <c r="Q86" i="4"/>
  <c r="Q87" i="4"/>
  <c r="Q88" i="4"/>
  <c r="Q89" i="4"/>
  <c r="Q90" i="4"/>
  <c r="Q91" i="4"/>
  <c r="Q92" i="4"/>
  <c r="Q93" i="4"/>
  <c r="Q94" i="4"/>
  <c r="Q95" i="4"/>
  <c r="Q96" i="4"/>
  <c r="Q97" i="4"/>
  <c r="Q98" i="4"/>
  <c r="Q99" i="4"/>
  <c r="Q100" i="4"/>
  <c r="Q101" i="4"/>
  <c r="Q102" i="4"/>
  <c r="Q103" i="4"/>
  <c r="Q104" i="4"/>
  <c r="Q105" i="4"/>
  <c r="Q106" i="4"/>
  <c r="Q107" i="4"/>
  <c r="Q108" i="4"/>
  <c r="Q109" i="4"/>
  <c r="Q110" i="4"/>
  <c r="Q111" i="4"/>
  <c r="Q112" i="4"/>
  <c r="Q113" i="4"/>
  <c r="Q114" i="4"/>
  <c r="Q115" i="4"/>
  <c r="Q116" i="4"/>
  <c r="Q117" i="4"/>
  <c r="Q118" i="4"/>
  <c r="Q119" i="4"/>
  <c r="Q120" i="4"/>
  <c r="Q121" i="4"/>
  <c r="Q122" i="4"/>
  <c r="Q123" i="4"/>
  <c r="Q124" i="4"/>
  <c r="Q125" i="4"/>
  <c r="Q126" i="4"/>
  <c r="Q127" i="4"/>
  <c r="Q128" i="4"/>
  <c r="Q129" i="4"/>
  <c r="Q130" i="4"/>
  <c r="Q131" i="4"/>
  <c r="Q132" i="4"/>
  <c r="Q133" i="4"/>
  <c r="Q134" i="4"/>
  <c r="Q135" i="4"/>
  <c r="Q136" i="4"/>
  <c r="Q137" i="4"/>
  <c r="Q138" i="4"/>
  <c r="Q139" i="4"/>
  <c r="Q140" i="4"/>
  <c r="Q141" i="4"/>
  <c r="Q142" i="4"/>
  <c r="Q143" i="4"/>
  <c r="D56" i="1" s="1"/>
  <c r="Q144" i="4"/>
  <c r="Q145" i="4"/>
  <c r="Q146" i="4"/>
  <c r="Q147" i="4"/>
  <c r="Q148" i="4"/>
  <c r="Q149" i="4"/>
  <c r="Q150" i="4"/>
  <c r="Q151" i="4"/>
  <c r="Q152" i="4"/>
  <c r="Q153" i="4"/>
  <c r="Q154" i="4"/>
  <c r="Q155" i="4"/>
  <c r="Q156" i="4"/>
  <c r="Q157" i="4"/>
  <c r="Q158" i="4"/>
  <c r="Q159" i="4"/>
  <c r="Q160" i="4"/>
  <c r="Q161" i="4"/>
  <c r="Q162" i="4"/>
  <c r="Q163" i="4"/>
  <c r="Q164" i="4"/>
  <c r="Q165" i="4"/>
  <c r="Q166" i="4"/>
  <c r="Q167" i="4"/>
  <c r="Q168" i="4"/>
  <c r="Q169" i="4"/>
  <c r="Q170" i="4"/>
  <c r="Q171" i="4"/>
  <c r="Q172" i="4"/>
  <c r="Q173" i="4"/>
  <c r="Q174" i="4"/>
  <c r="Q175" i="4"/>
  <c r="Q176" i="4"/>
  <c r="Q177" i="4"/>
  <c r="Q178" i="4"/>
  <c r="Q179" i="4"/>
  <c r="Q180" i="4"/>
  <c r="Q181" i="4"/>
  <c r="Q182" i="4"/>
  <c r="Q183" i="4"/>
  <c r="Q184" i="4"/>
  <c r="Q185" i="4"/>
  <c r="Q186" i="4"/>
  <c r="Q187" i="4"/>
  <c r="Q188" i="4"/>
  <c r="Q189" i="4"/>
  <c r="Q190" i="4"/>
  <c r="Q191" i="4"/>
  <c r="Q192" i="4"/>
  <c r="Q193" i="4"/>
  <c r="Q194" i="4"/>
  <c r="Q195" i="4"/>
  <c r="Q196" i="4"/>
  <c r="Q197" i="4"/>
  <c r="Q198" i="4"/>
  <c r="Q199" i="4"/>
  <c r="Q200" i="4"/>
  <c r="Q201" i="4"/>
  <c r="Q202" i="4"/>
  <c r="Q203" i="4"/>
  <c r="Q204" i="4"/>
  <c r="Q205" i="4"/>
  <c r="Q206" i="4"/>
  <c r="Q207" i="4"/>
  <c r="Q208" i="4"/>
  <c r="Q209" i="4"/>
  <c r="Q210" i="4"/>
  <c r="Q211" i="4"/>
  <c r="Q212" i="4"/>
  <c r="Q213" i="4"/>
  <c r="Q214" i="4"/>
  <c r="Q215" i="4"/>
  <c r="Q216" i="4"/>
  <c r="Q217" i="4"/>
  <c r="Q218" i="4"/>
  <c r="Q219" i="4"/>
  <c r="Q220" i="4"/>
  <c r="Q221" i="4"/>
  <c r="Q222" i="4"/>
  <c r="Q223" i="4"/>
  <c r="Q224" i="4"/>
  <c r="Q225" i="4"/>
  <c r="Q226" i="4"/>
  <c r="Q227" i="4"/>
  <c r="Q228" i="4"/>
  <c r="Q229" i="4"/>
  <c r="Q230" i="4"/>
  <c r="Q231" i="4"/>
  <c r="Q232" i="4"/>
  <c r="Q233" i="4"/>
  <c r="Q234" i="4"/>
  <c r="Q235" i="4"/>
  <c r="Q236" i="4"/>
  <c r="Q237" i="4"/>
  <c r="Q238" i="4"/>
  <c r="Q239" i="4"/>
  <c r="Q240" i="4"/>
  <c r="Q241" i="4"/>
  <c r="Q242" i="4"/>
  <c r="Q243" i="4"/>
  <c r="Q244" i="4"/>
  <c r="Q245" i="4"/>
  <c r="Q246" i="4"/>
  <c r="Q247" i="4"/>
  <c r="Q248" i="4"/>
  <c r="Q249" i="4"/>
  <c r="Q250" i="4"/>
  <c r="Q251" i="4"/>
  <c r="Q252" i="4"/>
  <c r="Q253" i="4"/>
  <c r="Q254" i="4"/>
  <c r="Q255" i="4"/>
  <c r="Q256" i="4"/>
  <c r="Q257" i="4"/>
  <c r="Q258" i="4"/>
  <c r="Q259" i="4"/>
  <c r="Q260" i="4"/>
  <c r="Q261" i="4"/>
  <c r="Q262" i="4"/>
  <c r="Q263" i="4"/>
  <c r="Q264" i="4"/>
  <c r="Q265" i="4"/>
  <c r="Q266" i="4"/>
  <c r="Q267" i="4"/>
  <c r="Q268" i="4"/>
  <c r="Q269" i="4"/>
  <c r="Q270" i="4"/>
  <c r="Q271" i="4"/>
  <c r="Q272" i="4"/>
  <c r="Q273" i="4"/>
  <c r="Q274" i="4"/>
  <c r="Q275" i="4"/>
  <c r="Q276" i="4"/>
  <c r="Q277" i="4"/>
  <c r="Q278" i="4"/>
  <c r="Q279" i="4"/>
  <c r="Q280" i="4"/>
  <c r="Q281" i="4"/>
  <c r="Q282" i="4"/>
  <c r="Q283" i="4"/>
  <c r="Q284" i="4"/>
  <c r="Q285" i="4"/>
  <c r="Q286" i="4"/>
  <c r="Q287" i="4"/>
  <c r="Q288" i="4"/>
  <c r="Q289" i="4"/>
  <c r="Q290" i="4"/>
  <c r="Q291" i="4"/>
  <c r="Q292" i="4"/>
  <c r="Q293" i="4"/>
  <c r="Q294" i="4"/>
  <c r="Q295" i="4"/>
  <c r="Q3" i="4"/>
  <c r="N4" i="4"/>
  <c r="N5" i="4"/>
  <c r="N6" i="4"/>
  <c r="N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5" i="4"/>
  <c r="N36" i="4"/>
  <c r="N37" i="4"/>
  <c r="N38" i="4"/>
  <c r="N39" i="4"/>
  <c r="N40" i="4"/>
  <c r="N41" i="4"/>
  <c r="N42" i="4"/>
  <c r="N43" i="4"/>
  <c r="N44" i="4"/>
  <c r="N45" i="4"/>
  <c r="N46" i="4"/>
  <c r="N47" i="4"/>
  <c r="N48" i="4"/>
  <c r="N49" i="4"/>
  <c r="N50" i="4"/>
  <c r="N51" i="4"/>
  <c r="N52" i="4"/>
  <c r="N53" i="4"/>
  <c r="N54" i="4"/>
  <c r="N55" i="4"/>
  <c r="N56" i="4"/>
  <c r="N57" i="4"/>
  <c r="N58" i="4"/>
  <c r="N59" i="4"/>
  <c r="N60" i="4"/>
  <c r="N61" i="4"/>
  <c r="N62" i="4"/>
  <c r="N63" i="4"/>
  <c r="N64" i="4"/>
  <c r="N65" i="4"/>
  <c r="N66" i="4"/>
  <c r="N67" i="4"/>
  <c r="N68" i="4"/>
  <c r="N69" i="4"/>
  <c r="N70" i="4"/>
  <c r="N71" i="4"/>
  <c r="N72" i="4"/>
  <c r="N73" i="4"/>
  <c r="N74" i="4"/>
  <c r="N75" i="4"/>
  <c r="N76" i="4"/>
  <c r="N77" i="4"/>
  <c r="N78" i="4"/>
  <c r="N79" i="4"/>
  <c r="N80" i="4"/>
  <c r="N81" i="4"/>
  <c r="N82" i="4"/>
  <c r="N83" i="4"/>
  <c r="N84" i="4"/>
  <c r="N85" i="4"/>
  <c r="N86" i="4"/>
  <c r="N87" i="4"/>
  <c r="N88" i="4"/>
  <c r="N89" i="4"/>
  <c r="N90" i="4"/>
  <c r="N91" i="4"/>
  <c r="N92" i="4"/>
  <c r="N93" i="4"/>
  <c r="N94" i="4"/>
  <c r="N95" i="4"/>
  <c r="N96" i="4"/>
  <c r="N97" i="4"/>
  <c r="N98" i="4"/>
  <c r="N99" i="4"/>
  <c r="N100" i="4"/>
  <c r="N101" i="4"/>
  <c r="N102" i="4"/>
  <c r="N103" i="4"/>
  <c r="N104" i="4"/>
  <c r="N105" i="4"/>
  <c r="N106" i="4"/>
  <c r="N107" i="4"/>
  <c r="N108" i="4"/>
  <c r="N109" i="4"/>
  <c r="N110" i="4"/>
  <c r="N111" i="4"/>
  <c r="N112" i="4"/>
  <c r="N113" i="4"/>
  <c r="N114" i="4"/>
  <c r="N115" i="4"/>
  <c r="N116" i="4"/>
  <c r="N117" i="4"/>
  <c r="N118" i="4"/>
  <c r="N119" i="4"/>
  <c r="N120" i="4"/>
  <c r="N121" i="4"/>
  <c r="N122" i="4"/>
  <c r="N123" i="4"/>
  <c r="N124" i="4"/>
  <c r="N125" i="4"/>
  <c r="N126" i="4"/>
  <c r="N127" i="4"/>
  <c r="N128" i="4"/>
  <c r="N129" i="4"/>
  <c r="N130" i="4"/>
  <c r="N131" i="4"/>
  <c r="N132" i="4"/>
  <c r="N133" i="4"/>
  <c r="N134" i="4"/>
  <c r="N135" i="4"/>
  <c r="N136" i="4"/>
  <c r="N137" i="4"/>
  <c r="N138" i="4"/>
  <c r="N139" i="4"/>
  <c r="N140" i="4"/>
  <c r="N141" i="4"/>
  <c r="N142" i="4"/>
  <c r="N143" i="4"/>
  <c r="D38" i="1" s="1"/>
  <c r="N144" i="4"/>
  <c r="N145" i="4"/>
  <c r="N146" i="4"/>
  <c r="N147" i="4"/>
  <c r="N148" i="4"/>
  <c r="N149" i="4"/>
  <c r="N150" i="4"/>
  <c r="N151" i="4"/>
  <c r="N152" i="4"/>
  <c r="N153" i="4"/>
  <c r="N154" i="4"/>
  <c r="N155" i="4"/>
  <c r="N156" i="4"/>
  <c r="N157" i="4"/>
  <c r="N158" i="4"/>
  <c r="N159" i="4"/>
  <c r="N160" i="4"/>
  <c r="N161" i="4"/>
  <c r="N162" i="4"/>
  <c r="N163" i="4"/>
  <c r="N164" i="4"/>
  <c r="N165" i="4"/>
  <c r="N166" i="4"/>
  <c r="N167" i="4"/>
  <c r="N168" i="4"/>
  <c r="N169" i="4"/>
  <c r="N170" i="4"/>
  <c r="N171" i="4"/>
  <c r="N172" i="4"/>
  <c r="N173" i="4"/>
  <c r="N174" i="4"/>
  <c r="N175" i="4"/>
  <c r="N176" i="4"/>
  <c r="N177" i="4"/>
  <c r="N178" i="4"/>
  <c r="N179" i="4"/>
  <c r="N180" i="4"/>
  <c r="N181" i="4"/>
  <c r="N182" i="4"/>
  <c r="N183" i="4"/>
  <c r="N184" i="4"/>
  <c r="N185" i="4"/>
  <c r="N186" i="4"/>
  <c r="N187" i="4"/>
  <c r="N188" i="4"/>
  <c r="N189" i="4"/>
  <c r="N190" i="4"/>
  <c r="N191" i="4"/>
  <c r="N192" i="4"/>
  <c r="N193" i="4"/>
  <c r="N194" i="4"/>
  <c r="N195" i="4"/>
  <c r="N196" i="4"/>
  <c r="N197" i="4"/>
  <c r="N198" i="4"/>
  <c r="N199" i="4"/>
  <c r="N200" i="4"/>
  <c r="N201" i="4"/>
  <c r="N202" i="4"/>
  <c r="N203" i="4"/>
  <c r="N204" i="4"/>
  <c r="N205" i="4"/>
  <c r="N206" i="4"/>
  <c r="N207" i="4"/>
  <c r="N208" i="4"/>
  <c r="N209" i="4"/>
  <c r="N210" i="4"/>
  <c r="N211" i="4"/>
  <c r="N212" i="4"/>
  <c r="N213" i="4"/>
  <c r="N214" i="4"/>
  <c r="N215" i="4"/>
  <c r="N216" i="4"/>
  <c r="N217" i="4"/>
  <c r="N218" i="4"/>
  <c r="N219" i="4"/>
  <c r="N220" i="4"/>
  <c r="N221" i="4"/>
  <c r="N222" i="4"/>
  <c r="N223" i="4"/>
  <c r="N224" i="4"/>
  <c r="N225" i="4"/>
  <c r="N226" i="4"/>
  <c r="N227" i="4"/>
  <c r="N228" i="4"/>
  <c r="N229" i="4"/>
  <c r="N230" i="4"/>
  <c r="N231" i="4"/>
  <c r="N232" i="4"/>
  <c r="N233" i="4"/>
  <c r="N234" i="4"/>
  <c r="N235" i="4"/>
  <c r="N236" i="4"/>
  <c r="N237" i="4"/>
  <c r="N238" i="4"/>
  <c r="N239" i="4"/>
  <c r="N240" i="4"/>
  <c r="N241" i="4"/>
  <c r="N242" i="4"/>
  <c r="N243" i="4"/>
  <c r="N244" i="4"/>
  <c r="N245" i="4"/>
  <c r="N246" i="4"/>
  <c r="N247" i="4"/>
  <c r="N248" i="4"/>
  <c r="N249" i="4"/>
  <c r="N250" i="4"/>
  <c r="N251" i="4"/>
  <c r="N252" i="4"/>
  <c r="N253" i="4"/>
  <c r="N254" i="4"/>
  <c r="N255" i="4"/>
  <c r="N256" i="4"/>
  <c r="N257" i="4"/>
  <c r="N258" i="4"/>
  <c r="N259" i="4"/>
  <c r="N260" i="4"/>
  <c r="N261" i="4"/>
  <c r="N262" i="4"/>
  <c r="N263" i="4"/>
  <c r="N264" i="4"/>
  <c r="N265" i="4"/>
  <c r="N266" i="4"/>
  <c r="N267" i="4"/>
  <c r="N268" i="4"/>
  <c r="N269" i="4"/>
  <c r="N270" i="4"/>
  <c r="N271" i="4"/>
  <c r="N272" i="4"/>
  <c r="N273" i="4"/>
  <c r="N274" i="4"/>
  <c r="N275" i="4"/>
  <c r="N276" i="4"/>
  <c r="N277" i="4"/>
  <c r="N278" i="4"/>
  <c r="N279" i="4"/>
  <c r="N280" i="4"/>
  <c r="N281" i="4"/>
  <c r="N282" i="4"/>
  <c r="N283" i="4"/>
  <c r="N284" i="4"/>
  <c r="N285" i="4"/>
  <c r="N286" i="4"/>
  <c r="N287" i="4"/>
  <c r="N288" i="4"/>
  <c r="N289" i="4"/>
  <c r="N290" i="4"/>
  <c r="N291" i="4"/>
  <c r="N292" i="4"/>
  <c r="N293" i="4"/>
  <c r="N294" i="4"/>
  <c r="N295" i="4"/>
  <c r="N3" i="4"/>
  <c r="K4" i="4"/>
  <c r="K5" i="4"/>
  <c r="K6" i="4"/>
  <c r="K7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38" i="4"/>
  <c r="K39" i="4"/>
  <c r="K40" i="4"/>
  <c r="K41" i="4"/>
  <c r="K42" i="4"/>
  <c r="K43" i="4"/>
  <c r="K44" i="4"/>
  <c r="K45" i="4"/>
  <c r="K46" i="4"/>
  <c r="K47" i="4"/>
  <c r="K48" i="4"/>
  <c r="K49" i="4"/>
  <c r="K50" i="4"/>
  <c r="K51" i="4"/>
  <c r="K52" i="4"/>
  <c r="K53" i="4"/>
  <c r="K54" i="4"/>
  <c r="K55" i="4"/>
  <c r="K56" i="4"/>
  <c r="K57" i="4"/>
  <c r="K58" i="4"/>
  <c r="K59" i="4"/>
  <c r="K60" i="4"/>
  <c r="K61" i="4"/>
  <c r="K62" i="4"/>
  <c r="K63" i="4"/>
  <c r="K64" i="4"/>
  <c r="K65" i="4"/>
  <c r="K66" i="4"/>
  <c r="K67" i="4"/>
  <c r="K68" i="4"/>
  <c r="K69" i="4"/>
  <c r="K70" i="4"/>
  <c r="K71" i="4"/>
  <c r="K72" i="4"/>
  <c r="K73" i="4"/>
  <c r="K74" i="4"/>
  <c r="K75" i="4"/>
  <c r="K76" i="4"/>
  <c r="K77" i="4"/>
  <c r="K78" i="4"/>
  <c r="K79" i="4"/>
  <c r="K80" i="4"/>
  <c r="K81" i="4"/>
  <c r="K82" i="4"/>
  <c r="K83" i="4"/>
  <c r="K84" i="4"/>
  <c r="K85" i="4"/>
  <c r="K86" i="4"/>
  <c r="K87" i="4"/>
  <c r="K88" i="4"/>
  <c r="K89" i="4"/>
  <c r="K90" i="4"/>
  <c r="K91" i="4"/>
  <c r="K92" i="4"/>
  <c r="K93" i="4"/>
  <c r="K94" i="4"/>
  <c r="K95" i="4"/>
  <c r="K96" i="4"/>
  <c r="K97" i="4"/>
  <c r="K98" i="4"/>
  <c r="K99" i="4"/>
  <c r="K100" i="4"/>
  <c r="K101" i="4"/>
  <c r="K102" i="4"/>
  <c r="K103" i="4"/>
  <c r="K104" i="4"/>
  <c r="K105" i="4"/>
  <c r="K106" i="4"/>
  <c r="K107" i="4"/>
  <c r="K108" i="4"/>
  <c r="K109" i="4"/>
  <c r="K110" i="4"/>
  <c r="K111" i="4"/>
  <c r="K112" i="4"/>
  <c r="K113" i="4"/>
  <c r="K114" i="4"/>
  <c r="K115" i="4"/>
  <c r="K116" i="4"/>
  <c r="K117" i="4"/>
  <c r="K118" i="4"/>
  <c r="K119" i="4"/>
  <c r="K120" i="4"/>
  <c r="K121" i="4"/>
  <c r="K122" i="4"/>
  <c r="K123" i="4"/>
  <c r="K124" i="4"/>
  <c r="K125" i="4"/>
  <c r="K126" i="4"/>
  <c r="K127" i="4"/>
  <c r="K128" i="4"/>
  <c r="K129" i="4"/>
  <c r="K130" i="4"/>
  <c r="K131" i="4"/>
  <c r="K132" i="4"/>
  <c r="K133" i="4"/>
  <c r="K134" i="4"/>
  <c r="K135" i="4"/>
  <c r="K136" i="4"/>
  <c r="K137" i="4"/>
  <c r="K138" i="4"/>
  <c r="K139" i="4"/>
  <c r="K140" i="4"/>
  <c r="K141" i="4"/>
  <c r="K142" i="4"/>
  <c r="K143" i="4"/>
  <c r="D20" i="1" s="1"/>
  <c r="K144" i="4"/>
  <c r="K145" i="4"/>
  <c r="K146" i="4"/>
  <c r="K147" i="4"/>
  <c r="K148" i="4"/>
  <c r="K149" i="4"/>
  <c r="K150" i="4"/>
  <c r="K151" i="4"/>
  <c r="K152" i="4"/>
  <c r="K153" i="4"/>
  <c r="K154" i="4"/>
  <c r="K155" i="4"/>
  <c r="K156" i="4"/>
  <c r="K157" i="4"/>
  <c r="K158" i="4"/>
  <c r="K159" i="4"/>
  <c r="K160" i="4"/>
  <c r="K161" i="4"/>
  <c r="K162" i="4"/>
  <c r="K163" i="4"/>
  <c r="K164" i="4"/>
  <c r="K165" i="4"/>
  <c r="K166" i="4"/>
  <c r="K167" i="4"/>
  <c r="K168" i="4"/>
  <c r="K169" i="4"/>
  <c r="K170" i="4"/>
  <c r="K171" i="4"/>
  <c r="K172" i="4"/>
  <c r="K173" i="4"/>
  <c r="K174" i="4"/>
  <c r="K175" i="4"/>
  <c r="K176" i="4"/>
  <c r="K177" i="4"/>
  <c r="K178" i="4"/>
  <c r="K179" i="4"/>
  <c r="K180" i="4"/>
  <c r="K181" i="4"/>
  <c r="K182" i="4"/>
  <c r="K183" i="4"/>
  <c r="K184" i="4"/>
  <c r="K185" i="4"/>
  <c r="K186" i="4"/>
  <c r="K187" i="4"/>
  <c r="K188" i="4"/>
  <c r="K189" i="4"/>
  <c r="K190" i="4"/>
  <c r="K191" i="4"/>
  <c r="K192" i="4"/>
  <c r="K193" i="4"/>
  <c r="K194" i="4"/>
  <c r="K195" i="4"/>
  <c r="K196" i="4"/>
  <c r="K197" i="4"/>
  <c r="K198" i="4"/>
  <c r="K199" i="4"/>
  <c r="K200" i="4"/>
  <c r="K201" i="4"/>
  <c r="K202" i="4"/>
  <c r="K203" i="4"/>
  <c r="K204" i="4"/>
  <c r="K205" i="4"/>
  <c r="K206" i="4"/>
  <c r="K207" i="4"/>
  <c r="K208" i="4"/>
  <c r="K209" i="4"/>
  <c r="K210" i="4"/>
  <c r="K211" i="4"/>
  <c r="K212" i="4"/>
  <c r="K213" i="4"/>
  <c r="K214" i="4"/>
  <c r="K215" i="4"/>
  <c r="K216" i="4"/>
  <c r="K217" i="4"/>
  <c r="K218" i="4"/>
  <c r="K219" i="4"/>
  <c r="K220" i="4"/>
  <c r="K221" i="4"/>
  <c r="K222" i="4"/>
  <c r="K223" i="4"/>
  <c r="K224" i="4"/>
  <c r="K225" i="4"/>
  <c r="K226" i="4"/>
  <c r="K227" i="4"/>
  <c r="K228" i="4"/>
  <c r="K229" i="4"/>
  <c r="K230" i="4"/>
  <c r="K231" i="4"/>
  <c r="K232" i="4"/>
  <c r="K233" i="4"/>
  <c r="K234" i="4"/>
  <c r="K235" i="4"/>
  <c r="K236" i="4"/>
  <c r="K237" i="4"/>
  <c r="K238" i="4"/>
  <c r="K239" i="4"/>
  <c r="K240" i="4"/>
  <c r="K241" i="4"/>
  <c r="K242" i="4"/>
  <c r="K243" i="4"/>
  <c r="K244" i="4"/>
  <c r="K245" i="4"/>
  <c r="K246" i="4"/>
  <c r="K247" i="4"/>
  <c r="K248" i="4"/>
  <c r="K249" i="4"/>
  <c r="K250" i="4"/>
  <c r="K251" i="4"/>
  <c r="K252" i="4"/>
  <c r="K253" i="4"/>
  <c r="K254" i="4"/>
  <c r="K255" i="4"/>
  <c r="K256" i="4"/>
  <c r="K257" i="4"/>
  <c r="K258" i="4"/>
  <c r="K259" i="4"/>
  <c r="K260" i="4"/>
  <c r="K261" i="4"/>
  <c r="K262" i="4"/>
  <c r="K263" i="4"/>
  <c r="K264" i="4"/>
  <c r="K265" i="4"/>
  <c r="K266" i="4"/>
  <c r="K267" i="4"/>
  <c r="K268" i="4"/>
  <c r="K269" i="4"/>
  <c r="K270" i="4"/>
  <c r="K271" i="4"/>
  <c r="K272" i="4"/>
  <c r="K273" i="4"/>
  <c r="K274" i="4"/>
  <c r="K275" i="4"/>
  <c r="K276" i="4"/>
  <c r="K277" i="4"/>
  <c r="K278" i="4"/>
  <c r="K279" i="4"/>
  <c r="K280" i="4"/>
  <c r="K281" i="4"/>
  <c r="K282" i="4"/>
  <c r="K283" i="4"/>
  <c r="K284" i="4"/>
  <c r="K285" i="4"/>
  <c r="K286" i="4"/>
  <c r="K287" i="4"/>
  <c r="K288" i="4"/>
  <c r="K289" i="4"/>
  <c r="K290" i="4"/>
  <c r="K291" i="4"/>
  <c r="K292" i="4"/>
  <c r="K293" i="4"/>
  <c r="K294" i="4"/>
  <c r="K295" i="4"/>
  <c r="K3" i="4"/>
  <c r="H4" i="4"/>
  <c r="H5" i="4"/>
  <c r="H6" i="4"/>
  <c r="H7" i="4"/>
  <c r="H8" i="4"/>
  <c r="H9" i="4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H39" i="4"/>
  <c r="H40" i="4"/>
  <c r="H41" i="4"/>
  <c r="H42" i="4"/>
  <c r="H43" i="4"/>
  <c r="H44" i="4"/>
  <c r="H45" i="4"/>
  <c r="H46" i="4"/>
  <c r="H47" i="4"/>
  <c r="H48" i="4"/>
  <c r="H49" i="4"/>
  <c r="H50" i="4"/>
  <c r="H51" i="4"/>
  <c r="H52" i="4"/>
  <c r="H53" i="4"/>
  <c r="H54" i="4"/>
  <c r="H55" i="4"/>
  <c r="H56" i="4"/>
  <c r="H57" i="4"/>
  <c r="H58" i="4"/>
  <c r="H59" i="4"/>
  <c r="H60" i="4"/>
  <c r="H61" i="4"/>
  <c r="H62" i="4"/>
  <c r="H63" i="4"/>
  <c r="H64" i="4"/>
  <c r="H65" i="4"/>
  <c r="H66" i="4"/>
  <c r="H67" i="4"/>
  <c r="H68" i="4"/>
  <c r="H69" i="4"/>
  <c r="H70" i="4"/>
  <c r="H71" i="4"/>
  <c r="H72" i="4"/>
  <c r="H73" i="4"/>
  <c r="H74" i="4"/>
  <c r="H75" i="4"/>
  <c r="H76" i="4"/>
  <c r="H77" i="4"/>
  <c r="H78" i="4"/>
  <c r="H79" i="4"/>
  <c r="H80" i="4"/>
  <c r="H81" i="4"/>
  <c r="H82" i="4"/>
  <c r="H83" i="4"/>
  <c r="H84" i="4"/>
  <c r="H85" i="4"/>
  <c r="H86" i="4"/>
  <c r="H87" i="4"/>
  <c r="H88" i="4"/>
  <c r="H89" i="4"/>
  <c r="H90" i="4"/>
  <c r="H91" i="4"/>
  <c r="H92" i="4"/>
  <c r="H93" i="4"/>
  <c r="H94" i="4"/>
  <c r="H95" i="4"/>
  <c r="H96" i="4"/>
  <c r="H97" i="4"/>
  <c r="H98" i="4"/>
  <c r="H99" i="4"/>
  <c r="H100" i="4"/>
  <c r="H101" i="4"/>
  <c r="H102" i="4"/>
  <c r="H103" i="4"/>
  <c r="H104" i="4"/>
  <c r="H105" i="4"/>
  <c r="H106" i="4"/>
  <c r="H107" i="4"/>
  <c r="H108" i="4"/>
  <c r="H109" i="4"/>
  <c r="H110" i="4"/>
  <c r="H111" i="4"/>
  <c r="H112" i="4"/>
  <c r="H113" i="4"/>
  <c r="H114" i="4"/>
  <c r="H115" i="4"/>
  <c r="H116" i="4"/>
  <c r="H117" i="4"/>
  <c r="H118" i="4"/>
  <c r="H119" i="4"/>
  <c r="H120" i="4"/>
  <c r="H121" i="4"/>
  <c r="H122" i="4"/>
  <c r="H123" i="4"/>
  <c r="H124" i="4"/>
  <c r="H125" i="4"/>
  <c r="H126" i="4"/>
  <c r="H127" i="4"/>
  <c r="H128" i="4"/>
  <c r="H129" i="4"/>
  <c r="H130" i="4"/>
  <c r="H131" i="4"/>
  <c r="H132" i="4"/>
  <c r="H133" i="4"/>
  <c r="H134" i="4"/>
  <c r="H135" i="4"/>
  <c r="H136" i="4"/>
  <c r="H137" i="4"/>
  <c r="H138" i="4"/>
  <c r="H139" i="4"/>
  <c r="H140" i="4"/>
  <c r="H141" i="4"/>
  <c r="H142" i="4"/>
  <c r="H143" i="4"/>
  <c r="H144" i="4"/>
  <c r="H145" i="4"/>
  <c r="H146" i="4"/>
  <c r="H147" i="4"/>
  <c r="H148" i="4"/>
  <c r="H149" i="4"/>
  <c r="H150" i="4"/>
  <c r="H151" i="4"/>
  <c r="H152" i="4"/>
  <c r="H153" i="4"/>
  <c r="H154" i="4"/>
  <c r="H155" i="4"/>
  <c r="H156" i="4"/>
  <c r="H157" i="4"/>
  <c r="H158" i="4"/>
  <c r="H159" i="4"/>
  <c r="H160" i="4"/>
  <c r="H161" i="4"/>
  <c r="H162" i="4"/>
  <c r="H163" i="4"/>
  <c r="H164" i="4"/>
  <c r="H165" i="4"/>
  <c r="H166" i="4"/>
  <c r="H167" i="4"/>
  <c r="H168" i="4"/>
  <c r="H169" i="4"/>
  <c r="H170" i="4"/>
  <c r="H171" i="4"/>
  <c r="H172" i="4"/>
  <c r="H173" i="4"/>
  <c r="H174" i="4"/>
  <c r="H175" i="4"/>
  <c r="H176" i="4"/>
  <c r="H177" i="4"/>
  <c r="H178" i="4"/>
  <c r="H179" i="4"/>
  <c r="H180" i="4"/>
  <c r="H181" i="4"/>
  <c r="H182" i="4"/>
  <c r="H183" i="4"/>
  <c r="H184" i="4"/>
  <c r="H185" i="4"/>
  <c r="H186" i="4"/>
  <c r="H187" i="4"/>
  <c r="H188" i="4"/>
  <c r="H189" i="4"/>
  <c r="H190" i="4"/>
  <c r="H191" i="4"/>
  <c r="H192" i="4"/>
  <c r="H193" i="4"/>
  <c r="H194" i="4"/>
  <c r="H195" i="4"/>
  <c r="H196" i="4"/>
  <c r="H197" i="4"/>
  <c r="H198" i="4"/>
  <c r="H199" i="4"/>
  <c r="H200" i="4"/>
  <c r="H201" i="4"/>
  <c r="H202" i="4"/>
  <c r="H203" i="4"/>
  <c r="H204" i="4"/>
  <c r="H205" i="4"/>
  <c r="H206" i="4"/>
  <c r="H207" i="4"/>
  <c r="H208" i="4"/>
  <c r="H209" i="4"/>
  <c r="H210" i="4"/>
  <c r="H211" i="4"/>
  <c r="H212" i="4"/>
  <c r="H213" i="4"/>
  <c r="H214" i="4"/>
  <c r="H215" i="4"/>
  <c r="H216" i="4"/>
  <c r="H217" i="4"/>
  <c r="H218" i="4"/>
  <c r="H219" i="4"/>
  <c r="H220" i="4"/>
  <c r="H221" i="4"/>
  <c r="H222" i="4"/>
  <c r="H223" i="4"/>
  <c r="H224" i="4"/>
  <c r="H225" i="4"/>
  <c r="H226" i="4"/>
  <c r="H227" i="4"/>
  <c r="H228" i="4"/>
  <c r="H229" i="4"/>
  <c r="H230" i="4"/>
  <c r="H231" i="4"/>
  <c r="H232" i="4"/>
  <c r="H233" i="4"/>
  <c r="H234" i="4"/>
  <c r="H235" i="4"/>
  <c r="H236" i="4"/>
  <c r="H237" i="4"/>
  <c r="H238" i="4"/>
  <c r="H239" i="4"/>
  <c r="H240" i="4"/>
  <c r="H241" i="4"/>
  <c r="H242" i="4"/>
  <c r="H243" i="4"/>
  <c r="H244" i="4"/>
  <c r="H245" i="4"/>
  <c r="H246" i="4"/>
  <c r="H247" i="4"/>
  <c r="H248" i="4"/>
  <c r="H249" i="4"/>
  <c r="H250" i="4"/>
  <c r="H251" i="4"/>
  <c r="H252" i="4"/>
  <c r="H253" i="4"/>
  <c r="H254" i="4"/>
  <c r="H255" i="4"/>
  <c r="H256" i="4"/>
  <c r="H257" i="4"/>
  <c r="H258" i="4"/>
  <c r="H259" i="4"/>
  <c r="H260" i="4"/>
  <c r="H261" i="4"/>
  <c r="H262" i="4"/>
  <c r="H263" i="4"/>
  <c r="H264" i="4"/>
  <c r="H265" i="4"/>
  <c r="H266" i="4"/>
  <c r="H267" i="4"/>
  <c r="H268" i="4"/>
  <c r="H269" i="4"/>
  <c r="H270" i="4"/>
  <c r="H271" i="4"/>
  <c r="H272" i="4"/>
  <c r="H273" i="4"/>
  <c r="H274" i="4"/>
  <c r="H275" i="4"/>
  <c r="H276" i="4"/>
  <c r="H277" i="4"/>
  <c r="H278" i="4"/>
  <c r="H279" i="4"/>
  <c r="H280" i="4"/>
  <c r="H281" i="4"/>
  <c r="H282" i="4"/>
  <c r="H283" i="4"/>
  <c r="H284" i="4"/>
  <c r="H285" i="4"/>
  <c r="H286" i="4"/>
  <c r="H287" i="4"/>
  <c r="H288" i="4"/>
  <c r="H289" i="4"/>
  <c r="H290" i="4"/>
  <c r="H291" i="4"/>
  <c r="H292" i="4"/>
  <c r="H293" i="4"/>
  <c r="H294" i="4"/>
  <c r="H295" i="4"/>
  <c r="H3" i="4"/>
  <c r="E4" i="4"/>
  <c r="E5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68" i="4"/>
  <c r="E69" i="4"/>
  <c r="E70" i="4"/>
  <c r="E71" i="4"/>
  <c r="E72" i="4"/>
  <c r="E73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E93" i="4"/>
  <c r="E94" i="4"/>
  <c r="E95" i="4"/>
  <c r="E96" i="4"/>
  <c r="E97" i="4"/>
  <c r="E98" i="4"/>
  <c r="E99" i="4"/>
  <c r="E100" i="4"/>
  <c r="E101" i="4"/>
  <c r="E102" i="4"/>
  <c r="E103" i="4"/>
  <c r="E104" i="4"/>
  <c r="E105" i="4"/>
  <c r="E106" i="4"/>
  <c r="E107" i="4"/>
  <c r="E108" i="4"/>
  <c r="E109" i="4"/>
  <c r="E110" i="4"/>
  <c r="E111" i="4"/>
  <c r="E112" i="4"/>
  <c r="E113" i="4"/>
  <c r="E114" i="4"/>
  <c r="E115" i="4"/>
  <c r="E116" i="4"/>
  <c r="E117" i="4"/>
  <c r="E118" i="4"/>
  <c r="E119" i="4"/>
  <c r="E120" i="4"/>
  <c r="E121" i="4"/>
  <c r="E122" i="4"/>
  <c r="E123" i="4"/>
  <c r="E124" i="4"/>
  <c r="E125" i="4"/>
  <c r="E126" i="4"/>
  <c r="E127" i="4"/>
  <c r="E128" i="4"/>
  <c r="E129" i="4"/>
  <c r="E130" i="4"/>
  <c r="E131" i="4"/>
  <c r="E132" i="4"/>
  <c r="E133" i="4"/>
  <c r="E134" i="4"/>
  <c r="E135" i="4"/>
  <c r="E136" i="4"/>
  <c r="E137" i="4"/>
  <c r="E138" i="4"/>
  <c r="E139" i="4"/>
  <c r="E140" i="4"/>
  <c r="E141" i="4"/>
  <c r="E142" i="4"/>
  <c r="E143" i="4"/>
  <c r="E144" i="4"/>
  <c r="E145" i="4"/>
  <c r="E146" i="4"/>
  <c r="E147" i="4"/>
  <c r="E148" i="4"/>
  <c r="E149" i="4"/>
  <c r="E150" i="4"/>
  <c r="E151" i="4"/>
  <c r="E152" i="4"/>
  <c r="E153" i="4"/>
  <c r="E154" i="4"/>
  <c r="E155" i="4"/>
  <c r="E156" i="4"/>
  <c r="E157" i="4"/>
  <c r="E158" i="4"/>
  <c r="E159" i="4"/>
  <c r="E160" i="4"/>
  <c r="E161" i="4"/>
  <c r="E162" i="4"/>
  <c r="E163" i="4"/>
  <c r="E164" i="4"/>
  <c r="E165" i="4"/>
  <c r="E166" i="4"/>
  <c r="E167" i="4"/>
  <c r="E168" i="4"/>
  <c r="E169" i="4"/>
  <c r="E170" i="4"/>
  <c r="E171" i="4"/>
  <c r="E172" i="4"/>
  <c r="E173" i="4"/>
  <c r="E174" i="4"/>
  <c r="E175" i="4"/>
  <c r="E176" i="4"/>
  <c r="E177" i="4"/>
  <c r="E178" i="4"/>
  <c r="E179" i="4"/>
  <c r="E180" i="4"/>
  <c r="E181" i="4"/>
  <c r="E182" i="4"/>
  <c r="E183" i="4"/>
  <c r="E184" i="4"/>
  <c r="E185" i="4"/>
  <c r="E186" i="4"/>
  <c r="E187" i="4"/>
  <c r="E188" i="4"/>
  <c r="E189" i="4"/>
  <c r="E190" i="4"/>
  <c r="E191" i="4"/>
  <c r="E192" i="4"/>
  <c r="E193" i="4"/>
  <c r="E194" i="4"/>
  <c r="E195" i="4"/>
  <c r="E196" i="4"/>
  <c r="E197" i="4"/>
  <c r="E198" i="4"/>
  <c r="E199" i="4"/>
  <c r="E200" i="4"/>
  <c r="E201" i="4"/>
  <c r="E202" i="4"/>
  <c r="E203" i="4"/>
  <c r="E204" i="4"/>
  <c r="E205" i="4"/>
  <c r="E206" i="4"/>
  <c r="E207" i="4"/>
  <c r="E208" i="4"/>
  <c r="E209" i="4"/>
  <c r="E210" i="4"/>
  <c r="E211" i="4"/>
  <c r="E212" i="4"/>
  <c r="E213" i="4"/>
  <c r="E214" i="4"/>
  <c r="E215" i="4"/>
  <c r="E216" i="4"/>
  <c r="E217" i="4"/>
  <c r="E218" i="4"/>
  <c r="E219" i="4"/>
  <c r="E220" i="4"/>
  <c r="E221" i="4"/>
  <c r="E222" i="4"/>
  <c r="E223" i="4"/>
  <c r="E224" i="4"/>
  <c r="E225" i="4"/>
  <c r="E226" i="4"/>
  <c r="E227" i="4"/>
  <c r="E228" i="4"/>
  <c r="E229" i="4"/>
  <c r="E230" i="4"/>
  <c r="E231" i="4"/>
  <c r="E232" i="4"/>
  <c r="E233" i="4"/>
  <c r="E234" i="4"/>
  <c r="E235" i="4"/>
  <c r="E236" i="4"/>
  <c r="E237" i="4"/>
  <c r="E238" i="4"/>
  <c r="E239" i="4"/>
  <c r="E240" i="4"/>
  <c r="E241" i="4"/>
  <c r="E242" i="4"/>
  <c r="E243" i="4"/>
  <c r="E244" i="4"/>
  <c r="E245" i="4"/>
  <c r="E246" i="4"/>
  <c r="E247" i="4"/>
  <c r="E248" i="4"/>
  <c r="E249" i="4"/>
  <c r="E250" i="4"/>
  <c r="E251" i="4"/>
  <c r="E252" i="4"/>
  <c r="E253" i="4"/>
  <c r="E254" i="4"/>
  <c r="E255" i="4"/>
  <c r="E256" i="4"/>
  <c r="E257" i="4"/>
  <c r="E258" i="4"/>
  <c r="E259" i="4"/>
  <c r="E260" i="4"/>
  <c r="E261" i="4"/>
  <c r="E262" i="4"/>
  <c r="E263" i="4"/>
  <c r="E264" i="4"/>
  <c r="E265" i="4"/>
  <c r="E266" i="4"/>
  <c r="E267" i="4"/>
  <c r="E268" i="4"/>
  <c r="E269" i="4"/>
  <c r="E270" i="4"/>
  <c r="E271" i="4"/>
  <c r="E272" i="4"/>
  <c r="E273" i="4"/>
  <c r="E274" i="4"/>
  <c r="E275" i="4"/>
  <c r="E276" i="4"/>
  <c r="E277" i="4"/>
  <c r="E278" i="4"/>
  <c r="E279" i="4"/>
  <c r="E280" i="4"/>
  <c r="E281" i="4"/>
  <c r="E282" i="4"/>
  <c r="E283" i="4"/>
  <c r="E284" i="4"/>
  <c r="E285" i="4"/>
  <c r="E286" i="4"/>
  <c r="E287" i="4"/>
  <c r="E288" i="4"/>
  <c r="E289" i="4"/>
  <c r="E290" i="4"/>
  <c r="E291" i="4"/>
  <c r="E292" i="4"/>
  <c r="E293" i="4"/>
  <c r="E294" i="4"/>
  <c r="E295" i="4"/>
  <c r="E3" i="4"/>
  <c r="B4" i="4"/>
  <c r="B5" i="4"/>
  <c r="B6" i="4"/>
  <c r="B7" i="4"/>
  <c r="B8" i="4"/>
  <c r="B9" i="4"/>
  <c r="B10" i="4"/>
  <c r="B11" i="4"/>
  <c r="B12" i="4"/>
  <c r="B13" i="4"/>
  <c r="B14" i="4"/>
  <c r="B15" i="4"/>
  <c r="B16" i="4"/>
  <c r="B17" i="4"/>
  <c r="B18" i="4"/>
  <c r="B19" i="4"/>
  <c r="B20" i="4"/>
  <c r="B21" i="4"/>
  <c r="B22" i="4"/>
  <c r="B23" i="4"/>
  <c r="B24" i="4"/>
  <c r="B25" i="4"/>
  <c r="B26" i="4"/>
  <c r="B27" i="4"/>
  <c r="B28" i="4"/>
  <c r="B29" i="4"/>
  <c r="B30" i="4"/>
  <c r="B31" i="4"/>
  <c r="B32" i="4"/>
  <c r="B33" i="4"/>
  <c r="B34" i="4"/>
  <c r="B35" i="4"/>
  <c r="B36" i="4"/>
  <c r="B37" i="4"/>
  <c r="B38" i="4"/>
  <c r="B39" i="4"/>
  <c r="B40" i="4"/>
  <c r="B41" i="4"/>
  <c r="B42" i="4"/>
  <c r="B43" i="4"/>
  <c r="B44" i="4"/>
  <c r="B45" i="4"/>
  <c r="B46" i="4"/>
  <c r="B47" i="4"/>
  <c r="B48" i="4"/>
  <c r="B49" i="4"/>
  <c r="B50" i="4"/>
  <c r="B51" i="4"/>
  <c r="B52" i="4"/>
  <c r="B53" i="4"/>
  <c r="B54" i="4"/>
  <c r="B55" i="4"/>
  <c r="B56" i="4"/>
  <c r="B57" i="4"/>
  <c r="B58" i="4"/>
  <c r="B59" i="4"/>
  <c r="B60" i="4"/>
  <c r="B61" i="4"/>
  <c r="B62" i="4"/>
  <c r="B63" i="4"/>
  <c r="B64" i="4"/>
  <c r="B65" i="4"/>
  <c r="B66" i="4"/>
  <c r="B67" i="4"/>
  <c r="B68" i="4"/>
  <c r="B69" i="4"/>
  <c r="B70" i="4"/>
  <c r="B71" i="4"/>
  <c r="B72" i="4"/>
  <c r="B73" i="4"/>
  <c r="B74" i="4"/>
  <c r="B75" i="4"/>
  <c r="B76" i="4"/>
  <c r="B77" i="4"/>
  <c r="B78" i="4"/>
  <c r="B79" i="4"/>
  <c r="B80" i="4"/>
  <c r="B81" i="4"/>
  <c r="B82" i="4"/>
  <c r="B83" i="4"/>
  <c r="B84" i="4"/>
  <c r="B85" i="4"/>
  <c r="B86" i="4"/>
  <c r="B87" i="4"/>
  <c r="B88" i="4"/>
  <c r="B89" i="4"/>
  <c r="B90" i="4"/>
  <c r="B91" i="4"/>
  <c r="B92" i="4"/>
  <c r="B93" i="4"/>
  <c r="B94" i="4"/>
  <c r="B95" i="4"/>
  <c r="B96" i="4"/>
  <c r="B97" i="4"/>
  <c r="B98" i="4"/>
  <c r="B99" i="4"/>
  <c r="B100" i="4"/>
  <c r="B101" i="4"/>
  <c r="B102" i="4"/>
  <c r="B103" i="4"/>
  <c r="B104" i="4"/>
  <c r="B105" i="4"/>
  <c r="B106" i="4"/>
  <c r="B107" i="4"/>
  <c r="B108" i="4"/>
  <c r="B109" i="4"/>
  <c r="B110" i="4"/>
  <c r="B111" i="4"/>
  <c r="B112" i="4"/>
  <c r="B113" i="4"/>
  <c r="B114" i="4"/>
  <c r="B115" i="4"/>
  <c r="B116" i="4"/>
  <c r="B117" i="4"/>
  <c r="B118" i="4"/>
  <c r="B119" i="4"/>
  <c r="B120" i="4"/>
  <c r="B121" i="4"/>
  <c r="B122" i="4"/>
  <c r="B123" i="4"/>
  <c r="B124" i="4"/>
  <c r="B125" i="4"/>
  <c r="B126" i="4"/>
  <c r="B127" i="4"/>
  <c r="B128" i="4"/>
  <c r="B129" i="4"/>
  <c r="B130" i="4"/>
  <c r="B131" i="4"/>
  <c r="B132" i="4"/>
  <c r="B133" i="4"/>
  <c r="B134" i="4"/>
  <c r="B135" i="4"/>
  <c r="B136" i="4"/>
  <c r="B137" i="4"/>
  <c r="B138" i="4"/>
  <c r="B139" i="4"/>
  <c r="B140" i="4"/>
  <c r="B141" i="4"/>
  <c r="B142" i="4"/>
  <c r="B143" i="4"/>
  <c r="B144" i="4"/>
  <c r="B145" i="4"/>
  <c r="B146" i="4"/>
  <c r="B147" i="4"/>
  <c r="B148" i="4"/>
  <c r="B149" i="4"/>
  <c r="B150" i="4"/>
  <c r="B151" i="4"/>
  <c r="B152" i="4"/>
  <c r="B153" i="4"/>
  <c r="B154" i="4"/>
  <c r="B155" i="4"/>
  <c r="B156" i="4"/>
  <c r="B157" i="4"/>
  <c r="B158" i="4"/>
  <c r="B159" i="4"/>
  <c r="B160" i="4"/>
  <c r="B161" i="4"/>
  <c r="B162" i="4"/>
  <c r="B163" i="4"/>
  <c r="B164" i="4"/>
  <c r="B165" i="4"/>
  <c r="B166" i="4"/>
  <c r="B167" i="4"/>
  <c r="B168" i="4"/>
  <c r="B169" i="4"/>
  <c r="B170" i="4"/>
  <c r="B171" i="4"/>
  <c r="B172" i="4"/>
  <c r="B173" i="4"/>
  <c r="B174" i="4"/>
  <c r="B175" i="4"/>
  <c r="B176" i="4"/>
  <c r="B177" i="4"/>
  <c r="B178" i="4"/>
  <c r="B179" i="4"/>
  <c r="B180" i="4"/>
  <c r="B181" i="4"/>
  <c r="B182" i="4"/>
  <c r="B183" i="4"/>
  <c r="B184" i="4"/>
  <c r="B185" i="4"/>
  <c r="B186" i="4"/>
  <c r="B187" i="4"/>
  <c r="B188" i="4"/>
  <c r="B189" i="4"/>
  <c r="B190" i="4"/>
  <c r="B191" i="4"/>
  <c r="B192" i="4"/>
  <c r="B193" i="4"/>
  <c r="B194" i="4"/>
  <c r="B195" i="4"/>
  <c r="B196" i="4"/>
  <c r="B197" i="4"/>
  <c r="B198" i="4"/>
  <c r="B199" i="4"/>
  <c r="B200" i="4"/>
  <c r="B201" i="4"/>
  <c r="B202" i="4"/>
  <c r="B203" i="4"/>
  <c r="B204" i="4"/>
  <c r="B205" i="4"/>
  <c r="B206" i="4"/>
  <c r="B207" i="4"/>
  <c r="B208" i="4"/>
  <c r="B209" i="4"/>
  <c r="B210" i="4"/>
  <c r="B211" i="4"/>
  <c r="B212" i="4"/>
  <c r="B213" i="4"/>
  <c r="B214" i="4"/>
  <c r="B215" i="4"/>
  <c r="B216" i="4"/>
  <c r="B217" i="4"/>
  <c r="B218" i="4"/>
  <c r="B219" i="4"/>
  <c r="B220" i="4"/>
  <c r="B221" i="4"/>
  <c r="B222" i="4"/>
  <c r="B223" i="4"/>
  <c r="B224" i="4"/>
  <c r="B225" i="4"/>
  <c r="B226" i="4"/>
  <c r="B227" i="4"/>
  <c r="B228" i="4"/>
  <c r="B229" i="4"/>
  <c r="B230" i="4"/>
  <c r="B231" i="4"/>
  <c r="B232" i="4"/>
  <c r="B233" i="4"/>
  <c r="B234" i="4"/>
  <c r="B235" i="4"/>
  <c r="B236" i="4"/>
  <c r="B237" i="4"/>
  <c r="B238" i="4"/>
  <c r="B239" i="4"/>
  <c r="B240" i="4"/>
  <c r="B241" i="4"/>
  <c r="B242" i="4"/>
  <c r="B243" i="4"/>
  <c r="B244" i="4"/>
  <c r="B245" i="4"/>
  <c r="B246" i="4"/>
  <c r="B247" i="4"/>
  <c r="B248" i="4"/>
  <c r="B249" i="4"/>
  <c r="B250" i="4"/>
  <c r="B251" i="4"/>
  <c r="B252" i="4"/>
  <c r="B253" i="4"/>
  <c r="B254" i="4"/>
  <c r="B255" i="4"/>
  <c r="B256" i="4"/>
  <c r="B257" i="4"/>
  <c r="B258" i="4"/>
  <c r="B259" i="4"/>
  <c r="B260" i="4"/>
  <c r="B261" i="4"/>
  <c r="B262" i="4"/>
  <c r="B263" i="4"/>
  <c r="B264" i="4"/>
  <c r="B265" i="4"/>
  <c r="B266" i="4"/>
  <c r="B267" i="4"/>
  <c r="B268" i="4"/>
  <c r="B269" i="4"/>
  <c r="B270" i="4"/>
  <c r="B271" i="4"/>
  <c r="B272" i="4"/>
  <c r="B273" i="4"/>
  <c r="B274" i="4"/>
  <c r="B275" i="4"/>
  <c r="B276" i="4"/>
  <c r="B277" i="4"/>
  <c r="B278" i="4"/>
  <c r="B279" i="4"/>
  <c r="B280" i="4"/>
  <c r="B281" i="4"/>
  <c r="B282" i="4"/>
  <c r="B283" i="4"/>
  <c r="B284" i="4"/>
  <c r="B285" i="4"/>
  <c r="B286" i="4"/>
  <c r="B287" i="4"/>
  <c r="B288" i="4"/>
  <c r="B289" i="4"/>
  <c r="B290" i="4"/>
  <c r="B291" i="4"/>
  <c r="B292" i="4"/>
  <c r="B293" i="4"/>
  <c r="B294" i="4"/>
  <c r="B295" i="4"/>
  <c r="B3" i="4"/>
  <c r="Y18" i="1"/>
  <c r="Y15" i="1"/>
  <c r="Y12" i="1"/>
  <c r="K19" i="1" l="1"/>
  <c r="L19" i="1" l="1"/>
  <c r="P19" i="1"/>
  <c r="Q19" i="1" s="1"/>
  <c r="G47" i="1"/>
  <c r="G11" i="1"/>
  <c r="G29" i="1"/>
  <c r="Y4" i="1" l="1"/>
  <c r="M45" i="1" s="1"/>
  <c r="X30" i="1" l="1"/>
  <c r="X29" i="1"/>
  <c r="X31" i="1"/>
  <c r="N27" i="1"/>
  <c r="R45" i="1"/>
  <c r="M46" i="1"/>
  <c r="R27" i="1"/>
  <c r="R46" i="1"/>
  <c r="Y31" i="1" l="1"/>
  <c r="Z31" i="1" s="1"/>
  <c r="Y29" i="1"/>
  <c r="Z29" i="1" s="1"/>
  <c r="Y30" i="1"/>
  <c r="Z30" i="1" s="1"/>
  <c r="X24" i="1"/>
  <c r="Y24" i="1" s="1"/>
  <c r="Z24" i="1" s="1"/>
  <c r="X26" i="1"/>
  <c r="Y26" i="1" s="1"/>
  <c r="Z26" i="1" s="1"/>
  <c r="X25" i="1"/>
  <c r="Y25" i="1" s="1"/>
  <c r="Z25" i="1" s="1"/>
  <c r="X36" i="1"/>
  <c r="Y36" i="1" s="1"/>
  <c r="X34" i="1"/>
  <c r="Y34" i="1" s="1"/>
  <c r="X35" i="1"/>
  <c r="Y35" i="1" s="1"/>
  <c r="Z35" i="1" l="1"/>
  <c r="Z36" i="1"/>
  <c r="Z34" i="1"/>
  <c r="C13" i="1" l="1"/>
  <c r="BL295" i="4"/>
  <c r="BK295" i="4"/>
  <c r="BI295" i="4"/>
  <c r="BH295" i="4"/>
  <c r="BF295" i="4"/>
  <c r="BE295" i="4"/>
  <c r="BL294" i="4"/>
  <c r="BK294" i="4"/>
  <c r="BI294" i="4"/>
  <c r="BH294" i="4"/>
  <c r="BF294" i="4"/>
  <c r="BE294" i="4"/>
  <c r="BL293" i="4"/>
  <c r="BK293" i="4"/>
  <c r="BI293" i="4"/>
  <c r="BH293" i="4"/>
  <c r="BF293" i="4"/>
  <c r="BE293" i="4"/>
  <c r="BL292" i="4"/>
  <c r="BK292" i="4"/>
  <c r="BI292" i="4"/>
  <c r="BH292" i="4"/>
  <c r="BF292" i="4"/>
  <c r="BE292" i="4"/>
  <c r="BL291" i="4"/>
  <c r="BK291" i="4"/>
  <c r="BI291" i="4"/>
  <c r="BH291" i="4"/>
  <c r="BF291" i="4"/>
  <c r="BE291" i="4"/>
  <c r="BL290" i="4"/>
  <c r="BK290" i="4"/>
  <c r="BI290" i="4"/>
  <c r="BH290" i="4"/>
  <c r="BF290" i="4"/>
  <c r="BE290" i="4"/>
  <c r="BL289" i="4"/>
  <c r="BK289" i="4"/>
  <c r="BI289" i="4"/>
  <c r="BH289" i="4"/>
  <c r="BF289" i="4"/>
  <c r="BE289" i="4"/>
  <c r="BL288" i="4"/>
  <c r="BK288" i="4"/>
  <c r="BI288" i="4"/>
  <c r="BH288" i="4"/>
  <c r="BF288" i="4"/>
  <c r="BE288" i="4"/>
  <c r="BL287" i="4"/>
  <c r="BK287" i="4"/>
  <c r="BI287" i="4"/>
  <c r="BH287" i="4"/>
  <c r="BF287" i="4"/>
  <c r="BE287" i="4"/>
  <c r="BL286" i="4"/>
  <c r="BK286" i="4"/>
  <c r="BI286" i="4"/>
  <c r="BH286" i="4"/>
  <c r="BF286" i="4"/>
  <c r="BE286" i="4"/>
  <c r="BL285" i="4"/>
  <c r="BK285" i="4"/>
  <c r="BI285" i="4"/>
  <c r="BH285" i="4"/>
  <c r="BF285" i="4"/>
  <c r="BE285" i="4"/>
  <c r="BL284" i="4"/>
  <c r="BK284" i="4"/>
  <c r="BI284" i="4"/>
  <c r="BH284" i="4"/>
  <c r="BF284" i="4"/>
  <c r="BE284" i="4"/>
  <c r="BL283" i="4"/>
  <c r="BK283" i="4"/>
  <c r="BI283" i="4"/>
  <c r="BH283" i="4"/>
  <c r="BF283" i="4"/>
  <c r="BE283" i="4"/>
  <c r="BL282" i="4"/>
  <c r="BK282" i="4"/>
  <c r="BI282" i="4"/>
  <c r="BH282" i="4"/>
  <c r="BF282" i="4"/>
  <c r="BE282" i="4"/>
  <c r="BL281" i="4"/>
  <c r="BK281" i="4"/>
  <c r="BI281" i="4"/>
  <c r="BH281" i="4"/>
  <c r="BF281" i="4"/>
  <c r="BE281" i="4"/>
  <c r="BL280" i="4"/>
  <c r="BK280" i="4"/>
  <c r="BI280" i="4"/>
  <c r="BH280" i="4"/>
  <c r="BF280" i="4"/>
  <c r="BE280" i="4"/>
  <c r="BL279" i="4"/>
  <c r="BK279" i="4"/>
  <c r="BI279" i="4"/>
  <c r="BH279" i="4"/>
  <c r="BF279" i="4"/>
  <c r="BE279" i="4"/>
  <c r="BL278" i="4"/>
  <c r="BK278" i="4"/>
  <c r="BI278" i="4"/>
  <c r="BH278" i="4"/>
  <c r="BF278" i="4"/>
  <c r="BE278" i="4"/>
  <c r="BL277" i="4"/>
  <c r="BK277" i="4"/>
  <c r="BI277" i="4"/>
  <c r="BH277" i="4"/>
  <c r="BF277" i="4"/>
  <c r="BE277" i="4"/>
  <c r="BL276" i="4"/>
  <c r="BK276" i="4"/>
  <c r="BI276" i="4"/>
  <c r="BH276" i="4"/>
  <c r="BF276" i="4"/>
  <c r="BE276" i="4"/>
  <c r="BL275" i="4"/>
  <c r="BK275" i="4"/>
  <c r="BI275" i="4"/>
  <c r="BH275" i="4"/>
  <c r="BF275" i="4"/>
  <c r="BE275" i="4"/>
  <c r="BL274" i="4"/>
  <c r="BK274" i="4"/>
  <c r="BI274" i="4"/>
  <c r="BH274" i="4"/>
  <c r="BF274" i="4"/>
  <c r="BE274" i="4"/>
  <c r="BL273" i="4"/>
  <c r="BK273" i="4"/>
  <c r="BI273" i="4"/>
  <c r="BH273" i="4"/>
  <c r="BF273" i="4"/>
  <c r="BE273" i="4"/>
  <c r="BL272" i="4"/>
  <c r="BK272" i="4"/>
  <c r="BI272" i="4"/>
  <c r="BH272" i="4"/>
  <c r="BF272" i="4"/>
  <c r="BE272" i="4"/>
  <c r="BL271" i="4"/>
  <c r="BK271" i="4"/>
  <c r="BI271" i="4"/>
  <c r="BH271" i="4"/>
  <c r="BF271" i="4"/>
  <c r="BE271" i="4"/>
  <c r="BL270" i="4"/>
  <c r="BK270" i="4"/>
  <c r="BI270" i="4"/>
  <c r="BH270" i="4"/>
  <c r="BF270" i="4"/>
  <c r="BE270" i="4"/>
  <c r="BL269" i="4"/>
  <c r="BK269" i="4"/>
  <c r="BI269" i="4"/>
  <c r="BH269" i="4"/>
  <c r="BF269" i="4"/>
  <c r="BE269" i="4"/>
  <c r="BL268" i="4"/>
  <c r="BK268" i="4"/>
  <c r="BI268" i="4"/>
  <c r="BH268" i="4"/>
  <c r="BF268" i="4"/>
  <c r="BE268" i="4"/>
  <c r="BL267" i="4"/>
  <c r="BK267" i="4"/>
  <c r="BI267" i="4"/>
  <c r="BH267" i="4"/>
  <c r="BF267" i="4"/>
  <c r="BE267" i="4"/>
  <c r="BL266" i="4"/>
  <c r="BK266" i="4"/>
  <c r="BI266" i="4"/>
  <c r="BH266" i="4"/>
  <c r="BF266" i="4"/>
  <c r="BE266" i="4"/>
  <c r="BL265" i="4"/>
  <c r="BK265" i="4"/>
  <c r="BI265" i="4"/>
  <c r="BH265" i="4"/>
  <c r="BF265" i="4"/>
  <c r="BE265" i="4"/>
  <c r="BL264" i="4"/>
  <c r="BK264" i="4"/>
  <c r="BI264" i="4"/>
  <c r="BH264" i="4"/>
  <c r="BF264" i="4"/>
  <c r="BE264" i="4"/>
  <c r="BL263" i="4"/>
  <c r="BK263" i="4"/>
  <c r="BI263" i="4"/>
  <c r="BH263" i="4"/>
  <c r="BF263" i="4"/>
  <c r="BE263" i="4"/>
  <c r="BL262" i="4"/>
  <c r="BK262" i="4"/>
  <c r="BI262" i="4"/>
  <c r="BH262" i="4"/>
  <c r="BF262" i="4"/>
  <c r="BE262" i="4"/>
  <c r="BL261" i="4"/>
  <c r="BK261" i="4"/>
  <c r="BI261" i="4"/>
  <c r="BH261" i="4"/>
  <c r="BF261" i="4"/>
  <c r="BE261" i="4"/>
  <c r="BL260" i="4"/>
  <c r="BK260" i="4"/>
  <c r="BI260" i="4"/>
  <c r="BH260" i="4"/>
  <c r="BF260" i="4"/>
  <c r="BE260" i="4"/>
  <c r="BL259" i="4"/>
  <c r="BK259" i="4"/>
  <c r="BI259" i="4"/>
  <c r="BH259" i="4"/>
  <c r="BF259" i="4"/>
  <c r="BE259" i="4"/>
  <c r="BL258" i="4"/>
  <c r="BK258" i="4"/>
  <c r="BI258" i="4"/>
  <c r="BH258" i="4"/>
  <c r="BF258" i="4"/>
  <c r="BE258" i="4"/>
  <c r="BL257" i="4"/>
  <c r="BK257" i="4"/>
  <c r="BI257" i="4"/>
  <c r="BH257" i="4"/>
  <c r="BF257" i="4"/>
  <c r="BE257" i="4"/>
  <c r="BL256" i="4"/>
  <c r="BK256" i="4"/>
  <c r="BI256" i="4"/>
  <c r="BH256" i="4"/>
  <c r="BF256" i="4"/>
  <c r="BE256" i="4"/>
  <c r="BL255" i="4"/>
  <c r="BK255" i="4"/>
  <c r="BI255" i="4"/>
  <c r="BH255" i="4"/>
  <c r="BF255" i="4"/>
  <c r="BE255" i="4"/>
  <c r="BL254" i="4"/>
  <c r="BK254" i="4"/>
  <c r="BI254" i="4"/>
  <c r="BH254" i="4"/>
  <c r="BF254" i="4"/>
  <c r="BE254" i="4"/>
  <c r="BL253" i="4"/>
  <c r="BK253" i="4"/>
  <c r="BI253" i="4"/>
  <c r="BH253" i="4"/>
  <c r="BF253" i="4"/>
  <c r="BE253" i="4"/>
  <c r="BL252" i="4"/>
  <c r="BK252" i="4"/>
  <c r="BI252" i="4"/>
  <c r="BH252" i="4"/>
  <c r="BF252" i="4"/>
  <c r="BE252" i="4"/>
  <c r="BL251" i="4"/>
  <c r="BK251" i="4"/>
  <c r="BI251" i="4"/>
  <c r="BH251" i="4"/>
  <c r="BF251" i="4"/>
  <c r="BE251" i="4"/>
  <c r="BL250" i="4"/>
  <c r="BK250" i="4"/>
  <c r="BI250" i="4"/>
  <c r="BH250" i="4"/>
  <c r="BF250" i="4"/>
  <c r="BE250" i="4"/>
  <c r="BL249" i="4"/>
  <c r="BK249" i="4"/>
  <c r="BI249" i="4"/>
  <c r="BH249" i="4"/>
  <c r="BF249" i="4"/>
  <c r="BE249" i="4"/>
  <c r="BL248" i="4"/>
  <c r="BK248" i="4"/>
  <c r="BI248" i="4"/>
  <c r="BH248" i="4"/>
  <c r="BF248" i="4"/>
  <c r="BE248" i="4"/>
  <c r="BL247" i="4"/>
  <c r="BK247" i="4"/>
  <c r="BI247" i="4"/>
  <c r="BH247" i="4"/>
  <c r="BF247" i="4"/>
  <c r="BE247" i="4"/>
  <c r="BL246" i="4"/>
  <c r="BK246" i="4"/>
  <c r="BI246" i="4"/>
  <c r="BH246" i="4"/>
  <c r="BF246" i="4"/>
  <c r="BE246" i="4"/>
  <c r="BL245" i="4"/>
  <c r="BK245" i="4"/>
  <c r="BI245" i="4"/>
  <c r="BH245" i="4"/>
  <c r="BF245" i="4"/>
  <c r="BE245" i="4"/>
  <c r="BL244" i="4"/>
  <c r="BK244" i="4"/>
  <c r="BI244" i="4"/>
  <c r="BH244" i="4"/>
  <c r="BF244" i="4"/>
  <c r="BE244" i="4"/>
  <c r="BL243" i="4"/>
  <c r="BK243" i="4"/>
  <c r="BI243" i="4"/>
  <c r="BH243" i="4"/>
  <c r="BF243" i="4"/>
  <c r="BE243" i="4"/>
  <c r="BL242" i="4"/>
  <c r="BK242" i="4"/>
  <c r="BI242" i="4"/>
  <c r="BH242" i="4"/>
  <c r="BF242" i="4"/>
  <c r="BE242" i="4"/>
  <c r="BL241" i="4"/>
  <c r="BK241" i="4"/>
  <c r="BI241" i="4"/>
  <c r="BH241" i="4"/>
  <c r="BF241" i="4"/>
  <c r="BE241" i="4"/>
  <c r="BL240" i="4"/>
  <c r="BK240" i="4"/>
  <c r="BI240" i="4"/>
  <c r="BH240" i="4"/>
  <c r="BF240" i="4"/>
  <c r="BE240" i="4"/>
  <c r="BL239" i="4"/>
  <c r="BK239" i="4"/>
  <c r="BI239" i="4"/>
  <c r="BH239" i="4"/>
  <c r="BF239" i="4"/>
  <c r="BE239" i="4"/>
  <c r="BL238" i="4"/>
  <c r="BK238" i="4"/>
  <c r="BI238" i="4"/>
  <c r="BH238" i="4"/>
  <c r="BF238" i="4"/>
  <c r="BE238" i="4"/>
  <c r="BL237" i="4"/>
  <c r="BK237" i="4"/>
  <c r="BI237" i="4"/>
  <c r="BH237" i="4"/>
  <c r="BF237" i="4"/>
  <c r="BE237" i="4"/>
  <c r="BL236" i="4"/>
  <c r="BK236" i="4"/>
  <c r="BI236" i="4"/>
  <c r="BH236" i="4"/>
  <c r="BF236" i="4"/>
  <c r="BE236" i="4"/>
  <c r="BL235" i="4"/>
  <c r="BK235" i="4"/>
  <c r="BI235" i="4"/>
  <c r="BH235" i="4"/>
  <c r="BF235" i="4"/>
  <c r="BE235" i="4"/>
  <c r="BL234" i="4"/>
  <c r="BK234" i="4"/>
  <c r="BI234" i="4"/>
  <c r="BH234" i="4"/>
  <c r="BF234" i="4"/>
  <c r="BE234" i="4"/>
  <c r="BL233" i="4"/>
  <c r="BK233" i="4"/>
  <c r="BI233" i="4"/>
  <c r="BH233" i="4"/>
  <c r="BF233" i="4"/>
  <c r="BE233" i="4"/>
  <c r="BL232" i="4"/>
  <c r="BK232" i="4"/>
  <c r="BI232" i="4"/>
  <c r="BH232" i="4"/>
  <c r="BF232" i="4"/>
  <c r="BE232" i="4"/>
  <c r="BL231" i="4"/>
  <c r="BK231" i="4"/>
  <c r="BI231" i="4"/>
  <c r="BH231" i="4"/>
  <c r="BF231" i="4"/>
  <c r="BE231" i="4"/>
  <c r="BL230" i="4"/>
  <c r="BK230" i="4"/>
  <c r="BI230" i="4"/>
  <c r="BH230" i="4"/>
  <c r="BF230" i="4"/>
  <c r="BE230" i="4"/>
  <c r="BL229" i="4"/>
  <c r="BK229" i="4"/>
  <c r="BI229" i="4"/>
  <c r="BH229" i="4"/>
  <c r="BF229" i="4"/>
  <c r="BE229" i="4"/>
  <c r="BL228" i="4"/>
  <c r="BK228" i="4"/>
  <c r="BI228" i="4"/>
  <c r="BH228" i="4"/>
  <c r="BF228" i="4"/>
  <c r="BE228" i="4"/>
  <c r="BL227" i="4"/>
  <c r="BK227" i="4"/>
  <c r="BI227" i="4"/>
  <c r="BH227" i="4"/>
  <c r="BF227" i="4"/>
  <c r="BE227" i="4"/>
  <c r="BL226" i="4"/>
  <c r="BK226" i="4"/>
  <c r="BI226" i="4"/>
  <c r="BH226" i="4"/>
  <c r="BF226" i="4"/>
  <c r="BE226" i="4"/>
  <c r="BL225" i="4"/>
  <c r="BK225" i="4"/>
  <c r="BI225" i="4"/>
  <c r="BH225" i="4"/>
  <c r="BF225" i="4"/>
  <c r="BE225" i="4"/>
  <c r="BL224" i="4"/>
  <c r="BK224" i="4"/>
  <c r="BI224" i="4"/>
  <c r="BH224" i="4"/>
  <c r="BF224" i="4"/>
  <c r="BE224" i="4"/>
  <c r="BL223" i="4"/>
  <c r="BK223" i="4"/>
  <c r="BI223" i="4"/>
  <c r="BH223" i="4"/>
  <c r="BF223" i="4"/>
  <c r="BE223" i="4"/>
  <c r="BL222" i="4"/>
  <c r="BK222" i="4"/>
  <c r="BI222" i="4"/>
  <c r="BH222" i="4"/>
  <c r="BF222" i="4"/>
  <c r="BE222" i="4"/>
  <c r="BL221" i="4"/>
  <c r="BK221" i="4"/>
  <c r="BI221" i="4"/>
  <c r="BH221" i="4"/>
  <c r="BF221" i="4"/>
  <c r="BE221" i="4"/>
  <c r="BL220" i="4"/>
  <c r="BK220" i="4"/>
  <c r="BI220" i="4"/>
  <c r="BH220" i="4"/>
  <c r="BF220" i="4"/>
  <c r="BE220" i="4"/>
  <c r="BL219" i="4"/>
  <c r="BK219" i="4"/>
  <c r="BI219" i="4"/>
  <c r="BH219" i="4"/>
  <c r="BF219" i="4"/>
  <c r="BE219" i="4"/>
  <c r="BL218" i="4"/>
  <c r="BK218" i="4"/>
  <c r="BI218" i="4"/>
  <c r="BH218" i="4"/>
  <c r="BF218" i="4"/>
  <c r="BE218" i="4"/>
  <c r="BL217" i="4"/>
  <c r="BK217" i="4"/>
  <c r="BI217" i="4"/>
  <c r="BH217" i="4"/>
  <c r="BF217" i="4"/>
  <c r="BE217" i="4"/>
  <c r="BL216" i="4"/>
  <c r="BK216" i="4"/>
  <c r="BI216" i="4"/>
  <c r="BH216" i="4"/>
  <c r="BF216" i="4"/>
  <c r="BE216" i="4"/>
  <c r="BL215" i="4"/>
  <c r="BK215" i="4"/>
  <c r="BI215" i="4"/>
  <c r="BH215" i="4"/>
  <c r="BF215" i="4"/>
  <c r="BE215" i="4"/>
  <c r="BL214" i="4"/>
  <c r="BK214" i="4"/>
  <c r="BI214" i="4"/>
  <c r="BH214" i="4"/>
  <c r="BF214" i="4"/>
  <c r="BE214" i="4"/>
  <c r="BL213" i="4"/>
  <c r="BK213" i="4"/>
  <c r="BI213" i="4"/>
  <c r="BH213" i="4"/>
  <c r="BF213" i="4"/>
  <c r="BE213" i="4"/>
  <c r="BL212" i="4"/>
  <c r="BK212" i="4"/>
  <c r="BI212" i="4"/>
  <c r="BH212" i="4"/>
  <c r="BF212" i="4"/>
  <c r="BE212" i="4"/>
  <c r="BL211" i="4"/>
  <c r="BK211" i="4"/>
  <c r="BI211" i="4"/>
  <c r="BH211" i="4"/>
  <c r="BF211" i="4"/>
  <c r="BE211" i="4"/>
  <c r="BL210" i="4"/>
  <c r="BK210" i="4"/>
  <c r="BI210" i="4"/>
  <c r="BH210" i="4"/>
  <c r="BF210" i="4"/>
  <c r="BE210" i="4"/>
  <c r="BL209" i="4"/>
  <c r="BK209" i="4"/>
  <c r="BI209" i="4"/>
  <c r="BH209" i="4"/>
  <c r="BF209" i="4"/>
  <c r="BE209" i="4"/>
  <c r="BL208" i="4"/>
  <c r="BK208" i="4"/>
  <c r="BI208" i="4"/>
  <c r="BH208" i="4"/>
  <c r="BF208" i="4"/>
  <c r="BE208" i="4"/>
  <c r="BL207" i="4"/>
  <c r="BK207" i="4"/>
  <c r="BI207" i="4"/>
  <c r="BH207" i="4"/>
  <c r="BF207" i="4"/>
  <c r="BE207" i="4"/>
  <c r="BL206" i="4"/>
  <c r="BK206" i="4"/>
  <c r="BI206" i="4"/>
  <c r="BH206" i="4"/>
  <c r="BF206" i="4"/>
  <c r="BE206" i="4"/>
  <c r="BL205" i="4"/>
  <c r="BK205" i="4"/>
  <c r="BI205" i="4"/>
  <c r="BH205" i="4"/>
  <c r="BF205" i="4"/>
  <c r="BE205" i="4"/>
  <c r="BL204" i="4"/>
  <c r="BK204" i="4"/>
  <c r="BI204" i="4"/>
  <c r="BH204" i="4"/>
  <c r="BF204" i="4"/>
  <c r="BE204" i="4"/>
  <c r="BL203" i="4"/>
  <c r="BK203" i="4"/>
  <c r="BI203" i="4"/>
  <c r="BH203" i="4"/>
  <c r="BF203" i="4"/>
  <c r="BE203" i="4"/>
  <c r="BL202" i="4"/>
  <c r="BK202" i="4"/>
  <c r="BI202" i="4"/>
  <c r="BH202" i="4"/>
  <c r="BF202" i="4"/>
  <c r="BE202" i="4"/>
  <c r="BL201" i="4"/>
  <c r="BK201" i="4"/>
  <c r="BI201" i="4"/>
  <c r="BH201" i="4"/>
  <c r="BF201" i="4"/>
  <c r="BE201" i="4"/>
  <c r="BL200" i="4"/>
  <c r="BK200" i="4"/>
  <c r="BI200" i="4"/>
  <c r="BH200" i="4"/>
  <c r="BF200" i="4"/>
  <c r="BE200" i="4"/>
  <c r="BL199" i="4"/>
  <c r="BK199" i="4"/>
  <c r="BI199" i="4"/>
  <c r="BH199" i="4"/>
  <c r="BF199" i="4"/>
  <c r="BE199" i="4"/>
  <c r="BL198" i="4"/>
  <c r="BK198" i="4"/>
  <c r="BI198" i="4"/>
  <c r="BH198" i="4"/>
  <c r="BF198" i="4"/>
  <c r="BE198" i="4"/>
  <c r="BL197" i="4"/>
  <c r="BK197" i="4"/>
  <c r="BI197" i="4"/>
  <c r="BH197" i="4"/>
  <c r="BF197" i="4"/>
  <c r="BE197" i="4"/>
  <c r="BL196" i="4"/>
  <c r="BK196" i="4"/>
  <c r="BI196" i="4"/>
  <c r="BH196" i="4"/>
  <c r="BF196" i="4"/>
  <c r="BE196" i="4"/>
  <c r="BL195" i="4"/>
  <c r="BK195" i="4"/>
  <c r="BI195" i="4"/>
  <c r="BH195" i="4"/>
  <c r="BF195" i="4"/>
  <c r="BE195" i="4"/>
  <c r="BL194" i="4"/>
  <c r="BK194" i="4"/>
  <c r="BI194" i="4"/>
  <c r="BH194" i="4"/>
  <c r="BF194" i="4"/>
  <c r="BE194" i="4"/>
  <c r="BL193" i="4"/>
  <c r="BK193" i="4"/>
  <c r="BI193" i="4"/>
  <c r="BH193" i="4"/>
  <c r="BF193" i="4"/>
  <c r="BE193" i="4"/>
  <c r="BL192" i="4"/>
  <c r="BK192" i="4"/>
  <c r="BI192" i="4"/>
  <c r="BH192" i="4"/>
  <c r="BF192" i="4"/>
  <c r="BE192" i="4"/>
  <c r="BL191" i="4"/>
  <c r="BK191" i="4"/>
  <c r="BI191" i="4"/>
  <c r="BH191" i="4"/>
  <c r="BF191" i="4"/>
  <c r="BE191" i="4"/>
  <c r="BL190" i="4"/>
  <c r="BK190" i="4"/>
  <c r="BI190" i="4"/>
  <c r="BH190" i="4"/>
  <c r="BF190" i="4"/>
  <c r="BE190" i="4"/>
  <c r="BL189" i="4"/>
  <c r="BK189" i="4"/>
  <c r="BI189" i="4"/>
  <c r="BH189" i="4"/>
  <c r="BF189" i="4"/>
  <c r="BE189" i="4"/>
  <c r="BL188" i="4"/>
  <c r="BK188" i="4"/>
  <c r="BI188" i="4"/>
  <c r="BH188" i="4"/>
  <c r="BF188" i="4"/>
  <c r="BE188" i="4"/>
  <c r="BL187" i="4"/>
  <c r="BK187" i="4"/>
  <c r="BI187" i="4"/>
  <c r="BH187" i="4"/>
  <c r="BF187" i="4"/>
  <c r="BE187" i="4"/>
  <c r="BL186" i="4"/>
  <c r="BK186" i="4"/>
  <c r="BI186" i="4"/>
  <c r="BH186" i="4"/>
  <c r="BF186" i="4"/>
  <c r="BE186" i="4"/>
  <c r="BL185" i="4"/>
  <c r="BK185" i="4"/>
  <c r="BI185" i="4"/>
  <c r="BH185" i="4"/>
  <c r="BF185" i="4"/>
  <c r="BE185" i="4"/>
  <c r="BL184" i="4"/>
  <c r="BK184" i="4"/>
  <c r="BI184" i="4"/>
  <c r="BH184" i="4"/>
  <c r="BF184" i="4"/>
  <c r="BE184" i="4"/>
  <c r="BL183" i="4"/>
  <c r="BK183" i="4"/>
  <c r="BI183" i="4"/>
  <c r="BH183" i="4"/>
  <c r="BF183" i="4"/>
  <c r="BE183" i="4"/>
  <c r="BL182" i="4"/>
  <c r="BK182" i="4"/>
  <c r="BI182" i="4"/>
  <c r="BH182" i="4"/>
  <c r="BF182" i="4"/>
  <c r="BE182" i="4"/>
  <c r="BL181" i="4"/>
  <c r="BK181" i="4"/>
  <c r="BI181" i="4"/>
  <c r="BH181" i="4"/>
  <c r="BF181" i="4"/>
  <c r="BE181" i="4"/>
  <c r="BL180" i="4"/>
  <c r="BK180" i="4"/>
  <c r="BI180" i="4"/>
  <c r="BH180" i="4"/>
  <c r="BF180" i="4"/>
  <c r="BE180" i="4"/>
  <c r="BL179" i="4"/>
  <c r="BK179" i="4"/>
  <c r="BI179" i="4"/>
  <c r="BH179" i="4"/>
  <c r="BF179" i="4"/>
  <c r="BE179" i="4"/>
  <c r="BL178" i="4"/>
  <c r="BK178" i="4"/>
  <c r="BI178" i="4"/>
  <c r="BH178" i="4"/>
  <c r="BF178" i="4"/>
  <c r="BE178" i="4"/>
  <c r="BL177" i="4"/>
  <c r="BK177" i="4"/>
  <c r="BI177" i="4"/>
  <c r="BH177" i="4"/>
  <c r="BF177" i="4"/>
  <c r="BE177" i="4"/>
  <c r="BL176" i="4"/>
  <c r="BK176" i="4"/>
  <c r="BI176" i="4"/>
  <c r="BH176" i="4"/>
  <c r="BF176" i="4"/>
  <c r="BE176" i="4"/>
  <c r="BL175" i="4"/>
  <c r="BK175" i="4"/>
  <c r="BI175" i="4"/>
  <c r="BH175" i="4"/>
  <c r="BF175" i="4"/>
  <c r="BE175" i="4"/>
  <c r="BL174" i="4"/>
  <c r="BK174" i="4"/>
  <c r="BI174" i="4"/>
  <c r="BH174" i="4"/>
  <c r="BF174" i="4"/>
  <c r="BE174" i="4"/>
  <c r="BL173" i="4"/>
  <c r="BK173" i="4"/>
  <c r="BI173" i="4"/>
  <c r="BH173" i="4"/>
  <c r="BF173" i="4"/>
  <c r="BE173" i="4"/>
  <c r="BL172" i="4"/>
  <c r="BK172" i="4"/>
  <c r="BI172" i="4"/>
  <c r="BH172" i="4"/>
  <c r="BF172" i="4"/>
  <c r="BE172" i="4"/>
  <c r="BL171" i="4"/>
  <c r="BK171" i="4"/>
  <c r="BI171" i="4"/>
  <c r="BH171" i="4"/>
  <c r="BF171" i="4"/>
  <c r="BE171" i="4"/>
  <c r="BL170" i="4"/>
  <c r="BK170" i="4"/>
  <c r="BI170" i="4"/>
  <c r="BH170" i="4"/>
  <c r="BF170" i="4"/>
  <c r="BE170" i="4"/>
  <c r="BL169" i="4"/>
  <c r="BK169" i="4"/>
  <c r="BI169" i="4"/>
  <c r="BH169" i="4"/>
  <c r="BF169" i="4"/>
  <c r="BE169" i="4"/>
  <c r="BL168" i="4"/>
  <c r="BK168" i="4"/>
  <c r="BI168" i="4"/>
  <c r="BH168" i="4"/>
  <c r="BF168" i="4"/>
  <c r="BE168" i="4"/>
  <c r="BL167" i="4"/>
  <c r="BK167" i="4"/>
  <c r="BI167" i="4"/>
  <c r="BH167" i="4"/>
  <c r="BF167" i="4"/>
  <c r="BE167" i="4"/>
  <c r="BL166" i="4"/>
  <c r="BK166" i="4"/>
  <c r="BI166" i="4"/>
  <c r="BH166" i="4"/>
  <c r="BF166" i="4"/>
  <c r="BE166" i="4"/>
  <c r="BL165" i="4"/>
  <c r="BK165" i="4"/>
  <c r="BI165" i="4"/>
  <c r="BH165" i="4"/>
  <c r="BF165" i="4"/>
  <c r="BE165" i="4"/>
  <c r="BL164" i="4"/>
  <c r="BK164" i="4"/>
  <c r="BI164" i="4"/>
  <c r="BH164" i="4"/>
  <c r="BF164" i="4"/>
  <c r="BE164" i="4"/>
  <c r="BL163" i="4"/>
  <c r="BK163" i="4"/>
  <c r="BI163" i="4"/>
  <c r="BH163" i="4"/>
  <c r="BF163" i="4"/>
  <c r="BE163" i="4"/>
  <c r="BL162" i="4"/>
  <c r="BK162" i="4"/>
  <c r="BI162" i="4"/>
  <c r="BH162" i="4"/>
  <c r="BF162" i="4"/>
  <c r="BE162" i="4"/>
  <c r="BL161" i="4"/>
  <c r="BK161" i="4"/>
  <c r="BI161" i="4"/>
  <c r="BH161" i="4"/>
  <c r="BF161" i="4"/>
  <c r="BE161" i="4"/>
  <c r="BL160" i="4"/>
  <c r="BK160" i="4"/>
  <c r="BI160" i="4"/>
  <c r="BH160" i="4"/>
  <c r="BF160" i="4"/>
  <c r="BE160" i="4"/>
  <c r="BL159" i="4"/>
  <c r="BK159" i="4"/>
  <c r="BI159" i="4"/>
  <c r="BH159" i="4"/>
  <c r="BF159" i="4"/>
  <c r="BE159" i="4"/>
  <c r="BL158" i="4"/>
  <c r="BK158" i="4"/>
  <c r="BI158" i="4"/>
  <c r="BH158" i="4"/>
  <c r="BF158" i="4"/>
  <c r="BE158" i="4"/>
  <c r="BL157" i="4"/>
  <c r="BK157" i="4"/>
  <c r="BI157" i="4"/>
  <c r="BH157" i="4"/>
  <c r="BF157" i="4"/>
  <c r="BE157" i="4"/>
  <c r="BL156" i="4"/>
  <c r="BK156" i="4"/>
  <c r="BI156" i="4"/>
  <c r="BH156" i="4"/>
  <c r="BF156" i="4"/>
  <c r="BE156" i="4"/>
  <c r="BL155" i="4"/>
  <c r="BK155" i="4"/>
  <c r="BI155" i="4"/>
  <c r="BH155" i="4"/>
  <c r="BF155" i="4"/>
  <c r="BE155" i="4"/>
  <c r="BL154" i="4"/>
  <c r="BK154" i="4"/>
  <c r="BI154" i="4"/>
  <c r="BH154" i="4"/>
  <c r="BF154" i="4"/>
  <c r="BE154" i="4"/>
  <c r="BL153" i="4"/>
  <c r="BK153" i="4"/>
  <c r="BI153" i="4"/>
  <c r="BH153" i="4"/>
  <c r="BF153" i="4"/>
  <c r="BE153" i="4"/>
  <c r="BL152" i="4"/>
  <c r="BK152" i="4"/>
  <c r="BI152" i="4"/>
  <c r="BH152" i="4"/>
  <c r="BF152" i="4"/>
  <c r="BE152" i="4"/>
  <c r="BL151" i="4"/>
  <c r="BK151" i="4"/>
  <c r="BI151" i="4"/>
  <c r="BH151" i="4"/>
  <c r="BF151" i="4"/>
  <c r="BE151" i="4"/>
  <c r="BL150" i="4"/>
  <c r="BK150" i="4"/>
  <c r="BI150" i="4"/>
  <c r="BH150" i="4"/>
  <c r="BF150" i="4"/>
  <c r="BE150" i="4"/>
  <c r="BL149" i="4"/>
  <c r="BK149" i="4"/>
  <c r="BI149" i="4"/>
  <c r="BH149" i="4"/>
  <c r="BF149" i="4"/>
  <c r="BE149" i="4"/>
  <c r="BL148" i="4"/>
  <c r="BK148" i="4"/>
  <c r="BI148" i="4"/>
  <c r="BH148" i="4"/>
  <c r="BF148" i="4"/>
  <c r="BE148" i="4"/>
  <c r="BL147" i="4"/>
  <c r="BK147" i="4"/>
  <c r="BI147" i="4"/>
  <c r="BH147" i="4"/>
  <c r="BF147" i="4"/>
  <c r="BE147" i="4"/>
  <c r="BL146" i="4"/>
  <c r="BK146" i="4"/>
  <c r="BI146" i="4"/>
  <c r="BH146" i="4"/>
  <c r="BF146" i="4"/>
  <c r="BE146" i="4"/>
  <c r="BL145" i="4"/>
  <c r="BK145" i="4"/>
  <c r="BI145" i="4"/>
  <c r="BH145" i="4"/>
  <c r="BF145" i="4"/>
  <c r="BE145" i="4"/>
  <c r="BL144" i="4"/>
  <c r="BK144" i="4"/>
  <c r="BI144" i="4"/>
  <c r="BH144" i="4"/>
  <c r="BF144" i="4"/>
  <c r="BE144" i="4"/>
  <c r="BL143" i="4"/>
  <c r="BK143" i="4"/>
  <c r="BI143" i="4"/>
  <c r="BH143" i="4"/>
  <c r="BF143" i="4"/>
  <c r="BE143" i="4"/>
  <c r="BL142" i="4"/>
  <c r="BK142" i="4"/>
  <c r="BI142" i="4"/>
  <c r="BH142" i="4"/>
  <c r="BF142" i="4"/>
  <c r="BE142" i="4"/>
  <c r="BL141" i="4"/>
  <c r="BK141" i="4"/>
  <c r="BI141" i="4"/>
  <c r="BH141" i="4"/>
  <c r="BF141" i="4"/>
  <c r="BE141" i="4"/>
  <c r="BL140" i="4"/>
  <c r="BK140" i="4"/>
  <c r="BI140" i="4"/>
  <c r="BH140" i="4"/>
  <c r="BF140" i="4"/>
  <c r="BE140" i="4"/>
  <c r="BL139" i="4"/>
  <c r="BK139" i="4"/>
  <c r="BI139" i="4"/>
  <c r="BH139" i="4"/>
  <c r="BF139" i="4"/>
  <c r="BE139" i="4"/>
  <c r="BL138" i="4"/>
  <c r="BK138" i="4"/>
  <c r="BI138" i="4"/>
  <c r="BH138" i="4"/>
  <c r="BF138" i="4"/>
  <c r="BE138" i="4"/>
  <c r="BL137" i="4"/>
  <c r="BK137" i="4"/>
  <c r="BI137" i="4"/>
  <c r="BH137" i="4"/>
  <c r="BF137" i="4"/>
  <c r="BE137" i="4"/>
  <c r="BL136" i="4"/>
  <c r="BK136" i="4"/>
  <c r="BI136" i="4"/>
  <c r="BH136" i="4"/>
  <c r="BF136" i="4"/>
  <c r="BE136" i="4"/>
  <c r="BL135" i="4"/>
  <c r="BK135" i="4"/>
  <c r="BI135" i="4"/>
  <c r="BH135" i="4"/>
  <c r="BF135" i="4"/>
  <c r="BE135" i="4"/>
  <c r="BL134" i="4"/>
  <c r="BK134" i="4"/>
  <c r="BI134" i="4"/>
  <c r="BH134" i="4"/>
  <c r="BF134" i="4"/>
  <c r="BE134" i="4"/>
  <c r="BL133" i="4"/>
  <c r="BK133" i="4"/>
  <c r="BI133" i="4"/>
  <c r="BH133" i="4"/>
  <c r="BF133" i="4"/>
  <c r="BE133" i="4"/>
  <c r="BL132" i="4"/>
  <c r="BK132" i="4"/>
  <c r="BI132" i="4"/>
  <c r="BH132" i="4"/>
  <c r="BF132" i="4"/>
  <c r="BE132" i="4"/>
  <c r="BL131" i="4"/>
  <c r="BK131" i="4"/>
  <c r="BI131" i="4"/>
  <c r="BH131" i="4"/>
  <c r="BF131" i="4"/>
  <c r="BE131" i="4"/>
  <c r="BL130" i="4"/>
  <c r="BK130" i="4"/>
  <c r="BI130" i="4"/>
  <c r="BH130" i="4"/>
  <c r="BF130" i="4"/>
  <c r="BE130" i="4"/>
  <c r="BL129" i="4"/>
  <c r="BK129" i="4"/>
  <c r="BI129" i="4"/>
  <c r="BH129" i="4"/>
  <c r="BF129" i="4"/>
  <c r="BE129" i="4"/>
  <c r="BL128" i="4"/>
  <c r="BK128" i="4"/>
  <c r="BI128" i="4"/>
  <c r="BH128" i="4"/>
  <c r="BF128" i="4"/>
  <c r="BE128" i="4"/>
  <c r="BL127" i="4"/>
  <c r="BK127" i="4"/>
  <c r="BI127" i="4"/>
  <c r="BH127" i="4"/>
  <c r="BF127" i="4"/>
  <c r="BE127" i="4"/>
  <c r="BL126" i="4"/>
  <c r="BK126" i="4"/>
  <c r="BI126" i="4"/>
  <c r="BH126" i="4"/>
  <c r="BF126" i="4"/>
  <c r="BE126" i="4"/>
  <c r="BL125" i="4"/>
  <c r="BK125" i="4"/>
  <c r="BI125" i="4"/>
  <c r="BH125" i="4"/>
  <c r="BF125" i="4"/>
  <c r="BE125" i="4"/>
  <c r="BL124" i="4"/>
  <c r="BK124" i="4"/>
  <c r="BI124" i="4"/>
  <c r="BH124" i="4"/>
  <c r="BF124" i="4"/>
  <c r="BE124" i="4"/>
  <c r="BL123" i="4"/>
  <c r="BK123" i="4"/>
  <c r="BI123" i="4"/>
  <c r="BH123" i="4"/>
  <c r="BF123" i="4"/>
  <c r="BE123" i="4"/>
  <c r="BL122" i="4"/>
  <c r="BK122" i="4"/>
  <c r="BI122" i="4"/>
  <c r="BH122" i="4"/>
  <c r="BF122" i="4"/>
  <c r="BE122" i="4"/>
  <c r="BL121" i="4"/>
  <c r="BK121" i="4"/>
  <c r="BI121" i="4"/>
  <c r="BH121" i="4"/>
  <c r="BF121" i="4"/>
  <c r="BE121" i="4"/>
  <c r="BL120" i="4"/>
  <c r="BK120" i="4"/>
  <c r="BI120" i="4"/>
  <c r="BH120" i="4"/>
  <c r="BF120" i="4"/>
  <c r="BE120" i="4"/>
  <c r="BL119" i="4"/>
  <c r="BK119" i="4"/>
  <c r="BI119" i="4"/>
  <c r="BH119" i="4"/>
  <c r="BF119" i="4"/>
  <c r="BE119" i="4"/>
  <c r="BL118" i="4"/>
  <c r="BK118" i="4"/>
  <c r="BI118" i="4"/>
  <c r="BH118" i="4"/>
  <c r="BF118" i="4"/>
  <c r="BE118" i="4"/>
  <c r="BL117" i="4"/>
  <c r="BK117" i="4"/>
  <c r="BI117" i="4"/>
  <c r="BH117" i="4"/>
  <c r="BF117" i="4"/>
  <c r="BE117" i="4"/>
  <c r="BL116" i="4"/>
  <c r="BK116" i="4"/>
  <c r="BI116" i="4"/>
  <c r="BH116" i="4"/>
  <c r="BF116" i="4"/>
  <c r="BE116" i="4"/>
  <c r="BL115" i="4"/>
  <c r="BK115" i="4"/>
  <c r="BI115" i="4"/>
  <c r="BH115" i="4"/>
  <c r="BF115" i="4"/>
  <c r="BE115" i="4"/>
  <c r="BL114" i="4"/>
  <c r="BK114" i="4"/>
  <c r="BI114" i="4"/>
  <c r="BH114" i="4"/>
  <c r="BF114" i="4"/>
  <c r="BE114" i="4"/>
  <c r="BL113" i="4"/>
  <c r="BK113" i="4"/>
  <c r="BI113" i="4"/>
  <c r="BH113" i="4"/>
  <c r="BF113" i="4"/>
  <c r="BE113" i="4"/>
  <c r="BL112" i="4"/>
  <c r="BK112" i="4"/>
  <c r="BI112" i="4"/>
  <c r="BH112" i="4"/>
  <c r="BF112" i="4"/>
  <c r="BE112" i="4"/>
  <c r="BL111" i="4"/>
  <c r="BK111" i="4"/>
  <c r="BI111" i="4"/>
  <c r="BH111" i="4"/>
  <c r="BF111" i="4"/>
  <c r="BE111" i="4"/>
  <c r="BL110" i="4"/>
  <c r="BK110" i="4"/>
  <c r="BI110" i="4"/>
  <c r="BH110" i="4"/>
  <c r="BF110" i="4"/>
  <c r="BE110" i="4"/>
  <c r="BL109" i="4"/>
  <c r="BK109" i="4"/>
  <c r="BI109" i="4"/>
  <c r="BH109" i="4"/>
  <c r="BF109" i="4"/>
  <c r="BE109" i="4"/>
  <c r="BL108" i="4"/>
  <c r="BK108" i="4"/>
  <c r="BI108" i="4"/>
  <c r="BH108" i="4"/>
  <c r="BF108" i="4"/>
  <c r="BE108" i="4"/>
  <c r="BL107" i="4"/>
  <c r="BK107" i="4"/>
  <c r="BI107" i="4"/>
  <c r="BH107" i="4"/>
  <c r="BF107" i="4"/>
  <c r="BE107" i="4"/>
  <c r="BL106" i="4"/>
  <c r="BK106" i="4"/>
  <c r="BI106" i="4"/>
  <c r="BH106" i="4"/>
  <c r="BF106" i="4"/>
  <c r="BE106" i="4"/>
  <c r="BL105" i="4"/>
  <c r="BK105" i="4"/>
  <c r="BI105" i="4"/>
  <c r="BH105" i="4"/>
  <c r="BF105" i="4"/>
  <c r="BE105" i="4"/>
  <c r="BL104" i="4"/>
  <c r="BK104" i="4"/>
  <c r="BI104" i="4"/>
  <c r="BH104" i="4"/>
  <c r="BF104" i="4"/>
  <c r="BE104" i="4"/>
  <c r="BL103" i="4"/>
  <c r="BK103" i="4"/>
  <c r="BI103" i="4"/>
  <c r="BH103" i="4"/>
  <c r="BF103" i="4"/>
  <c r="BE103" i="4"/>
  <c r="BL102" i="4"/>
  <c r="BK102" i="4"/>
  <c r="BI102" i="4"/>
  <c r="BH102" i="4"/>
  <c r="BF102" i="4"/>
  <c r="BE102" i="4"/>
  <c r="BL101" i="4"/>
  <c r="BK101" i="4"/>
  <c r="BI101" i="4"/>
  <c r="BH101" i="4"/>
  <c r="BF101" i="4"/>
  <c r="BE101" i="4"/>
  <c r="BL100" i="4"/>
  <c r="BK100" i="4"/>
  <c r="BI100" i="4"/>
  <c r="BH100" i="4"/>
  <c r="BF100" i="4"/>
  <c r="BE100" i="4"/>
  <c r="BL99" i="4"/>
  <c r="BK99" i="4"/>
  <c r="BI99" i="4"/>
  <c r="BH99" i="4"/>
  <c r="BF99" i="4"/>
  <c r="BE99" i="4"/>
  <c r="BL98" i="4"/>
  <c r="BK98" i="4"/>
  <c r="BI98" i="4"/>
  <c r="BH98" i="4"/>
  <c r="BF98" i="4"/>
  <c r="BE98" i="4"/>
  <c r="BL97" i="4"/>
  <c r="BK97" i="4"/>
  <c r="BI97" i="4"/>
  <c r="BH97" i="4"/>
  <c r="BF97" i="4"/>
  <c r="BE97" i="4"/>
  <c r="BL96" i="4"/>
  <c r="BK96" i="4"/>
  <c r="BI96" i="4"/>
  <c r="BH96" i="4"/>
  <c r="BF96" i="4"/>
  <c r="BE96" i="4"/>
  <c r="BL95" i="4"/>
  <c r="BK95" i="4"/>
  <c r="BI95" i="4"/>
  <c r="BH95" i="4"/>
  <c r="BF95" i="4"/>
  <c r="BE95" i="4"/>
  <c r="BL94" i="4"/>
  <c r="BK94" i="4"/>
  <c r="BI94" i="4"/>
  <c r="BH94" i="4"/>
  <c r="BF94" i="4"/>
  <c r="BE94" i="4"/>
  <c r="BL93" i="4"/>
  <c r="BK93" i="4"/>
  <c r="BI93" i="4"/>
  <c r="BH93" i="4"/>
  <c r="BF93" i="4"/>
  <c r="BE93" i="4"/>
  <c r="BL92" i="4"/>
  <c r="BK92" i="4"/>
  <c r="BI92" i="4"/>
  <c r="BH92" i="4"/>
  <c r="BF92" i="4"/>
  <c r="BE92" i="4"/>
  <c r="BL91" i="4"/>
  <c r="BK91" i="4"/>
  <c r="BI91" i="4"/>
  <c r="BH91" i="4"/>
  <c r="BF91" i="4"/>
  <c r="BE91" i="4"/>
  <c r="BL90" i="4"/>
  <c r="BK90" i="4"/>
  <c r="BI90" i="4"/>
  <c r="BH90" i="4"/>
  <c r="BF90" i="4"/>
  <c r="BE90" i="4"/>
  <c r="BL89" i="4"/>
  <c r="BK89" i="4"/>
  <c r="BI89" i="4"/>
  <c r="BH89" i="4"/>
  <c r="BF89" i="4"/>
  <c r="BE89" i="4"/>
  <c r="BL88" i="4"/>
  <c r="BK88" i="4"/>
  <c r="BI88" i="4"/>
  <c r="BH88" i="4"/>
  <c r="BF88" i="4"/>
  <c r="BE88" i="4"/>
  <c r="BL87" i="4"/>
  <c r="BK87" i="4"/>
  <c r="BI87" i="4"/>
  <c r="BH87" i="4"/>
  <c r="BF87" i="4"/>
  <c r="BE87" i="4"/>
  <c r="BL86" i="4"/>
  <c r="BK86" i="4"/>
  <c r="BI86" i="4"/>
  <c r="BH86" i="4"/>
  <c r="BF86" i="4"/>
  <c r="BE86" i="4"/>
  <c r="BL85" i="4"/>
  <c r="BK85" i="4"/>
  <c r="BI85" i="4"/>
  <c r="BH85" i="4"/>
  <c r="BF85" i="4"/>
  <c r="BE85" i="4"/>
  <c r="BL84" i="4"/>
  <c r="BK84" i="4"/>
  <c r="BI84" i="4"/>
  <c r="BH84" i="4"/>
  <c r="BF84" i="4"/>
  <c r="BE84" i="4"/>
  <c r="BL83" i="4"/>
  <c r="BK83" i="4"/>
  <c r="BI83" i="4"/>
  <c r="BH83" i="4"/>
  <c r="BF83" i="4"/>
  <c r="BE83" i="4"/>
  <c r="BL82" i="4"/>
  <c r="BK82" i="4"/>
  <c r="BI82" i="4"/>
  <c r="BH82" i="4"/>
  <c r="BF82" i="4"/>
  <c r="BE82" i="4"/>
  <c r="BL81" i="4"/>
  <c r="BK81" i="4"/>
  <c r="BI81" i="4"/>
  <c r="BH81" i="4"/>
  <c r="BF81" i="4"/>
  <c r="BE81" i="4"/>
  <c r="BL80" i="4"/>
  <c r="BK80" i="4"/>
  <c r="BI80" i="4"/>
  <c r="BH80" i="4"/>
  <c r="BF80" i="4"/>
  <c r="BE80" i="4"/>
  <c r="BL79" i="4"/>
  <c r="BK79" i="4"/>
  <c r="BI79" i="4"/>
  <c r="BH79" i="4"/>
  <c r="BF79" i="4"/>
  <c r="BE79" i="4"/>
  <c r="BL78" i="4"/>
  <c r="BK78" i="4"/>
  <c r="BI78" i="4"/>
  <c r="BH78" i="4"/>
  <c r="BF78" i="4"/>
  <c r="BE78" i="4"/>
  <c r="BL77" i="4"/>
  <c r="BK77" i="4"/>
  <c r="BI77" i="4"/>
  <c r="BH77" i="4"/>
  <c r="BF77" i="4"/>
  <c r="BE77" i="4"/>
  <c r="BL76" i="4"/>
  <c r="BK76" i="4"/>
  <c r="BI76" i="4"/>
  <c r="BH76" i="4"/>
  <c r="BF76" i="4"/>
  <c r="BE76" i="4"/>
  <c r="BL75" i="4"/>
  <c r="BK75" i="4"/>
  <c r="BI75" i="4"/>
  <c r="BH75" i="4"/>
  <c r="BF75" i="4"/>
  <c r="BE75" i="4"/>
  <c r="BL74" i="4"/>
  <c r="BK74" i="4"/>
  <c r="BI74" i="4"/>
  <c r="BH74" i="4"/>
  <c r="BF74" i="4"/>
  <c r="BE74" i="4"/>
  <c r="BL73" i="4"/>
  <c r="BK73" i="4"/>
  <c r="BI73" i="4"/>
  <c r="BH73" i="4"/>
  <c r="BF73" i="4"/>
  <c r="BE73" i="4"/>
  <c r="BL72" i="4"/>
  <c r="BK72" i="4"/>
  <c r="BI72" i="4"/>
  <c r="BH72" i="4"/>
  <c r="BF72" i="4"/>
  <c r="BE72" i="4"/>
  <c r="BL71" i="4"/>
  <c r="BK71" i="4"/>
  <c r="BI71" i="4"/>
  <c r="BH71" i="4"/>
  <c r="BF71" i="4"/>
  <c r="BE71" i="4"/>
  <c r="BL70" i="4"/>
  <c r="BK70" i="4"/>
  <c r="BI70" i="4"/>
  <c r="BH70" i="4"/>
  <c r="BF70" i="4"/>
  <c r="BE70" i="4"/>
  <c r="BL69" i="4"/>
  <c r="BK69" i="4"/>
  <c r="BI69" i="4"/>
  <c r="BH69" i="4"/>
  <c r="BF69" i="4"/>
  <c r="BE69" i="4"/>
  <c r="BL68" i="4"/>
  <c r="BK68" i="4"/>
  <c r="BI68" i="4"/>
  <c r="BH68" i="4"/>
  <c r="BF68" i="4"/>
  <c r="BE68" i="4"/>
  <c r="BL67" i="4"/>
  <c r="BK67" i="4"/>
  <c r="BI67" i="4"/>
  <c r="BH67" i="4"/>
  <c r="BF67" i="4"/>
  <c r="BE67" i="4"/>
  <c r="BL66" i="4"/>
  <c r="BK66" i="4"/>
  <c r="BI66" i="4"/>
  <c r="BH66" i="4"/>
  <c r="BF66" i="4"/>
  <c r="BE66" i="4"/>
  <c r="BL65" i="4"/>
  <c r="BK65" i="4"/>
  <c r="BI65" i="4"/>
  <c r="BH65" i="4"/>
  <c r="BF65" i="4"/>
  <c r="BE65" i="4"/>
  <c r="BL64" i="4"/>
  <c r="BK64" i="4"/>
  <c r="BI64" i="4"/>
  <c r="BH64" i="4"/>
  <c r="BF64" i="4"/>
  <c r="BE64" i="4"/>
  <c r="BL63" i="4"/>
  <c r="BK63" i="4"/>
  <c r="BI63" i="4"/>
  <c r="BH63" i="4"/>
  <c r="BF63" i="4"/>
  <c r="BE63" i="4"/>
  <c r="BL62" i="4"/>
  <c r="BK62" i="4"/>
  <c r="BI62" i="4"/>
  <c r="BH62" i="4"/>
  <c r="BF62" i="4"/>
  <c r="BE62" i="4"/>
  <c r="BL61" i="4"/>
  <c r="BK61" i="4"/>
  <c r="BI61" i="4"/>
  <c r="BH61" i="4"/>
  <c r="BF61" i="4"/>
  <c r="BE61" i="4"/>
  <c r="BL60" i="4"/>
  <c r="BK60" i="4"/>
  <c r="BI60" i="4"/>
  <c r="BH60" i="4"/>
  <c r="BF60" i="4"/>
  <c r="BE60" i="4"/>
  <c r="BL59" i="4"/>
  <c r="BK59" i="4"/>
  <c r="BI59" i="4"/>
  <c r="BH59" i="4"/>
  <c r="BF59" i="4"/>
  <c r="BE59" i="4"/>
  <c r="BL58" i="4"/>
  <c r="BK58" i="4"/>
  <c r="BI58" i="4"/>
  <c r="BH58" i="4"/>
  <c r="BF58" i="4"/>
  <c r="BE58" i="4"/>
  <c r="BL57" i="4"/>
  <c r="BK57" i="4"/>
  <c r="BI57" i="4"/>
  <c r="BH57" i="4"/>
  <c r="BF57" i="4"/>
  <c r="BE57" i="4"/>
  <c r="BL56" i="4"/>
  <c r="BK56" i="4"/>
  <c r="BI56" i="4"/>
  <c r="BH56" i="4"/>
  <c r="BF56" i="4"/>
  <c r="BE56" i="4"/>
  <c r="BL55" i="4"/>
  <c r="BK55" i="4"/>
  <c r="BI55" i="4"/>
  <c r="BH55" i="4"/>
  <c r="BF55" i="4"/>
  <c r="BE55" i="4"/>
  <c r="BL54" i="4"/>
  <c r="BK54" i="4"/>
  <c r="BI54" i="4"/>
  <c r="BH54" i="4"/>
  <c r="BF54" i="4"/>
  <c r="BE54" i="4"/>
  <c r="BL53" i="4"/>
  <c r="BK53" i="4"/>
  <c r="BI53" i="4"/>
  <c r="BH53" i="4"/>
  <c r="BF53" i="4"/>
  <c r="BE53" i="4"/>
  <c r="BL52" i="4"/>
  <c r="BK52" i="4"/>
  <c r="BI52" i="4"/>
  <c r="BH52" i="4"/>
  <c r="BF52" i="4"/>
  <c r="BE52" i="4"/>
  <c r="BL51" i="4"/>
  <c r="BK51" i="4"/>
  <c r="BI51" i="4"/>
  <c r="BH51" i="4"/>
  <c r="BF51" i="4"/>
  <c r="BE51" i="4"/>
  <c r="BL50" i="4"/>
  <c r="BK50" i="4"/>
  <c r="BI50" i="4"/>
  <c r="BH50" i="4"/>
  <c r="BF50" i="4"/>
  <c r="BE50" i="4"/>
  <c r="BL49" i="4"/>
  <c r="BK49" i="4"/>
  <c r="BI49" i="4"/>
  <c r="BH49" i="4"/>
  <c r="BF49" i="4"/>
  <c r="BE49" i="4"/>
  <c r="BL48" i="4"/>
  <c r="BK48" i="4"/>
  <c r="BI48" i="4"/>
  <c r="BH48" i="4"/>
  <c r="BF48" i="4"/>
  <c r="BE48" i="4"/>
  <c r="BL47" i="4"/>
  <c r="BK47" i="4"/>
  <c r="BI47" i="4"/>
  <c r="BH47" i="4"/>
  <c r="BF47" i="4"/>
  <c r="BE47" i="4"/>
  <c r="BL46" i="4"/>
  <c r="BK46" i="4"/>
  <c r="BI46" i="4"/>
  <c r="BH46" i="4"/>
  <c r="BF46" i="4"/>
  <c r="BE46" i="4"/>
  <c r="BL45" i="4"/>
  <c r="BK45" i="4"/>
  <c r="BI45" i="4"/>
  <c r="BH45" i="4"/>
  <c r="BF45" i="4"/>
  <c r="BE45" i="4"/>
  <c r="BL44" i="4"/>
  <c r="BK44" i="4"/>
  <c r="BI44" i="4"/>
  <c r="BH44" i="4"/>
  <c r="BF44" i="4"/>
  <c r="BE44" i="4"/>
  <c r="BL43" i="4"/>
  <c r="BK43" i="4"/>
  <c r="BI43" i="4"/>
  <c r="BH43" i="4"/>
  <c r="BF43" i="4"/>
  <c r="BE43" i="4"/>
  <c r="BL42" i="4"/>
  <c r="BK42" i="4"/>
  <c r="BI42" i="4"/>
  <c r="BH42" i="4"/>
  <c r="BF42" i="4"/>
  <c r="BE42" i="4"/>
  <c r="BL41" i="4"/>
  <c r="BK41" i="4"/>
  <c r="BI41" i="4"/>
  <c r="BH41" i="4"/>
  <c r="BF41" i="4"/>
  <c r="BE41" i="4"/>
  <c r="BL40" i="4"/>
  <c r="BK40" i="4"/>
  <c r="BI40" i="4"/>
  <c r="BH40" i="4"/>
  <c r="BF40" i="4"/>
  <c r="BE40" i="4"/>
  <c r="BL39" i="4"/>
  <c r="BK39" i="4"/>
  <c r="BI39" i="4"/>
  <c r="BH39" i="4"/>
  <c r="BF39" i="4"/>
  <c r="BE39" i="4"/>
  <c r="BL38" i="4"/>
  <c r="BK38" i="4"/>
  <c r="BI38" i="4"/>
  <c r="BH38" i="4"/>
  <c r="BF38" i="4"/>
  <c r="BE38" i="4"/>
  <c r="BL37" i="4"/>
  <c r="BK37" i="4"/>
  <c r="BI37" i="4"/>
  <c r="BH37" i="4"/>
  <c r="BF37" i="4"/>
  <c r="BE37" i="4"/>
  <c r="BL36" i="4"/>
  <c r="BK36" i="4"/>
  <c r="BI36" i="4"/>
  <c r="BH36" i="4"/>
  <c r="BF36" i="4"/>
  <c r="BE36" i="4"/>
  <c r="BL35" i="4"/>
  <c r="BK35" i="4"/>
  <c r="BI35" i="4"/>
  <c r="BH35" i="4"/>
  <c r="BF35" i="4"/>
  <c r="BE35" i="4"/>
  <c r="BL34" i="4"/>
  <c r="BK34" i="4"/>
  <c r="BI34" i="4"/>
  <c r="BH34" i="4"/>
  <c r="BF34" i="4"/>
  <c r="BE34" i="4"/>
  <c r="BL33" i="4"/>
  <c r="BK33" i="4"/>
  <c r="BI33" i="4"/>
  <c r="BH33" i="4"/>
  <c r="BF33" i="4"/>
  <c r="BE33" i="4"/>
  <c r="BL32" i="4"/>
  <c r="BK32" i="4"/>
  <c r="BI32" i="4"/>
  <c r="BH32" i="4"/>
  <c r="BF32" i="4"/>
  <c r="BE32" i="4"/>
  <c r="BL31" i="4"/>
  <c r="BK31" i="4"/>
  <c r="BI31" i="4"/>
  <c r="BH31" i="4"/>
  <c r="BF31" i="4"/>
  <c r="BE31" i="4"/>
  <c r="BL30" i="4"/>
  <c r="BK30" i="4"/>
  <c r="BI30" i="4"/>
  <c r="BH30" i="4"/>
  <c r="BF30" i="4"/>
  <c r="BE30" i="4"/>
  <c r="BL29" i="4"/>
  <c r="BK29" i="4"/>
  <c r="BI29" i="4"/>
  <c r="BH29" i="4"/>
  <c r="BF29" i="4"/>
  <c r="BE29" i="4"/>
  <c r="BL28" i="4"/>
  <c r="BK28" i="4"/>
  <c r="BI28" i="4"/>
  <c r="BH28" i="4"/>
  <c r="BF28" i="4"/>
  <c r="BE28" i="4"/>
  <c r="BL27" i="4"/>
  <c r="BK27" i="4"/>
  <c r="BI27" i="4"/>
  <c r="BH27" i="4"/>
  <c r="BF27" i="4"/>
  <c r="BE27" i="4"/>
  <c r="BL26" i="4"/>
  <c r="BK26" i="4"/>
  <c r="BI26" i="4"/>
  <c r="BH26" i="4"/>
  <c r="BF26" i="4"/>
  <c r="BE26" i="4"/>
  <c r="BL25" i="4"/>
  <c r="BK25" i="4"/>
  <c r="BI25" i="4"/>
  <c r="BH25" i="4"/>
  <c r="BF25" i="4"/>
  <c r="BE25" i="4"/>
  <c r="BL24" i="4"/>
  <c r="BK24" i="4"/>
  <c r="BI24" i="4"/>
  <c r="BH24" i="4"/>
  <c r="BF24" i="4"/>
  <c r="BE24" i="4"/>
  <c r="BL23" i="4"/>
  <c r="BK23" i="4"/>
  <c r="BI23" i="4"/>
  <c r="BH23" i="4"/>
  <c r="BF23" i="4"/>
  <c r="BE23" i="4"/>
  <c r="BL22" i="4"/>
  <c r="BK22" i="4"/>
  <c r="BI22" i="4"/>
  <c r="BH22" i="4"/>
  <c r="BF22" i="4"/>
  <c r="BE22" i="4"/>
  <c r="BL21" i="4"/>
  <c r="BK21" i="4"/>
  <c r="BI21" i="4"/>
  <c r="BH21" i="4"/>
  <c r="BF21" i="4"/>
  <c r="BE21" i="4"/>
  <c r="BL20" i="4"/>
  <c r="BK20" i="4"/>
  <c r="BI20" i="4"/>
  <c r="BH20" i="4"/>
  <c r="BF20" i="4"/>
  <c r="BE20" i="4"/>
  <c r="BL19" i="4"/>
  <c r="BK19" i="4"/>
  <c r="BI19" i="4"/>
  <c r="BH19" i="4"/>
  <c r="BF19" i="4"/>
  <c r="BE19" i="4"/>
  <c r="BL18" i="4"/>
  <c r="BK18" i="4"/>
  <c r="BI18" i="4"/>
  <c r="BH18" i="4"/>
  <c r="BF18" i="4"/>
  <c r="BE18" i="4"/>
  <c r="BL17" i="4"/>
  <c r="BK17" i="4"/>
  <c r="BI17" i="4"/>
  <c r="BH17" i="4"/>
  <c r="BF17" i="4"/>
  <c r="BE17" i="4"/>
  <c r="BL16" i="4"/>
  <c r="BK16" i="4"/>
  <c r="BI16" i="4"/>
  <c r="BH16" i="4"/>
  <c r="BF16" i="4"/>
  <c r="BE16" i="4"/>
  <c r="BL15" i="4"/>
  <c r="BK15" i="4"/>
  <c r="BI15" i="4"/>
  <c r="BH15" i="4"/>
  <c r="BF15" i="4"/>
  <c r="BE15" i="4"/>
  <c r="BL14" i="4"/>
  <c r="BK14" i="4"/>
  <c r="BI14" i="4"/>
  <c r="BH14" i="4"/>
  <c r="BF14" i="4"/>
  <c r="BE14" i="4"/>
  <c r="BL13" i="4"/>
  <c r="BK13" i="4"/>
  <c r="BI13" i="4"/>
  <c r="BH13" i="4"/>
  <c r="BF13" i="4"/>
  <c r="BE13" i="4"/>
  <c r="BL12" i="4"/>
  <c r="BK12" i="4"/>
  <c r="BI12" i="4"/>
  <c r="BH12" i="4"/>
  <c r="BF12" i="4"/>
  <c r="BE12" i="4"/>
  <c r="BL11" i="4"/>
  <c r="BK11" i="4"/>
  <c r="BI11" i="4"/>
  <c r="BH11" i="4"/>
  <c r="BF11" i="4"/>
  <c r="BE11" i="4"/>
  <c r="BL10" i="4"/>
  <c r="BK10" i="4"/>
  <c r="BI10" i="4"/>
  <c r="BH10" i="4"/>
  <c r="BF10" i="4"/>
  <c r="BE10" i="4"/>
  <c r="BL9" i="4"/>
  <c r="BK9" i="4"/>
  <c r="BI9" i="4"/>
  <c r="BH9" i="4"/>
  <c r="BF9" i="4"/>
  <c r="BE9" i="4"/>
  <c r="BL8" i="4"/>
  <c r="BK8" i="4"/>
  <c r="BI8" i="4"/>
  <c r="BH8" i="4"/>
  <c r="BF8" i="4"/>
  <c r="BE8" i="4"/>
  <c r="BL7" i="4"/>
  <c r="BK7" i="4"/>
  <c r="BI7" i="4"/>
  <c r="BH7" i="4"/>
  <c r="BF7" i="4"/>
  <c r="BE7" i="4"/>
  <c r="BL6" i="4"/>
  <c r="BK6" i="4"/>
  <c r="BI6" i="4"/>
  <c r="BH6" i="4"/>
  <c r="BF6" i="4"/>
  <c r="BE6" i="4"/>
  <c r="BL5" i="4"/>
  <c r="BK5" i="4"/>
  <c r="BI5" i="4"/>
  <c r="BH5" i="4"/>
  <c r="BF5" i="4"/>
  <c r="BE5" i="4"/>
  <c r="BL4" i="4"/>
  <c r="BK4" i="4"/>
  <c r="BI4" i="4"/>
  <c r="BH4" i="4"/>
  <c r="BF4" i="4"/>
  <c r="BE4" i="4"/>
  <c r="BL3" i="4"/>
  <c r="BK3" i="4"/>
  <c r="BI3" i="4"/>
  <c r="BH3" i="4"/>
  <c r="BF3" i="4"/>
  <c r="BE3" i="4"/>
  <c r="BC295" i="4"/>
  <c r="BB295" i="4"/>
  <c r="AZ295" i="4"/>
  <c r="AY295" i="4"/>
  <c r="AW295" i="4"/>
  <c r="AV295" i="4"/>
  <c r="BC294" i="4"/>
  <c r="BB294" i="4"/>
  <c r="AZ294" i="4"/>
  <c r="AY294" i="4"/>
  <c r="AW294" i="4"/>
  <c r="AV294" i="4"/>
  <c r="BC293" i="4"/>
  <c r="BB293" i="4"/>
  <c r="AZ293" i="4"/>
  <c r="AY293" i="4"/>
  <c r="AW293" i="4"/>
  <c r="AV293" i="4"/>
  <c r="BC292" i="4"/>
  <c r="BB292" i="4"/>
  <c r="AZ292" i="4"/>
  <c r="AY292" i="4"/>
  <c r="AW292" i="4"/>
  <c r="AV292" i="4"/>
  <c r="BC291" i="4"/>
  <c r="BB291" i="4"/>
  <c r="AZ291" i="4"/>
  <c r="AY291" i="4"/>
  <c r="AW291" i="4"/>
  <c r="AV291" i="4"/>
  <c r="BC290" i="4"/>
  <c r="BB290" i="4"/>
  <c r="AZ290" i="4"/>
  <c r="AY290" i="4"/>
  <c r="AW290" i="4"/>
  <c r="AV290" i="4"/>
  <c r="BC289" i="4"/>
  <c r="BB289" i="4"/>
  <c r="AZ289" i="4"/>
  <c r="AY289" i="4"/>
  <c r="AW289" i="4"/>
  <c r="AV289" i="4"/>
  <c r="BC288" i="4"/>
  <c r="BB288" i="4"/>
  <c r="AZ288" i="4"/>
  <c r="AY288" i="4"/>
  <c r="AW288" i="4"/>
  <c r="AV288" i="4"/>
  <c r="BC287" i="4"/>
  <c r="BB287" i="4"/>
  <c r="AZ287" i="4"/>
  <c r="AY287" i="4"/>
  <c r="AW287" i="4"/>
  <c r="AV287" i="4"/>
  <c r="BC286" i="4"/>
  <c r="BB286" i="4"/>
  <c r="AZ286" i="4"/>
  <c r="AY286" i="4"/>
  <c r="AW286" i="4"/>
  <c r="AV286" i="4"/>
  <c r="BC285" i="4"/>
  <c r="BB285" i="4"/>
  <c r="AZ285" i="4"/>
  <c r="AY285" i="4"/>
  <c r="AW285" i="4"/>
  <c r="AV285" i="4"/>
  <c r="BC284" i="4"/>
  <c r="BB284" i="4"/>
  <c r="AZ284" i="4"/>
  <c r="AY284" i="4"/>
  <c r="AW284" i="4"/>
  <c r="AV284" i="4"/>
  <c r="BC283" i="4"/>
  <c r="BB283" i="4"/>
  <c r="AZ283" i="4"/>
  <c r="AY283" i="4"/>
  <c r="AW283" i="4"/>
  <c r="AV283" i="4"/>
  <c r="BC282" i="4"/>
  <c r="BB282" i="4"/>
  <c r="AZ282" i="4"/>
  <c r="AY282" i="4"/>
  <c r="AW282" i="4"/>
  <c r="AV282" i="4"/>
  <c r="BC281" i="4"/>
  <c r="BB281" i="4"/>
  <c r="AZ281" i="4"/>
  <c r="AY281" i="4"/>
  <c r="AW281" i="4"/>
  <c r="AV281" i="4"/>
  <c r="BC280" i="4"/>
  <c r="BB280" i="4"/>
  <c r="AZ280" i="4"/>
  <c r="AY280" i="4"/>
  <c r="AW280" i="4"/>
  <c r="AV280" i="4"/>
  <c r="BC279" i="4"/>
  <c r="BB279" i="4"/>
  <c r="AZ279" i="4"/>
  <c r="AY279" i="4"/>
  <c r="AW279" i="4"/>
  <c r="AV279" i="4"/>
  <c r="BC278" i="4"/>
  <c r="BB278" i="4"/>
  <c r="AZ278" i="4"/>
  <c r="AY278" i="4"/>
  <c r="AW278" i="4"/>
  <c r="AV278" i="4"/>
  <c r="BC277" i="4"/>
  <c r="BB277" i="4"/>
  <c r="AZ277" i="4"/>
  <c r="AY277" i="4"/>
  <c r="AW277" i="4"/>
  <c r="AV277" i="4"/>
  <c r="BC276" i="4"/>
  <c r="BB276" i="4"/>
  <c r="AZ276" i="4"/>
  <c r="AY276" i="4"/>
  <c r="AW276" i="4"/>
  <c r="AV276" i="4"/>
  <c r="BC275" i="4"/>
  <c r="BB275" i="4"/>
  <c r="AZ275" i="4"/>
  <c r="AY275" i="4"/>
  <c r="AW275" i="4"/>
  <c r="AV275" i="4"/>
  <c r="BC274" i="4"/>
  <c r="BB274" i="4"/>
  <c r="AZ274" i="4"/>
  <c r="AY274" i="4"/>
  <c r="AW274" i="4"/>
  <c r="AV274" i="4"/>
  <c r="BC273" i="4"/>
  <c r="BB273" i="4"/>
  <c r="AZ273" i="4"/>
  <c r="AY273" i="4"/>
  <c r="AW273" i="4"/>
  <c r="AV273" i="4"/>
  <c r="BC272" i="4"/>
  <c r="BB272" i="4"/>
  <c r="AZ272" i="4"/>
  <c r="AY272" i="4"/>
  <c r="AW272" i="4"/>
  <c r="AV272" i="4"/>
  <c r="BC271" i="4"/>
  <c r="BB271" i="4"/>
  <c r="AZ271" i="4"/>
  <c r="AY271" i="4"/>
  <c r="AW271" i="4"/>
  <c r="AV271" i="4"/>
  <c r="BC270" i="4"/>
  <c r="BB270" i="4"/>
  <c r="AZ270" i="4"/>
  <c r="AY270" i="4"/>
  <c r="AW270" i="4"/>
  <c r="AV270" i="4"/>
  <c r="BC269" i="4"/>
  <c r="BB269" i="4"/>
  <c r="AZ269" i="4"/>
  <c r="AY269" i="4"/>
  <c r="AW269" i="4"/>
  <c r="AV269" i="4"/>
  <c r="BC268" i="4"/>
  <c r="BB268" i="4"/>
  <c r="AZ268" i="4"/>
  <c r="AY268" i="4"/>
  <c r="AW268" i="4"/>
  <c r="AV268" i="4"/>
  <c r="BC267" i="4"/>
  <c r="BB267" i="4"/>
  <c r="AZ267" i="4"/>
  <c r="AY267" i="4"/>
  <c r="AW267" i="4"/>
  <c r="AV267" i="4"/>
  <c r="BC266" i="4"/>
  <c r="BB266" i="4"/>
  <c r="AZ266" i="4"/>
  <c r="AY266" i="4"/>
  <c r="AW266" i="4"/>
  <c r="AV266" i="4"/>
  <c r="BC265" i="4"/>
  <c r="BB265" i="4"/>
  <c r="AZ265" i="4"/>
  <c r="AY265" i="4"/>
  <c r="AW265" i="4"/>
  <c r="AV265" i="4"/>
  <c r="BC264" i="4"/>
  <c r="BB264" i="4"/>
  <c r="AZ264" i="4"/>
  <c r="AY264" i="4"/>
  <c r="AW264" i="4"/>
  <c r="AV264" i="4"/>
  <c r="BC263" i="4"/>
  <c r="BB263" i="4"/>
  <c r="AZ263" i="4"/>
  <c r="AY263" i="4"/>
  <c r="AW263" i="4"/>
  <c r="AV263" i="4"/>
  <c r="BC262" i="4"/>
  <c r="BB262" i="4"/>
  <c r="AZ262" i="4"/>
  <c r="AY262" i="4"/>
  <c r="AW262" i="4"/>
  <c r="AV262" i="4"/>
  <c r="BC261" i="4"/>
  <c r="BB261" i="4"/>
  <c r="AZ261" i="4"/>
  <c r="AY261" i="4"/>
  <c r="AW261" i="4"/>
  <c r="AV261" i="4"/>
  <c r="BC260" i="4"/>
  <c r="BB260" i="4"/>
  <c r="AZ260" i="4"/>
  <c r="AY260" i="4"/>
  <c r="AW260" i="4"/>
  <c r="AV260" i="4"/>
  <c r="BC259" i="4"/>
  <c r="BB259" i="4"/>
  <c r="AZ259" i="4"/>
  <c r="AY259" i="4"/>
  <c r="AW259" i="4"/>
  <c r="AV259" i="4"/>
  <c r="BC258" i="4"/>
  <c r="BB258" i="4"/>
  <c r="AZ258" i="4"/>
  <c r="AY258" i="4"/>
  <c r="AW258" i="4"/>
  <c r="AV258" i="4"/>
  <c r="BC257" i="4"/>
  <c r="BB257" i="4"/>
  <c r="AZ257" i="4"/>
  <c r="AY257" i="4"/>
  <c r="AW257" i="4"/>
  <c r="AV257" i="4"/>
  <c r="BC256" i="4"/>
  <c r="BB256" i="4"/>
  <c r="AZ256" i="4"/>
  <c r="AY256" i="4"/>
  <c r="AW256" i="4"/>
  <c r="AV256" i="4"/>
  <c r="BC255" i="4"/>
  <c r="BB255" i="4"/>
  <c r="AZ255" i="4"/>
  <c r="AY255" i="4"/>
  <c r="AW255" i="4"/>
  <c r="AV255" i="4"/>
  <c r="BC254" i="4"/>
  <c r="BB254" i="4"/>
  <c r="AZ254" i="4"/>
  <c r="AY254" i="4"/>
  <c r="AW254" i="4"/>
  <c r="AV254" i="4"/>
  <c r="BC253" i="4"/>
  <c r="BB253" i="4"/>
  <c r="AZ253" i="4"/>
  <c r="AY253" i="4"/>
  <c r="AW253" i="4"/>
  <c r="AV253" i="4"/>
  <c r="BC252" i="4"/>
  <c r="BB252" i="4"/>
  <c r="AZ252" i="4"/>
  <c r="AY252" i="4"/>
  <c r="AW252" i="4"/>
  <c r="AV252" i="4"/>
  <c r="BC251" i="4"/>
  <c r="BB251" i="4"/>
  <c r="AZ251" i="4"/>
  <c r="AY251" i="4"/>
  <c r="AW251" i="4"/>
  <c r="AV251" i="4"/>
  <c r="BC250" i="4"/>
  <c r="BB250" i="4"/>
  <c r="AZ250" i="4"/>
  <c r="AY250" i="4"/>
  <c r="AW250" i="4"/>
  <c r="AV250" i="4"/>
  <c r="BC249" i="4"/>
  <c r="BB249" i="4"/>
  <c r="AZ249" i="4"/>
  <c r="AY249" i="4"/>
  <c r="AW249" i="4"/>
  <c r="AV249" i="4"/>
  <c r="BC248" i="4"/>
  <c r="BB248" i="4"/>
  <c r="AZ248" i="4"/>
  <c r="AY248" i="4"/>
  <c r="AW248" i="4"/>
  <c r="AV248" i="4"/>
  <c r="BC247" i="4"/>
  <c r="BB247" i="4"/>
  <c r="AZ247" i="4"/>
  <c r="AY247" i="4"/>
  <c r="AW247" i="4"/>
  <c r="AV247" i="4"/>
  <c r="BC246" i="4"/>
  <c r="BB246" i="4"/>
  <c r="AZ246" i="4"/>
  <c r="AY246" i="4"/>
  <c r="AW246" i="4"/>
  <c r="AV246" i="4"/>
  <c r="BC245" i="4"/>
  <c r="BB245" i="4"/>
  <c r="AZ245" i="4"/>
  <c r="AY245" i="4"/>
  <c r="AW245" i="4"/>
  <c r="AV245" i="4"/>
  <c r="BC244" i="4"/>
  <c r="BB244" i="4"/>
  <c r="AZ244" i="4"/>
  <c r="AY244" i="4"/>
  <c r="AW244" i="4"/>
  <c r="AV244" i="4"/>
  <c r="BC243" i="4"/>
  <c r="BB243" i="4"/>
  <c r="AZ243" i="4"/>
  <c r="AY243" i="4"/>
  <c r="AW243" i="4"/>
  <c r="AV243" i="4"/>
  <c r="BC242" i="4"/>
  <c r="BB242" i="4"/>
  <c r="AZ242" i="4"/>
  <c r="AY242" i="4"/>
  <c r="AW242" i="4"/>
  <c r="AV242" i="4"/>
  <c r="BC241" i="4"/>
  <c r="BB241" i="4"/>
  <c r="AZ241" i="4"/>
  <c r="AY241" i="4"/>
  <c r="AW241" i="4"/>
  <c r="AV241" i="4"/>
  <c r="BC240" i="4"/>
  <c r="BB240" i="4"/>
  <c r="AZ240" i="4"/>
  <c r="AY240" i="4"/>
  <c r="AW240" i="4"/>
  <c r="AV240" i="4"/>
  <c r="BC239" i="4"/>
  <c r="BB239" i="4"/>
  <c r="AZ239" i="4"/>
  <c r="AY239" i="4"/>
  <c r="AW239" i="4"/>
  <c r="AV239" i="4"/>
  <c r="BC238" i="4"/>
  <c r="BB238" i="4"/>
  <c r="AZ238" i="4"/>
  <c r="AY238" i="4"/>
  <c r="AW238" i="4"/>
  <c r="AV238" i="4"/>
  <c r="BC237" i="4"/>
  <c r="BB237" i="4"/>
  <c r="AZ237" i="4"/>
  <c r="AY237" i="4"/>
  <c r="AW237" i="4"/>
  <c r="AV237" i="4"/>
  <c r="BC236" i="4"/>
  <c r="BB236" i="4"/>
  <c r="AZ236" i="4"/>
  <c r="AY236" i="4"/>
  <c r="AW236" i="4"/>
  <c r="AV236" i="4"/>
  <c r="BC235" i="4"/>
  <c r="BB235" i="4"/>
  <c r="AZ235" i="4"/>
  <c r="AY235" i="4"/>
  <c r="AW235" i="4"/>
  <c r="AV235" i="4"/>
  <c r="BC234" i="4"/>
  <c r="BB234" i="4"/>
  <c r="AZ234" i="4"/>
  <c r="AY234" i="4"/>
  <c r="AW234" i="4"/>
  <c r="AV234" i="4"/>
  <c r="BC233" i="4"/>
  <c r="BB233" i="4"/>
  <c r="AZ233" i="4"/>
  <c r="AY233" i="4"/>
  <c r="AW233" i="4"/>
  <c r="AV233" i="4"/>
  <c r="BC232" i="4"/>
  <c r="BB232" i="4"/>
  <c r="AZ232" i="4"/>
  <c r="AY232" i="4"/>
  <c r="AW232" i="4"/>
  <c r="AV232" i="4"/>
  <c r="BC231" i="4"/>
  <c r="BB231" i="4"/>
  <c r="AZ231" i="4"/>
  <c r="AY231" i="4"/>
  <c r="AW231" i="4"/>
  <c r="AV231" i="4"/>
  <c r="BC230" i="4"/>
  <c r="BB230" i="4"/>
  <c r="AZ230" i="4"/>
  <c r="AY230" i="4"/>
  <c r="AW230" i="4"/>
  <c r="AV230" i="4"/>
  <c r="BC229" i="4"/>
  <c r="BB229" i="4"/>
  <c r="AZ229" i="4"/>
  <c r="AY229" i="4"/>
  <c r="AW229" i="4"/>
  <c r="AV229" i="4"/>
  <c r="BC228" i="4"/>
  <c r="BB228" i="4"/>
  <c r="AZ228" i="4"/>
  <c r="AY228" i="4"/>
  <c r="AW228" i="4"/>
  <c r="AV228" i="4"/>
  <c r="BC227" i="4"/>
  <c r="BB227" i="4"/>
  <c r="AZ227" i="4"/>
  <c r="AY227" i="4"/>
  <c r="AW227" i="4"/>
  <c r="AV227" i="4"/>
  <c r="BC226" i="4"/>
  <c r="BB226" i="4"/>
  <c r="AZ226" i="4"/>
  <c r="AY226" i="4"/>
  <c r="AW226" i="4"/>
  <c r="AV226" i="4"/>
  <c r="BC225" i="4"/>
  <c r="BB225" i="4"/>
  <c r="AZ225" i="4"/>
  <c r="AY225" i="4"/>
  <c r="AW225" i="4"/>
  <c r="AV225" i="4"/>
  <c r="BC224" i="4"/>
  <c r="BB224" i="4"/>
  <c r="AZ224" i="4"/>
  <c r="AY224" i="4"/>
  <c r="AW224" i="4"/>
  <c r="AV224" i="4"/>
  <c r="BC223" i="4"/>
  <c r="BB223" i="4"/>
  <c r="AZ223" i="4"/>
  <c r="AY223" i="4"/>
  <c r="AW223" i="4"/>
  <c r="AV223" i="4"/>
  <c r="BC222" i="4"/>
  <c r="BB222" i="4"/>
  <c r="AZ222" i="4"/>
  <c r="AY222" i="4"/>
  <c r="AW222" i="4"/>
  <c r="AV222" i="4"/>
  <c r="BC221" i="4"/>
  <c r="BB221" i="4"/>
  <c r="AZ221" i="4"/>
  <c r="AY221" i="4"/>
  <c r="AW221" i="4"/>
  <c r="AV221" i="4"/>
  <c r="BC220" i="4"/>
  <c r="BB220" i="4"/>
  <c r="AZ220" i="4"/>
  <c r="AY220" i="4"/>
  <c r="AW220" i="4"/>
  <c r="AV220" i="4"/>
  <c r="BC219" i="4"/>
  <c r="BB219" i="4"/>
  <c r="AZ219" i="4"/>
  <c r="AY219" i="4"/>
  <c r="AW219" i="4"/>
  <c r="AV219" i="4"/>
  <c r="BC218" i="4"/>
  <c r="BB218" i="4"/>
  <c r="AZ218" i="4"/>
  <c r="AY218" i="4"/>
  <c r="AW218" i="4"/>
  <c r="AV218" i="4"/>
  <c r="BC217" i="4"/>
  <c r="BB217" i="4"/>
  <c r="AZ217" i="4"/>
  <c r="AY217" i="4"/>
  <c r="AW217" i="4"/>
  <c r="AV217" i="4"/>
  <c r="BC216" i="4"/>
  <c r="BB216" i="4"/>
  <c r="AZ216" i="4"/>
  <c r="AY216" i="4"/>
  <c r="AW216" i="4"/>
  <c r="AV216" i="4"/>
  <c r="BC215" i="4"/>
  <c r="BB215" i="4"/>
  <c r="AZ215" i="4"/>
  <c r="AY215" i="4"/>
  <c r="AW215" i="4"/>
  <c r="AV215" i="4"/>
  <c r="BC214" i="4"/>
  <c r="BB214" i="4"/>
  <c r="AZ214" i="4"/>
  <c r="AY214" i="4"/>
  <c r="AW214" i="4"/>
  <c r="AV214" i="4"/>
  <c r="BC213" i="4"/>
  <c r="BB213" i="4"/>
  <c r="AZ213" i="4"/>
  <c r="AY213" i="4"/>
  <c r="AW213" i="4"/>
  <c r="AV213" i="4"/>
  <c r="BC212" i="4"/>
  <c r="BB212" i="4"/>
  <c r="AZ212" i="4"/>
  <c r="AY212" i="4"/>
  <c r="AW212" i="4"/>
  <c r="AV212" i="4"/>
  <c r="BC211" i="4"/>
  <c r="BB211" i="4"/>
  <c r="AZ211" i="4"/>
  <c r="AY211" i="4"/>
  <c r="AW211" i="4"/>
  <c r="AV211" i="4"/>
  <c r="BC210" i="4"/>
  <c r="BB210" i="4"/>
  <c r="AZ210" i="4"/>
  <c r="AY210" i="4"/>
  <c r="AW210" i="4"/>
  <c r="AV210" i="4"/>
  <c r="BC209" i="4"/>
  <c r="BB209" i="4"/>
  <c r="AZ209" i="4"/>
  <c r="AY209" i="4"/>
  <c r="AW209" i="4"/>
  <c r="AV209" i="4"/>
  <c r="BC208" i="4"/>
  <c r="BB208" i="4"/>
  <c r="AZ208" i="4"/>
  <c r="AY208" i="4"/>
  <c r="AW208" i="4"/>
  <c r="AV208" i="4"/>
  <c r="BC207" i="4"/>
  <c r="BB207" i="4"/>
  <c r="AZ207" i="4"/>
  <c r="AY207" i="4"/>
  <c r="AW207" i="4"/>
  <c r="AV207" i="4"/>
  <c r="BC206" i="4"/>
  <c r="BB206" i="4"/>
  <c r="AZ206" i="4"/>
  <c r="AY206" i="4"/>
  <c r="AW206" i="4"/>
  <c r="AV206" i="4"/>
  <c r="BC205" i="4"/>
  <c r="BB205" i="4"/>
  <c r="AZ205" i="4"/>
  <c r="AY205" i="4"/>
  <c r="AW205" i="4"/>
  <c r="AV205" i="4"/>
  <c r="BC204" i="4"/>
  <c r="BB204" i="4"/>
  <c r="AZ204" i="4"/>
  <c r="AY204" i="4"/>
  <c r="AW204" i="4"/>
  <c r="AV204" i="4"/>
  <c r="BC203" i="4"/>
  <c r="BB203" i="4"/>
  <c r="AZ203" i="4"/>
  <c r="AY203" i="4"/>
  <c r="AW203" i="4"/>
  <c r="AV203" i="4"/>
  <c r="BC202" i="4"/>
  <c r="BB202" i="4"/>
  <c r="AZ202" i="4"/>
  <c r="AY202" i="4"/>
  <c r="AW202" i="4"/>
  <c r="AV202" i="4"/>
  <c r="BC201" i="4"/>
  <c r="BB201" i="4"/>
  <c r="AZ201" i="4"/>
  <c r="AY201" i="4"/>
  <c r="AW201" i="4"/>
  <c r="AV201" i="4"/>
  <c r="BC200" i="4"/>
  <c r="BB200" i="4"/>
  <c r="AZ200" i="4"/>
  <c r="AY200" i="4"/>
  <c r="AW200" i="4"/>
  <c r="AV200" i="4"/>
  <c r="BC199" i="4"/>
  <c r="BB199" i="4"/>
  <c r="AZ199" i="4"/>
  <c r="AY199" i="4"/>
  <c r="AW199" i="4"/>
  <c r="AV199" i="4"/>
  <c r="BC198" i="4"/>
  <c r="BB198" i="4"/>
  <c r="AZ198" i="4"/>
  <c r="AY198" i="4"/>
  <c r="AW198" i="4"/>
  <c r="AV198" i="4"/>
  <c r="BC197" i="4"/>
  <c r="BB197" i="4"/>
  <c r="AZ197" i="4"/>
  <c r="AY197" i="4"/>
  <c r="AW197" i="4"/>
  <c r="AV197" i="4"/>
  <c r="BC196" i="4"/>
  <c r="BB196" i="4"/>
  <c r="AZ196" i="4"/>
  <c r="AY196" i="4"/>
  <c r="AW196" i="4"/>
  <c r="AV196" i="4"/>
  <c r="BC195" i="4"/>
  <c r="BB195" i="4"/>
  <c r="AZ195" i="4"/>
  <c r="AY195" i="4"/>
  <c r="AW195" i="4"/>
  <c r="AV195" i="4"/>
  <c r="BC194" i="4"/>
  <c r="BB194" i="4"/>
  <c r="AZ194" i="4"/>
  <c r="AY194" i="4"/>
  <c r="AW194" i="4"/>
  <c r="AV194" i="4"/>
  <c r="BC193" i="4"/>
  <c r="BB193" i="4"/>
  <c r="AZ193" i="4"/>
  <c r="AY193" i="4"/>
  <c r="AW193" i="4"/>
  <c r="AV193" i="4"/>
  <c r="BC192" i="4"/>
  <c r="BB192" i="4"/>
  <c r="AZ192" i="4"/>
  <c r="AY192" i="4"/>
  <c r="AW192" i="4"/>
  <c r="AV192" i="4"/>
  <c r="BC191" i="4"/>
  <c r="BB191" i="4"/>
  <c r="AZ191" i="4"/>
  <c r="AY191" i="4"/>
  <c r="AW191" i="4"/>
  <c r="AV191" i="4"/>
  <c r="BC190" i="4"/>
  <c r="BB190" i="4"/>
  <c r="AZ190" i="4"/>
  <c r="AY190" i="4"/>
  <c r="AW190" i="4"/>
  <c r="AV190" i="4"/>
  <c r="BC189" i="4"/>
  <c r="BB189" i="4"/>
  <c r="AZ189" i="4"/>
  <c r="AY189" i="4"/>
  <c r="AW189" i="4"/>
  <c r="AV189" i="4"/>
  <c r="BC188" i="4"/>
  <c r="BB188" i="4"/>
  <c r="AZ188" i="4"/>
  <c r="AY188" i="4"/>
  <c r="AW188" i="4"/>
  <c r="AV188" i="4"/>
  <c r="BC187" i="4"/>
  <c r="BB187" i="4"/>
  <c r="AZ187" i="4"/>
  <c r="AY187" i="4"/>
  <c r="AW187" i="4"/>
  <c r="AV187" i="4"/>
  <c r="BC186" i="4"/>
  <c r="BB186" i="4"/>
  <c r="AZ186" i="4"/>
  <c r="AY186" i="4"/>
  <c r="AW186" i="4"/>
  <c r="AV186" i="4"/>
  <c r="BC185" i="4"/>
  <c r="BB185" i="4"/>
  <c r="AZ185" i="4"/>
  <c r="AY185" i="4"/>
  <c r="AW185" i="4"/>
  <c r="AV185" i="4"/>
  <c r="BC184" i="4"/>
  <c r="BB184" i="4"/>
  <c r="AZ184" i="4"/>
  <c r="AY184" i="4"/>
  <c r="AW184" i="4"/>
  <c r="AV184" i="4"/>
  <c r="BC183" i="4"/>
  <c r="BB183" i="4"/>
  <c r="AZ183" i="4"/>
  <c r="AY183" i="4"/>
  <c r="AW183" i="4"/>
  <c r="AV183" i="4"/>
  <c r="BC182" i="4"/>
  <c r="BB182" i="4"/>
  <c r="AZ182" i="4"/>
  <c r="AY182" i="4"/>
  <c r="AW182" i="4"/>
  <c r="AV182" i="4"/>
  <c r="BC181" i="4"/>
  <c r="BB181" i="4"/>
  <c r="AZ181" i="4"/>
  <c r="AY181" i="4"/>
  <c r="AW181" i="4"/>
  <c r="AV181" i="4"/>
  <c r="BC180" i="4"/>
  <c r="BB180" i="4"/>
  <c r="AZ180" i="4"/>
  <c r="AY180" i="4"/>
  <c r="AW180" i="4"/>
  <c r="AV180" i="4"/>
  <c r="BC179" i="4"/>
  <c r="BB179" i="4"/>
  <c r="AZ179" i="4"/>
  <c r="AY179" i="4"/>
  <c r="AW179" i="4"/>
  <c r="AV179" i="4"/>
  <c r="BC178" i="4"/>
  <c r="BB178" i="4"/>
  <c r="AZ178" i="4"/>
  <c r="AY178" i="4"/>
  <c r="AW178" i="4"/>
  <c r="AV178" i="4"/>
  <c r="BC177" i="4"/>
  <c r="BB177" i="4"/>
  <c r="AZ177" i="4"/>
  <c r="AY177" i="4"/>
  <c r="AW177" i="4"/>
  <c r="AV177" i="4"/>
  <c r="BC176" i="4"/>
  <c r="BB176" i="4"/>
  <c r="AZ176" i="4"/>
  <c r="AY176" i="4"/>
  <c r="AW176" i="4"/>
  <c r="AV176" i="4"/>
  <c r="BC175" i="4"/>
  <c r="BB175" i="4"/>
  <c r="AZ175" i="4"/>
  <c r="AY175" i="4"/>
  <c r="AW175" i="4"/>
  <c r="AV175" i="4"/>
  <c r="BC174" i="4"/>
  <c r="BB174" i="4"/>
  <c r="AZ174" i="4"/>
  <c r="AY174" i="4"/>
  <c r="AW174" i="4"/>
  <c r="AV174" i="4"/>
  <c r="BC173" i="4"/>
  <c r="BB173" i="4"/>
  <c r="AZ173" i="4"/>
  <c r="AY173" i="4"/>
  <c r="AW173" i="4"/>
  <c r="AV173" i="4"/>
  <c r="BC172" i="4"/>
  <c r="BB172" i="4"/>
  <c r="AZ172" i="4"/>
  <c r="AY172" i="4"/>
  <c r="AW172" i="4"/>
  <c r="AV172" i="4"/>
  <c r="BC171" i="4"/>
  <c r="BB171" i="4"/>
  <c r="AZ171" i="4"/>
  <c r="AY171" i="4"/>
  <c r="AW171" i="4"/>
  <c r="AV171" i="4"/>
  <c r="BC170" i="4"/>
  <c r="BB170" i="4"/>
  <c r="AZ170" i="4"/>
  <c r="AY170" i="4"/>
  <c r="AW170" i="4"/>
  <c r="AV170" i="4"/>
  <c r="BC169" i="4"/>
  <c r="BB169" i="4"/>
  <c r="AZ169" i="4"/>
  <c r="AY169" i="4"/>
  <c r="AW169" i="4"/>
  <c r="AV169" i="4"/>
  <c r="BC168" i="4"/>
  <c r="BB168" i="4"/>
  <c r="AZ168" i="4"/>
  <c r="AY168" i="4"/>
  <c r="AW168" i="4"/>
  <c r="AV168" i="4"/>
  <c r="BC167" i="4"/>
  <c r="BB167" i="4"/>
  <c r="AZ167" i="4"/>
  <c r="AY167" i="4"/>
  <c r="AW167" i="4"/>
  <c r="AV167" i="4"/>
  <c r="BC166" i="4"/>
  <c r="BB166" i="4"/>
  <c r="AZ166" i="4"/>
  <c r="AY166" i="4"/>
  <c r="AW166" i="4"/>
  <c r="AV166" i="4"/>
  <c r="BC165" i="4"/>
  <c r="BB165" i="4"/>
  <c r="AZ165" i="4"/>
  <c r="AY165" i="4"/>
  <c r="AW165" i="4"/>
  <c r="AV165" i="4"/>
  <c r="BC164" i="4"/>
  <c r="BB164" i="4"/>
  <c r="AZ164" i="4"/>
  <c r="AY164" i="4"/>
  <c r="AW164" i="4"/>
  <c r="AV164" i="4"/>
  <c r="BC163" i="4"/>
  <c r="BB163" i="4"/>
  <c r="AZ163" i="4"/>
  <c r="AY163" i="4"/>
  <c r="AW163" i="4"/>
  <c r="AV163" i="4"/>
  <c r="BC162" i="4"/>
  <c r="BB162" i="4"/>
  <c r="AZ162" i="4"/>
  <c r="AY162" i="4"/>
  <c r="AW162" i="4"/>
  <c r="AV162" i="4"/>
  <c r="BC161" i="4"/>
  <c r="BB161" i="4"/>
  <c r="AZ161" i="4"/>
  <c r="AY161" i="4"/>
  <c r="AW161" i="4"/>
  <c r="AV161" i="4"/>
  <c r="BC160" i="4"/>
  <c r="BB160" i="4"/>
  <c r="AZ160" i="4"/>
  <c r="AY160" i="4"/>
  <c r="AW160" i="4"/>
  <c r="AV160" i="4"/>
  <c r="BC159" i="4"/>
  <c r="BB159" i="4"/>
  <c r="AZ159" i="4"/>
  <c r="AY159" i="4"/>
  <c r="AW159" i="4"/>
  <c r="AV159" i="4"/>
  <c r="BC158" i="4"/>
  <c r="BB158" i="4"/>
  <c r="AZ158" i="4"/>
  <c r="AY158" i="4"/>
  <c r="AW158" i="4"/>
  <c r="AV158" i="4"/>
  <c r="BC157" i="4"/>
  <c r="BB157" i="4"/>
  <c r="AZ157" i="4"/>
  <c r="AY157" i="4"/>
  <c r="AW157" i="4"/>
  <c r="AV157" i="4"/>
  <c r="BC156" i="4"/>
  <c r="BB156" i="4"/>
  <c r="AZ156" i="4"/>
  <c r="AY156" i="4"/>
  <c r="AW156" i="4"/>
  <c r="AV156" i="4"/>
  <c r="BC155" i="4"/>
  <c r="BB155" i="4"/>
  <c r="AZ155" i="4"/>
  <c r="AY155" i="4"/>
  <c r="AW155" i="4"/>
  <c r="AV155" i="4"/>
  <c r="BC154" i="4"/>
  <c r="BB154" i="4"/>
  <c r="AZ154" i="4"/>
  <c r="AY154" i="4"/>
  <c r="AW154" i="4"/>
  <c r="AV154" i="4"/>
  <c r="BC153" i="4"/>
  <c r="BB153" i="4"/>
  <c r="AZ153" i="4"/>
  <c r="AY153" i="4"/>
  <c r="AW153" i="4"/>
  <c r="AV153" i="4"/>
  <c r="BC152" i="4"/>
  <c r="BB152" i="4"/>
  <c r="AZ152" i="4"/>
  <c r="AY152" i="4"/>
  <c r="AW152" i="4"/>
  <c r="AV152" i="4"/>
  <c r="BC151" i="4"/>
  <c r="BB151" i="4"/>
  <c r="AZ151" i="4"/>
  <c r="AY151" i="4"/>
  <c r="AW151" i="4"/>
  <c r="AV151" i="4"/>
  <c r="BC150" i="4"/>
  <c r="BB150" i="4"/>
  <c r="AZ150" i="4"/>
  <c r="AY150" i="4"/>
  <c r="AW150" i="4"/>
  <c r="AV150" i="4"/>
  <c r="BC149" i="4"/>
  <c r="BB149" i="4"/>
  <c r="AZ149" i="4"/>
  <c r="AY149" i="4"/>
  <c r="AW149" i="4"/>
  <c r="AV149" i="4"/>
  <c r="BC148" i="4"/>
  <c r="BB148" i="4"/>
  <c r="AZ148" i="4"/>
  <c r="AY148" i="4"/>
  <c r="AW148" i="4"/>
  <c r="AV148" i="4"/>
  <c r="BC147" i="4"/>
  <c r="BB147" i="4"/>
  <c r="AZ147" i="4"/>
  <c r="AY147" i="4"/>
  <c r="AW147" i="4"/>
  <c r="AV147" i="4"/>
  <c r="BC146" i="4"/>
  <c r="BB146" i="4"/>
  <c r="AZ146" i="4"/>
  <c r="AY146" i="4"/>
  <c r="AW146" i="4"/>
  <c r="AV146" i="4"/>
  <c r="BC145" i="4"/>
  <c r="BB145" i="4"/>
  <c r="AZ145" i="4"/>
  <c r="AY145" i="4"/>
  <c r="AW145" i="4"/>
  <c r="AV145" i="4"/>
  <c r="BC144" i="4"/>
  <c r="BB144" i="4"/>
  <c r="AZ144" i="4"/>
  <c r="AY144" i="4"/>
  <c r="AW144" i="4"/>
  <c r="AV144" i="4"/>
  <c r="BC143" i="4"/>
  <c r="BB143" i="4"/>
  <c r="AZ143" i="4"/>
  <c r="AY143" i="4"/>
  <c r="AW143" i="4"/>
  <c r="AV143" i="4"/>
  <c r="BC142" i="4"/>
  <c r="BB142" i="4"/>
  <c r="AZ142" i="4"/>
  <c r="AY142" i="4"/>
  <c r="AW142" i="4"/>
  <c r="AV142" i="4"/>
  <c r="BC141" i="4"/>
  <c r="BB141" i="4"/>
  <c r="AZ141" i="4"/>
  <c r="AY141" i="4"/>
  <c r="AW141" i="4"/>
  <c r="AV141" i="4"/>
  <c r="BC140" i="4"/>
  <c r="BB140" i="4"/>
  <c r="AZ140" i="4"/>
  <c r="AY140" i="4"/>
  <c r="AW140" i="4"/>
  <c r="AV140" i="4"/>
  <c r="BC139" i="4"/>
  <c r="BB139" i="4"/>
  <c r="AZ139" i="4"/>
  <c r="AY139" i="4"/>
  <c r="AW139" i="4"/>
  <c r="AV139" i="4"/>
  <c r="BC138" i="4"/>
  <c r="BB138" i="4"/>
  <c r="AZ138" i="4"/>
  <c r="AY138" i="4"/>
  <c r="AW138" i="4"/>
  <c r="AV138" i="4"/>
  <c r="BC137" i="4"/>
  <c r="BB137" i="4"/>
  <c r="AZ137" i="4"/>
  <c r="AY137" i="4"/>
  <c r="AW137" i="4"/>
  <c r="AV137" i="4"/>
  <c r="BC136" i="4"/>
  <c r="BB136" i="4"/>
  <c r="AZ136" i="4"/>
  <c r="AY136" i="4"/>
  <c r="AW136" i="4"/>
  <c r="AV136" i="4"/>
  <c r="BC135" i="4"/>
  <c r="BB135" i="4"/>
  <c r="AZ135" i="4"/>
  <c r="AY135" i="4"/>
  <c r="AW135" i="4"/>
  <c r="AV135" i="4"/>
  <c r="BC134" i="4"/>
  <c r="BB134" i="4"/>
  <c r="AZ134" i="4"/>
  <c r="AY134" i="4"/>
  <c r="AW134" i="4"/>
  <c r="AV134" i="4"/>
  <c r="BC133" i="4"/>
  <c r="BB133" i="4"/>
  <c r="AZ133" i="4"/>
  <c r="AY133" i="4"/>
  <c r="AW133" i="4"/>
  <c r="AV133" i="4"/>
  <c r="BC132" i="4"/>
  <c r="BB132" i="4"/>
  <c r="AZ132" i="4"/>
  <c r="AY132" i="4"/>
  <c r="AW132" i="4"/>
  <c r="AV132" i="4"/>
  <c r="BC131" i="4"/>
  <c r="BB131" i="4"/>
  <c r="AZ131" i="4"/>
  <c r="AY131" i="4"/>
  <c r="AW131" i="4"/>
  <c r="AV131" i="4"/>
  <c r="BC130" i="4"/>
  <c r="BB130" i="4"/>
  <c r="AZ130" i="4"/>
  <c r="AY130" i="4"/>
  <c r="AW130" i="4"/>
  <c r="AV130" i="4"/>
  <c r="BC129" i="4"/>
  <c r="BB129" i="4"/>
  <c r="AZ129" i="4"/>
  <c r="AY129" i="4"/>
  <c r="AW129" i="4"/>
  <c r="AV129" i="4"/>
  <c r="BC128" i="4"/>
  <c r="BB128" i="4"/>
  <c r="AZ128" i="4"/>
  <c r="AY128" i="4"/>
  <c r="AW128" i="4"/>
  <c r="AV128" i="4"/>
  <c r="BC127" i="4"/>
  <c r="BB127" i="4"/>
  <c r="AZ127" i="4"/>
  <c r="AY127" i="4"/>
  <c r="AW127" i="4"/>
  <c r="AV127" i="4"/>
  <c r="BC126" i="4"/>
  <c r="BB126" i="4"/>
  <c r="AZ126" i="4"/>
  <c r="AY126" i="4"/>
  <c r="AW126" i="4"/>
  <c r="AV126" i="4"/>
  <c r="BC125" i="4"/>
  <c r="BB125" i="4"/>
  <c r="AZ125" i="4"/>
  <c r="AY125" i="4"/>
  <c r="AW125" i="4"/>
  <c r="AV125" i="4"/>
  <c r="BC124" i="4"/>
  <c r="BB124" i="4"/>
  <c r="AZ124" i="4"/>
  <c r="AY124" i="4"/>
  <c r="AW124" i="4"/>
  <c r="AV124" i="4"/>
  <c r="BC123" i="4"/>
  <c r="BB123" i="4"/>
  <c r="AZ123" i="4"/>
  <c r="AY123" i="4"/>
  <c r="AW123" i="4"/>
  <c r="AV123" i="4"/>
  <c r="BC122" i="4"/>
  <c r="BB122" i="4"/>
  <c r="AZ122" i="4"/>
  <c r="AY122" i="4"/>
  <c r="AW122" i="4"/>
  <c r="AV122" i="4"/>
  <c r="BC121" i="4"/>
  <c r="BB121" i="4"/>
  <c r="AZ121" i="4"/>
  <c r="AY121" i="4"/>
  <c r="AW121" i="4"/>
  <c r="AV121" i="4"/>
  <c r="BC120" i="4"/>
  <c r="BB120" i="4"/>
  <c r="AZ120" i="4"/>
  <c r="AY120" i="4"/>
  <c r="AW120" i="4"/>
  <c r="AV120" i="4"/>
  <c r="BC119" i="4"/>
  <c r="BB119" i="4"/>
  <c r="AZ119" i="4"/>
  <c r="AY119" i="4"/>
  <c r="AW119" i="4"/>
  <c r="AV119" i="4"/>
  <c r="BC118" i="4"/>
  <c r="BB118" i="4"/>
  <c r="AZ118" i="4"/>
  <c r="AY118" i="4"/>
  <c r="AW118" i="4"/>
  <c r="AV118" i="4"/>
  <c r="BC117" i="4"/>
  <c r="BB117" i="4"/>
  <c r="AZ117" i="4"/>
  <c r="AY117" i="4"/>
  <c r="AW117" i="4"/>
  <c r="AV117" i="4"/>
  <c r="BC116" i="4"/>
  <c r="BB116" i="4"/>
  <c r="AZ116" i="4"/>
  <c r="AY116" i="4"/>
  <c r="AW116" i="4"/>
  <c r="AV116" i="4"/>
  <c r="BC115" i="4"/>
  <c r="BB115" i="4"/>
  <c r="AZ115" i="4"/>
  <c r="AY115" i="4"/>
  <c r="AW115" i="4"/>
  <c r="AV115" i="4"/>
  <c r="BC114" i="4"/>
  <c r="BB114" i="4"/>
  <c r="AZ114" i="4"/>
  <c r="AY114" i="4"/>
  <c r="AW114" i="4"/>
  <c r="AV114" i="4"/>
  <c r="BC113" i="4"/>
  <c r="BB113" i="4"/>
  <c r="AZ113" i="4"/>
  <c r="AY113" i="4"/>
  <c r="AW113" i="4"/>
  <c r="AV113" i="4"/>
  <c r="BC112" i="4"/>
  <c r="BB112" i="4"/>
  <c r="AZ112" i="4"/>
  <c r="AY112" i="4"/>
  <c r="AW112" i="4"/>
  <c r="AV112" i="4"/>
  <c r="BC111" i="4"/>
  <c r="BB111" i="4"/>
  <c r="AZ111" i="4"/>
  <c r="AY111" i="4"/>
  <c r="AW111" i="4"/>
  <c r="AV111" i="4"/>
  <c r="BC110" i="4"/>
  <c r="BB110" i="4"/>
  <c r="AZ110" i="4"/>
  <c r="AY110" i="4"/>
  <c r="AW110" i="4"/>
  <c r="AV110" i="4"/>
  <c r="BC109" i="4"/>
  <c r="BB109" i="4"/>
  <c r="AZ109" i="4"/>
  <c r="AY109" i="4"/>
  <c r="AW109" i="4"/>
  <c r="AV109" i="4"/>
  <c r="BC108" i="4"/>
  <c r="BB108" i="4"/>
  <c r="AZ108" i="4"/>
  <c r="AY108" i="4"/>
  <c r="AW108" i="4"/>
  <c r="AV108" i="4"/>
  <c r="BC107" i="4"/>
  <c r="BB107" i="4"/>
  <c r="AZ107" i="4"/>
  <c r="AY107" i="4"/>
  <c r="AW107" i="4"/>
  <c r="AV107" i="4"/>
  <c r="BC106" i="4"/>
  <c r="BB106" i="4"/>
  <c r="AZ106" i="4"/>
  <c r="AY106" i="4"/>
  <c r="AW106" i="4"/>
  <c r="AV106" i="4"/>
  <c r="BC105" i="4"/>
  <c r="BB105" i="4"/>
  <c r="AZ105" i="4"/>
  <c r="AY105" i="4"/>
  <c r="AW105" i="4"/>
  <c r="AV105" i="4"/>
  <c r="BC104" i="4"/>
  <c r="BB104" i="4"/>
  <c r="AZ104" i="4"/>
  <c r="AY104" i="4"/>
  <c r="AW104" i="4"/>
  <c r="AV104" i="4"/>
  <c r="BC103" i="4"/>
  <c r="BB103" i="4"/>
  <c r="AZ103" i="4"/>
  <c r="AY103" i="4"/>
  <c r="AW103" i="4"/>
  <c r="AV103" i="4"/>
  <c r="BC102" i="4"/>
  <c r="BB102" i="4"/>
  <c r="AZ102" i="4"/>
  <c r="AY102" i="4"/>
  <c r="AW102" i="4"/>
  <c r="AV102" i="4"/>
  <c r="BC101" i="4"/>
  <c r="BB101" i="4"/>
  <c r="AZ101" i="4"/>
  <c r="AY101" i="4"/>
  <c r="AW101" i="4"/>
  <c r="AV101" i="4"/>
  <c r="BC100" i="4"/>
  <c r="BB100" i="4"/>
  <c r="AZ100" i="4"/>
  <c r="AY100" i="4"/>
  <c r="AW100" i="4"/>
  <c r="AV100" i="4"/>
  <c r="BC99" i="4"/>
  <c r="BB99" i="4"/>
  <c r="AZ99" i="4"/>
  <c r="AY99" i="4"/>
  <c r="AW99" i="4"/>
  <c r="AV99" i="4"/>
  <c r="BC98" i="4"/>
  <c r="BB98" i="4"/>
  <c r="AZ98" i="4"/>
  <c r="AY98" i="4"/>
  <c r="AW98" i="4"/>
  <c r="AV98" i="4"/>
  <c r="BC97" i="4"/>
  <c r="BB97" i="4"/>
  <c r="AZ97" i="4"/>
  <c r="AY97" i="4"/>
  <c r="AW97" i="4"/>
  <c r="AV97" i="4"/>
  <c r="BC96" i="4"/>
  <c r="BB96" i="4"/>
  <c r="AZ96" i="4"/>
  <c r="AY96" i="4"/>
  <c r="AW96" i="4"/>
  <c r="AV96" i="4"/>
  <c r="BC95" i="4"/>
  <c r="BB95" i="4"/>
  <c r="AZ95" i="4"/>
  <c r="AY95" i="4"/>
  <c r="AW95" i="4"/>
  <c r="AV95" i="4"/>
  <c r="BC94" i="4"/>
  <c r="BB94" i="4"/>
  <c r="AZ94" i="4"/>
  <c r="AY94" i="4"/>
  <c r="AW94" i="4"/>
  <c r="AV94" i="4"/>
  <c r="BC93" i="4"/>
  <c r="BB93" i="4"/>
  <c r="AZ93" i="4"/>
  <c r="AY93" i="4"/>
  <c r="AW93" i="4"/>
  <c r="AV93" i="4"/>
  <c r="BC92" i="4"/>
  <c r="BB92" i="4"/>
  <c r="AZ92" i="4"/>
  <c r="AY92" i="4"/>
  <c r="AW92" i="4"/>
  <c r="AV92" i="4"/>
  <c r="BC91" i="4"/>
  <c r="BB91" i="4"/>
  <c r="AZ91" i="4"/>
  <c r="AY91" i="4"/>
  <c r="AW91" i="4"/>
  <c r="AV91" i="4"/>
  <c r="BC90" i="4"/>
  <c r="BB90" i="4"/>
  <c r="AZ90" i="4"/>
  <c r="AY90" i="4"/>
  <c r="AW90" i="4"/>
  <c r="AV90" i="4"/>
  <c r="BC89" i="4"/>
  <c r="BB89" i="4"/>
  <c r="AZ89" i="4"/>
  <c r="AY89" i="4"/>
  <c r="AW89" i="4"/>
  <c r="AV89" i="4"/>
  <c r="BC88" i="4"/>
  <c r="BB88" i="4"/>
  <c r="AZ88" i="4"/>
  <c r="AY88" i="4"/>
  <c r="AW88" i="4"/>
  <c r="AV88" i="4"/>
  <c r="BC87" i="4"/>
  <c r="BB87" i="4"/>
  <c r="AZ87" i="4"/>
  <c r="AY87" i="4"/>
  <c r="AW87" i="4"/>
  <c r="AV87" i="4"/>
  <c r="BC86" i="4"/>
  <c r="BB86" i="4"/>
  <c r="AZ86" i="4"/>
  <c r="AY86" i="4"/>
  <c r="AW86" i="4"/>
  <c r="AV86" i="4"/>
  <c r="BC85" i="4"/>
  <c r="BB85" i="4"/>
  <c r="AZ85" i="4"/>
  <c r="AY85" i="4"/>
  <c r="AW85" i="4"/>
  <c r="AV85" i="4"/>
  <c r="BC84" i="4"/>
  <c r="BB84" i="4"/>
  <c r="AZ84" i="4"/>
  <c r="AY84" i="4"/>
  <c r="AW84" i="4"/>
  <c r="AV84" i="4"/>
  <c r="BC83" i="4"/>
  <c r="BB83" i="4"/>
  <c r="AZ83" i="4"/>
  <c r="AY83" i="4"/>
  <c r="AW83" i="4"/>
  <c r="AV83" i="4"/>
  <c r="BC82" i="4"/>
  <c r="BB82" i="4"/>
  <c r="AZ82" i="4"/>
  <c r="AY82" i="4"/>
  <c r="AW82" i="4"/>
  <c r="AV82" i="4"/>
  <c r="BC81" i="4"/>
  <c r="BB81" i="4"/>
  <c r="AZ81" i="4"/>
  <c r="AY81" i="4"/>
  <c r="AW81" i="4"/>
  <c r="AV81" i="4"/>
  <c r="BC80" i="4"/>
  <c r="BB80" i="4"/>
  <c r="AZ80" i="4"/>
  <c r="AY80" i="4"/>
  <c r="AW80" i="4"/>
  <c r="AV80" i="4"/>
  <c r="BC79" i="4"/>
  <c r="BB79" i="4"/>
  <c r="AZ79" i="4"/>
  <c r="AY79" i="4"/>
  <c r="AW79" i="4"/>
  <c r="AV79" i="4"/>
  <c r="BC78" i="4"/>
  <c r="BB78" i="4"/>
  <c r="AZ78" i="4"/>
  <c r="AY78" i="4"/>
  <c r="AW78" i="4"/>
  <c r="AV78" i="4"/>
  <c r="BC77" i="4"/>
  <c r="BB77" i="4"/>
  <c r="AZ77" i="4"/>
  <c r="AY77" i="4"/>
  <c r="AW77" i="4"/>
  <c r="AV77" i="4"/>
  <c r="BC76" i="4"/>
  <c r="BB76" i="4"/>
  <c r="AZ76" i="4"/>
  <c r="AY76" i="4"/>
  <c r="AW76" i="4"/>
  <c r="AV76" i="4"/>
  <c r="BC75" i="4"/>
  <c r="BB75" i="4"/>
  <c r="AZ75" i="4"/>
  <c r="AY75" i="4"/>
  <c r="AW75" i="4"/>
  <c r="AV75" i="4"/>
  <c r="BC74" i="4"/>
  <c r="BB74" i="4"/>
  <c r="AZ74" i="4"/>
  <c r="AY74" i="4"/>
  <c r="AW74" i="4"/>
  <c r="AV74" i="4"/>
  <c r="BC73" i="4"/>
  <c r="BB73" i="4"/>
  <c r="AZ73" i="4"/>
  <c r="AY73" i="4"/>
  <c r="AW73" i="4"/>
  <c r="AV73" i="4"/>
  <c r="BC72" i="4"/>
  <c r="BB72" i="4"/>
  <c r="AZ72" i="4"/>
  <c r="AY72" i="4"/>
  <c r="AW72" i="4"/>
  <c r="AV72" i="4"/>
  <c r="BC71" i="4"/>
  <c r="BB71" i="4"/>
  <c r="AZ71" i="4"/>
  <c r="AY71" i="4"/>
  <c r="AW71" i="4"/>
  <c r="AV71" i="4"/>
  <c r="BC70" i="4"/>
  <c r="BB70" i="4"/>
  <c r="AZ70" i="4"/>
  <c r="AY70" i="4"/>
  <c r="AW70" i="4"/>
  <c r="AV70" i="4"/>
  <c r="BC69" i="4"/>
  <c r="BB69" i="4"/>
  <c r="AZ69" i="4"/>
  <c r="AY69" i="4"/>
  <c r="AW69" i="4"/>
  <c r="AV69" i="4"/>
  <c r="BC68" i="4"/>
  <c r="BB68" i="4"/>
  <c r="AZ68" i="4"/>
  <c r="AY68" i="4"/>
  <c r="AW68" i="4"/>
  <c r="AV68" i="4"/>
  <c r="BC67" i="4"/>
  <c r="BB67" i="4"/>
  <c r="AZ67" i="4"/>
  <c r="AY67" i="4"/>
  <c r="AW67" i="4"/>
  <c r="AV67" i="4"/>
  <c r="BC66" i="4"/>
  <c r="BB66" i="4"/>
  <c r="AZ66" i="4"/>
  <c r="AY66" i="4"/>
  <c r="AW66" i="4"/>
  <c r="AV66" i="4"/>
  <c r="BC65" i="4"/>
  <c r="BB65" i="4"/>
  <c r="AZ65" i="4"/>
  <c r="AY65" i="4"/>
  <c r="AW65" i="4"/>
  <c r="AV65" i="4"/>
  <c r="BC64" i="4"/>
  <c r="BB64" i="4"/>
  <c r="AZ64" i="4"/>
  <c r="AY64" i="4"/>
  <c r="AW64" i="4"/>
  <c r="AV64" i="4"/>
  <c r="BC63" i="4"/>
  <c r="BB63" i="4"/>
  <c r="AZ63" i="4"/>
  <c r="AY63" i="4"/>
  <c r="AW63" i="4"/>
  <c r="AV63" i="4"/>
  <c r="BC62" i="4"/>
  <c r="BB62" i="4"/>
  <c r="AZ62" i="4"/>
  <c r="AY62" i="4"/>
  <c r="AW62" i="4"/>
  <c r="AV62" i="4"/>
  <c r="BC61" i="4"/>
  <c r="BB61" i="4"/>
  <c r="AZ61" i="4"/>
  <c r="AY61" i="4"/>
  <c r="AW61" i="4"/>
  <c r="AV61" i="4"/>
  <c r="BC60" i="4"/>
  <c r="BB60" i="4"/>
  <c r="AZ60" i="4"/>
  <c r="AY60" i="4"/>
  <c r="AW60" i="4"/>
  <c r="AV60" i="4"/>
  <c r="BC59" i="4"/>
  <c r="BB59" i="4"/>
  <c r="AZ59" i="4"/>
  <c r="AY59" i="4"/>
  <c r="AW59" i="4"/>
  <c r="AV59" i="4"/>
  <c r="BC58" i="4"/>
  <c r="BB58" i="4"/>
  <c r="AZ58" i="4"/>
  <c r="AY58" i="4"/>
  <c r="AW58" i="4"/>
  <c r="AV58" i="4"/>
  <c r="BC57" i="4"/>
  <c r="BB57" i="4"/>
  <c r="AZ57" i="4"/>
  <c r="AY57" i="4"/>
  <c r="AW57" i="4"/>
  <c r="AV57" i="4"/>
  <c r="BC56" i="4"/>
  <c r="BB56" i="4"/>
  <c r="AZ56" i="4"/>
  <c r="AY56" i="4"/>
  <c r="AW56" i="4"/>
  <c r="AV56" i="4"/>
  <c r="BC55" i="4"/>
  <c r="BB55" i="4"/>
  <c r="AZ55" i="4"/>
  <c r="AY55" i="4"/>
  <c r="AW55" i="4"/>
  <c r="AV55" i="4"/>
  <c r="BC54" i="4"/>
  <c r="BB54" i="4"/>
  <c r="AZ54" i="4"/>
  <c r="AY54" i="4"/>
  <c r="AW54" i="4"/>
  <c r="AV54" i="4"/>
  <c r="BC53" i="4"/>
  <c r="BB53" i="4"/>
  <c r="AZ53" i="4"/>
  <c r="AY53" i="4"/>
  <c r="AW53" i="4"/>
  <c r="AV53" i="4"/>
  <c r="BC52" i="4"/>
  <c r="BB52" i="4"/>
  <c r="AZ52" i="4"/>
  <c r="AY52" i="4"/>
  <c r="AW52" i="4"/>
  <c r="AV52" i="4"/>
  <c r="BC51" i="4"/>
  <c r="BB51" i="4"/>
  <c r="AZ51" i="4"/>
  <c r="AY51" i="4"/>
  <c r="AW51" i="4"/>
  <c r="AV51" i="4"/>
  <c r="BC50" i="4"/>
  <c r="BB50" i="4"/>
  <c r="AZ50" i="4"/>
  <c r="AY50" i="4"/>
  <c r="AW50" i="4"/>
  <c r="AV50" i="4"/>
  <c r="BC49" i="4"/>
  <c r="BB49" i="4"/>
  <c r="AZ49" i="4"/>
  <c r="AY49" i="4"/>
  <c r="AW49" i="4"/>
  <c r="AV49" i="4"/>
  <c r="BC48" i="4"/>
  <c r="BB48" i="4"/>
  <c r="AZ48" i="4"/>
  <c r="AY48" i="4"/>
  <c r="AW48" i="4"/>
  <c r="AV48" i="4"/>
  <c r="BC47" i="4"/>
  <c r="BB47" i="4"/>
  <c r="AZ47" i="4"/>
  <c r="AY47" i="4"/>
  <c r="AW47" i="4"/>
  <c r="AV47" i="4"/>
  <c r="BC46" i="4"/>
  <c r="BB46" i="4"/>
  <c r="AZ46" i="4"/>
  <c r="AY46" i="4"/>
  <c r="AW46" i="4"/>
  <c r="AV46" i="4"/>
  <c r="BC45" i="4"/>
  <c r="BB45" i="4"/>
  <c r="AZ45" i="4"/>
  <c r="AY45" i="4"/>
  <c r="AW45" i="4"/>
  <c r="AV45" i="4"/>
  <c r="BC44" i="4"/>
  <c r="BB44" i="4"/>
  <c r="AZ44" i="4"/>
  <c r="AY44" i="4"/>
  <c r="AW44" i="4"/>
  <c r="AV44" i="4"/>
  <c r="BC43" i="4"/>
  <c r="BB43" i="4"/>
  <c r="AZ43" i="4"/>
  <c r="AY43" i="4"/>
  <c r="AW43" i="4"/>
  <c r="AV43" i="4"/>
  <c r="BC42" i="4"/>
  <c r="BB42" i="4"/>
  <c r="AZ42" i="4"/>
  <c r="AY42" i="4"/>
  <c r="AW42" i="4"/>
  <c r="AV42" i="4"/>
  <c r="BC41" i="4"/>
  <c r="BB41" i="4"/>
  <c r="AZ41" i="4"/>
  <c r="AY41" i="4"/>
  <c r="AW41" i="4"/>
  <c r="AV41" i="4"/>
  <c r="BC40" i="4"/>
  <c r="BB40" i="4"/>
  <c r="AZ40" i="4"/>
  <c r="AY40" i="4"/>
  <c r="AW40" i="4"/>
  <c r="AV40" i="4"/>
  <c r="BC39" i="4"/>
  <c r="BB39" i="4"/>
  <c r="AZ39" i="4"/>
  <c r="AY39" i="4"/>
  <c r="AW39" i="4"/>
  <c r="AV39" i="4"/>
  <c r="BC38" i="4"/>
  <c r="BB38" i="4"/>
  <c r="AZ38" i="4"/>
  <c r="AY38" i="4"/>
  <c r="AW38" i="4"/>
  <c r="AV38" i="4"/>
  <c r="BC37" i="4"/>
  <c r="BB37" i="4"/>
  <c r="AZ37" i="4"/>
  <c r="AY37" i="4"/>
  <c r="AW37" i="4"/>
  <c r="AV37" i="4"/>
  <c r="BC36" i="4"/>
  <c r="BB36" i="4"/>
  <c r="AZ36" i="4"/>
  <c r="AY36" i="4"/>
  <c r="AW36" i="4"/>
  <c r="AV36" i="4"/>
  <c r="BC35" i="4"/>
  <c r="BB35" i="4"/>
  <c r="AZ35" i="4"/>
  <c r="AY35" i="4"/>
  <c r="AW35" i="4"/>
  <c r="AV35" i="4"/>
  <c r="BC34" i="4"/>
  <c r="BB34" i="4"/>
  <c r="AZ34" i="4"/>
  <c r="AY34" i="4"/>
  <c r="AW34" i="4"/>
  <c r="AV34" i="4"/>
  <c r="BC33" i="4"/>
  <c r="BB33" i="4"/>
  <c r="AZ33" i="4"/>
  <c r="AY33" i="4"/>
  <c r="AW33" i="4"/>
  <c r="AV33" i="4"/>
  <c r="BC32" i="4"/>
  <c r="BB32" i="4"/>
  <c r="AZ32" i="4"/>
  <c r="AY32" i="4"/>
  <c r="AW32" i="4"/>
  <c r="AV32" i="4"/>
  <c r="BC31" i="4"/>
  <c r="BB31" i="4"/>
  <c r="AZ31" i="4"/>
  <c r="AY31" i="4"/>
  <c r="AW31" i="4"/>
  <c r="AV31" i="4"/>
  <c r="BC30" i="4"/>
  <c r="BB30" i="4"/>
  <c r="AZ30" i="4"/>
  <c r="AY30" i="4"/>
  <c r="AW30" i="4"/>
  <c r="AV30" i="4"/>
  <c r="BC29" i="4"/>
  <c r="BB29" i="4"/>
  <c r="AZ29" i="4"/>
  <c r="AY29" i="4"/>
  <c r="AW29" i="4"/>
  <c r="AV29" i="4"/>
  <c r="BC28" i="4"/>
  <c r="BB28" i="4"/>
  <c r="AZ28" i="4"/>
  <c r="AY28" i="4"/>
  <c r="AW28" i="4"/>
  <c r="AV28" i="4"/>
  <c r="BC27" i="4"/>
  <c r="BB27" i="4"/>
  <c r="AZ27" i="4"/>
  <c r="AY27" i="4"/>
  <c r="AW27" i="4"/>
  <c r="AV27" i="4"/>
  <c r="BC26" i="4"/>
  <c r="BB26" i="4"/>
  <c r="AZ26" i="4"/>
  <c r="AY26" i="4"/>
  <c r="AW26" i="4"/>
  <c r="AV26" i="4"/>
  <c r="BC25" i="4"/>
  <c r="BB25" i="4"/>
  <c r="AZ25" i="4"/>
  <c r="AY25" i="4"/>
  <c r="AW25" i="4"/>
  <c r="AV25" i="4"/>
  <c r="BC24" i="4"/>
  <c r="BB24" i="4"/>
  <c r="AZ24" i="4"/>
  <c r="AY24" i="4"/>
  <c r="AW24" i="4"/>
  <c r="AV24" i="4"/>
  <c r="BC23" i="4"/>
  <c r="BB23" i="4"/>
  <c r="AZ23" i="4"/>
  <c r="AY23" i="4"/>
  <c r="AW23" i="4"/>
  <c r="AV23" i="4"/>
  <c r="BC22" i="4"/>
  <c r="BB22" i="4"/>
  <c r="AZ22" i="4"/>
  <c r="AY22" i="4"/>
  <c r="AW22" i="4"/>
  <c r="AV22" i="4"/>
  <c r="BC21" i="4"/>
  <c r="BB21" i="4"/>
  <c r="AZ21" i="4"/>
  <c r="AY21" i="4"/>
  <c r="AW21" i="4"/>
  <c r="AV21" i="4"/>
  <c r="BC20" i="4"/>
  <c r="BB20" i="4"/>
  <c r="AZ20" i="4"/>
  <c r="AY20" i="4"/>
  <c r="AW20" i="4"/>
  <c r="AV20" i="4"/>
  <c r="BC19" i="4"/>
  <c r="BB19" i="4"/>
  <c r="AZ19" i="4"/>
  <c r="AY19" i="4"/>
  <c r="AW19" i="4"/>
  <c r="AV19" i="4"/>
  <c r="BC18" i="4"/>
  <c r="BB18" i="4"/>
  <c r="AZ18" i="4"/>
  <c r="AY18" i="4"/>
  <c r="AW18" i="4"/>
  <c r="AV18" i="4"/>
  <c r="BC17" i="4"/>
  <c r="BB17" i="4"/>
  <c r="AZ17" i="4"/>
  <c r="AY17" i="4"/>
  <c r="AW17" i="4"/>
  <c r="AV17" i="4"/>
  <c r="BC16" i="4"/>
  <c r="BB16" i="4"/>
  <c r="AZ16" i="4"/>
  <c r="AY16" i="4"/>
  <c r="AW16" i="4"/>
  <c r="AV16" i="4"/>
  <c r="BC15" i="4"/>
  <c r="BB15" i="4"/>
  <c r="AZ15" i="4"/>
  <c r="AY15" i="4"/>
  <c r="AW15" i="4"/>
  <c r="AV15" i="4"/>
  <c r="BC14" i="4"/>
  <c r="BB14" i="4"/>
  <c r="AZ14" i="4"/>
  <c r="AY14" i="4"/>
  <c r="AW14" i="4"/>
  <c r="AV14" i="4"/>
  <c r="BC13" i="4"/>
  <c r="BB13" i="4"/>
  <c r="AZ13" i="4"/>
  <c r="AY13" i="4"/>
  <c r="AW13" i="4"/>
  <c r="AV13" i="4"/>
  <c r="BC12" i="4"/>
  <c r="BB12" i="4"/>
  <c r="AZ12" i="4"/>
  <c r="AY12" i="4"/>
  <c r="AW12" i="4"/>
  <c r="AV12" i="4"/>
  <c r="BC11" i="4"/>
  <c r="BB11" i="4"/>
  <c r="AZ11" i="4"/>
  <c r="AY11" i="4"/>
  <c r="AW11" i="4"/>
  <c r="AV11" i="4"/>
  <c r="BC10" i="4"/>
  <c r="BB10" i="4"/>
  <c r="AZ10" i="4"/>
  <c r="AY10" i="4"/>
  <c r="AW10" i="4"/>
  <c r="AV10" i="4"/>
  <c r="BC9" i="4"/>
  <c r="BB9" i="4"/>
  <c r="AZ9" i="4"/>
  <c r="AY9" i="4"/>
  <c r="AW9" i="4"/>
  <c r="AV9" i="4"/>
  <c r="BC8" i="4"/>
  <c r="BB8" i="4"/>
  <c r="AZ8" i="4"/>
  <c r="AY8" i="4"/>
  <c r="AW8" i="4"/>
  <c r="AV8" i="4"/>
  <c r="BC7" i="4"/>
  <c r="BB7" i="4"/>
  <c r="AZ7" i="4"/>
  <c r="AY7" i="4"/>
  <c r="AW7" i="4"/>
  <c r="AV7" i="4"/>
  <c r="BC6" i="4"/>
  <c r="BB6" i="4"/>
  <c r="AZ6" i="4"/>
  <c r="AY6" i="4"/>
  <c r="AW6" i="4"/>
  <c r="AV6" i="4"/>
  <c r="BC5" i="4"/>
  <c r="BB5" i="4"/>
  <c r="AZ5" i="4"/>
  <c r="AY5" i="4"/>
  <c r="AW5" i="4"/>
  <c r="AV5" i="4"/>
  <c r="BC4" i="4"/>
  <c r="BB4" i="4"/>
  <c r="AZ4" i="4"/>
  <c r="AY4" i="4"/>
  <c r="AW4" i="4"/>
  <c r="AV4" i="4"/>
  <c r="BC3" i="4"/>
  <c r="BB3" i="4"/>
  <c r="AZ3" i="4"/>
  <c r="AY3" i="4"/>
  <c r="AW3" i="4"/>
  <c r="AV3" i="4"/>
  <c r="AM4" i="4"/>
  <c r="AN4" i="4"/>
  <c r="AP4" i="4"/>
  <c r="AQ4" i="4"/>
  <c r="AS4" i="4"/>
  <c r="AT4" i="4"/>
  <c r="AM5" i="4"/>
  <c r="AN5" i="4"/>
  <c r="AP5" i="4"/>
  <c r="AQ5" i="4"/>
  <c r="AS5" i="4"/>
  <c r="AT5" i="4"/>
  <c r="AM6" i="4"/>
  <c r="AN6" i="4"/>
  <c r="AP6" i="4"/>
  <c r="AQ6" i="4"/>
  <c r="AS6" i="4"/>
  <c r="AT6" i="4"/>
  <c r="AM7" i="4"/>
  <c r="AN7" i="4"/>
  <c r="AP7" i="4"/>
  <c r="AQ7" i="4"/>
  <c r="AS7" i="4"/>
  <c r="AT7" i="4"/>
  <c r="AM8" i="4"/>
  <c r="AN8" i="4"/>
  <c r="AP8" i="4"/>
  <c r="AQ8" i="4"/>
  <c r="AS8" i="4"/>
  <c r="AT8" i="4"/>
  <c r="AM9" i="4"/>
  <c r="AN9" i="4"/>
  <c r="AP9" i="4"/>
  <c r="AQ9" i="4"/>
  <c r="AS9" i="4"/>
  <c r="AT9" i="4"/>
  <c r="AM10" i="4"/>
  <c r="AN10" i="4"/>
  <c r="AP10" i="4"/>
  <c r="AQ10" i="4"/>
  <c r="AS10" i="4"/>
  <c r="AT10" i="4"/>
  <c r="AM11" i="4"/>
  <c r="AN11" i="4"/>
  <c r="AP11" i="4"/>
  <c r="AQ11" i="4"/>
  <c r="AS11" i="4"/>
  <c r="AT11" i="4"/>
  <c r="AM12" i="4"/>
  <c r="AN12" i="4"/>
  <c r="AP12" i="4"/>
  <c r="AQ12" i="4"/>
  <c r="AS12" i="4"/>
  <c r="AT12" i="4"/>
  <c r="AM13" i="4"/>
  <c r="AN13" i="4"/>
  <c r="AP13" i="4"/>
  <c r="AQ13" i="4"/>
  <c r="AS13" i="4"/>
  <c r="AT13" i="4"/>
  <c r="AM14" i="4"/>
  <c r="AN14" i="4"/>
  <c r="AP14" i="4"/>
  <c r="AQ14" i="4"/>
  <c r="AS14" i="4"/>
  <c r="AT14" i="4"/>
  <c r="AM15" i="4"/>
  <c r="AN15" i="4"/>
  <c r="AP15" i="4"/>
  <c r="AQ15" i="4"/>
  <c r="AS15" i="4"/>
  <c r="AT15" i="4"/>
  <c r="AM16" i="4"/>
  <c r="AN16" i="4"/>
  <c r="AP16" i="4"/>
  <c r="AQ16" i="4"/>
  <c r="AS16" i="4"/>
  <c r="AT16" i="4"/>
  <c r="AM17" i="4"/>
  <c r="AN17" i="4"/>
  <c r="AP17" i="4"/>
  <c r="AQ17" i="4"/>
  <c r="AS17" i="4"/>
  <c r="AT17" i="4"/>
  <c r="AM18" i="4"/>
  <c r="AN18" i="4"/>
  <c r="AP18" i="4"/>
  <c r="AQ18" i="4"/>
  <c r="AS18" i="4"/>
  <c r="AT18" i="4"/>
  <c r="AM19" i="4"/>
  <c r="AN19" i="4"/>
  <c r="AP19" i="4"/>
  <c r="AQ19" i="4"/>
  <c r="AS19" i="4"/>
  <c r="AT19" i="4"/>
  <c r="AM20" i="4"/>
  <c r="AN20" i="4"/>
  <c r="AP20" i="4"/>
  <c r="AQ20" i="4"/>
  <c r="AS20" i="4"/>
  <c r="AT20" i="4"/>
  <c r="AM21" i="4"/>
  <c r="AN21" i="4"/>
  <c r="AP21" i="4"/>
  <c r="AQ21" i="4"/>
  <c r="AS21" i="4"/>
  <c r="AT21" i="4"/>
  <c r="AM22" i="4"/>
  <c r="AN22" i="4"/>
  <c r="AP22" i="4"/>
  <c r="AQ22" i="4"/>
  <c r="AS22" i="4"/>
  <c r="AT22" i="4"/>
  <c r="AM23" i="4"/>
  <c r="AN23" i="4"/>
  <c r="AP23" i="4"/>
  <c r="AQ23" i="4"/>
  <c r="AS23" i="4"/>
  <c r="AT23" i="4"/>
  <c r="AM24" i="4"/>
  <c r="AN24" i="4"/>
  <c r="AP24" i="4"/>
  <c r="AQ24" i="4"/>
  <c r="AS24" i="4"/>
  <c r="AT24" i="4"/>
  <c r="AM25" i="4"/>
  <c r="AN25" i="4"/>
  <c r="AP25" i="4"/>
  <c r="AQ25" i="4"/>
  <c r="AS25" i="4"/>
  <c r="AT25" i="4"/>
  <c r="AM26" i="4"/>
  <c r="AN26" i="4"/>
  <c r="AP26" i="4"/>
  <c r="AQ26" i="4"/>
  <c r="AS26" i="4"/>
  <c r="AT26" i="4"/>
  <c r="AM27" i="4"/>
  <c r="AN27" i="4"/>
  <c r="AP27" i="4"/>
  <c r="AQ27" i="4"/>
  <c r="AS27" i="4"/>
  <c r="AT27" i="4"/>
  <c r="AM28" i="4"/>
  <c r="AN28" i="4"/>
  <c r="AP28" i="4"/>
  <c r="AQ28" i="4"/>
  <c r="AS28" i="4"/>
  <c r="AT28" i="4"/>
  <c r="AM29" i="4"/>
  <c r="AN29" i="4"/>
  <c r="AP29" i="4"/>
  <c r="AQ29" i="4"/>
  <c r="AS29" i="4"/>
  <c r="AT29" i="4"/>
  <c r="AM30" i="4"/>
  <c r="AN30" i="4"/>
  <c r="AP30" i="4"/>
  <c r="AQ30" i="4"/>
  <c r="AS30" i="4"/>
  <c r="AT30" i="4"/>
  <c r="AM31" i="4"/>
  <c r="AN31" i="4"/>
  <c r="AP31" i="4"/>
  <c r="AQ31" i="4"/>
  <c r="AS31" i="4"/>
  <c r="AT31" i="4"/>
  <c r="AM32" i="4"/>
  <c r="AN32" i="4"/>
  <c r="AP32" i="4"/>
  <c r="AQ32" i="4"/>
  <c r="AS32" i="4"/>
  <c r="AT32" i="4"/>
  <c r="AM33" i="4"/>
  <c r="AN33" i="4"/>
  <c r="AP33" i="4"/>
  <c r="AQ33" i="4"/>
  <c r="AS33" i="4"/>
  <c r="AT33" i="4"/>
  <c r="AM34" i="4"/>
  <c r="AN34" i="4"/>
  <c r="AP34" i="4"/>
  <c r="AQ34" i="4"/>
  <c r="AS34" i="4"/>
  <c r="AT34" i="4"/>
  <c r="AM35" i="4"/>
  <c r="AN35" i="4"/>
  <c r="AP35" i="4"/>
  <c r="AQ35" i="4"/>
  <c r="AS35" i="4"/>
  <c r="AT35" i="4"/>
  <c r="AM36" i="4"/>
  <c r="AN36" i="4"/>
  <c r="AP36" i="4"/>
  <c r="AQ36" i="4"/>
  <c r="AS36" i="4"/>
  <c r="AT36" i="4"/>
  <c r="AM37" i="4"/>
  <c r="AN37" i="4"/>
  <c r="AP37" i="4"/>
  <c r="AQ37" i="4"/>
  <c r="AS37" i="4"/>
  <c r="AT37" i="4"/>
  <c r="AM38" i="4"/>
  <c r="AN38" i="4"/>
  <c r="AP38" i="4"/>
  <c r="AQ38" i="4"/>
  <c r="AS38" i="4"/>
  <c r="AT38" i="4"/>
  <c r="AM39" i="4"/>
  <c r="AN39" i="4"/>
  <c r="AP39" i="4"/>
  <c r="AQ39" i="4"/>
  <c r="AS39" i="4"/>
  <c r="AT39" i="4"/>
  <c r="AM40" i="4"/>
  <c r="AN40" i="4"/>
  <c r="AP40" i="4"/>
  <c r="AQ40" i="4"/>
  <c r="AS40" i="4"/>
  <c r="AT40" i="4"/>
  <c r="AM41" i="4"/>
  <c r="AN41" i="4"/>
  <c r="AP41" i="4"/>
  <c r="AQ41" i="4"/>
  <c r="AS41" i="4"/>
  <c r="AT41" i="4"/>
  <c r="AM42" i="4"/>
  <c r="AN42" i="4"/>
  <c r="AP42" i="4"/>
  <c r="AQ42" i="4"/>
  <c r="AS42" i="4"/>
  <c r="AT42" i="4"/>
  <c r="AM43" i="4"/>
  <c r="AN43" i="4"/>
  <c r="AP43" i="4"/>
  <c r="AQ43" i="4"/>
  <c r="AS43" i="4"/>
  <c r="AT43" i="4"/>
  <c r="AM44" i="4"/>
  <c r="AN44" i="4"/>
  <c r="AP44" i="4"/>
  <c r="AQ44" i="4"/>
  <c r="AS44" i="4"/>
  <c r="AT44" i="4"/>
  <c r="AM45" i="4"/>
  <c r="AN45" i="4"/>
  <c r="AP45" i="4"/>
  <c r="AQ45" i="4"/>
  <c r="AS45" i="4"/>
  <c r="AT45" i="4"/>
  <c r="AM46" i="4"/>
  <c r="AN46" i="4"/>
  <c r="AP46" i="4"/>
  <c r="AQ46" i="4"/>
  <c r="AS46" i="4"/>
  <c r="AT46" i="4"/>
  <c r="AM47" i="4"/>
  <c r="AN47" i="4"/>
  <c r="AP47" i="4"/>
  <c r="AQ47" i="4"/>
  <c r="AS47" i="4"/>
  <c r="AT47" i="4"/>
  <c r="AM48" i="4"/>
  <c r="AN48" i="4"/>
  <c r="AP48" i="4"/>
  <c r="AQ48" i="4"/>
  <c r="AS48" i="4"/>
  <c r="AT48" i="4"/>
  <c r="AM49" i="4"/>
  <c r="AN49" i="4"/>
  <c r="AP49" i="4"/>
  <c r="AQ49" i="4"/>
  <c r="AS49" i="4"/>
  <c r="AT49" i="4"/>
  <c r="AM50" i="4"/>
  <c r="AN50" i="4"/>
  <c r="AP50" i="4"/>
  <c r="AQ50" i="4"/>
  <c r="AS50" i="4"/>
  <c r="AT50" i="4"/>
  <c r="AM51" i="4"/>
  <c r="AN51" i="4"/>
  <c r="AP51" i="4"/>
  <c r="AQ51" i="4"/>
  <c r="AS51" i="4"/>
  <c r="AT51" i="4"/>
  <c r="AM52" i="4"/>
  <c r="AN52" i="4"/>
  <c r="AP52" i="4"/>
  <c r="AQ52" i="4"/>
  <c r="AS52" i="4"/>
  <c r="AT52" i="4"/>
  <c r="AM53" i="4"/>
  <c r="AN53" i="4"/>
  <c r="AP53" i="4"/>
  <c r="AQ53" i="4"/>
  <c r="AS53" i="4"/>
  <c r="AT53" i="4"/>
  <c r="AM54" i="4"/>
  <c r="AN54" i="4"/>
  <c r="AP54" i="4"/>
  <c r="AQ54" i="4"/>
  <c r="AS54" i="4"/>
  <c r="AT54" i="4"/>
  <c r="AM55" i="4"/>
  <c r="AN55" i="4"/>
  <c r="AP55" i="4"/>
  <c r="AQ55" i="4"/>
  <c r="AS55" i="4"/>
  <c r="AT55" i="4"/>
  <c r="AM56" i="4"/>
  <c r="AN56" i="4"/>
  <c r="AP56" i="4"/>
  <c r="AQ56" i="4"/>
  <c r="AS56" i="4"/>
  <c r="AT56" i="4"/>
  <c r="AM57" i="4"/>
  <c r="AN57" i="4"/>
  <c r="AP57" i="4"/>
  <c r="AQ57" i="4"/>
  <c r="AS57" i="4"/>
  <c r="AT57" i="4"/>
  <c r="AM58" i="4"/>
  <c r="AN58" i="4"/>
  <c r="AP58" i="4"/>
  <c r="AQ58" i="4"/>
  <c r="AS58" i="4"/>
  <c r="AT58" i="4"/>
  <c r="AM59" i="4"/>
  <c r="AN59" i="4"/>
  <c r="AP59" i="4"/>
  <c r="AQ59" i="4"/>
  <c r="AS59" i="4"/>
  <c r="AT59" i="4"/>
  <c r="AM60" i="4"/>
  <c r="AN60" i="4"/>
  <c r="AP60" i="4"/>
  <c r="AQ60" i="4"/>
  <c r="AS60" i="4"/>
  <c r="AT60" i="4"/>
  <c r="AM61" i="4"/>
  <c r="AN61" i="4"/>
  <c r="AP61" i="4"/>
  <c r="AQ61" i="4"/>
  <c r="AS61" i="4"/>
  <c r="AT61" i="4"/>
  <c r="AM62" i="4"/>
  <c r="AN62" i="4"/>
  <c r="AP62" i="4"/>
  <c r="AQ62" i="4"/>
  <c r="AS62" i="4"/>
  <c r="AT62" i="4"/>
  <c r="AM63" i="4"/>
  <c r="AN63" i="4"/>
  <c r="AP63" i="4"/>
  <c r="AQ63" i="4"/>
  <c r="AS63" i="4"/>
  <c r="AT63" i="4"/>
  <c r="AM64" i="4"/>
  <c r="AN64" i="4"/>
  <c r="AP64" i="4"/>
  <c r="AQ64" i="4"/>
  <c r="AS64" i="4"/>
  <c r="AT64" i="4"/>
  <c r="AM65" i="4"/>
  <c r="AN65" i="4"/>
  <c r="AP65" i="4"/>
  <c r="AQ65" i="4"/>
  <c r="AS65" i="4"/>
  <c r="AT65" i="4"/>
  <c r="AM66" i="4"/>
  <c r="AN66" i="4"/>
  <c r="AP66" i="4"/>
  <c r="AQ66" i="4"/>
  <c r="AS66" i="4"/>
  <c r="AT66" i="4"/>
  <c r="AM67" i="4"/>
  <c r="AN67" i="4"/>
  <c r="AP67" i="4"/>
  <c r="AQ67" i="4"/>
  <c r="AS67" i="4"/>
  <c r="AT67" i="4"/>
  <c r="AM68" i="4"/>
  <c r="AN68" i="4"/>
  <c r="AP68" i="4"/>
  <c r="AQ68" i="4"/>
  <c r="AS68" i="4"/>
  <c r="AT68" i="4"/>
  <c r="AM69" i="4"/>
  <c r="AN69" i="4"/>
  <c r="AP69" i="4"/>
  <c r="AQ69" i="4"/>
  <c r="AS69" i="4"/>
  <c r="AT69" i="4"/>
  <c r="AM70" i="4"/>
  <c r="AN70" i="4"/>
  <c r="AP70" i="4"/>
  <c r="AQ70" i="4"/>
  <c r="AS70" i="4"/>
  <c r="AT70" i="4"/>
  <c r="AM71" i="4"/>
  <c r="AN71" i="4"/>
  <c r="AP71" i="4"/>
  <c r="AQ71" i="4"/>
  <c r="AS71" i="4"/>
  <c r="AT71" i="4"/>
  <c r="AM72" i="4"/>
  <c r="AN72" i="4"/>
  <c r="AP72" i="4"/>
  <c r="AQ72" i="4"/>
  <c r="AS72" i="4"/>
  <c r="AT72" i="4"/>
  <c r="AM73" i="4"/>
  <c r="AN73" i="4"/>
  <c r="AP73" i="4"/>
  <c r="AQ73" i="4"/>
  <c r="AS73" i="4"/>
  <c r="AT73" i="4"/>
  <c r="AM74" i="4"/>
  <c r="AN74" i="4"/>
  <c r="AP74" i="4"/>
  <c r="AQ74" i="4"/>
  <c r="AS74" i="4"/>
  <c r="AT74" i="4"/>
  <c r="AM75" i="4"/>
  <c r="AN75" i="4"/>
  <c r="AP75" i="4"/>
  <c r="AQ75" i="4"/>
  <c r="AS75" i="4"/>
  <c r="AT75" i="4"/>
  <c r="AM76" i="4"/>
  <c r="AN76" i="4"/>
  <c r="AP76" i="4"/>
  <c r="AQ76" i="4"/>
  <c r="AS76" i="4"/>
  <c r="AT76" i="4"/>
  <c r="AM77" i="4"/>
  <c r="AN77" i="4"/>
  <c r="AP77" i="4"/>
  <c r="AQ77" i="4"/>
  <c r="AS77" i="4"/>
  <c r="AT77" i="4"/>
  <c r="AM78" i="4"/>
  <c r="AN78" i="4"/>
  <c r="AP78" i="4"/>
  <c r="AQ78" i="4"/>
  <c r="AS78" i="4"/>
  <c r="AT78" i="4"/>
  <c r="AM79" i="4"/>
  <c r="AN79" i="4"/>
  <c r="AP79" i="4"/>
  <c r="AQ79" i="4"/>
  <c r="AS79" i="4"/>
  <c r="AT79" i="4"/>
  <c r="AM80" i="4"/>
  <c r="AN80" i="4"/>
  <c r="AP80" i="4"/>
  <c r="AQ80" i="4"/>
  <c r="AS80" i="4"/>
  <c r="AT80" i="4"/>
  <c r="AM81" i="4"/>
  <c r="AN81" i="4"/>
  <c r="AP81" i="4"/>
  <c r="AQ81" i="4"/>
  <c r="AS81" i="4"/>
  <c r="AT81" i="4"/>
  <c r="AM82" i="4"/>
  <c r="AN82" i="4"/>
  <c r="AP82" i="4"/>
  <c r="AQ82" i="4"/>
  <c r="AS82" i="4"/>
  <c r="AT82" i="4"/>
  <c r="AM83" i="4"/>
  <c r="AN83" i="4"/>
  <c r="AP83" i="4"/>
  <c r="AQ83" i="4"/>
  <c r="AS83" i="4"/>
  <c r="AT83" i="4"/>
  <c r="AM84" i="4"/>
  <c r="AN84" i="4"/>
  <c r="AP84" i="4"/>
  <c r="AQ84" i="4"/>
  <c r="AS84" i="4"/>
  <c r="AT84" i="4"/>
  <c r="AM85" i="4"/>
  <c r="AN85" i="4"/>
  <c r="AP85" i="4"/>
  <c r="AQ85" i="4"/>
  <c r="AS85" i="4"/>
  <c r="AT85" i="4"/>
  <c r="AM86" i="4"/>
  <c r="AN86" i="4"/>
  <c r="AP86" i="4"/>
  <c r="AQ86" i="4"/>
  <c r="AS86" i="4"/>
  <c r="AT86" i="4"/>
  <c r="AM87" i="4"/>
  <c r="AN87" i="4"/>
  <c r="AP87" i="4"/>
  <c r="AQ87" i="4"/>
  <c r="AS87" i="4"/>
  <c r="AT87" i="4"/>
  <c r="AM88" i="4"/>
  <c r="AN88" i="4"/>
  <c r="AP88" i="4"/>
  <c r="AQ88" i="4"/>
  <c r="AS88" i="4"/>
  <c r="AT88" i="4"/>
  <c r="AM89" i="4"/>
  <c r="AN89" i="4"/>
  <c r="AP89" i="4"/>
  <c r="AQ89" i="4"/>
  <c r="AS89" i="4"/>
  <c r="AT89" i="4"/>
  <c r="AM90" i="4"/>
  <c r="AN90" i="4"/>
  <c r="AP90" i="4"/>
  <c r="AQ90" i="4"/>
  <c r="AS90" i="4"/>
  <c r="AT90" i="4"/>
  <c r="AM91" i="4"/>
  <c r="AN91" i="4"/>
  <c r="AP91" i="4"/>
  <c r="AQ91" i="4"/>
  <c r="AS91" i="4"/>
  <c r="AT91" i="4"/>
  <c r="AM92" i="4"/>
  <c r="AN92" i="4"/>
  <c r="AP92" i="4"/>
  <c r="AQ92" i="4"/>
  <c r="AS92" i="4"/>
  <c r="AT92" i="4"/>
  <c r="AM93" i="4"/>
  <c r="AN93" i="4"/>
  <c r="AP93" i="4"/>
  <c r="AQ93" i="4"/>
  <c r="AS93" i="4"/>
  <c r="AT93" i="4"/>
  <c r="AM94" i="4"/>
  <c r="AN94" i="4"/>
  <c r="AP94" i="4"/>
  <c r="AQ94" i="4"/>
  <c r="AS94" i="4"/>
  <c r="AT94" i="4"/>
  <c r="AM95" i="4"/>
  <c r="AN95" i="4"/>
  <c r="AP95" i="4"/>
  <c r="AQ95" i="4"/>
  <c r="AS95" i="4"/>
  <c r="AT95" i="4"/>
  <c r="AM96" i="4"/>
  <c r="AN96" i="4"/>
  <c r="AP96" i="4"/>
  <c r="AQ96" i="4"/>
  <c r="AS96" i="4"/>
  <c r="AT96" i="4"/>
  <c r="AM97" i="4"/>
  <c r="AN97" i="4"/>
  <c r="AP97" i="4"/>
  <c r="AQ97" i="4"/>
  <c r="AS97" i="4"/>
  <c r="AT97" i="4"/>
  <c r="AM98" i="4"/>
  <c r="AN98" i="4"/>
  <c r="AP98" i="4"/>
  <c r="AQ98" i="4"/>
  <c r="AS98" i="4"/>
  <c r="AT98" i="4"/>
  <c r="AM99" i="4"/>
  <c r="AN99" i="4"/>
  <c r="AP99" i="4"/>
  <c r="AQ99" i="4"/>
  <c r="AS99" i="4"/>
  <c r="AT99" i="4"/>
  <c r="AM100" i="4"/>
  <c r="AN100" i="4"/>
  <c r="AP100" i="4"/>
  <c r="AQ100" i="4"/>
  <c r="AS100" i="4"/>
  <c r="AT100" i="4"/>
  <c r="AM101" i="4"/>
  <c r="AN101" i="4"/>
  <c r="AP101" i="4"/>
  <c r="AQ101" i="4"/>
  <c r="AS101" i="4"/>
  <c r="AT101" i="4"/>
  <c r="AM102" i="4"/>
  <c r="AN102" i="4"/>
  <c r="AP102" i="4"/>
  <c r="AQ102" i="4"/>
  <c r="AS102" i="4"/>
  <c r="AT102" i="4"/>
  <c r="AM103" i="4"/>
  <c r="AN103" i="4"/>
  <c r="AP103" i="4"/>
  <c r="AQ103" i="4"/>
  <c r="AS103" i="4"/>
  <c r="AT103" i="4"/>
  <c r="AM104" i="4"/>
  <c r="AN104" i="4"/>
  <c r="AP104" i="4"/>
  <c r="AQ104" i="4"/>
  <c r="AS104" i="4"/>
  <c r="AT104" i="4"/>
  <c r="AM105" i="4"/>
  <c r="AN105" i="4"/>
  <c r="AP105" i="4"/>
  <c r="AQ105" i="4"/>
  <c r="AS105" i="4"/>
  <c r="AT105" i="4"/>
  <c r="AM106" i="4"/>
  <c r="AN106" i="4"/>
  <c r="AP106" i="4"/>
  <c r="AQ106" i="4"/>
  <c r="AS106" i="4"/>
  <c r="AT106" i="4"/>
  <c r="AM107" i="4"/>
  <c r="AN107" i="4"/>
  <c r="AP107" i="4"/>
  <c r="AQ107" i="4"/>
  <c r="AS107" i="4"/>
  <c r="AT107" i="4"/>
  <c r="AM108" i="4"/>
  <c r="AN108" i="4"/>
  <c r="AP108" i="4"/>
  <c r="AQ108" i="4"/>
  <c r="AS108" i="4"/>
  <c r="AT108" i="4"/>
  <c r="AM109" i="4"/>
  <c r="AN109" i="4"/>
  <c r="AP109" i="4"/>
  <c r="AQ109" i="4"/>
  <c r="AS109" i="4"/>
  <c r="AT109" i="4"/>
  <c r="AM110" i="4"/>
  <c r="AN110" i="4"/>
  <c r="AP110" i="4"/>
  <c r="AQ110" i="4"/>
  <c r="AS110" i="4"/>
  <c r="AT110" i="4"/>
  <c r="AM111" i="4"/>
  <c r="AN111" i="4"/>
  <c r="AP111" i="4"/>
  <c r="AQ111" i="4"/>
  <c r="AS111" i="4"/>
  <c r="AT111" i="4"/>
  <c r="AM112" i="4"/>
  <c r="AN112" i="4"/>
  <c r="AP112" i="4"/>
  <c r="AQ112" i="4"/>
  <c r="AS112" i="4"/>
  <c r="AT112" i="4"/>
  <c r="AM113" i="4"/>
  <c r="AN113" i="4"/>
  <c r="AP113" i="4"/>
  <c r="AQ113" i="4"/>
  <c r="AS113" i="4"/>
  <c r="AT113" i="4"/>
  <c r="AM114" i="4"/>
  <c r="AN114" i="4"/>
  <c r="AP114" i="4"/>
  <c r="AQ114" i="4"/>
  <c r="AS114" i="4"/>
  <c r="AT114" i="4"/>
  <c r="AM115" i="4"/>
  <c r="AN115" i="4"/>
  <c r="AP115" i="4"/>
  <c r="AQ115" i="4"/>
  <c r="AS115" i="4"/>
  <c r="AT115" i="4"/>
  <c r="AM116" i="4"/>
  <c r="AN116" i="4"/>
  <c r="AP116" i="4"/>
  <c r="AQ116" i="4"/>
  <c r="AS116" i="4"/>
  <c r="AT116" i="4"/>
  <c r="AM117" i="4"/>
  <c r="AN117" i="4"/>
  <c r="AP117" i="4"/>
  <c r="AQ117" i="4"/>
  <c r="AS117" i="4"/>
  <c r="AT117" i="4"/>
  <c r="AM118" i="4"/>
  <c r="AN118" i="4"/>
  <c r="AP118" i="4"/>
  <c r="AQ118" i="4"/>
  <c r="AS118" i="4"/>
  <c r="AT118" i="4"/>
  <c r="AM119" i="4"/>
  <c r="AN119" i="4"/>
  <c r="AP119" i="4"/>
  <c r="AQ119" i="4"/>
  <c r="AS119" i="4"/>
  <c r="AT119" i="4"/>
  <c r="AM120" i="4"/>
  <c r="AN120" i="4"/>
  <c r="AP120" i="4"/>
  <c r="AQ120" i="4"/>
  <c r="AS120" i="4"/>
  <c r="AT120" i="4"/>
  <c r="AM121" i="4"/>
  <c r="AN121" i="4"/>
  <c r="AP121" i="4"/>
  <c r="AQ121" i="4"/>
  <c r="AS121" i="4"/>
  <c r="AT121" i="4"/>
  <c r="AM122" i="4"/>
  <c r="AN122" i="4"/>
  <c r="AP122" i="4"/>
  <c r="AQ122" i="4"/>
  <c r="AS122" i="4"/>
  <c r="AT122" i="4"/>
  <c r="AM123" i="4"/>
  <c r="AN123" i="4"/>
  <c r="AP123" i="4"/>
  <c r="AQ123" i="4"/>
  <c r="AS123" i="4"/>
  <c r="AT123" i="4"/>
  <c r="AM124" i="4"/>
  <c r="AN124" i="4"/>
  <c r="AP124" i="4"/>
  <c r="AQ124" i="4"/>
  <c r="AS124" i="4"/>
  <c r="AT124" i="4"/>
  <c r="AM125" i="4"/>
  <c r="AN125" i="4"/>
  <c r="AP125" i="4"/>
  <c r="AQ125" i="4"/>
  <c r="AS125" i="4"/>
  <c r="AT125" i="4"/>
  <c r="AM126" i="4"/>
  <c r="AN126" i="4"/>
  <c r="AP126" i="4"/>
  <c r="AQ126" i="4"/>
  <c r="AS126" i="4"/>
  <c r="AT126" i="4"/>
  <c r="AM127" i="4"/>
  <c r="AN127" i="4"/>
  <c r="AP127" i="4"/>
  <c r="AQ127" i="4"/>
  <c r="AS127" i="4"/>
  <c r="AT127" i="4"/>
  <c r="AM128" i="4"/>
  <c r="AN128" i="4"/>
  <c r="AP128" i="4"/>
  <c r="AQ128" i="4"/>
  <c r="AS128" i="4"/>
  <c r="AT128" i="4"/>
  <c r="AM129" i="4"/>
  <c r="AN129" i="4"/>
  <c r="AP129" i="4"/>
  <c r="AQ129" i="4"/>
  <c r="AS129" i="4"/>
  <c r="AT129" i="4"/>
  <c r="AM130" i="4"/>
  <c r="AN130" i="4"/>
  <c r="AP130" i="4"/>
  <c r="AQ130" i="4"/>
  <c r="AS130" i="4"/>
  <c r="AT130" i="4"/>
  <c r="AM131" i="4"/>
  <c r="AN131" i="4"/>
  <c r="AP131" i="4"/>
  <c r="AQ131" i="4"/>
  <c r="AS131" i="4"/>
  <c r="AT131" i="4"/>
  <c r="AM132" i="4"/>
  <c r="AN132" i="4"/>
  <c r="AP132" i="4"/>
  <c r="AQ132" i="4"/>
  <c r="AS132" i="4"/>
  <c r="AT132" i="4"/>
  <c r="AM133" i="4"/>
  <c r="AN133" i="4"/>
  <c r="AP133" i="4"/>
  <c r="AQ133" i="4"/>
  <c r="AS133" i="4"/>
  <c r="AT133" i="4"/>
  <c r="AM134" i="4"/>
  <c r="AN134" i="4"/>
  <c r="AP134" i="4"/>
  <c r="AQ134" i="4"/>
  <c r="AS134" i="4"/>
  <c r="AT134" i="4"/>
  <c r="AM135" i="4"/>
  <c r="AN135" i="4"/>
  <c r="AP135" i="4"/>
  <c r="AQ135" i="4"/>
  <c r="AS135" i="4"/>
  <c r="AT135" i="4"/>
  <c r="AM136" i="4"/>
  <c r="AN136" i="4"/>
  <c r="AP136" i="4"/>
  <c r="AQ136" i="4"/>
  <c r="AS136" i="4"/>
  <c r="AT136" i="4"/>
  <c r="AM137" i="4"/>
  <c r="AN137" i="4"/>
  <c r="AP137" i="4"/>
  <c r="AQ137" i="4"/>
  <c r="AS137" i="4"/>
  <c r="AT137" i="4"/>
  <c r="AM138" i="4"/>
  <c r="AN138" i="4"/>
  <c r="AP138" i="4"/>
  <c r="AQ138" i="4"/>
  <c r="AS138" i="4"/>
  <c r="AT138" i="4"/>
  <c r="AM139" i="4"/>
  <c r="AN139" i="4"/>
  <c r="AP139" i="4"/>
  <c r="AQ139" i="4"/>
  <c r="AS139" i="4"/>
  <c r="AT139" i="4"/>
  <c r="AM140" i="4"/>
  <c r="AN140" i="4"/>
  <c r="AP140" i="4"/>
  <c r="AQ140" i="4"/>
  <c r="AS140" i="4"/>
  <c r="AT140" i="4"/>
  <c r="AM141" i="4"/>
  <c r="AN141" i="4"/>
  <c r="AP141" i="4"/>
  <c r="AQ141" i="4"/>
  <c r="AS141" i="4"/>
  <c r="AT141" i="4"/>
  <c r="AM142" i="4"/>
  <c r="AN142" i="4"/>
  <c r="AP142" i="4"/>
  <c r="AQ142" i="4"/>
  <c r="AS142" i="4"/>
  <c r="AT142" i="4"/>
  <c r="AM143" i="4"/>
  <c r="AN143" i="4"/>
  <c r="AP143" i="4"/>
  <c r="AQ143" i="4"/>
  <c r="AS143" i="4"/>
  <c r="AT143" i="4"/>
  <c r="AM144" i="4"/>
  <c r="AN144" i="4"/>
  <c r="AP144" i="4"/>
  <c r="AQ144" i="4"/>
  <c r="AS144" i="4"/>
  <c r="AT144" i="4"/>
  <c r="AM145" i="4"/>
  <c r="AN145" i="4"/>
  <c r="AP145" i="4"/>
  <c r="AQ145" i="4"/>
  <c r="AS145" i="4"/>
  <c r="AT145" i="4"/>
  <c r="AM146" i="4"/>
  <c r="AN146" i="4"/>
  <c r="AP146" i="4"/>
  <c r="AQ146" i="4"/>
  <c r="AS146" i="4"/>
  <c r="AT146" i="4"/>
  <c r="AM147" i="4"/>
  <c r="AN147" i="4"/>
  <c r="AP147" i="4"/>
  <c r="AQ147" i="4"/>
  <c r="AS147" i="4"/>
  <c r="AT147" i="4"/>
  <c r="AM148" i="4"/>
  <c r="AN148" i="4"/>
  <c r="AP148" i="4"/>
  <c r="AQ148" i="4"/>
  <c r="AS148" i="4"/>
  <c r="AT148" i="4"/>
  <c r="AM149" i="4"/>
  <c r="AN149" i="4"/>
  <c r="AP149" i="4"/>
  <c r="AQ149" i="4"/>
  <c r="AS149" i="4"/>
  <c r="AT149" i="4"/>
  <c r="AM150" i="4"/>
  <c r="AN150" i="4"/>
  <c r="AP150" i="4"/>
  <c r="AQ150" i="4"/>
  <c r="AS150" i="4"/>
  <c r="AT150" i="4"/>
  <c r="AM151" i="4"/>
  <c r="AN151" i="4"/>
  <c r="AP151" i="4"/>
  <c r="AQ151" i="4"/>
  <c r="AS151" i="4"/>
  <c r="AT151" i="4"/>
  <c r="AM152" i="4"/>
  <c r="AN152" i="4"/>
  <c r="AP152" i="4"/>
  <c r="AQ152" i="4"/>
  <c r="AS152" i="4"/>
  <c r="AT152" i="4"/>
  <c r="AM153" i="4"/>
  <c r="AN153" i="4"/>
  <c r="AP153" i="4"/>
  <c r="AQ153" i="4"/>
  <c r="AS153" i="4"/>
  <c r="AT153" i="4"/>
  <c r="AM154" i="4"/>
  <c r="AN154" i="4"/>
  <c r="AP154" i="4"/>
  <c r="AQ154" i="4"/>
  <c r="AS154" i="4"/>
  <c r="AT154" i="4"/>
  <c r="AM155" i="4"/>
  <c r="AN155" i="4"/>
  <c r="AP155" i="4"/>
  <c r="AQ155" i="4"/>
  <c r="AS155" i="4"/>
  <c r="AT155" i="4"/>
  <c r="AM156" i="4"/>
  <c r="AN156" i="4"/>
  <c r="AP156" i="4"/>
  <c r="AQ156" i="4"/>
  <c r="AS156" i="4"/>
  <c r="AT156" i="4"/>
  <c r="AM157" i="4"/>
  <c r="AN157" i="4"/>
  <c r="AP157" i="4"/>
  <c r="AQ157" i="4"/>
  <c r="AS157" i="4"/>
  <c r="AT157" i="4"/>
  <c r="AM158" i="4"/>
  <c r="AN158" i="4"/>
  <c r="AP158" i="4"/>
  <c r="AQ158" i="4"/>
  <c r="AS158" i="4"/>
  <c r="AT158" i="4"/>
  <c r="AM159" i="4"/>
  <c r="AN159" i="4"/>
  <c r="AP159" i="4"/>
  <c r="AQ159" i="4"/>
  <c r="AS159" i="4"/>
  <c r="AT159" i="4"/>
  <c r="AM160" i="4"/>
  <c r="AN160" i="4"/>
  <c r="AP160" i="4"/>
  <c r="AQ160" i="4"/>
  <c r="AS160" i="4"/>
  <c r="AT160" i="4"/>
  <c r="AM161" i="4"/>
  <c r="AN161" i="4"/>
  <c r="AP161" i="4"/>
  <c r="AQ161" i="4"/>
  <c r="AS161" i="4"/>
  <c r="AT161" i="4"/>
  <c r="AM162" i="4"/>
  <c r="AN162" i="4"/>
  <c r="AP162" i="4"/>
  <c r="AQ162" i="4"/>
  <c r="AS162" i="4"/>
  <c r="AT162" i="4"/>
  <c r="AM163" i="4"/>
  <c r="AN163" i="4"/>
  <c r="AP163" i="4"/>
  <c r="AQ163" i="4"/>
  <c r="AS163" i="4"/>
  <c r="AT163" i="4"/>
  <c r="AM164" i="4"/>
  <c r="AN164" i="4"/>
  <c r="AP164" i="4"/>
  <c r="AQ164" i="4"/>
  <c r="AS164" i="4"/>
  <c r="AT164" i="4"/>
  <c r="AM165" i="4"/>
  <c r="AN165" i="4"/>
  <c r="AP165" i="4"/>
  <c r="AQ165" i="4"/>
  <c r="AS165" i="4"/>
  <c r="AT165" i="4"/>
  <c r="AM166" i="4"/>
  <c r="AN166" i="4"/>
  <c r="AP166" i="4"/>
  <c r="AQ166" i="4"/>
  <c r="AS166" i="4"/>
  <c r="AT166" i="4"/>
  <c r="AM167" i="4"/>
  <c r="AN167" i="4"/>
  <c r="AP167" i="4"/>
  <c r="AQ167" i="4"/>
  <c r="AS167" i="4"/>
  <c r="AT167" i="4"/>
  <c r="AM168" i="4"/>
  <c r="AN168" i="4"/>
  <c r="AP168" i="4"/>
  <c r="AQ168" i="4"/>
  <c r="AS168" i="4"/>
  <c r="AT168" i="4"/>
  <c r="AM169" i="4"/>
  <c r="AN169" i="4"/>
  <c r="AP169" i="4"/>
  <c r="AQ169" i="4"/>
  <c r="AS169" i="4"/>
  <c r="AT169" i="4"/>
  <c r="AM170" i="4"/>
  <c r="AN170" i="4"/>
  <c r="AP170" i="4"/>
  <c r="AQ170" i="4"/>
  <c r="AS170" i="4"/>
  <c r="AT170" i="4"/>
  <c r="AM171" i="4"/>
  <c r="AN171" i="4"/>
  <c r="AP171" i="4"/>
  <c r="AQ171" i="4"/>
  <c r="AS171" i="4"/>
  <c r="AT171" i="4"/>
  <c r="AM172" i="4"/>
  <c r="AN172" i="4"/>
  <c r="AP172" i="4"/>
  <c r="AQ172" i="4"/>
  <c r="AS172" i="4"/>
  <c r="AT172" i="4"/>
  <c r="AM173" i="4"/>
  <c r="AN173" i="4"/>
  <c r="AP173" i="4"/>
  <c r="AQ173" i="4"/>
  <c r="AS173" i="4"/>
  <c r="AT173" i="4"/>
  <c r="AM174" i="4"/>
  <c r="AN174" i="4"/>
  <c r="AP174" i="4"/>
  <c r="AQ174" i="4"/>
  <c r="AS174" i="4"/>
  <c r="AT174" i="4"/>
  <c r="AM175" i="4"/>
  <c r="AN175" i="4"/>
  <c r="AP175" i="4"/>
  <c r="AQ175" i="4"/>
  <c r="AS175" i="4"/>
  <c r="AT175" i="4"/>
  <c r="AM176" i="4"/>
  <c r="AN176" i="4"/>
  <c r="AP176" i="4"/>
  <c r="AQ176" i="4"/>
  <c r="AS176" i="4"/>
  <c r="AT176" i="4"/>
  <c r="AM177" i="4"/>
  <c r="AN177" i="4"/>
  <c r="AP177" i="4"/>
  <c r="AQ177" i="4"/>
  <c r="AS177" i="4"/>
  <c r="AT177" i="4"/>
  <c r="AM178" i="4"/>
  <c r="AN178" i="4"/>
  <c r="AP178" i="4"/>
  <c r="AQ178" i="4"/>
  <c r="AS178" i="4"/>
  <c r="AT178" i="4"/>
  <c r="AM179" i="4"/>
  <c r="AN179" i="4"/>
  <c r="AP179" i="4"/>
  <c r="AQ179" i="4"/>
  <c r="AS179" i="4"/>
  <c r="AT179" i="4"/>
  <c r="AM180" i="4"/>
  <c r="AN180" i="4"/>
  <c r="AP180" i="4"/>
  <c r="AQ180" i="4"/>
  <c r="AS180" i="4"/>
  <c r="AT180" i="4"/>
  <c r="AM181" i="4"/>
  <c r="AN181" i="4"/>
  <c r="AP181" i="4"/>
  <c r="AQ181" i="4"/>
  <c r="AS181" i="4"/>
  <c r="AT181" i="4"/>
  <c r="AM182" i="4"/>
  <c r="AN182" i="4"/>
  <c r="AP182" i="4"/>
  <c r="AQ182" i="4"/>
  <c r="AS182" i="4"/>
  <c r="AT182" i="4"/>
  <c r="AM183" i="4"/>
  <c r="AN183" i="4"/>
  <c r="AP183" i="4"/>
  <c r="AQ183" i="4"/>
  <c r="AS183" i="4"/>
  <c r="AT183" i="4"/>
  <c r="AM184" i="4"/>
  <c r="AN184" i="4"/>
  <c r="AP184" i="4"/>
  <c r="AQ184" i="4"/>
  <c r="AS184" i="4"/>
  <c r="AT184" i="4"/>
  <c r="AM185" i="4"/>
  <c r="AN185" i="4"/>
  <c r="AP185" i="4"/>
  <c r="AQ185" i="4"/>
  <c r="AS185" i="4"/>
  <c r="AT185" i="4"/>
  <c r="AM186" i="4"/>
  <c r="AN186" i="4"/>
  <c r="AP186" i="4"/>
  <c r="AQ186" i="4"/>
  <c r="AS186" i="4"/>
  <c r="AT186" i="4"/>
  <c r="AM187" i="4"/>
  <c r="AN187" i="4"/>
  <c r="AP187" i="4"/>
  <c r="AQ187" i="4"/>
  <c r="AS187" i="4"/>
  <c r="AT187" i="4"/>
  <c r="AM188" i="4"/>
  <c r="AN188" i="4"/>
  <c r="AP188" i="4"/>
  <c r="AQ188" i="4"/>
  <c r="AS188" i="4"/>
  <c r="AT188" i="4"/>
  <c r="AM189" i="4"/>
  <c r="AN189" i="4"/>
  <c r="AP189" i="4"/>
  <c r="AQ189" i="4"/>
  <c r="AS189" i="4"/>
  <c r="AT189" i="4"/>
  <c r="AM190" i="4"/>
  <c r="AN190" i="4"/>
  <c r="AP190" i="4"/>
  <c r="AQ190" i="4"/>
  <c r="AS190" i="4"/>
  <c r="AT190" i="4"/>
  <c r="AM191" i="4"/>
  <c r="AN191" i="4"/>
  <c r="AP191" i="4"/>
  <c r="AQ191" i="4"/>
  <c r="AS191" i="4"/>
  <c r="AT191" i="4"/>
  <c r="AM192" i="4"/>
  <c r="AN192" i="4"/>
  <c r="AP192" i="4"/>
  <c r="AQ192" i="4"/>
  <c r="AS192" i="4"/>
  <c r="AT192" i="4"/>
  <c r="AM193" i="4"/>
  <c r="AN193" i="4"/>
  <c r="AP193" i="4"/>
  <c r="AQ193" i="4"/>
  <c r="AS193" i="4"/>
  <c r="AT193" i="4"/>
  <c r="AM194" i="4"/>
  <c r="AN194" i="4"/>
  <c r="AP194" i="4"/>
  <c r="AQ194" i="4"/>
  <c r="AS194" i="4"/>
  <c r="AT194" i="4"/>
  <c r="AM195" i="4"/>
  <c r="AN195" i="4"/>
  <c r="AP195" i="4"/>
  <c r="AQ195" i="4"/>
  <c r="AS195" i="4"/>
  <c r="AT195" i="4"/>
  <c r="AM196" i="4"/>
  <c r="AN196" i="4"/>
  <c r="AP196" i="4"/>
  <c r="AQ196" i="4"/>
  <c r="AS196" i="4"/>
  <c r="AT196" i="4"/>
  <c r="AM197" i="4"/>
  <c r="AN197" i="4"/>
  <c r="AP197" i="4"/>
  <c r="AQ197" i="4"/>
  <c r="AS197" i="4"/>
  <c r="AT197" i="4"/>
  <c r="AM198" i="4"/>
  <c r="AN198" i="4"/>
  <c r="AP198" i="4"/>
  <c r="AQ198" i="4"/>
  <c r="AS198" i="4"/>
  <c r="AT198" i="4"/>
  <c r="AM199" i="4"/>
  <c r="AN199" i="4"/>
  <c r="AP199" i="4"/>
  <c r="AQ199" i="4"/>
  <c r="AS199" i="4"/>
  <c r="AT199" i="4"/>
  <c r="AM200" i="4"/>
  <c r="AN200" i="4"/>
  <c r="AP200" i="4"/>
  <c r="AQ200" i="4"/>
  <c r="AS200" i="4"/>
  <c r="AT200" i="4"/>
  <c r="AM201" i="4"/>
  <c r="AN201" i="4"/>
  <c r="AP201" i="4"/>
  <c r="AQ201" i="4"/>
  <c r="AS201" i="4"/>
  <c r="AT201" i="4"/>
  <c r="AM202" i="4"/>
  <c r="AN202" i="4"/>
  <c r="AP202" i="4"/>
  <c r="AQ202" i="4"/>
  <c r="AS202" i="4"/>
  <c r="AT202" i="4"/>
  <c r="AM203" i="4"/>
  <c r="AN203" i="4"/>
  <c r="AP203" i="4"/>
  <c r="AQ203" i="4"/>
  <c r="AS203" i="4"/>
  <c r="AT203" i="4"/>
  <c r="AM204" i="4"/>
  <c r="AN204" i="4"/>
  <c r="AP204" i="4"/>
  <c r="AQ204" i="4"/>
  <c r="AS204" i="4"/>
  <c r="AT204" i="4"/>
  <c r="AM205" i="4"/>
  <c r="AN205" i="4"/>
  <c r="AP205" i="4"/>
  <c r="AQ205" i="4"/>
  <c r="AS205" i="4"/>
  <c r="AT205" i="4"/>
  <c r="AM206" i="4"/>
  <c r="AN206" i="4"/>
  <c r="AP206" i="4"/>
  <c r="AQ206" i="4"/>
  <c r="AS206" i="4"/>
  <c r="AT206" i="4"/>
  <c r="AM207" i="4"/>
  <c r="AN207" i="4"/>
  <c r="AP207" i="4"/>
  <c r="AQ207" i="4"/>
  <c r="AS207" i="4"/>
  <c r="AT207" i="4"/>
  <c r="AM208" i="4"/>
  <c r="AN208" i="4"/>
  <c r="AP208" i="4"/>
  <c r="AQ208" i="4"/>
  <c r="AS208" i="4"/>
  <c r="AT208" i="4"/>
  <c r="AM209" i="4"/>
  <c r="AN209" i="4"/>
  <c r="AP209" i="4"/>
  <c r="AQ209" i="4"/>
  <c r="AS209" i="4"/>
  <c r="AT209" i="4"/>
  <c r="AM210" i="4"/>
  <c r="AN210" i="4"/>
  <c r="AP210" i="4"/>
  <c r="AQ210" i="4"/>
  <c r="AS210" i="4"/>
  <c r="AT210" i="4"/>
  <c r="AM211" i="4"/>
  <c r="AN211" i="4"/>
  <c r="AP211" i="4"/>
  <c r="AQ211" i="4"/>
  <c r="AS211" i="4"/>
  <c r="AT211" i="4"/>
  <c r="AM212" i="4"/>
  <c r="AN212" i="4"/>
  <c r="AP212" i="4"/>
  <c r="AQ212" i="4"/>
  <c r="AS212" i="4"/>
  <c r="AT212" i="4"/>
  <c r="AM213" i="4"/>
  <c r="AN213" i="4"/>
  <c r="AP213" i="4"/>
  <c r="AQ213" i="4"/>
  <c r="AS213" i="4"/>
  <c r="AT213" i="4"/>
  <c r="AM214" i="4"/>
  <c r="AN214" i="4"/>
  <c r="AP214" i="4"/>
  <c r="AQ214" i="4"/>
  <c r="AS214" i="4"/>
  <c r="AT214" i="4"/>
  <c r="AM215" i="4"/>
  <c r="AN215" i="4"/>
  <c r="AP215" i="4"/>
  <c r="AQ215" i="4"/>
  <c r="AS215" i="4"/>
  <c r="AT215" i="4"/>
  <c r="AM216" i="4"/>
  <c r="AN216" i="4"/>
  <c r="AP216" i="4"/>
  <c r="AQ216" i="4"/>
  <c r="AS216" i="4"/>
  <c r="AT216" i="4"/>
  <c r="AM217" i="4"/>
  <c r="AN217" i="4"/>
  <c r="AP217" i="4"/>
  <c r="AQ217" i="4"/>
  <c r="AS217" i="4"/>
  <c r="AT217" i="4"/>
  <c r="AM218" i="4"/>
  <c r="AN218" i="4"/>
  <c r="AP218" i="4"/>
  <c r="AQ218" i="4"/>
  <c r="AS218" i="4"/>
  <c r="AT218" i="4"/>
  <c r="AM219" i="4"/>
  <c r="AN219" i="4"/>
  <c r="AP219" i="4"/>
  <c r="AQ219" i="4"/>
  <c r="AS219" i="4"/>
  <c r="AT219" i="4"/>
  <c r="AM220" i="4"/>
  <c r="AN220" i="4"/>
  <c r="AP220" i="4"/>
  <c r="AQ220" i="4"/>
  <c r="AS220" i="4"/>
  <c r="AT220" i="4"/>
  <c r="AM221" i="4"/>
  <c r="AN221" i="4"/>
  <c r="AP221" i="4"/>
  <c r="AQ221" i="4"/>
  <c r="AS221" i="4"/>
  <c r="AT221" i="4"/>
  <c r="AM222" i="4"/>
  <c r="AN222" i="4"/>
  <c r="AP222" i="4"/>
  <c r="AQ222" i="4"/>
  <c r="AS222" i="4"/>
  <c r="AT222" i="4"/>
  <c r="AM223" i="4"/>
  <c r="AN223" i="4"/>
  <c r="AP223" i="4"/>
  <c r="AQ223" i="4"/>
  <c r="AS223" i="4"/>
  <c r="AT223" i="4"/>
  <c r="AM224" i="4"/>
  <c r="AN224" i="4"/>
  <c r="AP224" i="4"/>
  <c r="AQ224" i="4"/>
  <c r="AS224" i="4"/>
  <c r="AT224" i="4"/>
  <c r="AM225" i="4"/>
  <c r="AN225" i="4"/>
  <c r="AP225" i="4"/>
  <c r="AQ225" i="4"/>
  <c r="AS225" i="4"/>
  <c r="AT225" i="4"/>
  <c r="AM226" i="4"/>
  <c r="AN226" i="4"/>
  <c r="AP226" i="4"/>
  <c r="AQ226" i="4"/>
  <c r="AS226" i="4"/>
  <c r="AT226" i="4"/>
  <c r="AM227" i="4"/>
  <c r="AN227" i="4"/>
  <c r="AP227" i="4"/>
  <c r="AQ227" i="4"/>
  <c r="AS227" i="4"/>
  <c r="AT227" i="4"/>
  <c r="AM228" i="4"/>
  <c r="AN228" i="4"/>
  <c r="AP228" i="4"/>
  <c r="AQ228" i="4"/>
  <c r="AS228" i="4"/>
  <c r="AT228" i="4"/>
  <c r="AM229" i="4"/>
  <c r="AN229" i="4"/>
  <c r="AP229" i="4"/>
  <c r="AQ229" i="4"/>
  <c r="AS229" i="4"/>
  <c r="AT229" i="4"/>
  <c r="AM230" i="4"/>
  <c r="AN230" i="4"/>
  <c r="AP230" i="4"/>
  <c r="AQ230" i="4"/>
  <c r="AS230" i="4"/>
  <c r="AT230" i="4"/>
  <c r="AM231" i="4"/>
  <c r="AN231" i="4"/>
  <c r="AP231" i="4"/>
  <c r="AQ231" i="4"/>
  <c r="AS231" i="4"/>
  <c r="AT231" i="4"/>
  <c r="AM232" i="4"/>
  <c r="AN232" i="4"/>
  <c r="AP232" i="4"/>
  <c r="AQ232" i="4"/>
  <c r="AS232" i="4"/>
  <c r="AT232" i="4"/>
  <c r="AM233" i="4"/>
  <c r="AN233" i="4"/>
  <c r="AP233" i="4"/>
  <c r="AQ233" i="4"/>
  <c r="AS233" i="4"/>
  <c r="AT233" i="4"/>
  <c r="AM234" i="4"/>
  <c r="AN234" i="4"/>
  <c r="AP234" i="4"/>
  <c r="AQ234" i="4"/>
  <c r="AS234" i="4"/>
  <c r="AT234" i="4"/>
  <c r="AM235" i="4"/>
  <c r="AN235" i="4"/>
  <c r="AP235" i="4"/>
  <c r="AQ235" i="4"/>
  <c r="AS235" i="4"/>
  <c r="AT235" i="4"/>
  <c r="AM236" i="4"/>
  <c r="AN236" i="4"/>
  <c r="AP236" i="4"/>
  <c r="AQ236" i="4"/>
  <c r="AS236" i="4"/>
  <c r="AT236" i="4"/>
  <c r="AM237" i="4"/>
  <c r="AN237" i="4"/>
  <c r="AP237" i="4"/>
  <c r="AQ237" i="4"/>
  <c r="AS237" i="4"/>
  <c r="AT237" i="4"/>
  <c r="AM238" i="4"/>
  <c r="AN238" i="4"/>
  <c r="AP238" i="4"/>
  <c r="AQ238" i="4"/>
  <c r="AS238" i="4"/>
  <c r="AT238" i="4"/>
  <c r="AM239" i="4"/>
  <c r="AN239" i="4"/>
  <c r="AP239" i="4"/>
  <c r="AQ239" i="4"/>
  <c r="AS239" i="4"/>
  <c r="AT239" i="4"/>
  <c r="AM240" i="4"/>
  <c r="AN240" i="4"/>
  <c r="AP240" i="4"/>
  <c r="AQ240" i="4"/>
  <c r="AS240" i="4"/>
  <c r="AT240" i="4"/>
  <c r="AM241" i="4"/>
  <c r="AN241" i="4"/>
  <c r="AP241" i="4"/>
  <c r="AQ241" i="4"/>
  <c r="AS241" i="4"/>
  <c r="AT241" i="4"/>
  <c r="AM242" i="4"/>
  <c r="AN242" i="4"/>
  <c r="AP242" i="4"/>
  <c r="AQ242" i="4"/>
  <c r="AS242" i="4"/>
  <c r="AT242" i="4"/>
  <c r="AM243" i="4"/>
  <c r="AN243" i="4"/>
  <c r="AP243" i="4"/>
  <c r="AQ243" i="4"/>
  <c r="AS243" i="4"/>
  <c r="AT243" i="4"/>
  <c r="AM244" i="4"/>
  <c r="AN244" i="4"/>
  <c r="AP244" i="4"/>
  <c r="AQ244" i="4"/>
  <c r="AS244" i="4"/>
  <c r="AT244" i="4"/>
  <c r="AM245" i="4"/>
  <c r="AN245" i="4"/>
  <c r="AP245" i="4"/>
  <c r="AQ245" i="4"/>
  <c r="AS245" i="4"/>
  <c r="AT245" i="4"/>
  <c r="AM246" i="4"/>
  <c r="AN246" i="4"/>
  <c r="AP246" i="4"/>
  <c r="AQ246" i="4"/>
  <c r="AS246" i="4"/>
  <c r="AT246" i="4"/>
  <c r="AM247" i="4"/>
  <c r="AN247" i="4"/>
  <c r="AP247" i="4"/>
  <c r="AQ247" i="4"/>
  <c r="AS247" i="4"/>
  <c r="AT247" i="4"/>
  <c r="AM248" i="4"/>
  <c r="AN248" i="4"/>
  <c r="AP248" i="4"/>
  <c r="AQ248" i="4"/>
  <c r="AS248" i="4"/>
  <c r="AT248" i="4"/>
  <c r="AM249" i="4"/>
  <c r="AN249" i="4"/>
  <c r="AP249" i="4"/>
  <c r="AQ249" i="4"/>
  <c r="AS249" i="4"/>
  <c r="AT249" i="4"/>
  <c r="AM250" i="4"/>
  <c r="AN250" i="4"/>
  <c r="AP250" i="4"/>
  <c r="AQ250" i="4"/>
  <c r="AS250" i="4"/>
  <c r="AT250" i="4"/>
  <c r="AM251" i="4"/>
  <c r="AN251" i="4"/>
  <c r="AP251" i="4"/>
  <c r="AQ251" i="4"/>
  <c r="AS251" i="4"/>
  <c r="AT251" i="4"/>
  <c r="AM252" i="4"/>
  <c r="AN252" i="4"/>
  <c r="AP252" i="4"/>
  <c r="AQ252" i="4"/>
  <c r="AS252" i="4"/>
  <c r="AT252" i="4"/>
  <c r="AM253" i="4"/>
  <c r="AN253" i="4"/>
  <c r="AP253" i="4"/>
  <c r="AQ253" i="4"/>
  <c r="AS253" i="4"/>
  <c r="AT253" i="4"/>
  <c r="AM254" i="4"/>
  <c r="AN254" i="4"/>
  <c r="AP254" i="4"/>
  <c r="AQ254" i="4"/>
  <c r="AS254" i="4"/>
  <c r="AT254" i="4"/>
  <c r="AM255" i="4"/>
  <c r="AN255" i="4"/>
  <c r="AP255" i="4"/>
  <c r="AQ255" i="4"/>
  <c r="AS255" i="4"/>
  <c r="AT255" i="4"/>
  <c r="AM256" i="4"/>
  <c r="AN256" i="4"/>
  <c r="AP256" i="4"/>
  <c r="AQ256" i="4"/>
  <c r="AS256" i="4"/>
  <c r="AT256" i="4"/>
  <c r="AM257" i="4"/>
  <c r="AN257" i="4"/>
  <c r="AP257" i="4"/>
  <c r="AQ257" i="4"/>
  <c r="AS257" i="4"/>
  <c r="AT257" i="4"/>
  <c r="AM258" i="4"/>
  <c r="AN258" i="4"/>
  <c r="AP258" i="4"/>
  <c r="AQ258" i="4"/>
  <c r="AS258" i="4"/>
  <c r="AT258" i="4"/>
  <c r="AM259" i="4"/>
  <c r="AN259" i="4"/>
  <c r="AP259" i="4"/>
  <c r="AQ259" i="4"/>
  <c r="AS259" i="4"/>
  <c r="AT259" i="4"/>
  <c r="AM260" i="4"/>
  <c r="AN260" i="4"/>
  <c r="AP260" i="4"/>
  <c r="AQ260" i="4"/>
  <c r="AS260" i="4"/>
  <c r="AT260" i="4"/>
  <c r="AM261" i="4"/>
  <c r="AN261" i="4"/>
  <c r="AP261" i="4"/>
  <c r="AQ261" i="4"/>
  <c r="AS261" i="4"/>
  <c r="AT261" i="4"/>
  <c r="AM262" i="4"/>
  <c r="AN262" i="4"/>
  <c r="AP262" i="4"/>
  <c r="AQ262" i="4"/>
  <c r="AS262" i="4"/>
  <c r="AT262" i="4"/>
  <c r="AM263" i="4"/>
  <c r="AN263" i="4"/>
  <c r="AP263" i="4"/>
  <c r="AQ263" i="4"/>
  <c r="AS263" i="4"/>
  <c r="AT263" i="4"/>
  <c r="AM264" i="4"/>
  <c r="AN264" i="4"/>
  <c r="AP264" i="4"/>
  <c r="AQ264" i="4"/>
  <c r="AS264" i="4"/>
  <c r="AT264" i="4"/>
  <c r="AM265" i="4"/>
  <c r="AN265" i="4"/>
  <c r="AP265" i="4"/>
  <c r="AQ265" i="4"/>
  <c r="AS265" i="4"/>
  <c r="AT265" i="4"/>
  <c r="AM266" i="4"/>
  <c r="AN266" i="4"/>
  <c r="AP266" i="4"/>
  <c r="AQ266" i="4"/>
  <c r="AS266" i="4"/>
  <c r="AT266" i="4"/>
  <c r="AM267" i="4"/>
  <c r="AN267" i="4"/>
  <c r="AP267" i="4"/>
  <c r="AQ267" i="4"/>
  <c r="AS267" i="4"/>
  <c r="AT267" i="4"/>
  <c r="AM268" i="4"/>
  <c r="AN268" i="4"/>
  <c r="AP268" i="4"/>
  <c r="AQ268" i="4"/>
  <c r="AS268" i="4"/>
  <c r="AT268" i="4"/>
  <c r="AM269" i="4"/>
  <c r="AN269" i="4"/>
  <c r="AP269" i="4"/>
  <c r="AQ269" i="4"/>
  <c r="AS269" i="4"/>
  <c r="AT269" i="4"/>
  <c r="AM270" i="4"/>
  <c r="AN270" i="4"/>
  <c r="AP270" i="4"/>
  <c r="AQ270" i="4"/>
  <c r="AS270" i="4"/>
  <c r="AT270" i="4"/>
  <c r="AM271" i="4"/>
  <c r="AN271" i="4"/>
  <c r="AP271" i="4"/>
  <c r="AQ271" i="4"/>
  <c r="AS271" i="4"/>
  <c r="AT271" i="4"/>
  <c r="AM272" i="4"/>
  <c r="AN272" i="4"/>
  <c r="AP272" i="4"/>
  <c r="AQ272" i="4"/>
  <c r="AS272" i="4"/>
  <c r="AT272" i="4"/>
  <c r="AM273" i="4"/>
  <c r="AN273" i="4"/>
  <c r="AP273" i="4"/>
  <c r="AQ273" i="4"/>
  <c r="AS273" i="4"/>
  <c r="AT273" i="4"/>
  <c r="AM274" i="4"/>
  <c r="AN274" i="4"/>
  <c r="AP274" i="4"/>
  <c r="AQ274" i="4"/>
  <c r="AS274" i="4"/>
  <c r="AT274" i="4"/>
  <c r="AM275" i="4"/>
  <c r="AN275" i="4"/>
  <c r="AP275" i="4"/>
  <c r="AQ275" i="4"/>
  <c r="AS275" i="4"/>
  <c r="AT275" i="4"/>
  <c r="AM276" i="4"/>
  <c r="AN276" i="4"/>
  <c r="AP276" i="4"/>
  <c r="AQ276" i="4"/>
  <c r="AS276" i="4"/>
  <c r="AT276" i="4"/>
  <c r="AM277" i="4"/>
  <c r="AN277" i="4"/>
  <c r="AP277" i="4"/>
  <c r="AQ277" i="4"/>
  <c r="AS277" i="4"/>
  <c r="AT277" i="4"/>
  <c r="AM278" i="4"/>
  <c r="AN278" i="4"/>
  <c r="AP278" i="4"/>
  <c r="AQ278" i="4"/>
  <c r="AS278" i="4"/>
  <c r="AT278" i="4"/>
  <c r="AM279" i="4"/>
  <c r="AN279" i="4"/>
  <c r="AP279" i="4"/>
  <c r="AQ279" i="4"/>
  <c r="AS279" i="4"/>
  <c r="AT279" i="4"/>
  <c r="AM280" i="4"/>
  <c r="AN280" i="4"/>
  <c r="AP280" i="4"/>
  <c r="AQ280" i="4"/>
  <c r="AS280" i="4"/>
  <c r="AT280" i="4"/>
  <c r="AM281" i="4"/>
  <c r="AN281" i="4"/>
  <c r="AP281" i="4"/>
  <c r="AQ281" i="4"/>
  <c r="AS281" i="4"/>
  <c r="AT281" i="4"/>
  <c r="AM282" i="4"/>
  <c r="AN282" i="4"/>
  <c r="AP282" i="4"/>
  <c r="AQ282" i="4"/>
  <c r="AS282" i="4"/>
  <c r="AT282" i="4"/>
  <c r="AM283" i="4"/>
  <c r="AN283" i="4"/>
  <c r="AP283" i="4"/>
  <c r="AQ283" i="4"/>
  <c r="AS283" i="4"/>
  <c r="AT283" i="4"/>
  <c r="AM284" i="4"/>
  <c r="AN284" i="4"/>
  <c r="AP284" i="4"/>
  <c r="AQ284" i="4"/>
  <c r="AS284" i="4"/>
  <c r="AT284" i="4"/>
  <c r="AM285" i="4"/>
  <c r="AN285" i="4"/>
  <c r="AP285" i="4"/>
  <c r="AQ285" i="4"/>
  <c r="AS285" i="4"/>
  <c r="AT285" i="4"/>
  <c r="AM286" i="4"/>
  <c r="AN286" i="4"/>
  <c r="AP286" i="4"/>
  <c r="AQ286" i="4"/>
  <c r="AS286" i="4"/>
  <c r="AT286" i="4"/>
  <c r="AM287" i="4"/>
  <c r="AN287" i="4"/>
  <c r="AP287" i="4"/>
  <c r="AQ287" i="4"/>
  <c r="AS287" i="4"/>
  <c r="AT287" i="4"/>
  <c r="AM288" i="4"/>
  <c r="AN288" i="4"/>
  <c r="AP288" i="4"/>
  <c r="AQ288" i="4"/>
  <c r="AS288" i="4"/>
  <c r="AT288" i="4"/>
  <c r="AM289" i="4"/>
  <c r="AN289" i="4"/>
  <c r="AP289" i="4"/>
  <c r="AQ289" i="4"/>
  <c r="AS289" i="4"/>
  <c r="AT289" i="4"/>
  <c r="AM290" i="4"/>
  <c r="AN290" i="4"/>
  <c r="AP290" i="4"/>
  <c r="AQ290" i="4"/>
  <c r="AS290" i="4"/>
  <c r="AT290" i="4"/>
  <c r="AM291" i="4"/>
  <c r="AN291" i="4"/>
  <c r="AP291" i="4"/>
  <c r="AQ291" i="4"/>
  <c r="AS291" i="4"/>
  <c r="AT291" i="4"/>
  <c r="AM292" i="4"/>
  <c r="AN292" i="4"/>
  <c r="AP292" i="4"/>
  <c r="AQ292" i="4"/>
  <c r="AS292" i="4"/>
  <c r="AT292" i="4"/>
  <c r="AM293" i="4"/>
  <c r="AN293" i="4"/>
  <c r="AP293" i="4"/>
  <c r="AQ293" i="4"/>
  <c r="AS293" i="4"/>
  <c r="AT293" i="4"/>
  <c r="AM294" i="4"/>
  <c r="AN294" i="4"/>
  <c r="AP294" i="4"/>
  <c r="AQ294" i="4"/>
  <c r="AS294" i="4"/>
  <c r="AT294" i="4"/>
  <c r="AM295" i="4"/>
  <c r="AN295" i="4"/>
  <c r="AP295" i="4"/>
  <c r="AQ295" i="4"/>
  <c r="AS295" i="4"/>
  <c r="AT295" i="4"/>
  <c r="AT3" i="4"/>
  <c r="AS3" i="4"/>
  <c r="AQ3" i="4"/>
  <c r="AP3" i="4"/>
  <c r="AN3" i="4"/>
  <c r="AM3" i="4"/>
  <c r="AD4" i="4"/>
  <c r="AE4" i="4"/>
  <c r="AG4" i="4"/>
  <c r="AH4" i="4"/>
  <c r="AJ4" i="4"/>
  <c r="AK4" i="4"/>
  <c r="AD5" i="4"/>
  <c r="AE5" i="4"/>
  <c r="AG5" i="4"/>
  <c r="AH5" i="4"/>
  <c r="AJ5" i="4"/>
  <c r="AK5" i="4"/>
  <c r="AD6" i="4"/>
  <c r="AE6" i="4"/>
  <c r="AG6" i="4"/>
  <c r="AH6" i="4"/>
  <c r="AJ6" i="4"/>
  <c r="AK6" i="4"/>
  <c r="AD7" i="4"/>
  <c r="AE7" i="4"/>
  <c r="AG7" i="4"/>
  <c r="AH7" i="4"/>
  <c r="AJ7" i="4"/>
  <c r="AK7" i="4"/>
  <c r="AD8" i="4"/>
  <c r="AE8" i="4"/>
  <c r="AG8" i="4"/>
  <c r="AH8" i="4"/>
  <c r="AJ8" i="4"/>
  <c r="AK8" i="4"/>
  <c r="AD9" i="4"/>
  <c r="AE9" i="4"/>
  <c r="AG9" i="4"/>
  <c r="AH9" i="4"/>
  <c r="AJ9" i="4"/>
  <c r="AK9" i="4"/>
  <c r="AD10" i="4"/>
  <c r="AE10" i="4"/>
  <c r="AG10" i="4"/>
  <c r="AH10" i="4"/>
  <c r="AJ10" i="4"/>
  <c r="AK10" i="4"/>
  <c r="AD11" i="4"/>
  <c r="AE11" i="4"/>
  <c r="AG11" i="4"/>
  <c r="AH11" i="4"/>
  <c r="AJ11" i="4"/>
  <c r="AK11" i="4"/>
  <c r="AD12" i="4"/>
  <c r="AE12" i="4"/>
  <c r="AG12" i="4"/>
  <c r="AH12" i="4"/>
  <c r="AJ12" i="4"/>
  <c r="AK12" i="4"/>
  <c r="AD13" i="4"/>
  <c r="AE13" i="4"/>
  <c r="AG13" i="4"/>
  <c r="AH13" i="4"/>
  <c r="AJ13" i="4"/>
  <c r="AK13" i="4"/>
  <c r="AD14" i="4"/>
  <c r="AE14" i="4"/>
  <c r="AG14" i="4"/>
  <c r="AH14" i="4"/>
  <c r="AJ14" i="4"/>
  <c r="AK14" i="4"/>
  <c r="AD15" i="4"/>
  <c r="AE15" i="4"/>
  <c r="AG15" i="4"/>
  <c r="AH15" i="4"/>
  <c r="AJ15" i="4"/>
  <c r="AK15" i="4"/>
  <c r="AD16" i="4"/>
  <c r="AE16" i="4"/>
  <c r="AG16" i="4"/>
  <c r="AH16" i="4"/>
  <c r="AJ16" i="4"/>
  <c r="AK16" i="4"/>
  <c r="AD17" i="4"/>
  <c r="AE17" i="4"/>
  <c r="AG17" i="4"/>
  <c r="AH17" i="4"/>
  <c r="AJ17" i="4"/>
  <c r="AK17" i="4"/>
  <c r="AD18" i="4"/>
  <c r="AE18" i="4"/>
  <c r="AG18" i="4"/>
  <c r="AH18" i="4"/>
  <c r="AJ18" i="4"/>
  <c r="AK18" i="4"/>
  <c r="AD19" i="4"/>
  <c r="AE19" i="4"/>
  <c r="AG19" i="4"/>
  <c r="AH19" i="4"/>
  <c r="AJ19" i="4"/>
  <c r="AK19" i="4"/>
  <c r="AD20" i="4"/>
  <c r="AE20" i="4"/>
  <c r="AG20" i="4"/>
  <c r="AH20" i="4"/>
  <c r="AJ20" i="4"/>
  <c r="AK20" i="4"/>
  <c r="AD21" i="4"/>
  <c r="AE21" i="4"/>
  <c r="AG21" i="4"/>
  <c r="AH21" i="4"/>
  <c r="AJ21" i="4"/>
  <c r="AK21" i="4"/>
  <c r="AD22" i="4"/>
  <c r="AE22" i="4"/>
  <c r="AG22" i="4"/>
  <c r="AH22" i="4"/>
  <c r="AJ22" i="4"/>
  <c r="AK22" i="4"/>
  <c r="AD23" i="4"/>
  <c r="AE23" i="4"/>
  <c r="AG23" i="4"/>
  <c r="AH23" i="4"/>
  <c r="AJ23" i="4"/>
  <c r="AK23" i="4"/>
  <c r="AD24" i="4"/>
  <c r="AE24" i="4"/>
  <c r="AG24" i="4"/>
  <c r="AH24" i="4"/>
  <c r="AJ24" i="4"/>
  <c r="AK24" i="4"/>
  <c r="AD25" i="4"/>
  <c r="AE25" i="4"/>
  <c r="AG25" i="4"/>
  <c r="AH25" i="4"/>
  <c r="AJ25" i="4"/>
  <c r="AK25" i="4"/>
  <c r="AD26" i="4"/>
  <c r="AE26" i="4"/>
  <c r="AG26" i="4"/>
  <c r="AH26" i="4"/>
  <c r="AJ26" i="4"/>
  <c r="AK26" i="4"/>
  <c r="AD27" i="4"/>
  <c r="AE27" i="4"/>
  <c r="AG27" i="4"/>
  <c r="AH27" i="4"/>
  <c r="AJ27" i="4"/>
  <c r="AK27" i="4"/>
  <c r="AD28" i="4"/>
  <c r="AE28" i="4"/>
  <c r="AG28" i="4"/>
  <c r="AH28" i="4"/>
  <c r="AJ28" i="4"/>
  <c r="AK28" i="4"/>
  <c r="AD29" i="4"/>
  <c r="AE29" i="4"/>
  <c r="AG29" i="4"/>
  <c r="AH29" i="4"/>
  <c r="AJ29" i="4"/>
  <c r="AK29" i="4"/>
  <c r="AD30" i="4"/>
  <c r="AE30" i="4"/>
  <c r="AG30" i="4"/>
  <c r="AH30" i="4"/>
  <c r="AJ30" i="4"/>
  <c r="AK30" i="4"/>
  <c r="AD31" i="4"/>
  <c r="AE31" i="4"/>
  <c r="AG31" i="4"/>
  <c r="AH31" i="4"/>
  <c r="AJ31" i="4"/>
  <c r="AK31" i="4"/>
  <c r="AD32" i="4"/>
  <c r="AE32" i="4"/>
  <c r="AG32" i="4"/>
  <c r="AH32" i="4"/>
  <c r="AJ32" i="4"/>
  <c r="AK32" i="4"/>
  <c r="AD33" i="4"/>
  <c r="AE33" i="4"/>
  <c r="AG33" i="4"/>
  <c r="AH33" i="4"/>
  <c r="AJ33" i="4"/>
  <c r="AK33" i="4"/>
  <c r="AD34" i="4"/>
  <c r="AE34" i="4"/>
  <c r="AG34" i="4"/>
  <c r="AH34" i="4"/>
  <c r="AJ34" i="4"/>
  <c r="AK34" i="4"/>
  <c r="AD35" i="4"/>
  <c r="AE35" i="4"/>
  <c r="AG35" i="4"/>
  <c r="AH35" i="4"/>
  <c r="AJ35" i="4"/>
  <c r="AK35" i="4"/>
  <c r="AD36" i="4"/>
  <c r="AE36" i="4"/>
  <c r="AG36" i="4"/>
  <c r="AH36" i="4"/>
  <c r="AJ36" i="4"/>
  <c r="AK36" i="4"/>
  <c r="AD37" i="4"/>
  <c r="AE37" i="4"/>
  <c r="AG37" i="4"/>
  <c r="AH37" i="4"/>
  <c r="AJ37" i="4"/>
  <c r="AK37" i="4"/>
  <c r="AD38" i="4"/>
  <c r="AE38" i="4"/>
  <c r="AG38" i="4"/>
  <c r="AH38" i="4"/>
  <c r="AJ38" i="4"/>
  <c r="AK38" i="4"/>
  <c r="AD39" i="4"/>
  <c r="AE39" i="4"/>
  <c r="AG39" i="4"/>
  <c r="AH39" i="4"/>
  <c r="AJ39" i="4"/>
  <c r="AK39" i="4"/>
  <c r="AD40" i="4"/>
  <c r="AE40" i="4"/>
  <c r="AG40" i="4"/>
  <c r="AH40" i="4"/>
  <c r="AJ40" i="4"/>
  <c r="AK40" i="4"/>
  <c r="AD41" i="4"/>
  <c r="AE41" i="4"/>
  <c r="AG41" i="4"/>
  <c r="AH41" i="4"/>
  <c r="AJ41" i="4"/>
  <c r="AK41" i="4"/>
  <c r="AD42" i="4"/>
  <c r="AE42" i="4"/>
  <c r="AG42" i="4"/>
  <c r="AH42" i="4"/>
  <c r="AJ42" i="4"/>
  <c r="AK42" i="4"/>
  <c r="AD43" i="4"/>
  <c r="AE43" i="4"/>
  <c r="AG43" i="4"/>
  <c r="AH43" i="4"/>
  <c r="AJ43" i="4"/>
  <c r="AK43" i="4"/>
  <c r="AD44" i="4"/>
  <c r="AE44" i="4"/>
  <c r="AG44" i="4"/>
  <c r="AH44" i="4"/>
  <c r="AJ44" i="4"/>
  <c r="AK44" i="4"/>
  <c r="AD45" i="4"/>
  <c r="AE45" i="4"/>
  <c r="AG45" i="4"/>
  <c r="AH45" i="4"/>
  <c r="AJ45" i="4"/>
  <c r="AK45" i="4"/>
  <c r="AD46" i="4"/>
  <c r="AE46" i="4"/>
  <c r="AG46" i="4"/>
  <c r="AH46" i="4"/>
  <c r="AJ46" i="4"/>
  <c r="AK46" i="4"/>
  <c r="AD47" i="4"/>
  <c r="AE47" i="4"/>
  <c r="AG47" i="4"/>
  <c r="AH47" i="4"/>
  <c r="AJ47" i="4"/>
  <c r="AK47" i="4"/>
  <c r="AD48" i="4"/>
  <c r="AE48" i="4"/>
  <c r="AG48" i="4"/>
  <c r="AH48" i="4"/>
  <c r="AJ48" i="4"/>
  <c r="AK48" i="4"/>
  <c r="AD49" i="4"/>
  <c r="AE49" i="4"/>
  <c r="AG49" i="4"/>
  <c r="AH49" i="4"/>
  <c r="AJ49" i="4"/>
  <c r="AK49" i="4"/>
  <c r="AD50" i="4"/>
  <c r="AE50" i="4"/>
  <c r="AG50" i="4"/>
  <c r="AH50" i="4"/>
  <c r="AJ50" i="4"/>
  <c r="AK50" i="4"/>
  <c r="AD51" i="4"/>
  <c r="AE51" i="4"/>
  <c r="AG51" i="4"/>
  <c r="AH51" i="4"/>
  <c r="AJ51" i="4"/>
  <c r="AK51" i="4"/>
  <c r="AD52" i="4"/>
  <c r="AE52" i="4"/>
  <c r="AG52" i="4"/>
  <c r="AH52" i="4"/>
  <c r="AJ52" i="4"/>
  <c r="AK52" i="4"/>
  <c r="AD53" i="4"/>
  <c r="AE53" i="4"/>
  <c r="AG53" i="4"/>
  <c r="AH53" i="4"/>
  <c r="AJ53" i="4"/>
  <c r="AK53" i="4"/>
  <c r="AD54" i="4"/>
  <c r="AE54" i="4"/>
  <c r="AG54" i="4"/>
  <c r="AH54" i="4"/>
  <c r="AJ54" i="4"/>
  <c r="AK54" i="4"/>
  <c r="AD55" i="4"/>
  <c r="AE55" i="4"/>
  <c r="AG55" i="4"/>
  <c r="AH55" i="4"/>
  <c r="AJ55" i="4"/>
  <c r="AK55" i="4"/>
  <c r="AD56" i="4"/>
  <c r="AE56" i="4"/>
  <c r="AG56" i="4"/>
  <c r="AH56" i="4"/>
  <c r="AJ56" i="4"/>
  <c r="AK56" i="4"/>
  <c r="AD57" i="4"/>
  <c r="AE57" i="4"/>
  <c r="AG57" i="4"/>
  <c r="AH57" i="4"/>
  <c r="AJ57" i="4"/>
  <c r="AK57" i="4"/>
  <c r="AD58" i="4"/>
  <c r="AE58" i="4"/>
  <c r="AG58" i="4"/>
  <c r="AH58" i="4"/>
  <c r="AJ58" i="4"/>
  <c r="AK58" i="4"/>
  <c r="AD59" i="4"/>
  <c r="AE59" i="4"/>
  <c r="AG59" i="4"/>
  <c r="AH59" i="4"/>
  <c r="AJ59" i="4"/>
  <c r="AK59" i="4"/>
  <c r="AD60" i="4"/>
  <c r="AE60" i="4"/>
  <c r="AG60" i="4"/>
  <c r="AH60" i="4"/>
  <c r="AJ60" i="4"/>
  <c r="AK60" i="4"/>
  <c r="AD61" i="4"/>
  <c r="AE61" i="4"/>
  <c r="AG61" i="4"/>
  <c r="AH61" i="4"/>
  <c r="AJ61" i="4"/>
  <c r="AK61" i="4"/>
  <c r="AD62" i="4"/>
  <c r="AE62" i="4"/>
  <c r="AG62" i="4"/>
  <c r="AH62" i="4"/>
  <c r="AJ62" i="4"/>
  <c r="AK62" i="4"/>
  <c r="AD63" i="4"/>
  <c r="AE63" i="4"/>
  <c r="AG63" i="4"/>
  <c r="AH63" i="4"/>
  <c r="AJ63" i="4"/>
  <c r="AK63" i="4"/>
  <c r="AD64" i="4"/>
  <c r="AE64" i="4"/>
  <c r="AG64" i="4"/>
  <c r="AH64" i="4"/>
  <c r="AJ64" i="4"/>
  <c r="AK64" i="4"/>
  <c r="AD65" i="4"/>
  <c r="AE65" i="4"/>
  <c r="AG65" i="4"/>
  <c r="AH65" i="4"/>
  <c r="AJ65" i="4"/>
  <c r="AK65" i="4"/>
  <c r="AD66" i="4"/>
  <c r="AE66" i="4"/>
  <c r="AG66" i="4"/>
  <c r="AH66" i="4"/>
  <c r="AJ66" i="4"/>
  <c r="AK66" i="4"/>
  <c r="AD67" i="4"/>
  <c r="AE67" i="4"/>
  <c r="AG67" i="4"/>
  <c r="AH67" i="4"/>
  <c r="AJ67" i="4"/>
  <c r="AK67" i="4"/>
  <c r="AD68" i="4"/>
  <c r="AE68" i="4"/>
  <c r="AG68" i="4"/>
  <c r="AH68" i="4"/>
  <c r="AJ68" i="4"/>
  <c r="AK68" i="4"/>
  <c r="AD69" i="4"/>
  <c r="AE69" i="4"/>
  <c r="AG69" i="4"/>
  <c r="AH69" i="4"/>
  <c r="AJ69" i="4"/>
  <c r="AK69" i="4"/>
  <c r="AD70" i="4"/>
  <c r="AE70" i="4"/>
  <c r="AG70" i="4"/>
  <c r="AH70" i="4"/>
  <c r="AJ70" i="4"/>
  <c r="AK70" i="4"/>
  <c r="AD71" i="4"/>
  <c r="AE71" i="4"/>
  <c r="AG71" i="4"/>
  <c r="AH71" i="4"/>
  <c r="AJ71" i="4"/>
  <c r="AK71" i="4"/>
  <c r="AD72" i="4"/>
  <c r="AE72" i="4"/>
  <c r="AG72" i="4"/>
  <c r="AH72" i="4"/>
  <c r="AJ72" i="4"/>
  <c r="AK72" i="4"/>
  <c r="AD73" i="4"/>
  <c r="AE73" i="4"/>
  <c r="AG73" i="4"/>
  <c r="AH73" i="4"/>
  <c r="AJ73" i="4"/>
  <c r="AK73" i="4"/>
  <c r="AD74" i="4"/>
  <c r="AE74" i="4"/>
  <c r="AG74" i="4"/>
  <c r="AH74" i="4"/>
  <c r="AJ74" i="4"/>
  <c r="AK74" i="4"/>
  <c r="AD75" i="4"/>
  <c r="AE75" i="4"/>
  <c r="AG75" i="4"/>
  <c r="AH75" i="4"/>
  <c r="AJ75" i="4"/>
  <c r="AK75" i="4"/>
  <c r="AD76" i="4"/>
  <c r="AE76" i="4"/>
  <c r="AG76" i="4"/>
  <c r="AH76" i="4"/>
  <c r="AJ76" i="4"/>
  <c r="AK76" i="4"/>
  <c r="AD77" i="4"/>
  <c r="AE77" i="4"/>
  <c r="AG77" i="4"/>
  <c r="AH77" i="4"/>
  <c r="AJ77" i="4"/>
  <c r="AK77" i="4"/>
  <c r="AD78" i="4"/>
  <c r="AE78" i="4"/>
  <c r="AG78" i="4"/>
  <c r="AH78" i="4"/>
  <c r="AJ78" i="4"/>
  <c r="AK78" i="4"/>
  <c r="AD79" i="4"/>
  <c r="AE79" i="4"/>
  <c r="AG79" i="4"/>
  <c r="AH79" i="4"/>
  <c r="AJ79" i="4"/>
  <c r="AK79" i="4"/>
  <c r="AD80" i="4"/>
  <c r="AE80" i="4"/>
  <c r="AG80" i="4"/>
  <c r="AH80" i="4"/>
  <c r="AJ80" i="4"/>
  <c r="AK80" i="4"/>
  <c r="AD81" i="4"/>
  <c r="AE81" i="4"/>
  <c r="AG81" i="4"/>
  <c r="AH81" i="4"/>
  <c r="AJ81" i="4"/>
  <c r="AK81" i="4"/>
  <c r="AD82" i="4"/>
  <c r="AE82" i="4"/>
  <c r="AG82" i="4"/>
  <c r="AH82" i="4"/>
  <c r="AJ82" i="4"/>
  <c r="AK82" i="4"/>
  <c r="AD83" i="4"/>
  <c r="AE83" i="4"/>
  <c r="AG83" i="4"/>
  <c r="AH83" i="4"/>
  <c r="AJ83" i="4"/>
  <c r="AK83" i="4"/>
  <c r="AD84" i="4"/>
  <c r="AE84" i="4"/>
  <c r="AG84" i="4"/>
  <c r="AH84" i="4"/>
  <c r="AJ84" i="4"/>
  <c r="AK84" i="4"/>
  <c r="AD85" i="4"/>
  <c r="AE85" i="4"/>
  <c r="AG85" i="4"/>
  <c r="AH85" i="4"/>
  <c r="AJ85" i="4"/>
  <c r="AK85" i="4"/>
  <c r="AD86" i="4"/>
  <c r="AE86" i="4"/>
  <c r="AG86" i="4"/>
  <c r="AH86" i="4"/>
  <c r="AJ86" i="4"/>
  <c r="AK86" i="4"/>
  <c r="AD87" i="4"/>
  <c r="AE87" i="4"/>
  <c r="AG87" i="4"/>
  <c r="AH87" i="4"/>
  <c r="AJ87" i="4"/>
  <c r="AK87" i="4"/>
  <c r="AD88" i="4"/>
  <c r="AE88" i="4"/>
  <c r="AG88" i="4"/>
  <c r="AH88" i="4"/>
  <c r="AJ88" i="4"/>
  <c r="AK88" i="4"/>
  <c r="AD89" i="4"/>
  <c r="AE89" i="4"/>
  <c r="AG89" i="4"/>
  <c r="AH89" i="4"/>
  <c r="AJ89" i="4"/>
  <c r="AK89" i="4"/>
  <c r="AD90" i="4"/>
  <c r="AE90" i="4"/>
  <c r="AG90" i="4"/>
  <c r="AH90" i="4"/>
  <c r="AJ90" i="4"/>
  <c r="AK90" i="4"/>
  <c r="AD91" i="4"/>
  <c r="AE91" i="4"/>
  <c r="AG91" i="4"/>
  <c r="AH91" i="4"/>
  <c r="AJ91" i="4"/>
  <c r="AK91" i="4"/>
  <c r="AD92" i="4"/>
  <c r="AE92" i="4"/>
  <c r="AG92" i="4"/>
  <c r="AH92" i="4"/>
  <c r="AJ92" i="4"/>
  <c r="AK92" i="4"/>
  <c r="AD93" i="4"/>
  <c r="AE93" i="4"/>
  <c r="AG93" i="4"/>
  <c r="AH93" i="4"/>
  <c r="AJ93" i="4"/>
  <c r="AK93" i="4"/>
  <c r="AD94" i="4"/>
  <c r="AE94" i="4"/>
  <c r="AG94" i="4"/>
  <c r="AH94" i="4"/>
  <c r="AJ94" i="4"/>
  <c r="AK94" i="4"/>
  <c r="AD95" i="4"/>
  <c r="AE95" i="4"/>
  <c r="AG95" i="4"/>
  <c r="AH95" i="4"/>
  <c r="AJ95" i="4"/>
  <c r="AK95" i="4"/>
  <c r="AD96" i="4"/>
  <c r="AE96" i="4"/>
  <c r="AG96" i="4"/>
  <c r="AH96" i="4"/>
  <c r="AJ96" i="4"/>
  <c r="AK96" i="4"/>
  <c r="AD97" i="4"/>
  <c r="AE97" i="4"/>
  <c r="AG97" i="4"/>
  <c r="AH97" i="4"/>
  <c r="AJ97" i="4"/>
  <c r="AK97" i="4"/>
  <c r="AD98" i="4"/>
  <c r="AE98" i="4"/>
  <c r="AG98" i="4"/>
  <c r="AH98" i="4"/>
  <c r="AJ98" i="4"/>
  <c r="AK98" i="4"/>
  <c r="AD99" i="4"/>
  <c r="AE99" i="4"/>
  <c r="AG99" i="4"/>
  <c r="AH99" i="4"/>
  <c r="AJ99" i="4"/>
  <c r="AK99" i="4"/>
  <c r="AD100" i="4"/>
  <c r="AE100" i="4"/>
  <c r="AG100" i="4"/>
  <c r="AH100" i="4"/>
  <c r="AJ100" i="4"/>
  <c r="AK100" i="4"/>
  <c r="AD101" i="4"/>
  <c r="AE101" i="4"/>
  <c r="AG101" i="4"/>
  <c r="AH101" i="4"/>
  <c r="AJ101" i="4"/>
  <c r="AK101" i="4"/>
  <c r="AD102" i="4"/>
  <c r="AE102" i="4"/>
  <c r="AG102" i="4"/>
  <c r="AH102" i="4"/>
  <c r="AJ102" i="4"/>
  <c r="AK102" i="4"/>
  <c r="AD103" i="4"/>
  <c r="AE103" i="4"/>
  <c r="AG103" i="4"/>
  <c r="AH103" i="4"/>
  <c r="AJ103" i="4"/>
  <c r="AK103" i="4"/>
  <c r="AD104" i="4"/>
  <c r="AE104" i="4"/>
  <c r="AG104" i="4"/>
  <c r="AH104" i="4"/>
  <c r="AJ104" i="4"/>
  <c r="AK104" i="4"/>
  <c r="AD105" i="4"/>
  <c r="AE105" i="4"/>
  <c r="AG105" i="4"/>
  <c r="AH105" i="4"/>
  <c r="AJ105" i="4"/>
  <c r="AK105" i="4"/>
  <c r="AD106" i="4"/>
  <c r="AE106" i="4"/>
  <c r="AG106" i="4"/>
  <c r="AH106" i="4"/>
  <c r="AJ106" i="4"/>
  <c r="AK106" i="4"/>
  <c r="AD107" i="4"/>
  <c r="AE107" i="4"/>
  <c r="AG107" i="4"/>
  <c r="AH107" i="4"/>
  <c r="AJ107" i="4"/>
  <c r="AK107" i="4"/>
  <c r="AD108" i="4"/>
  <c r="AE108" i="4"/>
  <c r="AG108" i="4"/>
  <c r="AH108" i="4"/>
  <c r="AJ108" i="4"/>
  <c r="AK108" i="4"/>
  <c r="AD109" i="4"/>
  <c r="AE109" i="4"/>
  <c r="AG109" i="4"/>
  <c r="AH109" i="4"/>
  <c r="AJ109" i="4"/>
  <c r="AK109" i="4"/>
  <c r="AD110" i="4"/>
  <c r="AE110" i="4"/>
  <c r="AG110" i="4"/>
  <c r="AH110" i="4"/>
  <c r="AJ110" i="4"/>
  <c r="AK110" i="4"/>
  <c r="AD111" i="4"/>
  <c r="AE111" i="4"/>
  <c r="AG111" i="4"/>
  <c r="AH111" i="4"/>
  <c r="AJ111" i="4"/>
  <c r="AK111" i="4"/>
  <c r="AD112" i="4"/>
  <c r="AE112" i="4"/>
  <c r="AG112" i="4"/>
  <c r="AH112" i="4"/>
  <c r="AJ112" i="4"/>
  <c r="AK112" i="4"/>
  <c r="AD113" i="4"/>
  <c r="AE113" i="4"/>
  <c r="AG113" i="4"/>
  <c r="AH113" i="4"/>
  <c r="AJ113" i="4"/>
  <c r="AK113" i="4"/>
  <c r="AD114" i="4"/>
  <c r="AE114" i="4"/>
  <c r="AG114" i="4"/>
  <c r="AH114" i="4"/>
  <c r="AJ114" i="4"/>
  <c r="AK114" i="4"/>
  <c r="AD115" i="4"/>
  <c r="AE115" i="4"/>
  <c r="AG115" i="4"/>
  <c r="AH115" i="4"/>
  <c r="AJ115" i="4"/>
  <c r="AK115" i="4"/>
  <c r="AD116" i="4"/>
  <c r="AE116" i="4"/>
  <c r="AG116" i="4"/>
  <c r="AH116" i="4"/>
  <c r="AJ116" i="4"/>
  <c r="AK116" i="4"/>
  <c r="AD117" i="4"/>
  <c r="AE117" i="4"/>
  <c r="AG117" i="4"/>
  <c r="AH117" i="4"/>
  <c r="AJ117" i="4"/>
  <c r="AK117" i="4"/>
  <c r="AD118" i="4"/>
  <c r="AE118" i="4"/>
  <c r="AG118" i="4"/>
  <c r="AH118" i="4"/>
  <c r="AJ118" i="4"/>
  <c r="AK118" i="4"/>
  <c r="AD119" i="4"/>
  <c r="AE119" i="4"/>
  <c r="AG119" i="4"/>
  <c r="AH119" i="4"/>
  <c r="AJ119" i="4"/>
  <c r="AK119" i="4"/>
  <c r="AD120" i="4"/>
  <c r="AE120" i="4"/>
  <c r="AG120" i="4"/>
  <c r="AH120" i="4"/>
  <c r="AJ120" i="4"/>
  <c r="AK120" i="4"/>
  <c r="AD121" i="4"/>
  <c r="AE121" i="4"/>
  <c r="AG121" i="4"/>
  <c r="AH121" i="4"/>
  <c r="AJ121" i="4"/>
  <c r="AK121" i="4"/>
  <c r="AD122" i="4"/>
  <c r="AE122" i="4"/>
  <c r="AG122" i="4"/>
  <c r="AH122" i="4"/>
  <c r="AJ122" i="4"/>
  <c r="AK122" i="4"/>
  <c r="AD123" i="4"/>
  <c r="AE123" i="4"/>
  <c r="AG123" i="4"/>
  <c r="AH123" i="4"/>
  <c r="AJ123" i="4"/>
  <c r="AK123" i="4"/>
  <c r="AD124" i="4"/>
  <c r="AE124" i="4"/>
  <c r="AG124" i="4"/>
  <c r="AH124" i="4"/>
  <c r="AJ124" i="4"/>
  <c r="AK124" i="4"/>
  <c r="AD125" i="4"/>
  <c r="AE125" i="4"/>
  <c r="AG125" i="4"/>
  <c r="AH125" i="4"/>
  <c r="AJ125" i="4"/>
  <c r="AK125" i="4"/>
  <c r="AD126" i="4"/>
  <c r="AE126" i="4"/>
  <c r="AG126" i="4"/>
  <c r="AH126" i="4"/>
  <c r="AJ126" i="4"/>
  <c r="AK126" i="4"/>
  <c r="AD127" i="4"/>
  <c r="AE127" i="4"/>
  <c r="AG127" i="4"/>
  <c r="AH127" i="4"/>
  <c r="AJ127" i="4"/>
  <c r="AK127" i="4"/>
  <c r="AD128" i="4"/>
  <c r="AE128" i="4"/>
  <c r="AG128" i="4"/>
  <c r="AH128" i="4"/>
  <c r="AJ128" i="4"/>
  <c r="AK128" i="4"/>
  <c r="AD129" i="4"/>
  <c r="AE129" i="4"/>
  <c r="AG129" i="4"/>
  <c r="AH129" i="4"/>
  <c r="AJ129" i="4"/>
  <c r="AK129" i="4"/>
  <c r="AD130" i="4"/>
  <c r="AE130" i="4"/>
  <c r="AG130" i="4"/>
  <c r="AH130" i="4"/>
  <c r="AJ130" i="4"/>
  <c r="AK130" i="4"/>
  <c r="AD131" i="4"/>
  <c r="AE131" i="4"/>
  <c r="AG131" i="4"/>
  <c r="AH131" i="4"/>
  <c r="AJ131" i="4"/>
  <c r="AK131" i="4"/>
  <c r="AD132" i="4"/>
  <c r="AE132" i="4"/>
  <c r="AG132" i="4"/>
  <c r="AH132" i="4"/>
  <c r="AJ132" i="4"/>
  <c r="AK132" i="4"/>
  <c r="AD133" i="4"/>
  <c r="AE133" i="4"/>
  <c r="AG133" i="4"/>
  <c r="AH133" i="4"/>
  <c r="AJ133" i="4"/>
  <c r="AK133" i="4"/>
  <c r="AD134" i="4"/>
  <c r="AE134" i="4"/>
  <c r="AG134" i="4"/>
  <c r="AH134" i="4"/>
  <c r="AJ134" i="4"/>
  <c r="AK134" i="4"/>
  <c r="AD135" i="4"/>
  <c r="AE135" i="4"/>
  <c r="AG135" i="4"/>
  <c r="AH135" i="4"/>
  <c r="AJ135" i="4"/>
  <c r="AK135" i="4"/>
  <c r="AD136" i="4"/>
  <c r="AE136" i="4"/>
  <c r="AG136" i="4"/>
  <c r="AH136" i="4"/>
  <c r="AJ136" i="4"/>
  <c r="AK136" i="4"/>
  <c r="AD137" i="4"/>
  <c r="AE137" i="4"/>
  <c r="AG137" i="4"/>
  <c r="AH137" i="4"/>
  <c r="AJ137" i="4"/>
  <c r="AK137" i="4"/>
  <c r="AD138" i="4"/>
  <c r="AE138" i="4"/>
  <c r="AG138" i="4"/>
  <c r="AH138" i="4"/>
  <c r="AJ138" i="4"/>
  <c r="AK138" i="4"/>
  <c r="AD139" i="4"/>
  <c r="AE139" i="4"/>
  <c r="AG139" i="4"/>
  <c r="AH139" i="4"/>
  <c r="AJ139" i="4"/>
  <c r="AK139" i="4"/>
  <c r="AD140" i="4"/>
  <c r="AE140" i="4"/>
  <c r="AG140" i="4"/>
  <c r="AH140" i="4"/>
  <c r="AJ140" i="4"/>
  <c r="AK140" i="4"/>
  <c r="AD141" i="4"/>
  <c r="AE141" i="4"/>
  <c r="AG141" i="4"/>
  <c r="AH141" i="4"/>
  <c r="AJ141" i="4"/>
  <c r="AK141" i="4"/>
  <c r="AD142" i="4"/>
  <c r="AE142" i="4"/>
  <c r="AG142" i="4"/>
  <c r="AH142" i="4"/>
  <c r="AJ142" i="4"/>
  <c r="AK142" i="4"/>
  <c r="AD143" i="4"/>
  <c r="AE143" i="4"/>
  <c r="AG143" i="4"/>
  <c r="AH143" i="4"/>
  <c r="AJ143" i="4"/>
  <c r="AK143" i="4"/>
  <c r="AD144" i="4"/>
  <c r="AE144" i="4"/>
  <c r="AG144" i="4"/>
  <c r="AH144" i="4"/>
  <c r="AJ144" i="4"/>
  <c r="AK144" i="4"/>
  <c r="AD145" i="4"/>
  <c r="AE145" i="4"/>
  <c r="AG145" i="4"/>
  <c r="AH145" i="4"/>
  <c r="AJ145" i="4"/>
  <c r="AK145" i="4"/>
  <c r="AD146" i="4"/>
  <c r="AE146" i="4"/>
  <c r="AG146" i="4"/>
  <c r="AH146" i="4"/>
  <c r="AJ146" i="4"/>
  <c r="AK146" i="4"/>
  <c r="AD147" i="4"/>
  <c r="AE147" i="4"/>
  <c r="AG147" i="4"/>
  <c r="AH147" i="4"/>
  <c r="AJ147" i="4"/>
  <c r="AK147" i="4"/>
  <c r="AD148" i="4"/>
  <c r="AE148" i="4"/>
  <c r="AG148" i="4"/>
  <c r="AH148" i="4"/>
  <c r="AJ148" i="4"/>
  <c r="AK148" i="4"/>
  <c r="AD149" i="4"/>
  <c r="AE149" i="4"/>
  <c r="AG149" i="4"/>
  <c r="AH149" i="4"/>
  <c r="AJ149" i="4"/>
  <c r="AK149" i="4"/>
  <c r="AD150" i="4"/>
  <c r="AE150" i="4"/>
  <c r="AG150" i="4"/>
  <c r="AH150" i="4"/>
  <c r="AJ150" i="4"/>
  <c r="AK150" i="4"/>
  <c r="AD151" i="4"/>
  <c r="AE151" i="4"/>
  <c r="AG151" i="4"/>
  <c r="AH151" i="4"/>
  <c r="AJ151" i="4"/>
  <c r="AK151" i="4"/>
  <c r="AD152" i="4"/>
  <c r="AE152" i="4"/>
  <c r="AG152" i="4"/>
  <c r="AH152" i="4"/>
  <c r="AJ152" i="4"/>
  <c r="AK152" i="4"/>
  <c r="AD153" i="4"/>
  <c r="AE153" i="4"/>
  <c r="AG153" i="4"/>
  <c r="AH153" i="4"/>
  <c r="AJ153" i="4"/>
  <c r="AK153" i="4"/>
  <c r="AD154" i="4"/>
  <c r="AE154" i="4"/>
  <c r="AG154" i="4"/>
  <c r="AH154" i="4"/>
  <c r="AJ154" i="4"/>
  <c r="AK154" i="4"/>
  <c r="AD155" i="4"/>
  <c r="AE155" i="4"/>
  <c r="AG155" i="4"/>
  <c r="AH155" i="4"/>
  <c r="AJ155" i="4"/>
  <c r="AK155" i="4"/>
  <c r="AD156" i="4"/>
  <c r="AE156" i="4"/>
  <c r="AG156" i="4"/>
  <c r="AH156" i="4"/>
  <c r="AJ156" i="4"/>
  <c r="AK156" i="4"/>
  <c r="AD157" i="4"/>
  <c r="AE157" i="4"/>
  <c r="AG157" i="4"/>
  <c r="AH157" i="4"/>
  <c r="AJ157" i="4"/>
  <c r="AK157" i="4"/>
  <c r="AD158" i="4"/>
  <c r="AE158" i="4"/>
  <c r="AG158" i="4"/>
  <c r="AH158" i="4"/>
  <c r="AJ158" i="4"/>
  <c r="AK158" i="4"/>
  <c r="AD159" i="4"/>
  <c r="AE159" i="4"/>
  <c r="AG159" i="4"/>
  <c r="AH159" i="4"/>
  <c r="AJ159" i="4"/>
  <c r="AK159" i="4"/>
  <c r="AD160" i="4"/>
  <c r="AE160" i="4"/>
  <c r="AG160" i="4"/>
  <c r="AH160" i="4"/>
  <c r="AJ160" i="4"/>
  <c r="AK160" i="4"/>
  <c r="AD161" i="4"/>
  <c r="AE161" i="4"/>
  <c r="AG161" i="4"/>
  <c r="AH161" i="4"/>
  <c r="AJ161" i="4"/>
  <c r="AK161" i="4"/>
  <c r="AD162" i="4"/>
  <c r="AE162" i="4"/>
  <c r="AG162" i="4"/>
  <c r="AH162" i="4"/>
  <c r="AJ162" i="4"/>
  <c r="AK162" i="4"/>
  <c r="AD163" i="4"/>
  <c r="AE163" i="4"/>
  <c r="AG163" i="4"/>
  <c r="AH163" i="4"/>
  <c r="AJ163" i="4"/>
  <c r="AK163" i="4"/>
  <c r="AD164" i="4"/>
  <c r="AE164" i="4"/>
  <c r="AG164" i="4"/>
  <c r="AH164" i="4"/>
  <c r="AJ164" i="4"/>
  <c r="AK164" i="4"/>
  <c r="AD165" i="4"/>
  <c r="AE165" i="4"/>
  <c r="AG165" i="4"/>
  <c r="AH165" i="4"/>
  <c r="AJ165" i="4"/>
  <c r="AK165" i="4"/>
  <c r="AD166" i="4"/>
  <c r="AE166" i="4"/>
  <c r="AG166" i="4"/>
  <c r="AH166" i="4"/>
  <c r="AJ166" i="4"/>
  <c r="AK166" i="4"/>
  <c r="AD167" i="4"/>
  <c r="AE167" i="4"/>
  <c r="AG167" i="4"/>
  <c r="AH167" i="4"/>
  <c r="AJ167" i="4"/>
  <c r="AK167" i="4"/>
  <c r="AD168" i="4"/>
  <c r="AE168" i="4"/>
  <c r="AG168" i="4"/>
  <c r="AH168" i="4"/>
  <c r="AJ168" i="4"/>
  <c r="AK168" i="4"/>
  <c r="AD169" i="4"/>
  <c r="AE169" i="4"/>
  <c r="AG169" i="4"/>
  <c r="AH169" i="4"/>
  <c r="AJ169" i="4"/>
  <c r="AK169" i="4"/>
  <c r="AD170" i="4"/>
  <c r="AE170" i="4"/>
  <c r="AG170" i="4"/>
  <c r="AH170" i="4"/>
  <c r="AJ170" i="4"/>
  <c r="AK170" i="4"/>
  <c r="AD171" i="4"/>
  <c r="AE171" i="4"/>
  <c r="AG171" i="4"/>
  <c r="AH171" i="4"/>
  <c r="AJ171" i="4"/>
  <c r="AK171" i="4"/>
  <c r="AD172" i="4"/>
  <c r="AE172" i="4"/>
  <c r="AG172" i="4"/>
  <c r="AH172" i="4"/>
  <c r="AJ172" i="4"/>
  <c r="AK172" i="4"/>
  <c r="AD173" i="4"/>
  <c r="AE173" i="4"/>
  <c r="AG173" i="4"/>
  <c r="AH173" i="4"/>
  <c r="AJ173" i="4"/>
  <c r="AK173" i="4"/>
  <c r="AD174" i="4"/>
  <c r="AE174" i="4"/>
  <c r="AG174" i="4"/>
  <c r="AH174" i="4"/>
  <c r="AJ174" i="4"/>
  <c r="AK174" i="4"/>
  <c r="AD175" i="4"/>
  <c r="AE175" i="4"/>
  <c r="AG175" i="4"/>
  <c r="AH175" i="4"/>
  <c r="AJ175" i="4"/>
  <c r="AK175" i="4"/>
  <c r="AD176" i="4"/>
  <c r="AE176" i="4"/>
  <c r="AG176" i="4"/>
  <c r="AH176" i="4"/>
  <c r="AJ176" i="4"/>
  <c r="AK176" i="4"/>
  <c r="AD177" i="4"/>
  <c r="AE177" i="4"/>
  <c r="AG177" i="4"/>
  <c r="AH177" i="4"/>
  <c r="AJ177" i="4"/>
  <c r="AK177" i="4"/>
  <c r="AD178" i="4"/>
  <c r="AE178" i="4"/>
  <c r="AG178" i="4"/>
  <c r="AH178" i="4"/>
  <c r="AJ178" i="4"/>
  <c r="AK178" i="4"/>
  <c r="AD179" i="4"/>
  <c r="AE179" i="4"/>
  <c r="AG179" i="4"/>
  <c r="AH179" i="4"/>
  <c r="AJ179" i="4"/>
  <c r="AK179" i="4"/>
  <c r="AD180" i="4"/>
  <c r="AE180" i="4"/>
  <c r="AG180" i="4"/>
  <c r="AH180" i="4"/>
  <c r="AJ180" i="4"/>
  <c r="AK180" i="4"/>
  <c r="AD181" i="4"/>
  <c r="AE181" i="4"/>
  <c r="AG181" i="4"/>
  <c r="AH181" i="4"/>
  <c r="AJ181" i="4"/>
  <c r="AK181" i="4"/>
  <c r="AD182" i="4"/>
  <c r="AE182" i="4"/>
  <c r="AG182" i="4"/>
  <c r="AH182" i="4"/>
  <c r="AJ182" i="4"/>
  <c r="AK182" i="4"/>
  <c r="AD183" i="4"/>
  <c r="AE183" i="4"/>
  <c r="AG183" i="4"/>
  <c r="AH183" i="4"/>
  <c r="AJ183" i="4"/>
  <c r="AK183" i="4"/>
  <c r="AD184" i="4"/>
  <c r="AE184" i="4"/>
  <c r="AG184" i="4"/>
  <c r="AH184" i="4"/>
  <c r="AJ184" i="4"/>
  <c r="AK184" i="4"/>
  <c r="AD185" i="4"/>
  <c r="AE185" i="4"/>
  <c r="AG185" i="4"/>
  <c r="AH185" i="4"/>
  <c r="AJ185" i="4"/>
  <c r="AK185" i="4"/>
  <c r="AD186" i="4"/>
  <c r="AE186" i="4"/>
  <c r="AG186" i="4"/>
  <c r="AH186" i="4"/>
  <c r="AJ186" i="4"/>
  <c r="AK186" i="4"/>
  <c r="AD187" i="4"/>
  <c r="AE187" i="4"/>
  <c r="AG187" i="4"/>
  <c r="AH187" i="4"/>
  <c r="AJ187" i="4"/>
  <c r="AK187" i="4"/>
  <c r="AD188" i="4"/>
  <c r="AE188" i="4"/>
  <c r="AG188" i="4"/>
  <c r="AH188" i="4"/>
  <c r="AJ188" i="4"/>
  <c r="AK188" i="4"/>
  <c r="AD189" i="4"/>
  <c r="AE189" i="4"/>
  <c r="AG189" i="4"/>
  <c r="AH189" i="4"/>
  <c r="AJ189" i="4"/>
  <c r="AK189" i="4"/>
  <c r="AD190" i="4"/>
  <c r="AE190" i="4"/>
  <c r="AG190" i="4"/>
  <c r="AH190" i="4"/>
  <c r="AJ190" i="4"/>
  <c r="AK190" i="4"/>
  <c r="AD191" i="4"/>
  <c r="AE191" i="4"/>
  <c r="AG191" i="4"/>
  <c r="AH191" i="4"/>
  <c r="AJ191" i="4"/>
  <c r="AK191" i="4"/>
  <c r="AD192" i="4"/>
  <c r="AE192" i="4"/>
  <c r="AG192" i="4"/>
  <c r="AH192" i="4"/>
  <c r="AJ192" i="4"/>
  <c r="AK192" i="4"/>
  <c r="AD193" i="4"/>
  <c r="AE193" i="4"/>
  <c r="AG193" i="4"/>
  <c r="AH193" i="4"/>
  <c r="AJ193" i="4"/>
  <c r="AK193" i="4"/>
  <c r="AD194" i="4"/>
  <c r="AE194" i="4"/>
  <c r="AG194" i="4"/>
  <c r="AH194" i="4"/>
  <c r="AJ194" i="4"/>
  <c r="AK194" i="4"/>
  <c r="AD195" i="4"/>
  <c r="AE195" i="4"/>
  <c r="AG195" i="4"/>
  <c r="AH195" i="4"/>
  <c r="AJ195" i="4"/>
  <c r="AK195" i="4"/>
  <c r="AD196" i="4"/>
  <c r="AE196" i="4"/>
  <c r="AG196" i="4"/>
  <c r="AH196" i="4"/>
  <c r="AJ196" i="4"/>
  <c r="AK196" i="4"/>
  <c r="AD197" i="4"/>
  <c r="AE197" i="4"/>
  <c r="AG197" i="4"/>
  <c r="AH197" i="4"/>
  <c r="AJ197" i="4"/>
  <c r="AK197" i="4"/>
  <c r="AD198" i="4"/>
  <c r="AE198" i="4"/>
  <c r="AG198" i="4"/>
  <c r="AH198" i="4"/>
  <c r="AJ198" i="4"/>
  <c r="AK198" i="4"/>
  <c r="AD199" i="4"/>
  <c r="AE199" i="4"/>
  <c r="AG199" i="4"/>
  <c r="AH199" i="4"/>
  <c r="AJ199" i="4"/>
  <c r="AK199" i="4"/>
  <c r="AD200" i="4"/>
  <c r="AE200" i="4"/>
  <c r="AG200" i="4"/>
  <c r="AH200" i="4"/>
  <c r="AJ200" i="4"/>
  <c r="AK200" i="4"/>
  <c r="AD201" i="4"/>
  <c r="AE201" i="4"/>
  <c r="AG201" i="4"/>
  <c r="AH201" i="4"/>
  <c r="AJ201" i="4"/>
  <c r="AK201" i="4"/>
  <c r="AD202" i="4"/>
  <c r="AE202" i="4"/>
  <c r="AG202" i="4"/>
  <c r="AH202" i="4"/>
  <c r="AJ202" i="4"/>
  <c r="AK202" i="4"/>
  <c r="AD203" i="4"/>
  <c r="AE203" i="4"/>
  <c r="AG203" i="4"/>
  <c r="AH203" i="4"/>
  <c r="AJ203" i="4"/>
  <c r="AK203" i="4"/>
  <c r="AD204" i="4"/>
  <c r="AE204" i="4"/>
  <c r="AG204" i="4"/>
  <c r="AH204" i="4"/>
  <c r="AJ204" i="4"/>
  <c r="AK204" i="4"/>
  <c r="AD205" i="4"/>
  <c r="AE205" i="4"/>
  <c r="AG205" i="4"/>
  <c r="AH205" i="4"/>
  <c r="AJ205" i="4"/>
  <c r="AK205" i="4"/>
  <c r="AD206" i="4"/>
  <c r="AE206" i="4"/>
  <c r="AG206" i="4"/>
  <c r="AH206" i="4"/>
  <c r="AJ206" i="4"/>
  <c r="AK206" i="4"/>
  <c r="AD207" i="4"/>
  <c r="AE207" i="4"/>
  <c r="AG207" i="4"/>
  <c r="AH207" i="4"/>
  <c r="AJ207" i="4"/>
  <c r="AK207" i="4"/>
  <c r="AD208" i="4"/>
  <c r="AE208" i="4"/>
  <c r="AG208" i="4"/>
  <c r="AH208" i="4"/>
  <c r="AJ208" i="4"/>
  <c r="AK208" i="4"/>
  <c r="AD209" i="4"/>
  <c r="AE209" i="4"/>
  <c r="AG209" i="4"/>
  <c r="AH209" i="4"/>
  <c r="AJ209" i="4"/>
  <c r="AK209" i="4"/>
  <c r="AD210" i="4"/>
  <c r="AE210" i="4"/>
  <c r="AG210" i="4"/>
  <c r="AH210" i="4"/>
  <c r="AJ210" i="4"/>
  <c r="AK210" i="4"/>
  <c r="AD211" i="4"/>
  <c r="AE211" i="4"/>
  <c r="AG211" i="4"/>
  <c r="AH211" i="4"/>
  <c r="AJ211" i="4"/>
  <c r="AK211" i="4"/>
  <c r="AD212" i="4"/>
  <c r="AE212" i="4"/>
  <c r="AG212" i="4"/>
  <c r="AH212" i="4"/>
  <c r="AJ212" i="4"/>
  <c r="AK212" i="4"/>
  <c r="AD213" i="4"/>
  <c r="AE213" i="4"/>
  <c r="AG213" i="4"/>
  <c r="AH213" i="4"/>
  <c r="AJ213" i="4"/>
  <c r="AK213" i="4"/>
  <c r="AD214" i="4"/>
  <c r="AE214" i="4"/>
  <c r="AG214" i="4"/>
  <c r="AH214" i="4"/>
  <c r="AJ214" i="4"/>
  <c r="AK214" i="4"/>
  <c r="AD215" i="4"/>
  <c r="AE215" i="4"/>
  <c r="AG215" i="4"/>
  <c r="AH215" i="4"/>
  <c r="AJ215" i="4"/>
  <c r="AK215" i="4"/>
  <c r="AD216" i="4"/>
  <c r="AE216" i="4"/>
  <c r="AG216" i="4"/>
  <c r="AH216" i="4"/>
  <c r="AJ216" i="4"/>
  <c r="AK216" i="4"/>
  <c r="AD217" i="4"/>
  <c r="AE217" i="4"/>
  <c r="AG217" i="4"/>
  <c r="AH217" i="4"/>
  <c r="AJ217" i="4"/>
  <c r="AK217" i="4"/>
  <c r="AD218" i="4"/>
  <c r="AE218" i="4"/>
  <c r="AG218" i="4"/>
  <c r="AH218" i="4"/>
  <c r="AJ218" i="4"/>
  <c r="AK218" i="4"/>
  <c r="AD219" i="4"/>
  <c r="AE219" i="4"/>
  <c r="AG219" i="4"/>
  <c r="AH219" i="4"/>
  <c r="AJ219" i="4"/>
  <c r="AK219" i="4"/>
  <c r="AD220" i="4"/>
  <c r="AE220" i="4"/>
  <c r="AG220" i="4"/>
  <c r="AH220" i="4"/>
  <c r="AJ220" i="4"/>
  <c r="AK220" i="4"/>
  <c r="AD221" i="4"/>
  <c r="AE221" i="4"/>
  <c r="AG221" i="4"/>
  <c r="AH221" i="4"/>
  <c r="AJ221" i="4"/>
  <c r="AK221" i="4"/>
  <c r="AD222" i="4"/>
  <c r="AE222" i="4"/>
  <c r="AG222" i="4"/>
  <c r="AH222" i="4"/>
  <c r="AJ222" i="4"/>
  <c r="AK222" i="4"/>
  <c r="AD223" i="4"/>
  <c r="AE223" i="4"/>
  <c r="AG223" i="4"/>
  <c r="AH223" i="4"/>
  <c r="AJ223" i="4"/>
  <c r="AK223" i="4"/>
  <c r="AD224" i="4"/>
  <c r="AE224" i="4"/>
  <c r="AG224" i="4"/>
  <c r="AH224" i="4"/>
  <c r="AJ224" i="4"/>
  <c r="AK224" i="4"/>
  <c r="AD225" i="4"/>
  <c r="AE225" i="4"/>
  <c r="AG225" i="4"/>
  <c r="AH225" i="4"/>
  <c r="AJ225" i="4"/>
  <c r="AK225" i="4"/>
  <c r="AD226" i="4"/>
  <c r="AE226" i="4"/>
  <c r="AG226" i="4"/>
  <c r="AH226" i="4"/>
  <c r="AJ226" i="4"/>
  <c r="AK226" i="4"/>
  <c r="AD227" i="4"/>
  <c r="AE227" i="4"/>
  <c r="AG227" i="4"/>
  <c r="AH227" i="4"/>
  <c r="AJ227" i="4"/>
  <c r="AK227" i="4"/>
  <c r="AD228" i="4"/>
  <c r="AE228" i="4"/>
  <c r="AG228" i="4"/>
  <c r="AH228" i="4"/>
  <c r="AJ228" i="4"/>
  <c r="AK228" i="4"/>
  <c r="AD229" i="4"/>
  <c r="AE229" i="4"/>
  <c r="AG229" i="4"/>
  <c r="AH229" i="4"/>
  <c r="AJ229" i="4"/>
  <c r="AK229" i="4"/>
  <c r="AD230" i="4"/>
  <c r="AE230" i="4"/>
  <c r="AG230" i="4"/>
  <c r="AH230" i="4"/>
  <c r="AJ230" i="4"/>
  <c r="AK230" i="4"/>
  <c r="AD231" i="4"/>
  <c r="AE231" i="4"/>
  <c r="AG231" i="4"/>
  <c r="AH231" i="4"/>
  <c r="AJ231" i="4"/>
  <c r="AK231" i="4"/>
  <c r="AD232" i="4"/>
  <c r="AE232" i="4"/>
  <c r="AG232" i="4"/>
  <c r="AH232" i="4"/>
  <c r="AJ232" i="4"/>
  <c r="AK232" i="4"/>
  <c r="AD233" i="4"/>
  <c r="AE233" i="4"/>
  <c r="AG233" i="4"/>
  <c r="AH233" i="4"/>
  <c r="AJ233" i="4"/>
  <c r="AK233" i="4"/>
  <c r="AD234" i="4"/>
  <c r="AE234" i="4"/>
  <c r="AG234" i="4"/>
  <c r="AH234" i="4"/>
  <c r="AJ234" i="4"/>
  <c r="AK234" i="4"/>
  <c r="AD235" i="4"/>
  <c r="AE235" i="4"/>
  <c r="AG235" i="4"/>
  <c r="AH235" i="4"/>
  <c r="AJ235" i="4"/>
  <c r="AK235" i="4"/>
  <c r="AD236" i="4"/>
  <c r="AE236" i="4"/>
  <c r="AG236" i="4"/>
  <c r="AH236" i="4"/>
  <c r="AJ236" i="4"/>
  <c r="AK236" i="4"/>
  <c r="AD237" i="4"/>
  <c r="AE237" i="4"/>
  <c r="AG237" i="4"/>
  <c r="AH237" i="4"/>
  <c r="AJ237" i="4"/>
  <c r="AK237" i="4"/>
  <c r="AD238" i="4"/>
  <c r="AE238" i="4"/>
  <c r="AG238" i="4"/>
  <c r="AH238" i="4"/>
  <c r="AJ238" i="4"/>
  <c r="AK238" i="4"/>
  <c r="AD239" i="4"/>
  <c r="AE239" i="4"/>
  <c r="AG239" i="4"/>
  <c r="AH239" i="4"/>
  <c r="AJ239" i="4"/>
  <c r="AK239" i="4"/>
  <c r="AD240" i="4"/>
  <c r="AE240" i="4"/>
  <c r="AG240" i="4"/>
  <c r="AH240" i="4"/>
  <c r="AJ240" i="4"/>
  <c r="AK240" i="4"/>
  <c r="AD241" i="4"/>
  <c r="AE241" i="4"/>
  <c r="AG241" i="4"/>
  <c r="AH241" i="4"/>
  <c r="AJ241" i="4"/>
  <c r="AK241" i="4"/>
  <c r="AD242" i="4"/>
  <c r="AE242" i="4"/>
  <c r="AG242" i="4"/>
  <c r="AH242" i="4"/>
  <c r="AJ242" i="4"/>
  <c r="AK242" i="4"/>
  <c r="AD243" i="4"/>
  <c r="AE243" i="4"/>
  <c r="AG243" i="4"/>
  <c r="AH243" i="4"/>
  <c r="AJ243" i="4"/>
  <c r="AK243" i="4"/>
  <c r="AD244" i="4"/>
  <c r="AE244" i="4"/>
  <c r="AG244" i="4"/>
  <c r="AH244" i="4"/>
  <c r="AJ244" i="4"/>
  <c r="AK244" i="4"/>
  <c r="AD245" i="4"/>
  <c r="AE245" i="4"/>
  <c r="AG245" i="4"/>
  <c r="AH245" i="4"/>
  <c r="AJ245" i="4"/>
  <c r="AK245" i="4"/>
  <c r="AD246" i="4"/>
  <c r="AE246" i="4"/>
  <c r="AG246" i="4"/>
  <c r="AH246" i="4"/>
  <c r="AJ246" i="4"/>
  <c r="AK246" i="4"/>
  <c r="AD247" i="4"/>
  <c r="AE247" i="4"/>
  <c r="AG247" i="4"/>
  <c r="AH247" i="4"/>
  <c r="AJ247" i="4"/>
  <c r="AK247" i="4"/>
  <c r="AD248" i="4"/>
  <c r="AE248" i="4"/>
  <c r="AG248" i="4"/>
  <c r="AH248" i="4"/>
  <c r="AJ248" i="4"/>
  <c r="AK248" i="4"/>
  <c r="AD249" i="4"/>
  <c r="AE249" i="4"/>
  <c r="AG249" i="4"/>
  <c r="AH249" i="4"/>
  <c r="AJ249" i="4"/>
  <c r="AK249" i="4"/>
  <c r="AD250" i="4"/>
  <c r="AE250" i="4"/>
  <c r="AG250" i="4"/>
  <c r="AH250" i="4"/>
  <c r="AJ250" i="4"/>
  <c r="AK250" i="4"/>
  <c r="AD251" i="4"/>
  <c r="AE251" i="4"/>
  <c r="AG251" i="4"/>
  <c r="AH251" i="4"/>
  <c r="AJ251" i="4"/>
  <c r="AK251" i="4"/>
  <c r="AD252" i="4"/>
  <c r="AE252" i="4"/>
  <c r="AG252" i="4"/>
  <c r="AH252" i="4"/>
  <c r="AJ252" i="4"/>
  <c r="AK252" i="4"/>
  <c r="AD253" i="4"/>
  <c r="AE253" i="4"/>
  <c r="AG253" i="4"/>
  <c r="AH253" i="4"/>
  <c r="AJ253" i="4"/>
  <c r="AK253" i="4"/>
  <c r="AD254" i="4"/>
  <c r="AE254" i="4"/>
  <c r="AG254" i="4"/>
  <c r="AH254" i="4"/>
  <c r="AJ254" i="4"/>
  <c r="AK254" i="4"/>
  <c r="AD255" i="4"/>
  <c r="AE255" i="4"/>
  <c r="AG255" i="4"/>
  <c r="AH255" i="4"/>
  <c r="AJ255" i="4"/>
  <c r="AK255" i="4"/>
  <c r="AD256" i="4"/>
  <c r="AE256" i="4"/>
  <c r="AG256" i="4"/>
  <c r="AH256" i="4"/>
  <c r="AJ256" i="4"/>
  <c r="AK256" i="4"/>
  <c r="AD257" i="4"/>
  <c r="AE257" i="4"/>
  <c r="AG257" i="4"/>
  <c r="AH257" i="4"/>
  <c r="AJ257" i="4"/>
  <c r="AK257" i="4"/>
  <c r="AD258" i="4"/>
  <c r="AE258" i="4"/>
  <c r="AG258" i="4"/>
  <c r="AH258" i="4"/>
  <c r="AJ258" i="4"/>
  <c r="AK258" i="4"/>
  <c r="AD259" i="4"/>
  <c r="AE259" i="4"/>
  <c r="AG259" i="4"/>
  <c r="AH259" i="4"/>
  <c r="AJ259" i="4"/>
  <c r="AK259" i="4"/>
  <c r="AD260" i="4"/>
  <c r="AE260" i="4"/>
  <c r="AG260" i="4"/>
  <c r="AH260" i="4"/>
  <c r="AJ260" i="4"/>
  <c r="AK260" i="4"/>
  <c r="AD261" i="4"/>
  <c r="AE261" i="4"/>
  <c r="AG261" i="4"/>
  <c r="AH261" i="4"/>
  <c r="AJ261" i="4"/>
  <c r="AK261" i="4"/>
  <c r="AD262" i="4"/>
  <c r="AE262" i="4"/>
  <c r="AG262" i="4"/>
  <c r="AH262" i="4"/>
  <c r="AJ262" i="4"/>
  <c r="AK262" i="4"/>
  <c r="AD263" i="4"/>
  <c r="AE263" i="4"/>
  <c r="AG263" i="4"/>
  <c r="AH263" i="4"/>
  <c r="AJ263" i="4"/>
  <c r="AK263" i="4"/>
  <c r="AD264" i="4"/>
  <c r="AE264" i="4"/>
  <c r="AG264" i="4"/>
  <c r="AH264" i="4"/>
  <c r="AJ264" i="4"/>
  <c r="AK264" i="4"/>
  <c r="AD265" i="4"/>
  <c r="AE265" i="4"/>
  <c r="AG265" i="4"/>
  <c r="AH265" i="4"/>
  <c r="AJ265" i="4"/>
  <c r="AK265" i="4"/>
  <c r="AD266" i="4"/>
  <c r="AE266" i="4"/>
  <c r="AG266" i="4"/>
  <c r="AH266" i="4"/>
  <c r="AJ266" i="4"/>
  <c r="AK266" i="4"/>
  <c r="AD267" i="4"/>
  <c r="AE267" i="4"/>
  <c r="AG267" i="4"/>
  <c r="AH267" i="4"/>
  <c r="AJ267" i="4"/>
  <c r="AK267" i="4"/>
  <c r="AD268" i="4"/>
  <c r="AE268" i="4"/>
  <c r="AG268" i="4"/>
  <c r="AH268" i="4"/>
  <c r="AJ268" i="4"/>
  <c r="AK268" i="4"/>
  <c r="AD269" i="4"/>
  <c r="AE269" i="4"/>
  <c r="AG269" i="4"/>
  <c r="AH269" i="4"/>
  <c r="AJ269" i="4"/>
  <c r="AK269" i="4"/>
  <c r="AD270" i="4"/>
  <c r="AE270" i="4"/>
  <c r="AG270" i="4"/>
  <c r="AH270" i="4"/>
  <c r="AJ270" i="4"/>
  <c r="AK270" i="4"/>
  <c r="AD271" i="4"/>
  <c r="AE271" i="4"/>
  <c r="AG271" i="4"/>
  <c r="AH271" i="4"/>
  <c r="AJ271" i="4"/>
  <c r="AK271" i="4"/>
  <c r="AD272" i="4"/>
  <c r="AE272" i="4"/>
  <c r="AG272" i="4"/>
  <c r="AH272" i="4"/>
  <c r="AJ272" i="4"/>
  <c r="AK272" i="4"/>
  <c r="AD273" i="4"/>
  <c r="AE273" i="4"/>
  <c r="AG273" i="4"/>
  <c r="AH273" i="4"/>
  <c r="AJ273" i="4"/>
  <c r="AK273" i="4"/>
  <c r="AD274" i="4"/>
  <c r="AE274" i="4"/>
  <c r="AG274" i="4"/>
  <c r="AH274" i="4"/>
  <c r="AJ274" i="4"/>
  <c r="AK274" i="4"/>
  <c r="AD275" i="4"/>
  <c r="AE275" i="4"/>
  <c r="AG275" i="4"/>
  <c r="AH275" i="4"/>
  <c r="AJ275" i="4"/>
  <c r="AK275" i="4"/>
  <c r="AD276" i="4"/>
  <c r="AE276" i="4"/>
  <c r="AG276" i="4"/>
  <c r="AH276" i="4"/>
  <c r="AJ276" i="4"/>
  <c r="AK276" i="4"/>
  <c r="AD277" i="4"/>
  <c r="AE277" i="4"/>
  <c r="AG277" i="4"/>
  <c r="AH277" i="4"/>
  <c r="AJ277" i="4"/>
  <c r="AK277" i="4"/>
  <c r="AD278" i="4"/>
  <c r="AE278" i="4"/>
  <c r="AG278" i="4"/>
  <c r="AH278" i="4"/>
  <c r="AJ278" i="4"/>
  <c r="AK278" i="4"/>
  <c r="AD279" i="4"/>
  <c r="AE279" i="4"/>
  <c r="AG279" i="4"/>
  <c r="AH279" i="4"/>
  <c r="AJ279" i="4"/>
  <c r="AK279" i="4"/>
  <c r="AD280" i="4"/>
  <c r="AE280" i="4"/>
  <c r="AG280" i="4"/>
  <c r="AH280" i="4"/>
  <c r="AJ280" i="4"/>
  <c r="AK280" i="4"/>
  <c r="AD281" i="4"/>
  <c r="AE281" i="4"/>
  <c r="AG281" i="4"/>
  <c r="AH281" i="4"/>
  <c r="AJ281" i="4"/>
  <c r="AK281" i="4"/>
  <c r="AD282" i="4"/>
  <c r="AE282" i="4"/>
  <c r="AG282" i="4"/>
  <c r="AH282" i="4"/>
  <c r="AJ282" i="4"/>
  <c r="AK282" i="4"/>
  <c r="AD283" i="4"/>
  <c r="AE283" i="4"/>
  <c r="AG283" i="4"/>
  <c r="AH283" i="4"/>
  <c r="AJ283" i="4"/>
  <c r="AK283" i="4"/>
  <c r="AD284" i="4"/>
  <c r="AE284" i="4"/>
  <c r="AG284" i="4"/>
  <c r="AH284" i="4"/>
  <c r="AJ284" i="4"/>
  <c r="AK284" i="4"/>
  <c r="AD285" i="4"/>
  <c r="AE285" i="4"/>
  <c r="AG285" i="4"/>
  <c r="AH285" i="4"/>
  <c r="AJ285" i="4"/>
  <c r="AK285" i="4"/>
  <c r="AD286" i="4"/>
  <c r="AE286" i="4"/>
  <c r="AG286" i="4"/>
  <c r="AH286" i="4"/>
  <c r="AJ286" i="4"/>
  <c r="AK286" i="4"/>
  <c r="AD287" i="4"/>
  <c r="AE287" i="4"/>
  <c r="AG287" i="4"/>
  <c r="AH287" i="4"/>
  <c r="AJ287" i="4"/>
  <c r="AK287" i="4"/>
  <c r="AD288" i="4"/>
  <c r="AE288" i="4"/>
  <c r="AG288" i="4"/>
  <c r="AH288" i="4"/>
  <c r="AJ288" i="4"/>
  <c r="AK288" i="4"/>
  <c r="AD289" i="4"/>
  <c r="AE289" i="4"/>
  <c r="AG289" i="4"/>
  <c r="AH289" i="4"/>
  <c r="AJ289" i="4"/>
  <c r="AK289" i="4"/>
  <c r="AD290" i="4"/>
  <c r="AE290" i="4"/>
  <c r="AG290" i="4"/>
  <c r="AH290" i="4"/>
  <c r="AJ290" i="4"/>
  <c r="AK290" i="4"/>
  <c r="AD291" i="4"/>
  <c r="AE291" i="4"/>
  <c r="AG291" i="4"/>
  <c r="AH291" i="4"/>
  <c r="AJ291" i="4"/>
  <c r="AK291" i="4"/>
  <c r="AD292" i="4"/>
  <c r="AE292" i="4"/>
  <c r="AG292" i="4"/>
  <c r="AH292" i="4"/>
  <c r="AJ292" i="4"/>
  <c r="AK292" i="4"/>
  <c r="AD293" i="4"/>
  <c r="AE293" i="4"/>
  <c r="AG293" i="4"/>
  <c r="AH293" i="4"/>
  <c r="AJ293" i="4"/>
  <c r="AK293" i="4"/>
  <c r="AD294" i="4"/>
  <c r="AE294" i="4"/>
  <c r="AG294" i="4"/>
  <c r="AH294" i="4"/>
  <c r="AJ294" i="4"/>
  <c r="AK294" i="4"/>
  <c r="AD295" i="4"/>
  <c r="AE295" i="4"/>
  <c r="AG295" i="4"/>
  <c r="AH295" i="4"/>
  <c r="AJ295" i="4"/>
  <c r="AK295" i="4"/>
  <c r="AK3" i="4"/>
  <c r="AJ3" i="4"/>
  <c r="AH3" i="4"/>
  <c r="AG3" i="4"/>
  <c r="AE3" i="4"/>
  <c r="AD3" i="4"/>
  <c r="U4" i="4"/>
  <c r="V4" i="4"/>
  <c r="X4" i="4"/>
  <c r="Y4" i="4"/>
  <c r="AA4" i="4"/>
  <c r="AB4" i="4"/>
  <c r="U5" i="4"/>
  <c r="V5" i="4"/>
  <c r="X5" i="4"/>
  <c r="Y5" i="4"/>
  <c r="AA5" i="4"/>
  <c r="AB5" i="4"/>
  <c r="U6" i="4"/>
  <c r="V6" i="4"/>
  <c r="X6" i="4"/>
  <c r="Y6" i="4"/>
  <c r="AA6" i="4"/>
  <c r="AB6" i="4"/>
  <c r="U7" i="4"/>
  <c r="V7" i="4"/>
  <c r="X7" i="4"/>
  <c r="Y7" i="4"/>
  <c r="AA7" i="4"/>
  <c r="AB7" i="4"/>
  <c r="U8" i="4"/>
  <c r="V8" i="4"/>
  <c r="X8" i="4"/>
  <c r="Y8" i="4"/>
  <c r="AA8" i="4"/>
  <c r="AB8" i="4"/>
  <c r="U9" i="4"/>
  <c r="V9" i="4"/>
  <c r="X9" i="4"/>
  <c r="Y9" i="4"/>
  <c r="AA9" i="4"/>
  <c r="AB9" i="4"/>
  <c r="U10" i="4"/>
  <c r="V10" i="4"/>
  <c r="X10" i="4"/>
  <c r="Y10" i="4"/>
  <c r="AA10" i="4"/>
  <c r="AB10" i="4"/>
  <c r="U11" i="4"/>
  <c r="V11" i="4"/>
  <c r="X11" i="4"/>
  <c r="Y11" i="4"/>
  <c r="AA11" i="4"/>
  <c r="AB11" i="4"/>
  <c r="U12" i="4"/>
  <c r="V12" i="4"/>
  <c r="X12" i="4"/>
  <c r="Y12" i="4"/>
  <c r="AA12" i="4"/>
  <c r="AB12" i="4"/>
  <c r="U13" i="4"/>
  <c r="V13" i="4"/>
  <c r="X13" i="4"/>
  <c r="Y13" i="4"/>
  <c r="AA13" i="4"/>
  <c r="AB13" i="4"/>
  <c r="U14" i="4"/>
  <c r="V14" i="4"/>
  <c r="X14" i="4"/>
  <c r="Y14" i="4"/>
  <c r="AA14" i="4"/>
  <c r="AB14" i="4"/>
  <c r="U15" i="4"/>
  <c r="V15" i="4"/>
  <c r="X15" i="4"/>
  <c r="Y15" i="4"/>
  <c r="AA15" i="4"/>
  <c r="AB15" i="4"/>
  <c r="U16" i="4"/>
  <c r="V16" i="4"/>
  <c r="X16" i="4"/>
  <c r="Y16" i="4"/>
  <c r="AA16" i="4"/>
  <c r="AB16" i="4"/>
  <c r="U17" i="4"/>
  <c r="V17" i="4"/>
  <c r="X17" i="4"/>
  <c r="Y17" i="4"/>
  <c r="AA17" i="4"/>
  <c r="AB17" i="4"/>
  <c r="U18" i="4"/>
  <c r="V18" i="4"/>
  <c r="X18" i="4"/>
  <c r="Y18" i="4"/>
  <c r="AA18" i="4"/>
  <c r="AB18" i="4"/>
  <c r="U19" i="4"/>
  <c r="V19" i="4"/>
  <c r="X19" i="4"/>
  <c r="Y19" i="4"/>
  <c r="AA19" i="4"/>
  <c r="AB19" i="4"/>
  <c r="U20" i="4"/>
  <c r="V20" i="4"/>
  <c r="X20" i="4"/>
  <c r="Y20" i="4"/>
  <c r="AA20" i="4"/>
  <c r="AB20" i="4"/>
  <c r="U21" i="4"/>
  <c r="V21" i="4"/>
  <c r="X21" i="4"/>
  <c r="Y21" i="4"/>
  <c r="AA21" i="4"/>
  <c r="AB21" i="4"/>
  <c r="U22" i="4"/>
  <c r="V22" i="4"/>
  <c r="X22" i="4"/>
  <c r="Y22" i="4"/>
  <c r="AA22" i="4"/>
  <c r="AB22" i="4"/>
  <c r="U23" i="4"/>
  <c r="V23" i="4"/>
  <c r="X23" i="4"/>
  <c r="Y23" i="4"/>
  <c r="AA23" i="4"/>
  <c r="AB23" i="4"/>
  <c r="U24" i="4"/>
  <c r="V24" i="4"/>
  <c r="X24" i="4"/>
  <c r="Y24" i="4"/>
  <c r="AA24" i="4"/>
  <c r="AB24" i="4"/>
  <c r="U25" i="4"/>
  <c r="V25" i="4"/>
  <c r="X25" i="4"/>
  <c r="Y25" i="4"/>
  <c r="AA25" i="4"/>
  <c r="AB25" i="4"/>
  <c r="U26" i="4"/>
  <c r="V26" i="4"/>
  <c r="X26" i="4"/>
  <c r="Y26" i="4"/>
  <c r="AA26" i="4"/>
  <c r="AB26" i="4"/>
  <c r="U27" i="4"/>
  <c r="V27" i="4"/>
  <c r="X27" i="4"/>
  <c r="Y27" i="4"/>
  <c r="AA27" i="4"/>
  <c r="AB27" i="4"/>
  <c r="U28" i="4"/>
  <c r="V28" i="4"/>
  <c r="X28" i="4"/>
  <c r="Y28" i="4"/>
  <c r="AA28" i="4"/>
  <c r="AB28" i="4"/>
  <c r="U29" i="4"/>
  <c r="V29" i="4"/>
  <c r="X29" i="4"/>
  <c r="Y29" i="4"/>
  <c r="AA29" i="4"/>
  <c r="AB29" i="4"/>
  <c r="U30" i="4"/>
  <c r="V30" i="4"/>
  <c r="X30" i="4"/>
  <c r="Y30" i="4"/>
  <c r="AA30" i="4"/>
  <c r="AB30" i="4"/>
  <c r="U31" i="4"/>
  <c r="V31" i="4"/>
  <c r="X31" i="4"/>
  <c r="Y31" i="4"/>
  <c r="AA31" i="4"/>
  <c r="AB31" i="4"/>
  <c r="U32" i="4"/>
  <c r="V32" i="4"/>
  <c r="X32" i="4"/>
  <c r="Y32" i="4"/>
  <c r="AA32" i="4"/>
  <c r="AB32" i="4"/>
  <c r="U33" i="4"/>
  <c r="V33" i="4"/>
  <c r="X33" i="4"/>
  <c r="Y33" i="4"/>
  <c r="AA33" i="4"/>
  <c r="AB33" i="4"/>
  <c r="U34" i="4"/>
  <c r="V34" i="4"/>
  <c r="X34" i="4"/>
  <c r="Y34" i="4"/>
  <c r="AA34" i="4"/>
  <c r="AB34" i="4"/>
  <c r="U35" i="4"/>
  <c r="V35" i="4"/>
  <c r="X35" i="4"/>
  <c r="Y35" i="4"/>
  <c r="AA35" i="4"/>
  <c r="AB35" i="4"/>
  <c r="U36" i="4"/>
  <c r="V36" i="4"/>
  <c r="X36" i="4"/>
  <c r="Y36" i="4"/>
  <c r="AA36" i="4"/>
  <c r="AB36" i="4"/>
  <c r="U37" i="4"/>
  <c r="V37" i="4"/>
  <c r="X37" i="4"/>
  <c r="Y37" i="4"/>
  <c r="AA37" i="4"/>
  <c r="AB37" i="4"/>
  <c r="U38" i="4"/>
  <c r="V38" i="4"/>
  <c r="X38" i="4"/>
  <c r="Y38" i="4"/>
  <c r="AA38" i="4"/>
  <c r="AB38" i="4"/>
  <c r="U39" i="4"/>
  <c r="V39" i="4"/>
  <c r="X39" i="4"/>
  <c r="Y39" i="4"/>
  <c r="AA39" i="4"/>
  <c r="AB39" i="4"/>
  <c r="U40" i="4"/>
  <c r="V40" i="4"/>
  <c r="X40" i="4"/>
  <c r="Y40" i="4"/>
  <c r="AA40" i="4"/>
  <c r="AB40" i="4"/>
  <c r="U41" i="4"/>
  <c r="V41" i="4"/>
  <c r="X41" i="4"/>
  <c r="Y41" i="4"/>
  <c r="AA41" i="4"/>
  <c r="AB41" i="4"/>
  <c r="U42" i="4"/>
  <c r="V42" i="4"/>
  <c r="X42" i="4"/>
  <c r="Y42" i="4"/>
  <c r="AA42" i="4"/>
  <c r="AB42" i="4"/>
  <c r="U43" i="4"/>
  <c r="V43" i="4"/>
  <c r="X43" i="4"/>
  <c r="Y43" i="4"/>
  <c r="AA43" i="4"/>
  <c r="AB43" i="4"/>
  <c r="U44" i="4"/>
  <c r="V44" i="4"/>
  <c r="X44" i="4"/>
  <c r="Y44" i="4"/>
  <c r="AA44" i="4"/>
  <c r="AB44" i="4"/>
  <c r="U45" i="4"/>
  <c r="V45" i="4"/>
  <c r="X45" i="4"/>
  <c r="Y45" i="4"/>
  <c r="AA45" i="4"/>
  <c r="AB45" i="4"/>
  <c r="U46" i="4"/>
  <c r="V46" i="4"/>
  <c r="X46" i="4"/>
  <c r="Y46" i="4"/>
  <c r="AA46" i="4"/>
  <c r="AB46" i="4"/>
  <c r="U47" i="4"/>
  <c r="V47" i="4"/>
  <c r="X47" i="4"/>
  <c r="Y47" i="4"/>
  <c r="AA47" i="4"/>
  <c r="AB47" i="4"/>
  <c r="U48" i="4"/>
  <c r="V48" i="4"/>
  <c r="X48" i="4"/>
  <c r="Y48" i="4"/>
  <c r="AA48" i="4"/>
  <c r="AB48" i="4"/>
  <c r="U49" i="4"/>
  <c r="V49" i="4"/>
  <c r="X49" i="4"/>
  <c r="Y49" i="4"/>
  <c r="AA49" i="4"/>
  <c r="AB49" i="4"/>
  <c r="U50" i="4"/>
  <c r="V50" i="4"/>
  <c r="X50" i="4"/>
  <c r="Y50" i="4"/>
  <c r="AA50" i="4"/>
  <c r="AB50" i="4"/>
  <c r="U51" i="4"/>
  <c r="V51" i="4"/>
  <c r="X51" i="4"/>
  <c r="Y51" i="4"/>
  <c r="AA51" i="4"/>
  <c r="AB51" i="4"/>
  <c r="U52" i="4"/>
  <c r="V52" i="4"/>
  <c r="X52" i="4"/>
  <c r="Y52" i="4"/>
  <c r="AA52" i="4"/>
  <c r="AB52" i="4"/>
  <c r="U53" i="4"/>
  <c r="V53" i="4"/>
  <c r="X53" i="4"/>
  <c r="Y53" i="4"/>
  <c r="AA53" i="4"/>
  <c r="AB53" i="4"/>
  <c r="U54" i="4"/>
  <c r="V54" i="4"/>
  <c r="X54" i="4"/>
  <c r="Y54" i="4"/>
  <c r="AA54" i="4"/>
  <c r="AB54" i="4"/>
  <c r="U55" i="4"/>
  <c r="V55" i="4"/>
  <c r="X55" i="4"/>
  <c r="Y55" i="4"/>
  <c r="AA55" i="4"/>
  <c r="AB55" i="4"/>
  <c r="U56" i="4"/>
  <c r="V56" i="4"/>
  <c r="X56" i="4"/>
  <c r="Y56" i="4"/>
  <c r="AA56" i="4"/>
  <c r="AB56" i="4"/>
  <c r="U57" i="4"/>
  <c r="V57" i="4"/>
  <c r="X57" i="4"/>
  <c r="Y57" i="4"/>
  <c r="AA57" i="4"/>
  <c r="AB57" i="4"/>
  <c r="U58" i="4"/>
  <c r="V58" i="4"/>
  <c r="X58" i="4"/>
  <c r="Y58" i="4"/>
  <c r="AA58" i="4"/>
  <c r="AB58" i="4"/>
  <c r="U59" i="4"/>
  <c r="V59" i="4"/>
  <c r="X59" i="4"/>
  <c r="Y59" i="4"/>
  <c r="AA59" i="4"/>
  <c r="AB59" i="4"/>
  <c r="U60" i="4"/>
  <c r="V60" i="4"/>
  <c r="X60" i="4"/>
  <c r="Y60" i="4"/>
  <c r="AA60" i="4"/>
  <c r="AB60" i="4"/>
  <c r="U61" i="4"/>
  <c r="V61" i="4"/>
  <c r="X61" i="4"/>
  <c r="Y61" i="4"/>
  <c r="AA61" i="4"/>
  <c r="AB61" i="4"/>
  <c r="U62" i="4"/>
  <c r="V62" i="4"/>
  <c r="X62" i="4"/>
  <c r="Y62" i="4"/>
  <c r="AA62" i="4"/>
  <c r="AB62" i="4"/>
  <c r="U63" i="4"/>
  <c r="V63" i="4"/>
  <c r="X63" i="4"/>
  <c r="Y63" i="4"/>
  <c r="AA63" i="4"/>
  <c r="AB63" i="4"/>
  <c r="U64" i="4"/>
  <c r="V64" i="4"/>
  <c r="X64" i="4"/>
  <c r="Y64" i="4"/>
  <c r="AA64" i="4"/>
  <c r="AB64" i="4"/>
  <c r="U65" i="4"/>
  <c r="V65" i="4"/>
  <c r="X65" i="4"/>
  <c r="Y65" i="4"/>
  <c r="AA65" i="4"/>
  <c r="AB65" i="4"/>
  <c r="U66" i="4"/>
  <c r="V66" i="4"/>
  <c r="X66" i="4"/>
  <c r="Y66" i="4"/>
  <c r="AA66" i="4"/>
  <c r="AB66" i="4"/>
  <c r="U67" i="4"/>
  <c r="V67" i="4"/>
  <c r="X67" i="4"/>
  <c r="Y67" i="4"/>
  <c r="AA67" i="4"/>
  <c r="AB67" i="4"/>
  <c r="U68" i="4"/>
  <c r="V68" i="4"/>
  <c r="X68" i="4"/>
  <c r="Y68" i="4"/>
  <c r="AA68" i="4"/>
  <c r="AB68" i="4"/>
  <c r="U69" i="4"/>
  <c r="V69" i="4"/>
  <c r="X69" i="4"/>
  <c r="Y69" i="4"/>
  <c r="AA69" i="4"/>
  <c r="AB69" i="4"/>
  <c r="U70" i="4"/>
  <c r="V70" i="4"/>
  <c r="X70" i="4"/>
  <c r="Y70" i="4"/>
  <c r="AA70" i="4"/>
  <c r="AB70" i="4"/>
  <c r="U71" i="4"/>
  <c r="V71" i="4"/>
  <c r="X71" i="4"/>
  <c r="Y71" i="4"/>
  <c r="AA71" i="4"/>
  <c r="AB71" i="4"/>
  <c r="U72" i="4"/>
  <c r="V72" i="4"/>
  <c r="X72" i="4"/>
  <c r="Y72" i="4"/>
  <c r="AA72" i="4"/>
  <c r="AB72" i="4"/>
  <c r="U73" i="4"/>
  <c r="V73" i="4"/>
  <c r="X73" i="4"/>
  <c r="Y73" i="4"/>
  <c r="AA73" i="4"/>
  <c r="AB73" i="4"/>
  <c r="U74" i="4"/>
  <c r="V74" i="4"/>
  <c r="X74" i="4"/>
  <c r="Y74" i="4"/>
  <c r="AA74" i="4"/>
  <c r="AB74" i="4"/>
  <c r="U75" i="4"/>
  <c r="V75" i="4"/>
  <c r="X75" i="4"/>
  <c r="Y75" i="4"/>
  <c r="AA75" i="4"/>
  <c r="AB75" i="4"/>
  <c r="U76" i="4"/>
  <c r="V76" i="4"/>
  <c r="X76" i="4"/>
  <c r="Y76" i="4"/>
  <c r="AA76" i="4"/>
  <c r="AB76" i="4"/>
  <c r="U77" i="4"/>
  <c r="V77" i="4"/>
  <c r="X77" i="4"/>
  <c r="Y77" i="4"/>
  <c r="AA77" i="4"/>
  <c r="AB77" i="4"/>
  <c r="U78" i="4"/>
  <c r="V78" i="4"/>
  <c r="X78" i="4"/>
  <c r="Y78" i="4"/>
  <c r="AA78" i="4"/>
  <c r="AB78" i="4"/>
  <c r="U79" i="4"/>
  <c r="V79" i="4"/>
  <c r="X79" i="4"/>
  <c r="Y79" i="4"/>
  <c r="AA79" i="4"/>
  <c r="AB79" i="4"/>
  <c r="U80" i="4"/>
  <c r="V80" i="4"/>
  <c r="X80" i="4"/>
  <c r="Y80" i="4"/>
  <c r="AA80" i="4"/>
  <c r="AB80" i="4"/>
  <c r="U81" i="4"/>
  <c r="V81" i="4"/>
  <c r="X81" i="4"/>
  <c r="Y81" i="4"/>
  <c r="AA81" i="4"/>
  <c r="AB81" i="4"/>
  <c r="U82" i="4"/>
  <c r="V82" i="4"/>
  <c r="X82" i="4"/>
  <c r="Y82" i="4"/>
  <c r="AA82" i="4"/>
  <c r="AB82" i="4"/>
  <c r="U83" i="4"/>
  <c r="V83" i="4"/>
  <c r="X83" i="4"/>
  <c r="Y83" i="4"/>
  <c r="AA83" i="4"/>
  <c r="AB83" i="4"/>
  <c r="U84" i="4"/>
  <c r="V84" i="4"/>
  <c r="X84" i="4"/>
  <c r="Y84" i="4"/>
  <c r="AA84" i="4"/>
  <c r="AB84" i="4"/>
  <c r="U85" i="4"/>
  <c r="V85" i="4"/>
  <c r="X85" i="4"/>
  <c r="Y85" i="4"/>
  <c r="AA85" i="4"/>
  <c r="AB85" i="4"/>
  <c r="U86" i="4"/>
  <c r="V86" i="4"/>
  <c r="X86" i="4"/>
  <c r="Y86" i="4"/>
  <c r="AA86" i="4"/>
  <c r="AB86" i="4"/>
  <c r="U87" i="4"/>
  <c r="V87" i="4"/>
  <c r="X87" i="4"/>
  <c r="Y87" i="4"/>
  <c r="AA87" i="4"/>
  <c r="AB87" i="4"/>
  <c r="U88" i="4"/>
  <c r="V88" i="4"/>
  <c r="X88" i="4"/>
  <c r="Y88" i="4"/>
  <c r="AA88" i="4"/>
  <c r="AB88" i="4"/>
  <c r="U89" i="4"/>
  <c r="V89" i="4"/>
  <c r="X89" i="4"/>
  <c r="Y89" i="4"/>
  <c r="AA89" i="4"/>
  <c r="AB89" i="4"/>
  <c r="U90" i="4"/>
  <c r="V90" i="4"/>
  <c r="X90" i="4"/>
  <c r="Y90" i="4"/>
  <c r="AA90" i="4"/>
  <c r="AB90" i="4"/>
  <c r="U91" i="4"/>
  <c r="V91" i="4"/>
  <c r="X91" i="4"/>
  <c r="Y91" i="4"/>
  <c r="AA91" i="4"/>
  <c r="AB91" i="4"/>
  <c r="U92" i="4"/>
  <c r="V92" i="4"/>
  <c r="X92" i="4"/>
  <c r="Y92" i="4"/>
  <c r="AA92" i="4"/>
  <c r="AB92" i="4"/>
  <c r="U93" i="4"/>
  <c r="V93" i="4"/>
  <c r="X93" i="4"/>
  <c r="Y93" i="4"/>
  <c r="AA93" i="4"/>
  <c r="AB93" i="4"/>
  <c r="U94" i="4"/>
  <c r="V94" i="4"/>
  <c r="X94" i="4"/>
  <c r="Y94" i="4"/>
  <c r="AA94" i="4"/>
  <c r="AB94" i="4"/>
  <c r="U95" i="4"/>
  <c r="V95" i="4"/>
  <c r="X95" i="4"/>
  <c r="Y95" i="4"/>
  <c r="AA95" i="4"/>
  <c r="AB95" i="4"/>
  <c r="U96" i="4"/>
  <c r="V96" i="4"/>
  <c r="X96" i="4"/>
  <c r="Y96" i="4"/>
  <c r="AA96" i="4"/>
  <c r="AB96" i="4"/>
  <c r="U97" i="4"/>
  <c r="V97" i="4"/>
  <c r="X97" i="4"/>
  <c r="Y97" i="4"/>
  <c r="AA97" i="4"/>
  <c r="AB97" i="4"/>
  <c r="U98" i="4"/>
  <c r="V98" i="4"/>
  <c r="X98" i="4"/>
  <c r="Y98" i="4"/>
  <c r="AA98" i="4"/>
  <c r="AB98" i="4"/>
  <c r="U99" i="4"/>
  <c r="V99" i="4"/>
  <c r="X99" i="4"/>
  <c r="Y99" i="4"/>
  <c r="AA99" i="4"/>
  <c r="AB99" i="4"/>
  <c r="U100" i="4"/>
  <c r="V100" i="4"/>
  <c r="X100" i="4"/>
  <c r="Y100" i="4"/>
  <c r="AA100" i="4"/>
  <c r="AB100" i="4"/>
  <c r="U101" i="4"/>
  <c r="V101" i="4"/>
  <c r="X101" i="4"/>
  <c r="Y101" i="4"/>
  <c r="AA101" i="4"/>
  <c r="AB101" i="4"/>
  <c r="U102" i="4"/>
  <c r="V102" i="4"/>
  <c r="X102" i="4"/>
  <c r="Y102" i="4"/>
  <c r="AA102" i="4"/>
  <c r="AB102" i="4"/>
  <c r="U103" i="4"/>
  <c r="V103" i="4"/>
  <c r="X103" i="4"/>
  <c r="Y103" i="4"/>
  <c r="AA103" i="4"/>
  <c r="AB103" i="4"/>
  <c r="U104" i="4"/>
  <c r="V104" i="4"/>
  <c r="X104" i="4"/>
  <c r="Y104" i="4"/>
  <c r="AA104" i="4"/>
  <c r="AB104" i="4"/>
  <c r="U105" i="4"/>
  <c r="V105" i="4"/>
  <c r="X105" i="4"/>
  <c r="Y105" i="4"/>
  <c r="AA105" i="4"/>
  <c r="AB105" i="4"/>
  <c r="U106" i="4"/>
  <c r="V106" i="4"/>
  <c r="X106" i="4"/>
  <c r="Y106" i="4"/>
  <c r="AA106" i="4"/>
  <c r="AB106" i="4"/>
  <c r="U107" i="4"/>
  <c r="V107" i="4"/>
  <c r="X107" i="4"/>
  <c r="Y107" i="4"/>
  <c r="AA107" i="4"/>
  <c r="AB107" i="4"/>
  <c r="U108" i="4"/>
  <c r="V108" i="4"/>
  <c r="X108" i="4"/>
  <c r="Y108" i="4"/>
  <c r="AA108" i="4"/>
  <c r="AB108" i="4"/>
  <c r="U109" i="4"/>
  <c r="V109" i="4"/>
  <c r="X109" i="4"/>
  <c r="Y109" i="4"/>
  <c r="AA109" i="4"/>
  <c r="AB109" i="4"/>
  <c r="U110" i="4"/>
  <c r="V110" i="4"/>
  <c r="X110" i="4"/>
  <c r="Y110" i="4"/>
  <c r="AA110" i="4"/>
  <c r="AB110" i="4"/>
  <c r="U111" i="4"/>
  <c r="V111" i="4"/>
  <c r="X111" i="4"/>
  <c r="Y111" i="4"/>
  <c r="AA111" i="4"/>
  <c r="AB111" i="4"/>
  <c r="U112" i="4"/>
  <c r="V112" i="4"/>
  <c r="X112" i="4"/>
  <c r="Y112" i="4"/>
  <c r="AA112" i="4"/>
  <c r="AB112" i="4"/>
  <c r="U113" i="4"/>
  <c r="V113" i="4"/>
  <c r="X113" i="4"/>
  <c r="Y113" i="4"/>
  <c r="AA113" i="4"/>
  <c r="AB113" i="4"/>
  <c r="U114" i="4"/>
  <c r="V114" i="4"/>
  <c r="X114" i="4"/>
  <c r="Y114" i="4"/>
  <c r="AA114" i="4"/>
  <c r="AB114" i="4"/>
  <c r="U115" i="4"/>
  <c r="V115" i="4"/>
  <c r="X115" i="4"/>
  <c r="Y115" i="4"/>
  <c r="AA115" i="4"/>
  <c r="AB115" i="4"/>
  <c r="U116" i="4"/>
  <c r="V116" i="4"/>
  <c r="X116" i="4"/>
  <c r="Y116" i="4"/>
  <c r="AA116" i="4"/>
  <c r="AB116" i="4"/>
  <c r="U117" i="4"/>
  <c r="V117" i="4"/>
  <c r="X117" i="4"/>
  <c r="Y117" i="4"/>
  <c r="AA117" i="4"/>
  <c r="AB117" i="4"/>
  <c r="U118" i="4"/>
  <c r="V118" i="4"/>
  <c r="X118" i="4"/>
  <c r="Y118" i="4"/>
  <c r="AA118" i="4"/>
  <c r="AB118" i="4"/>
  <c r="U119" i="4"/>
  <c r="V119" i="4"/>
  <c r="X119" i="4"/>
  <c r="Y119" i="4"/>
  <c r="AA119" i="4"/>
  <c r="AB119" i="4"/>
  <c r="U120" i="4"/>
  <c r="V120" i="4"/>
  <c r="X120" i="4"/>
  <c r="Y120" i="4"/>
  <c r="AA120" i="4"/>
  <c r="AB120" i="4"/>
  <c r="U121" i="4"/>
  <c r="V121" i="4"/>
  <c r="X121" i="4"/>
  <c r="Y121" i="4"/>
  <c r="AA121" i="4"/>
  <c r="AB121" i="4"/>
  <c r="U122" i="4"/>
  <c r="V122" i="4"/>
  <c r="X122" i="4"/>
  <c r="Y122" i="4"/>
  <c r="AA122" i="4"/>
  <c r="AB122" i="4"/>
  <c r="U123" i="4"/>
  <c r="V123" i="4"/>
  <c r="X123" i="4"/>
  <c r="Y123" i="4"/>
  <c r="AA123" i="4"/>
  <c r="AB123" i="4"/>
  <c r="U124" i="4"/>
  <c r="V124" i="4"/>
  <c r="X124" i="4"/>
  <c r="Y124" i="4"/>
  <c r="AA124" i="4"/>
  <c r="AB124" i="4"/>
  <c r="U125" i="4"/>
  <c r="V125" i="4"/>
  <c r="X125" i="4"/>
  <c r="Y125" i="4"/>
  <c r="AA125" i="4"/>
  <c r="AB125" i="4"/>
  <c r="U126" i="4"/>
  <c r="V126" i="4"/>
  <c r="X126" i="4"/>
  <c r="Y126" i="4"/>
  <c r="AA126" i="4"/>
  <c r="AB126" i="4"/>
  <c r="U127" i="4"/>
  <c r="V127" i="4"/>
  <c r="X127" i="4"/>
  <c r="Y127" i="4"/>
  <c r="AA127" i="4"/>
  <c r="AB127" i="4"/>
  <c r="U128" i="4"/>
  <c r="V128" i="4"/>
  <c r="X128" i="4"/>
  <c r="Y128" i="4"/>
  <c r="AA128" i="4"/>
  <c r="AB128" i="4"/>
  <c r="U129" i="4"/>
  <c r="V129" i="4"/>
  <c r="X129" i="4"/>
  <c r="Y129" i="4"/>
  <c r="AA129" i="4"/>
  <c r="AB129" i="4"/>
  <c r="U130" i="4"/>
  <c r="V130" i="4"/>
  <c r="X130" i="4"/>
  <c r="Y130" i="4"/>
  <c r="AA130" i="4"/>
  <c r="AB130" i="4"/>
  <c r="U131" i="4"/>
  <c r="V131" i="4"/>
  <c r="X131" i="4"/>
  <c r="Y131" i="4"/>
  <c r="AA131" i="4"/>
  <c r="AB131" i="4"/>
  <c r="U132" i="4"/>
  <c r="V132" i="4"/>
  <c r="X132" i="4"/>
  <c r="Y132" i="4"/>
  <c r="AA132" i="4"/>
  <c r="AB132" i="4"/>
  <c r="U133" i="4"/>
  <c r="V133" i="4"/>
  <c r="X133" i="4"/>
  <c r="Y133" i="4"/>
  <c r="AA133" i="4"/>
  <c r="AB133" i="4"/>
  <c r="U134" i="4"/>
  <c r="V134" i="4"/>
  <c r="X134" i="4"/>
  <c r="Y134" i="4"/>
  <c r="AA134" i="4"/>
  <c r="AB134" i="4"/>
  <c r="U135" i="4"/>
  <c r="V135" i="4"/>
  <c r="X135" i="4"/>
  <c r="Y135" i="4"/>
  <c r="AA135" i="4"/>
  <c r="AB135" i="4"/>
  <c r="U136" i="4"/>
  <c r="V136" i="4"/>
  <c r="X136" i="4"/>
  <c r="Y136" i="4"/>
  <c r="AA136" i="4"/>
  <c r="AB136" i="4"/>
  <c r="U137" i="4"/>
  <c r="V137" i="4"/>
  <c r="X137" i="4"/>
  <c r="Y137" i="4"/>
  <c r="AA137" i="4"/>
  <c r="AB137" i="4"/>
  <c r="U138" i="4"/>
  <c r="V138" i="4"/>
  <c r="X138" i="4"/>
  <c r="Y138" i="4"/>
  <c r="AA138" i="4"/>
  <c r="AB138" i="4"/>
  <c r="U139" i="4"/>
  <c r="V139" i="4"/>
  <c r="X139" i="4"/>
  <c r="Y139" i="4"/>
  <c r="AA139" i="4"/>
  <c r="AB139" i="4"/>
  <c r="U140" i="4"/>
  <c r="V140" i="4"/>
  <c r="X140" i="4"/>
  <c r="Y140" i="4"/>
  <c r="AA140" i="4"/>
  <c r="AB140" i="4"/>
  <c r="U141" i="4"/>
  <c r="V141" i="4"/>
  <c r="X141" i="4"/>
  <c r="Y141" i="4"/>
  <c r="AA141" i="4"/>
  <c r="AB141" i="4"/>
  <c r="U142" i="4"/>
  <c r="V142" i="4"/>
  <c r="X142" i="4"/>
  <c r="Y142" i="4"/>
  <c r="AA142" i="4"/>
  <c r="AB142" i="4"/>
  <c r="U143" i="4"/>
  <c r="V143" i="4"/>
  <c r="X143" i="4"/>
  <c r="Y143" i="4"/>
  <c r="AA143" i="4"/>
  <c r="AB143" i="4"/>
  <c r="U144" i="4"/>
  <c r="V144" i="4"/>
  <c r="X144" i="4"/>
  <c r="Y144" i="4"/>
  <c r="AA144" i="4"/>
  <c r="AB144" i="4"/>
  <c r="U145" i="4"/>
  <c r="V145" i="4"/>
  <c r="X145" i="4"/>
  <c r="Y145" i="4"/>
  <c r="AA145" i="4"/>
  <c r="AB145" i="4"/>
  <c r="U146" i="4"/>
  <c r="V146" i="4"/>
  <c r="X146" i="4"/>
  <c r="Y146" i="4"/>
  <c r="AA146" i="4"/>
  <c r="AB146" i="4"/>
  <c r="U147" i="4"/>
  <c r="V147" i="4"/>
  <c r="X147" i="4"/>
  <c r="Y147" i="4"/>
  <c r="AA147" i="4"/>
  <c r="AB147" i="4"/>
  <c r="U148" i="4"/>
  <c r="V148" i="4"/>
  <c r="X148" i="4"/>
  <c r="Y148" i="4"/>
  <c r="AA148" i="4"/>
  <c r="AB148" i="4"/>
  <c r="U149" i="4"/>
  <c r="V149" i="4"/>
  <c r="X149" i="4"/>
  <c r="Y149" i="4"/>
  <c r="AA149" i="4"/>
  <c r="AB149" i="4"/>
  <c r="U150" i="4"/>
  <c r="V150" i="4"/>
  <c r="X150" i="4"/>
  <c r="Y150" i="4"/>
  <c r="AA150" i="4"/>
  <c r="AB150" i="4"/>
  <c r="U151" i="4"/>
  <c r="V151" i="4"/>
  <c r="X151" i="4"/>
  <c r="Y151" i="4"/>
  <c r="AA151" i="4"/>
  <c r="AB151" i="4"/>
  <c r="U152" i="4"/>
  <c r="V152" i="4"/>
  <c r="X152" i="4"/>
  <c r="Y152" i="4"/>
  <c r="AA152" i="4"/>
  <c r="AB152" i="4"/>
  <c r="U153" i="4"/>
  <c r="V153" i="4"/>
  <c r="X153" i="4"/>
  <c r="Y153" i="4"/>
  <c r="AA153" i="4"/>
  <c r="AB153" i="4"/>
  <c r="U154" i="4"/>
  <c r="V154" i="4"/>
  <c r="X154" i="4"/>
  <c r="Y154" i="4"/>
  <c r="AA154" i="4"/>
  <c r="AB154" i="4"/>
  <c r="U155" i="4"/>
  <c r="V155" i="4"/>
  <c r="X155" i="4"/>
  <c r="Y155" i="4"/>
  <c r="AA155" i="4"/>
  <c r="AB155" i="4"/>
  <c r="U156" i="4"/>
  <c r="V156" i="4"/>
  <c r="X156" i="4"/>
  <c r="Y156" i="4"/>
  <c r="AA156" i="4"/>
  <c r="AB156" i="4"/>
  <c r="U157" i="4"/>
  <c r="V157" i="4"/>
  <c r="X157" i="4"/>
  <c r="Y157" i="4"/>
  <c r="AA157" i="4"/>
  <c r="AB157" i="4"/>
  <c r="U158" i="4"/>
  <c r="V158" i="4"/>
  <c r="X158" i="4"/>
  <c r="Y158" i="4"/>
  <c r="AA158" i="4"/>
  <c r="AB158" i="4"/>
  <c r="U159" i="4"/>
  <c r="V159" i="4"/>
  <c r="X159" i="4"/>
  <c r="Y159" i="4"/>
  <c r="AA159" i="4"/>
  <c r="AB159" i="4"/>
  <c r="U160" i="4"/>
  <c r="V160" i="4"/>
  <c r="X160" i="4"/>
  <c r="Y160" i="4"/>
  <c r="AA160" i="4"/>
  <c r="AB160" i="4"/>
  <c r="U161" i="4"/>
  <c r="V161" i="4"/>
  <c r="X161" i="4"/>
  <c r="Y161" i="4"/>
  <c r="AA161" i="4"/>
  <c r="AB161" i="4"/>
  <c r="U162" i="4"/>
  <c r="V162" i="4"/>
  <c r="X162" i="4"/>
  <c r="Y162" i="4"/>
  <c r="AA162" i="4"/>
  <c r="AB162" i="4"/>
  <c r="U163" i="4"/>
  <c r="V163" i="4"/>
  <c r="X163" i="4"/>
  <c r="Y163" i="4"/>
  <c r="AA163" i="4"/>
  <c r="AB163" i="4"/>
  <c r="U164" i="4"/>
  <c r="V164" i="4"/>
  <c r="X164" i="4"/>
  <c r="Y164" i="4"/>
  <c r="AA164" i="4"/>
  <c r="AB164" i="4"/>
  <c r="U165" i="4"/>
  <c r="V165" i="4"/>
  <c r="X165" i="4"/>
  <c r="Y165" i="4"/>
  <c r="AA165" i="4"/>
  <c r="AB165" i="4"/>
  <c r="U166" i="4"/>
  <c r="V166" i="4"/>
  <c r="X166" i="4"/>
  <c r="Y166" i="4"/>
  <c r="AA166" i="4"/>
  <c r="AB166" i="4"/>
  <c r="U167" i="4"/>
  <c r="V167" i="4"/>
  <c r="X167" i="4"/>
  <c r="Y167" i="4"/>
  <c r="AA167" i="4"/>
  <c r="AB167" i="4"/>
  <c r="U168" i="4"/>
  <c r="V168" i="4"/>
  <c r="X168" i="4"/>
  <c r="Y168" i="4"/>
  <c r="AA168" i="4"/>
  <c r="AB168" i="4"/>
  <c r="U169" i="4"/>
  <c r="V169" i="4"/>
  <c r="X169" i="4"/>
  <c r="Y169" i="4"/>
  <c r="AA169" i="4"/>
  <c r="AB169" i="4"/>
  <c r="U170" i="4"/>
  <c r="V170" i="4"/>
  <c r="X170" i="4"/>
  <c r="Y170" i="4"/>
  <c r="AA170" i="4"/>
  <c r="AB170" i="4"/>
  <c r="U171" i="4"/>
  <c r="V171" i="4"/>
  <c r="X171" i="4"/>
  <c r="Y171" i="4"/>
  <c r="AA171" i="4"/>
  <c r="AB171" i="4"/>
  <c r="U172" i="4"/>
  <c r="V172" i="4"/>
  <c r="X172" i="4"/>
  <c r="Y172" i="4"/>
  <c r="AA172" i="4"/>
  <c r="AB172" i="4"/>
  <c r="U173" i="4"/>
  <c r="V173" i="4"/>
  <c r="X173" i="4"/>
  <c r="Y173" i="4"/>
  <c r="AA173" i="4"/>
  <c r="AB173" i="4"/>
  <c r="U174" i="4"/>
  <c r="V174" i="4"/>
  <c r="X174" i="4"/>
  <c r="Y174" i="4"/>
  <c r="AA174" i="4"/>
  <c r="AB174" i="4"/>
  <c r="U175" i="4"/>
  <c r="V175" i="4"/>
  <c r="X175" i="4"/>
  <c r="Y175" i="4"/>
  <c r="AA175" i="4"/>
  <c r="AB175" i="4"/>
  <c r="U176" i="4"/>
  <c r="V176" i="4"/>
  <c r="X176" i="4"/>
  <c r="Y176" i="4"/>
  <c r="AA176" i="4"/>
  <c r="AB176" i="4"/>
  <c r="U177" i="4"/>
  <c r="V177" i="4"/>
  <c r="X177" i="4"/>
  <c r="Y177" i="4"/>
  <c r="AA177" i="4"/>
  <c r="AB177" i="4"/>
  <c r="U178" i="4"/>
  <c r="V178" i="4"/>
  <c r="X178" i="4"/>
  <c r="Y178" i="4"/>
  <c r="AA178" i="4"/>
  <c r="AB178" i="4"/>
  <c r="U179" i="4"/>
  <c r="V179" i="4"/>
  <c r="X179" i="4"/>
  <c r="Y179" i="4"/>
  <c r="AA179" i="4"/>
  <c r="AB179" i="4"/>
  <c r="U180" i="4"/>
  <c r="V180" i="4"/>
  <c r="X180" i="4"/>
  <c r="Y180" i="4"/>
  <c r="AA180" i="4"/>
  <c r="AB180" i="4"/>
  <c r="U181" i="4"/>
  <c r="V181" i="4"/>
  <c r="X181" i="4"/>
  <c r="Y181" i="4"/>
  <c r="AA181" i="4"/>
  <c r="AB181" i="4"/>
  <c r="U182" i="4"/>
  <c r="V182" i="4"/>
  <c r="X182" i="4"/>
  <c r="Y182" i="4"/>
  <c r="AA182" i="4"/>
  <c r="AB182" i="4"/>
  <c r="U183" i="4"/>
  <c r="V183" i="4"/>
  <c r="X183" i="4"/>
  <c r="Y183" i="4"/>
  <c r="AA183" i="4"/>
  <c r="AB183" i="4"/>
  <c r="U184" i="4"/>
  <c r="V184" i="4"/>
  <c r="X184" i="4"/>
  <c r="Y184" i="4"/>
  <c r="AA184" i="4"/>
  <c r="AB184" i="4"/>
  <c r="U185" i="4"/>
  <c r="V185" i="4"/>
  <c r="X185" i="4"/>
  <c r="Y185" i="4"/>
  <c r="AA185" i="4"/>
  <c r="AB185" i="4"/>
  <c r="U186" i="4"/>
  <c r="V186" i="4"/>
  <c r="X186" i="4"/>
  <c r="Y186" i="4"/>
  <c r="AA186" i="4"/>
  <c r="AB186" i="4"/>
  <c r="U187" i="4"/>
  <c r="V187" i="4"/>
  <c r="X187" i="4"/>
  <c r="Y187" i="4"/>
  <c r="AA187" i="4"/>
  <c r="AB187" i="4"/>
  <c r="U188" i="4"/>
  <c r="V188" i="4"/>
  <c r="X188" i="4"/>
  <c r="Y188" i="4"/>
  <c r="AA188" i="4"/>
  <c r="AB188" i="4"/>
  <c r="U189" i="4"/>
  <c r="V189" i="4"/>
  <c r="X189" i="4"/>
  <c r="Y189" i="4"/>
  <c r="AA189" i="4"/>
  <c r="AB189" i="4"/>
  <c r="U190" i="4"/>
  <c r="V190" i="4"/>
  <c r="X190" i="4"/>
  <c r="Y190" i="4"/>
  <c r="AA190" i="4"/>
  <c r="AB190" i="4"/>
  <c r="U191" i="4"/>
  <c r="V191" i="4"/>
  <c r="X191" i="4"/>
  <c r="Y191" i="4"/>
  <c r="AA191" i="4"/>
  <c r="AB191" i="4"/>
  <c r="U192" i="4"/>
  <c r="V192" i="4"/>
  <c r="X192" i="4"/>
  <c r="Y192" i="4"/>
  <c r="AA192" i="4"/>
  <c r="AB192" i="4"/>
  <c r="U193" i="4"/>
  <c r="V193" i="4"/>
  <c r="X193" i="4"/>
  <c r="Y193" i="4"/>
  <c r="AA193" i="4"/>
  <c r="AB193" i="4"/>
  <c r="U194" i="4"/>
  <c r="V194" i="4"/>
  <c r="X194" i="4"/>
  <c r="Y194" i="4"/>
  <c r="AA194" i="4"/>
  <c r="AB194" i="4"/>
  <c r="U195" i="4"/>
  <c r="V195" i="4"/>
  <c r="X195" i="4"/>
  <c r="Y195" i="4"/>
  <c r="AA195" i="4"/>
  <c r="AB195" i="4"/>
  <c r="U196" i="4"/>
  <c r="V196" i="4"/>
  <c r="X196" i="4"/>
  <c r="Y196" i="4"/>
  <c r="AA196" i="4"/>
  <c r="AB196" i="4"/>
  <c r="U197" i="4"/>
  <c r="V197" i="4"/>
  <c r="X197" i="4"/>
  <c r="Y197" i="4"/>
  <c r="AA197" i="4"/>
  <c r="AB197" i="4"/>
  <c r="U198" i="4"/>
  <c r="V198" i="4"/>
  <c r="X198" i="4"/>
  <c r="Y198" i="4"/>
  <c r="AA198" i="4"/>
  <c r="AB198" i="4"/>
  <c r="U199" i="4"/>
  <c r="V199" i="4"/>
  <c r="X199" i="4"/>
  <c r="Y199" i="4"/>
  <c r="AA199" i="4"/>
  <c r="AB199" i="4"/>
  <c r="U200" i="4"/>
  <c r="V200" i="4"/>
  <c r="X200" i="4"/>
  <c r="Y200" i="4"/>
  <c r="AA200" i="4"/>
  <c r="AB200" i="4"/>
  <c r="U201" i="4"/>
  <c r="V201" i="4"/>
  <c r="X201" i="4"/>
  <c r="Y201" i="4"/>
  <c r="AA201" i="4"/>
  <c r="AB201" i="4"/>
  <c r="U202" i="4"/>
  <c r="V202" i="4"/>
  <c r="X202" i="4"/>
  <c r="Y202" i="4"/>
  <c r="AA202" i="4"/>
  <c r="AB202" i="4"/>
  <c r="U203" i="4"/>
  <c r="V203" i="4"/>
  <c r="X203" i="4"/>
  <c r="Y203" i="4"/>
  <c r="AA203" i="4"/>
  <c r="AB203" i="4"/>
  <c r="U204" i="4"/>
  <c r="V204" i="4"/>
  <c r="X204" i="4"/>
  <c r="Y204" i="4"/>
  <c r="AA204" i="4"/>
  <c r="AB204" i="4"/>
  <c r="U205" i="4"/>
  <c r="V205" i="4"/>
  <c r="X205" i="4"/>
  <c r="Y205" i="4"/>
  <c r="AA205" i="4"/>
  <c r="AB205" i="4"/>
  <c r="U206" i="4"/>
  <c r="V206" i="4"/>
  <c r="X206" i="4"/>
  <c r="Y206" i="4"/>
  <c r="AA206" i="4"/>
  <c r="AB206" i="4"/>
  <c r="U207" i="4"/>
  <c r="V207" i="4"/>
  <c r="X207" i="4"/>
  <c r="Y207" i="4"/>
  <c r="AA207" i="4"/>
  <c r="AB207" i="4"/>
  <c r="U208" i="4"/>
  <c r="V208" i="4"/>
  <c r="X208" i="4"/>
  <c r="Y208" i="4"/>
  <c r="AA208" i="4"/>
  <c r="AB208" i="4"/>
  <c r="U209" i="4"/>
  <c r="V209" i="4"/>
  <c r="X209" i="4"/>
  <c r="Y209" i="4"/>
  <c r="AA209" i="4"/>
  <c r="AB209" i="4"/>
  <c r="U210" i="4"/>
  <c r="V210" i="4"/>
  <c r="X210" i="4"/>
  <c r="Y210" i="4"/>
  <c r="AA210" i="4"/>
  <c r="AB210" i="4"/>
  <c r="U211" i="4"/>
  <c r="V211" i="4"/>
  <c r="X211" i="4"/>
  <c r="Y211" i="4"/>
  <c r="AA211" i="4"/>
  <c r="AB211" i="4"/>
  <c r="U212" i="4"/>
  <c r="V212" i="4"/>
  <c r="X212" i="4"/>
  <c r="Y212" i="4"/>
  <c r="AA212" i="4"/>
  <c r="AB212" i="4"/>
  <c r="U213" i="4"/>
  <c r="V213" i="4"/>
  <c r="X213" i="4"/>
  <c r="Y213" i="4"/>
  <c r="AA213" i="4"/>
  <c r="AB213" i="4"/>
  <c r="U214" i="4"/>
  <c r="V214" i="4"/>
  <c r="X214" i="4"/>
  <c r="Y214" i="4"/>
  <c r="AA214" i="4"/>
  <c r="AB214" i="4"/>
  <c r="U215" i="4"/>
  <c r="V215" i="4"/>
  <c r="X215" i="4"/>
  <c r="Y215" i="4"/>
  <c r="AA215" i="4"/>
  <c r="AB215" i="4"/>
  <c r="U216" i="4"/>
  <c r="V216" i="4"/>
  <c r="X216" i="4"/>
  <c r="Y216" i="4"/>
  <c r="AA216" i="4"/>
  <c r="AB216" i="4"/>
  <c r="U217" i="4"/>
  <c r="V217" i="4"/>
  <c r="X217" i="4"/>
  <c r="Y217" i="4"/>
  <c r="AA217" i="4"/>
  <c r="AB217" i="4"/>
  <c r="U218" i="4"/>
  <c r="V218" i="4"/>
  <c r="X218" i="4"/>
  <c r="Y218" i="4"/>
  <c r="AA218" i="4"/>
  <c r="AB218" i="4"/>
  <c r="U219" i="4"/>
  <c r="V219" i="4"/>
  <c r="X219" i="4"/>
  <c r="Y219" i="4"/>
  <c r="AA219" i="4"/>
  <c r="AB219" i="4"/>
  <c r="U220" i="4"/>
  <c r="V220" i="4"/>
  <c r="X220" i="4"/>
  <c r="Y220" i="4"/>
  <c r="AA220" i="4"/>
  <c r="AB220" i="4"/>
  <c r="U221" i="4"/>
  <c r="V221" i="4"/>
  <c r="X221" i="4"/>
  <c r="Y221" i="4"/>
  <c r="AA221" i="4"/>
  <c r="AB221" i="4"/>
  <c r="U222" i="4"/>
  <c r="V222" i="4"/>
  <c r="X222" i="4"/>
  <c r="Y222" i="4"/>
  <c r="AA222" i="4"/>
  <c r="AB222" i="4"/>
  <c r="U223" i="4"/>
  <c r="V223" i="4"/>
  <c r="X223" i="4"/>
  <c r="Y223" i="4"/>
  <c r="AA223" i="4"/>
  <c r="AB223" i="4"/>
  <c r="U224" i="4"/>
  <c r="V224" i="4"/>
  <c r="X224" i="4"/>
  <c r="Y224" i="4"/>
  <c r="AA224" i="4"/>
  <c r="AB224" i="4"/>
  <c r="U225" i="4"/>
  <c r="V225" i="4"/>
  <c r="X225" i="4"/>
  <c r="Y225" i="4"/>
  <c r="AA225" i="4"/>
  <c r="AB225" i="4"/>
  <c r="U226" i="4"/>
  <c r="V226" i="4"/>
  <c r="X226" i="4"/>
  <c r="Y226" i="4"/>
  <c r="AA226" i="4"/>
  <c r="AB226" i="4"/>
  <c r="U227" i="4"/>
  <c r="V227" i="4"/>
  <c r="X227" i="4"/>
  <c r="Y227" i="4"/>
  <c r="AA227" i="4"/>
  <c r="AB227" i="4"/>
  <c r="U228" i="4"/>
  <c r="V228" i="4"/>
  <c r="X228" i="4"/>
  <c r="Y228" i="4"/>
  <c r="AA228" i="4"/>
  <c r="AB228" i="4"/>
  <c r="U229" i="4"/>
  <c r="V229" i="4"/>
  <c r="X229" i="4"/>
  <c r="Y229" i="4"/>
  <c r="AA229" i="4"/>
  <c r="AB229" i="4"/>
  <c r="U230" i="4"/>
  <c r="V230" i="4"/>
  <c r="X230" i="4"/>
  <c r="Y230" i="4"/>
  <c r="AA230" i="4"/>
  <c r="AB230" i="4"/>
  <c r="U231" i="4"/>
  <c r="V231" i="4"/>
  <c r="X231" i="4"/>
  <c r="Y231" i="4"/>
  <c r="AA231" i="4"/>
  <c r="AB231" i="4"/>
  <c r="U232" i="4"/>
  <c r="V232" i="4"/>
  <c r="X232" i="4"/>
  <c r="Y232" i="4"/>
  <c r="AA232" i="4"/>
  <c r="AB232" i="4"/>
  <c r="U233" i="4"/>
  <c r="V233" i="4"/>
  <c r="X233" i="4"/>
  <c r="Y233" i="4"/>
  <c r="AA233" i="4"/>
  <c r="AB233" i="4"/>
  <c r="U234" i="4"/>
  <c r="V234" i="4"/>
  <c r="X234" i="4"/>
  <c r="Y234" i="4"/>
  <c r="AA234" i="4"/>
  <c r="AB234" i="4"/>
  <c r="U235" i="4"/>
  <c r="V235" i="4"/>
  <c r="X235" i="4"/>
  <c r="Y235" i="4"/>
  <c r="AA235" i="4"/>
  <c r="AB235" i="4"/>
  <c r="U236" i="4"/>
  <c r="V236" i="4"/>
  <c r="X236" i="4"/>
  <c r="Y236" i="4"/>
  <c r="AA236" i="4"/>
  <c r="AB236" i="4"/>
  <c r="U237" i="4"/>
  <c r="V237" i="4"/>
  <c r="X237" i="4"/>
  <c r="Y237" i="4"/>
  <c r="AA237" i="4"/>
  <c r="AB237" i="4"/>
  <c r="U238" i="4"/>
  <c r="V238" i="4"/>
  <c r="X238" i="4"/>
  <c r="Y238" i="4"/>
  <c r="AA238" i="4"/>
  <c r="AB238" i="4"/>
  <c r="U239" i="4"/>
  <c r="V239" i="4"/>
  <c r="X239" i="4"/>
  <c r="Y239" i="4"/>
  <c r="AA239" i="4"/>
  <c r="AB239" i="4"/>
  <c r="U240" i="4"/>
  <c r="V240" i="4"/>
  <c r="X240" i="4"/>
  <c r="Y240" i="4"/>
  <c r="AA240" i="4"/>
  <c r="AB240" i="4"/>
  <c r="U241" i="4"/>
  <c r="V241" i="4"/>
  <c r="X241" i="4"/>
  <c r="Y241" i="4"/>
  <c r="AA241" i="4"/>
  <c r="AB241" i="4"/>
  <c r="U242" i="4"/>
  <c r="V242" i="4"/>
  <c r="X242" i="4"/>
  <c r="Y242" i="4"/>
  <c r="AA242" i="4"/>
  <c r="AB242" i="4"/>
  <c r="U243" i="4"/>
  <c r="V243" i="4"/>
  <c r="X243" i="4"/>
  <c r="Y243" i="4"/>
  <c r="AA243" i="4"/>
  <c r="AB243" i="4"/>
  <c r="U244" i="4"/>
  <c r="V244" i="4"/>
  <c r="X244" i="4"/>
  <c r="Y244" i="4"/>
  <c r="AA244" i="4"/>
  <c r="AB244" i="4"/>
  <c r="U245" i="4"/>
  <c r="V245" i="4"/>
  <c r="X245" i="4"/>
  <c r="Y245" i="4"/>
  <c r="AA245" i="4"/>
  <c r="AB245" i="4"/>
  <c r="U246" i="4"/>
  <c r="V246" i="4"/>
  <c r="X246" i="4"/>
  <c r="Y246" i="4"/>
  <c r="AA246" i="4"/>
  <c r="AB246" i="4"/>
  <c r="U247" i="4"/>
  <c r="V247" i="4"/>
  <c r="X247" i="4"/>
  <c r="Y247" i="4"/>
  <c r="AA247" i="4"/>
  <c r="AB247" i="4"/>
  <c r="U248" i="4"/>
  <c r="V248" i="4"/>
  <c r="X248" i="4"/>
  <c r="Y248" i="4"/>
  <c r="AA248" i="4"/>
  <c r="AB248" i="4"/>
  <c r="U249" i="4"/>
  <c r="V249" i="4"/>
  <c r="X249" i="4"/>
  <c r="Y249" i="4"/>
  <c r="AA249" i="4"/>
  <c r="AB249" i="4"/>
  <c r="U250" i="4"/>
  <c r="V250" i="4"/>
  <c r="X250" i="4"/>
  <c r="Y250" i="4"/>
  <c r="AA250" i="4"/>
  <c r="AB250" i="4"/>
  <c r="U251" i="4"/>
  <c r="V251" i="4"/>
  <c r="X251" i="4"/>
  <c r="Y251" i="4"/>
  <c r="AA251" i="4"/>
  <c r="AB251" i="4"/>
  <c r="U252" i="4"/>
  <c r="V252" i="4"/>
  <c r="X252" i="4"/>
  <c r="Y252" i="4"/>
  <c r="AA252" i="4"/>
  <c r="AB252" i="4"/>
  <c r="U253" i="4"/>
  <c r="V253" i="4"/>
  <c r="X253" i="4"/>
  <c r="Y253" i="4"/>
  <c r="AA253" i="4"/>
  <c r="AB253" i="4"/>
  <c r="U254" i="4"/>
  <c r="V254" i="4"/>
  <c r="X254" i="4"/>
  <c r="Y254" i="4"/>
  <c r="AA254" i="4"/>
  <c r="AB254" i="4"/>
  <c r="U255" i="4"/>
  <c r="V255" i="4"/>
  <c r="X255" i="4"/>
  <c r="Y255" i="4"/>
  <c r="AA255" i="4"/>
  <c r="AB255" i="4"/>
  <c r="U256" i="4"/>
  <c r="V256" i="4"/>
  <c r="X256" i="4"/>
  <c r="Y256" i="4"/>
  <c r="AA256" i="4"/>
  <c r="AB256" i="4"/>
  <c r="U257" i="4"/>
  <c r="V257" i="4"/>
  <c r="X257" i="4"/>
  <c r="Y257" i="4"/>
  <c r="AA257" i="4"/>
  <c r="AB257" i="4"/>
  <c r="U258" i="4"/>
  <c r="V258" i="4"/>
  <c r="X258" i="4"/>
  <c r="Y258" i="4"/>
  <c r="AA258" i="4"/>
  <c r="AB258" i="4"/>
  <c r="U259" i="4"/>
  <c r="V259" i="4"/>
  <c r="X259" i="4"/>
  <c r="Y259" i="4"/>
  <c r="AA259" i="4"/>
  <c r="AB259" i="4"/>
  <c r="U260" i="4"/>
  <c r="V260" i="4"/>
  <c r="X260" i="4"/>
  <c r="Y260" i="4"/>
  <c r="AA260" i="4"/>
  <c r="AB260" i="4"/>
  <c r="U261" i="4"/>
  <c r="V261" i="4"/>
  <c r="X261" i="4"/>
  <c r="Y261" i="4"/>
  <c r="AA261" i="4"/>
  <c r="AB261" i="4"/>
  <c r="U262" i="4"/>
  <c r="V262" i="4"/>
  <c r="X262" i="4"/>
  <c r="Y262" i="4"/>
  <c r="AA262" i="4"/>
  <c r="AB262" i="4"/>
  <c r="U263" i="4"/>
  <c r="V263" i="4"/>
  <c r="X263" i="4"/>
  <c r="Y263" i="4"/>
  <c r="AA263" i="4"/>
  <c r="AB263" i="4"/>
  <c r="U264" i="4"/>
  <c r="V264" i="4"/>
  <c r="X264" i="4"/>
  <c r="Y264" i="4"/>
  <c r="AA264" i="4"/>
  <c r="AB264" i="4"/>
  <c r="U265" i="4"/>
  <c r="V265" i="4"/>
  <c r="X265" i="4"/>
  <c r="Y265" i="4"/>
  <c r="AA265" i="4"/>
  <c r="AB265" i="4"/>
  <c r="U266" i="4"/>
  <c r="V266" i="4"/>
  <c r="X266" i="4"/>
  <c r="Y266" i="4"/>
  <c r="AA266" i="4"/>
  <c r="AB266" i="4"/>
  <c r="U267" i="4"/>
  <c r="V267" i="4"/>
  <c r="X267" i="4"/>
  <c r="Y267" i="4"/>
  <c r="AA267" i="4"/>
  <c r="AB267" i="4"/>
  <c r="U268" i="4"/>
  <c r="V268" i="4"/>
  <c r="X268" i="4"/>
  <c r="Y268" i="4"/>
  <c r="AA268" i="4"/>
  <c r="AB268" i="4"/>
  <c r="U269" i="4"/>
  <c r="V269" i="4"/>
  <c r="X269" i="4"/>
  <c r="Y269" i="4"/>
  <c r="AA269" i="4"/>
  <c r="AB269" i="4"/>
  <c r="U270" i="4"/>
  <c r="V270" i="4"/>
  <c r="X270" i="4"/>
  <c r="Y270" i="4"/>
  <c r="AA270" i="4"/>
  <c r="AB270" i="4"/>
  <c r="U271" i="4"/>
  <c r="V271" i="4"/>
  <c r="X271" i="4"/>
  <c r="Y271" i="4"/>
  <c r="AA271" i="4"/>
  <c r="AB271" i="4"/>
  <c r="U272" i="4"/>
  <c r="V272" i="4"/>
  <c r="X272" i="4"/>
  <c r="Y272" i="4"/>
  <c r="AA272" i="4"/>
  <c r="AB272" i="4"/>
  <c r="U273" i="4"/>
  <c r="V273" i="4"/>
  <c r="X273" i="4"/>
  <c r="Y273" i="4"/>
  <c r="AA273" i="4"/>
  <c r="AB273" i="4"/>
  <c r="U274" i="4"/>
  <c r="V274" i="4"/>
  <c r="X274" i="4"/>
  <c r="Y274" i="4"/>
  <c r="AA274" i="4"/>
  <c r="AB274" i="4"/>
  <c r="U275" i="4"/>
  <c r="V275" i="4"/>
  <c r="X275" i="4"/>
  <c r="Y275" i="4"/>
  <c r="AA275" i="4"/>
  <c r="AB275" i="4"/>
  <c r="U276" i="4"/>
  <c r="V276" i="4"/>
  <c r="X276" i="4"/>
  <c r="Y276" i="4"/>
  <c r="AA276" i="4"/>
  <c r="AB276" i="4"/>
  <c r="U277" i="4"/>
  <c r="V277" i="4"/>
  <c r="X277" i="4"/>
  <c r="Y277" i="4"/>
  <c r="AA277" i="4"/>
  <c r="AB277" i="4"/>
  <c r="U278" i="4"/>
  <c r="V278" i="4"/>
  <c r="X278" i="4"/>
  <c r="Y278" i="4"/>
  <c r="AA278" i="4"/>
  <c r="AB278" i="4"/>
  <c r="U279" i="4"/>
  <c r="V279" i="4"/>
  <c r="X279" i="4"/>
  <c r="Y279" i="4"/>
  <c r="AA279" i="4"/>
  <c r="AB279" i="4"/>
  <c r="U280" i="4"/>
  <c r="V280" i="4"/>
  <c r="X280" i="4"/>
  <c r="Y280" i="4"/>
  <c r="AA280" i="4"/>
  <c r="AB280" i="4"/>
  <c r="U281" i="4"/>
  <c r="V281" i="4"/>
  <c r="X281" i="4"/>
  <c r="Y281" i="4"/>
  <c r="AA281" i="4"/>
  <c r="AB281" i="4"/>
  <c r="U282" i="4"/>
  <c r="V282" i="4"/>
  <c r="X282" i="4"/>
  <c r="Y282" i="4"/>
  <c r="AA282" i="4"/>
  <c r="AB282" i="4"/>
  <c r="U283" i="4"/>
  <c r="V283" i="4"/>
  <c r="X283" i="4"/>
  <c r="Y283" i="4"/>
  <c r="AA283" i="4"/>
  <c r="AB283" i="4"/>
  <c r="U284" i="4"/>
  <c r="V284" i="4"/>
  <c r="X284" i="4"/>
  <c r="Y284" i="4"/>
  <c r="AA284" i="4"/>
  <c r="AB284" i="4"/>
  <c r="U285" i="4"/>
  <c r="V285" i="4"/>
  <c r="X285" i="4"/>
  <c r="Y285" i="4"/>
  <c r="AA285" i="4"/>
  <c r="AB285" i="4"/>
  <c r="U286" i="4"/>
  <c r="V286" i="4"/>
  <c r="X286" i="4"/>
  <c r="Y286" i="4"/>
  <c r="AA286" i="4"/>
  <c r="AB286" i="4"/>
  <c r="U287" i="4"/>
  <c r="V287" i="4"/>
  <c r="X287" i="4"/>
  <c r="Y287" i="4"/>
  <c r="AA287" i="4"/>
  <c r="AB287" i="4"/>
  <c r="U288" i="4"/>
  <c r="V288" i="4"/>
  <c r="X288" i="4"/>
  <c r="Y288" i="4"/>
  <c r="AA288" i="4"/>
  <c r="AB288" i="4"/>
  <c r="U289" i="4"/>
  <c r="V289" i="4"/>
  <c r="X289" i="4"/>
  <c r="Y289" i="4"/>
  <c r="AA289" i="4"/>
  <c r="AB289" i="4"/>
  <c r="U290" i="4"/>
  <c r="V290" i="4"/>
  <c r="X290" i="4"/>
  <c r="Y290" i="4"/>
  <c r="AA290" i="4"/>
  <c r="AB290" i="4"/>
  <c r="U291" i="4"/>
  <c r="V291" i="4"/>
  <c r="X291" i="4"/>
  <c r="Y291" i="4"/>
  <c r="AA291" i="4"/>
  <c r="AB291" i="4"/>
  <c r="U292" i="4"/>
  <c r="V292" i="4"/>
  <c r="X292" i="4"/>
  <c r="Y292" i="4"/>
  <c r="AA292" i="4"/>
  <c r="AB292" i="4"/>
  <c r="U293" i="4"/>
  <c r="V293" i="4"/>
  <c r="X293" i="4"/>
  <c r="Y293" i="4"/>
  <c r="AA293" i="4"/>
  <c r="AB293" i="4"/>
  <c r="U294" i="4"/>
  <c r="V294" i="4"/>
  <c r="X294" i="4"/>
  <c r="Y294" i="4"/>
  <c r="AA294" i="4"/>
  <c r="AB294" i="4"/>
  <c r="U295" i="4"/>
  <c r="V295" i="4"/>
  <c r="X295" i="4"/>
  <c r="Y295" i="4"/>
  <c r="AA295" i="4"/>
  <c r="AB295" i="4"/>
  <c r="AB3" i="4"/>
  <c r="AA3" i="4"/>
  <c r="Y3" i="4"/>
  <c r="X3" i="4"/>
  <c r="V3" i="4"/>
  <c r="U3" i="4"/>
  <c r="L4" i="4"/>
  <c r="M4" i="4"/>
  <c r="O4" i="4"/>
  <c r="P4" i="4"/>
  <c r="R4" i="4"/>
  <c r="S4" i="4"/>
  <c r="L5" i="4"/>
  <c r="M5" i="4"/>
  <c r="O5" i="4"/>
  <c r="P5" i="4"/>
  <c r="R5" i="4"/>
  <c r="S5" i="4"/>
  <c r="L6" i="4"/>
  <c r="M6" i="4"/>
  <c r="O6" i="4"/>
  <c r="P6" i="4"/>
  <c r="R6" i="4"/>
  <c r="S6" i="4"/>
  <c r="L7" i="4"/>
  <c r="M7" i="4"/>
  <c r="O7" i="4"/>
  <c r="P7" i="4"/>
  <c r="R7" i="4"/>
  <c r="S7" i="4"/>
  <c r="L8" i="4"/>
  <c r="M8" i="4"/>
  <c r="O8" i="4"/>
  <c r="P8" i="4"/>
  <c r="R8" i="4"/>
  <c r="S8" i="4"/>
  <c r="L9" i="4"/>
  <c r="M9" i="4"/>
  <c r="O9" i="4"/>
  <c r="P9" i="4"/>
  <c r="R9" i="4"/>
  <c r="S9" i="4"/>
  <c r="L10" i="4"/>
  <c r="M10" i="4"/>
  <c r="O10" i="4"/>
  <c r="P10" i="4"/>
  <c r="R10" i="4"/>
  <c r="S10" i="4"/>
  <c r="L11" i="4"/>
  <c r="M11" i="4"/>
  <c r="O11" i="4"/>
  <c r="P11" i="4"/>
  <c r="R11" i="4"/>
  <c r="S11" i="4"/>
  <c r="L12" i="4"/>
  <c r="M12" i="4"/>
  <c r="O12" i="4"/>
  <c r="P12" i="4"/>
  <c r="R12" i="4"/>
  <c r="S12" i="4"/>
  <c r="L13" i="4"/>
  <c r="M13" i="4"/>
  <c r="O13" i="4"/>
  <c r="P13" i="4"/>
  <c r="R13" i="4"/>
  <c r="S13" i="4"/>
  <c r="L14" i="4"/>
  <c r="M14" i="4"/>
  <c r="O14" i="4"/>
  <c r="P14" i="4"/>
  <c r="R14" i="4"/>
  <c r="S14" i="4"/>
  <c r="L15" i="4"/>
  <c r="M15" i="4"/>
  <c r="O15" i="4"/>
  <c r="P15" i="4"/>
  <c r="R15" i="4"/>
  <c r="S15" i="4"/>
  <c r="L16" i="4"/>
  <c r="M16" i="4"/>
  <c r="O16" i="4"/>
  <c r="P16" i="4"/>
  <c r="R16" i="4"/>
  <c r="S16" i="4"/>
  <c r="L17" i="4"/>
  <c r="M17" i="4"/>
  <c r="O17" i="4"/>
  <c r="P17" i="4"/>
  <c r="R17" i="4"/>
  <c r="S17" i="4"/>
  <c r="L18" i="4"/>
  <c r="M18" i="4"/>
  <c r="O18" i="4"/>
  <c r="P18" i="4"/>
  <c r="R18" i="4"/>
  <c r="S18" i="4"/>
  <c r="L19" i="4"/>
  <c r="M19" i="4"/>
  <c r="O19" i="4"/>
  <c r="P19" i="4"/>
  <c r="R19" i="4"/>
  <c r="S19" i="4"/>
  <c r="L20" i="4"/>
  <c r="M20" i="4"/>
  <c r="O20" i="4"/>
  <c r="P20" i="4"/>
  <c r="R20" i="4"/>
  <c r="S20" i="4"/>
  <c r="L21" i="4"/>
  <c r="M21" i="4"/>
  <c r="O21" i="4"/>
  <c r="P21" i="4"/>
  <c r="R21" i="4"/>
  <c r="S21" i="4"/>
  <c r="L22" i="4"/>
  <c r="M22" i="4"/>
  <c r="O22" i="4"/>
  <c r="P22" i="4"/>
  <c r="R22" i="4"/>
  <c r="S22" i="4"/>
  <c r="L23" i="4"/>
  <c r="M23" i="4"/>
  <c r="O23" i="4"/>
  <c r="P23" i="4"/>
  <c r="R23" i="4"/>
  <c r="S23" i="4"/>
  <c r="L24" i="4"/>
  <c r="M24" i="4"/>
  <c r="O24" i="4"/>
  <c r="P24" i="4"/>
  <c r="R24" i="4"/>
  <c r="S24" i="4"/>
  <c r="L25" i="4"/>
  <c r="M25" i="4"/>
  <c r="O25" i="4"/>
  <c r="P25" i="4"/>
  <c r="R25" i="4"/>
  <c r="S25" i="4"/>
  <c r="L26" i="4"/>
  <c r="M26" i="4"/>
  <c r="O26" i="4"/>
  <c r="P26" i="4"/>
  <c r="R26" i="4"/>
  <c r="S26" i="4"/>
  <c r="L27" i="4"/>
  <c r="M27" i="4"/>
  <c r="O27" i="4"/>
  <c r="P27" i="4"/>
  <c r="R27" i="4"/>
  <c r="S27" i="4"/>
  <c r="L28" i="4"/>
  <c r="M28" i="4"/>
  <c r="O28" i="4"/>
  <c r="P28" i="4"/>
  <c r="R28" i="4"/>
  <c r="S28" i="4"/>
  <c r="L29" i="4"/>
  <c r="M29" i="4"/>
  <c r="O29" i="4"/>
  <c r="P29" i="4"/>
  <c r="R29" i="4"/>
  <c r="S29" i="4"/>
  <c r="L30" i="4"/>
  <c r="M30" i="4"/>
  <c r="O30" i="4"/>
  <c r="P30" i="4"/>
  <c r="R30" i="4"/>
  <c r="S30" i="4"/>
  <c r="L31" i="4"/>
  <c r="M31" i="4"/>
  <c r="O31" i="4"/>
  <c r="P31" i="4"/>
  <c r="R31" i="4"/>
  <c r="S31" i="4"/>
  <c r="L32" i="4"/>
  <c r="M32" i="4"/>
  <c r="O32" i="4"/>
  <c r="P32" i="4"/>
  <c r="R32" i="4"/>
  <c r="S32" i="4"/>
  <c r="L33" i="4"/>
  <c r="M33" i="4"/>
  <c r="O33" i="4"/>
  <c r="P33" i="4"/>
  <c r="R33" i="4"/>
  <c r="S33" i="4"/>
  <c r="L34" i="4"/>
  <c r="M34" i="4"/>
  <c r="O34" i="4"/>
  <c r="P34" i="4"/>
  <c r="R34" i="4"/>
  <c r="S34" i="4"/>
  <c r="L35" i="4"/>
  <c r="M35" i="4"/>
  <c r="O35" i="4"/>
  <c r="P35" i="4"/>
  <c r="R35" i="4"/>
  <c r="S35" i="4"/>
  <c r="L36" i="4"/>
  <c r="M36" i="4"/>
  <c r="O36" i="4"/>
  <c r="P36" i="4"/>
  <c r="R36" i="4"/>
  <c r="S36" i="4"/>
  <c r="L37" i="4"/>
  <c r="M37" i="4"/>
  <c r="O37" i="4"/>
  <c r="P37" i="4"/>
  <c r="R37" i="4"/>
  <c r="S37" i="4"/>
  <c r="L38" i="4"/>
  <c r="M38" i="4"/>
  <c r="O38" i="4"/>
  <c r="P38" i="4"/>
  <c r="R38" i="4"/>
  <c r="S38" i="4"/>
  <c r="L39" i="4"/>
  <c r="M39" i="4"/>
  <c r="O39" i="4"/>
  <c r="P39" i="4"/>
  <c r="R39" i="4"/>
  <c r="S39" i="4"/>
  <c r="L40" i="4"/>
  <c r="M40" i="4"/>
  <c r="O40" i="4"/>
  <c r="P40" i="4"/>
  <c r="R40" i="4"/>
  <c r="S40" i="4"/>
  <c r="L41" i="4"/>
  <c r="M41" i="4"/>
  <c r="O41" i="4"/>
  <c r="P41" i="4"/>
  <c r="R41" i="4"/>
  <c r="S41" i="4"/>
  <c r="L42" i="4"/>
  <c r="M42" i="4"/>
  <c r="O42" i="4"/>
  <c r="P42" i="4"/>
  <c r="R42" i="4"/>
  <c r="S42" i="4"/>
  <c r="L43" i="4"/>
  <c r="M43" i="4"/>
  <c r="O43" i="4"/>
  <c r="P43" i="4"/>
  <c r="R43" i="4"/>
  <c r="S43" i="4"/>
  <c r="L44" i="4"/>
  <c r="M44" i="4"/>
  <c r="O44" i="4"/>
  <c r="P44" i="4"/>
  <c r="R44" i="4"/>
  <c r="S44" i="4"/>
  <c r="L45" i="4"/>
  <c r="M45" i="4"/>
  <c r="O45" i="4"/>
  <c r="P45" i="4"/>
  <c r="R45" i="4"/>
  <c r="S45" i="4"/>
  <c r="L46" i="4"/>
  <c r="M46" i="4"/>
  <c r="O46" i="4"/>
  <c r="P46" i="4"/>
  <c r="R46" i="4"/>
  <c r="S46" i="4"/>
  <c r="L47" i="4"/>
  <c r="M47" i="4"/>
  <c r="O47" i="4"/>
  <c r="P47" i="4"/>
  <c r="R47" i="4"/>
  <c r="S47" i="4"/>
  <c r="L48" i="4"/>
  <c r="M48" i="4"/>
  <c r="O48" i="4"/>
  <c r="P48" i="4"/>
  <c r="R48" i="4"/>
  <c r="S48" i="4"/>
  <c r="L49" i="4"/>
  <c r="M49" i="4"/>
  <c r="O49" i="4"/>
  <c r="P49" i="4"/>
  <c r="R49" i="4"/>
  <c r="S49" i="4"/>
  <c r="L50" i="4"/>
  <c r="M50" i="4"/>
  <c r="O50" i="4"/>
  <c r="P50" i="4"/>
  <c r="R50" i="4"/>
  <c r="S50" i="4"/>
  <c r="L51" i="4"/>
  <c r="M51" i="4"/>
  <c r="O51" i="4"/>
  <c r="P51" i="4"/>
  <c r="R51" i="4"/>
  <c r="S51" i="4"/>
  <c r="L52" i="4"/>
  <c r="M52" i="4"/>
  <c r="O52" i="4"/>
  <c r="P52" i="4"/>
  <c r="R52" i="4"/>
  <c r="S52" i="4"/>
  <c r="L53" i="4"/>
  <c r="M53" i="4"/>
  <c r="O53" i="4"/>
  <c r="P53" i="4"/>
  <c r="R53" i="4"/>
  <c r="S53" i="4"/>
  <c r="L54" i="4"/>
  <c r="M54" i="4"/>
  <c r="O54" i="4"/>
  <c r="P54" i="4"/>
  <c r="R54" i="4"/>
  <c r="S54" i="4"/>
  <c r="L55" i="4"/>
  <c r="M55" i="4"/>
  <c r="O55" i="4"/>
  <c r="P55" i="4"/>
  <c r="R55" i="4"/>
  <c r="S55" i="4"/>
  <c r="L56" i="4"/>
  <c r="M56" i="4"/>
  <c r="O56" i="4"/>
  <c r="P56" i="4"/>
  <c r="R56" i="4"/>
  <c r="S56" i="4"/>
  <c r="L57" i="4"/>
  <c r="M57" i="4"/>
  <c r="O57" i="4"/>
  <c r="P57" i="4"/>
  <c r="R57" i="4"/>
  <c r="S57" i="4"/>
  <c r="L58" i="4"/>
  <c r="M58" i="4"/>
  <c r="O58" i="4"/>
  <c r="P58" i="4"/>
  <c r="R58" i="4"/>
  <c r="S58" i="4"/>
  <c r="L59" i="4"/>
  <c r="M59" i="4"/>
  <c r="O59" i="4"/>
  <c r="P59" i="4"/>
  <c r="R59" i="4"/>
  <c r="S59" i="4"/>
  <c r="L60" i="4"/>
  <c r="M60" i="4"/>
  <c r="O60" i="4"/>
  <c r="P60" i="4"/>
  <c r="R60" i="4"/>
  <c r="S60" i="4"/>
  <c r="L61" i="4"/>
  <c r="M61" i="4"/>
  <c r="O61" i="4"/>
  <c r="P61" i="4"/>
  <c r="R61" i="4"/>
  <c r="S61" i="4"/>
  <c r="L62" i="4"/>
  <c r="M62" i="4"/>
  <c r="O62" i="4"/>
  <c r="P62" i="4"/>
  <c r="R62" i="4"/>
  <c r="S62" i="4"/>
  <c r="L63" i="4"/>
  <c r="M63" i="4"/>
  <c r="O63" i="4"/>
  <c r="P63" i="4"/>
  <c r="R63" i="4"/>
  <c r="S63" i="4"/>
  <c r="L64" i="4"/>
  <c r="M64" i="4"/>
  <c r="O64" i="4"/>
  <c r="P64" i="4"/>
  <c r="R64" i="4"/>
  <c r="S64" i="4"/>
  <c r="L65" i="4"/>
  <c r="M65" i="4"/>
  <c r="O65" i="4"/>
  <c r="P65" i="4"/>
  <c r="R65" i="4"/>
  <c r="S65" i="4"/>
  <c r="L66" i="4"/>
  <c r="M66" i="4"/>
  <c r="O66" i="4"/>
  <c r="P66" i="4"/>
  <c r="R66" i="4"/>
  <c r="S66" i="4"/>
  <c r="L67" i="4"/>
  <c r="M67" i="4"/>
  <c r="O67" i="4"/>
  <c r="P67" i="4"/>
  <c r="R67" i="4"/>
  <c r="S67" i="4"/>
  <c r="L68" i="4"/>
  <c r="M68" i="4"/>
  <c r="O68" i="4"/>
  <c r="P68" i="4"/>
  <c r="R68" i="4"/>
  <c r="S68" i="4"/>
  <c r="L69" i="4"/>
  <c r="M69" i="4"/>
  <c r="O69" i="4"/>
  <c r="P69" i="4"/>
  <c r="R69" i="4"/>
  <c r="S69" i="4"/>
  <c r="L70" i="4"/>
  <c r="M70" i="4"/>
  <c r="O70" i="4"/>
  <c r="P70" i="4"/>
  <c r="R70" i="4"/>
  <c r="S70" i="4"/>
  <c r="L71" i="4"/>
  <c r="M71" i="4"/>
  <c r="O71" i="4"/>
  <c r="P71" i="4"/>
  <c r="R71" i="4"/>
  <c r="S71" i="4"/>
  <c r="L72" i="4"/>
  <c r="M72" i="4"/>
  <c r="O72" i="4"/>
  <c r="P72" i="4"/>
  <c r="R72" i="4"/>
  <c r="S72" i="4"/>
  <c r="L73" i="4"/>
  <c r="M73" i="4"/>
  <c r="O73" i="4"/>
  <c r="P73" i="4"/>
  <c r="R73" i="4"/>
  <c r="S73" i="4"/>
  <c r="L74" i="4"/>
  <c r="M74" i="4"/>
  <c r="O74" i="4"/>
  <c r="P74" i="4"/>
  <c r="R74" i="4"/>
  <c r="S74" i="4"/>
  <c r="L75" i="4"/>
  <c r="M75" i="4"/>
  <c r="O75" i="4"/>
  <c r="P75" i="4"/>
  <c r="R75" i="4"/>
  <c r="S75" i="4"/>
  <c r="L76" i="4"/>
  <c r="M76" i="4"/>
  <c r="O76" i="4"/>
  <c r="P76" i="4"/>
  <c r="R76" i="4"/>
  <c r="S76" i="4"/>
  <c r="L77" i="4"/>
  <c r="M77" i="4"/>
  <c r="O77" i="4"/>
  <c r="P77" i="4"/>
  <c r="R77" i="4"/>
  <c r="S77" i="4"/>
  <c r="L78" i="4"/>
  <c r="M78" i="4"/>
  <c r="O78" i="4"/>
  <c r="P78" i="4"/>
  <c r="R78" i="4"/>
  <c r="S78" i="4"/>
  <c r="L79" i="4"/>
  <c r="M79" i="4"/>
  <c r="O79" i="4"/>
  <c r="P79" i="4"/>
  <c r="R79" i="4"/>
  <c r="S79" i="4"/>
  <c r="L80" i="4"/>
  <c r="M80" i="4"/>
  <c r="O80" i="4"/>
  <c r="P80" i="4"/>
  <c r="R80" i="4"/>
  <c r="S80" i="4"/>
  <c r="L81" i="4"/>
  <c r="M81" i="4"/>
  <c r="O81" i="4"/>
  <c r="P81" i="4"/>
  <c r="R81" i="4"/>
  <c r="S81" i="4"/>
  <c r="L82" i="4"/>
  <c r="M82" i="4"/>
  <c r="O82" i="4"/>
  <c r="P82" i="4"/>
  <c r="R82" i="4"/>
  <c r="S82" i="4"/>
  <c r="L83" i="4"/>
  <c r="M83" i="4"/>
  <c r="O83" i="4"/>
  <c r="P83" i="4"/>
  <c r="R83" i="4"/>
  <c r="S83" i="4"/>
  <c r="L84" i="4"/>
  <c r="M84" i="4"/>
  <c r="O84" i="4"/>
  <c r="P84" i="4"/>
  <c r="R84" i="4"/>
  <c r="S84" i="4"/>
  <c r="L85" i="4"/>
  <c r="M85" i="4"/>
  <c r="O85" i="4"/>
  <c r="P85" i="4"/>
  <c r="R85" i="4"/>
  <c r="S85" i="4"/>
  <c r="L86" i="4"/>
  <c r="M86" i="4"/>
  <c r="O86" i="4"/>
  <c r="P86" i="4"/>
  <c r="R86" i="4"/>
  <c r="S86" i="4"/>
  <c r="L87" i="4"/>
  <c r="M87" i="4"/>
  <c r="O87" i="4"/>
  <c r="P87" i="4"/>
  <c r="R87" i="4"/>
  <c r="S87" i="4"/>
  <c r="L88" i="4"/>
  <c r="M88" i="4"/>
  <c r="O88" i="4"/>
  <c r="P88" i="4"/>
  <c r="R88" i="4"/>
  <c r="S88" i="4"/>
  <c r="L89" i="4"/>
  <c r="M89" i="4"/>
  <c r="O89" i="4"/>
  <c r="P89" i="4"/>
  <c r="R89" i="4"/>
  <c r="S89" i="4"/>
  <c r="L90" i="4"/>
  <c r="M90" i="4"/>
  <c r="O90" i="4"/>
  <c r="P90" i="4"/>
  <c r="R90" i="4"/>
  <c r="S90" i="4"/>
  <c r="L91" i="4"/>
  <c r="M91" i="4"/>
  <c r="O91" i="4"/>
  <c r="P91" i="4"/>
  <c r="R91" i="4"/>
  <c r="S91" i="4"/>
  <c r="L92" i="4"/>
  <c r="M92" i="4"/>
  <c r="O92" i="4"/>
  <c r="P92" i="4"/>
  <c r="R92" i="4"/>
  <c r="S92" i="4"/>
  <c r="L93" i="4"/>
  <c r="M93" i="4"/>
  <c r="O93" i="4"/>
  <c r="P93" i="4"/>
  <c r="R93" i="4"/>
  <c r="S93" i="4"/>
  <c r="L94" i="4"/>
  <c r="M94" i="4"/>
  <c r="O94" i="4"/>
  <c r="P94" i="4"/>
  <c r="R94" i="4"/>
  <c r="S94" i="4"/>
  <c r="L95" i="4"/>
  <c r="M95" i="4"/>
  <c r="O95" i="4"/>
  <c r="P95" i="4"/>
  <c r="R95" i="4"/>
  <c r="S95" i="4"/>
  <c r="L96" i="4"/>
  <c r="M96" i="4"/>
  <c r="O96" i="4"/>
  <c r="P96" i="4"/>
  <c r="R96" i="4"/>
  <c r="S96" i="4"/>
  <c r="L97" i="4"/>
  <c r="M97" i="4"/>
  <c r="O97" i="4"/>
  <c r="P97" i="4"/>
  <c r="R97" i="4"/>
  <c r="S97" i="4"/>
  <c r="L98" i="4"/>
  <c r="M98" i="4"/>
  <c r="O98" i="4"/>
  <c r="P98" i="4"/>
  <c r="R98" i="4"/>
  <c r="S98" i="4"/>
  <c r="L99" i="4"/>
  <c r="M99" i="4"/>
  <c r="O99" i="4"/>
  <c r="P99" i="4"/>
  <c r="R99" i="4"/>
  <c r="S99" i="4"/>
  <c r="L100" i="4"/>
  <c r="M100" i="4"/>
  <c r="O100" i="4"/>
  <c r="P100" i="4"/>
  <c r="R100" i="4"/>
  <c r="S100" i="4"/>
  <c r="L101" i="4"/>
  <c r="M101" i="4"/>
  <c r="O101" i="4"/>
  <c r="P101" i="4"/>
  <c r="R101" i="4"/>
  <c r="S101" i="4"/>
  <c r="L102" i="4"/>
  <c r="M102" i="4"/>
  <c r="O102" i="4"/>
  <c r="P102" i="4"/>
  <c r="R102" i="4"/>
  <c r="S102" i="4"/>
  <c r="L103" i="4"/>
  <c r="M103" i="4"/>
  <c r="O103" i="4"/>
  <c r="P103" i="4"/>
  <c r="R103" i="4"/>
  <c r="S103" i="4"/>
  <c r="L104" i="4"/>
  <c r="M104" i="4"/>
  <c r="O104" i="4"/>
  <c r="P104" i="4"/>
  <c r="R104" i="4"/>
  <c r="S104" i="4"/>
  <c r="L105" i="4"/>
  <c r="M105" i="4"/>
  <c r="O105" i="4"/>
  <c r="P105" i="4"/>
  <c r="R105" i="4"/>
  <c r="S105" i="4"/>
  <c r="L106" i="4"/>
  <c r="M106" i="4"/>
  <c r="O106" i="4"/>
  <c r="P106" i="4"/>
  <c r="R106" i="4"/>
  <c r="S106" i="4"/>
  <c r="L107" i="4"/>
  <c r="M107" i="4"/>
  <c r="O107" i="4"/>
  <c r="P107" i="4"/>
  <c r="R107" i="4"/>
  <c r="S107" i="4"/>
  <c r="L108" i="4"/>
  <c r="M108" i="4"/>
  <c r="O108" i="4"/>
  <c r="P108" i="4"/>
  <c r="R108" i="4"/>
  <c r="S108" i="4"/>
  <c r="L109" i="4"/>
  <c r="M109" i="4"/>
  <c r="O109" i="4"/>
  <c r="P109" i="4"/>
  <c r="R109" i="4"/>
  <c r="S109" i="4"/>
  <c r="L110" i="4"/>
  <c r="M110" i="4"/>
  <c r="O110" i="4"/>
  <c r="P110" i="4"/>
  <c r="R110" i="4"/>
  <c r="S110" i="4"/>
  <c r="L111" i="4"/>
  <c r="M111" i="4"/>
  <c r="O111" i="4"/>
  <c r="P111" i="4"/>
  <c r="R111" i="4"/>
  <c r="S111" i="4"/>
  <c r="L112" i="4"/>
  <c r="M112" i="4"/>
  <c r="O112" i="4"/>
  <c r="P112" i="4"/>
  <c r="R112" i="4"/>
  <c r="S112" i="4"/>
  <c r="L113" i="4"/>
  <c r="M113" i="4"/>
  <c r="O113" i="4"/>
  <c r="P113" i="4"/>
  <c r="R113" i="4"/>
  <c r="S113" i="4"/>
  <c r="L114" i="4"/>
  <c r="M114" i="4"/>
  <c r="O114" i="4"/>
  <c r="P114" i="4"/>
  <c r="R114" i="4"/>
  <c r="S114" i="4"/>
  <c r="L115" i="4"/>
  <c r="M115" i="4"/>
  <c r="O115" i="4"/>
  <c r="P115" i="4"/>
  <c r="R115" i="4"/>
  <c r="S115" i="4"/>
  <c r="L116" i="4"/>
  <c r="M116" i="4"/>
  <c r="O116" i="4"/>
  <c r="P116" i="4"/>
  <c r="R116" i="4"/>
  <c r="S116" i="4"/>
  <c r="L117" i="4"/>
  <c r="M117" i="4"/>
  <c r="O117" i="4"/>
  <c r="P117" i="4"/>
  <c r="R117" i="4"/>
  <c r="S117" i="4"/>
  <c r="L118" i="4"/>
  <c r="M118" i="4"/>
  <c r="O118" i="4"/>
  <c r="P118" i="4"/>
  <c r="R118" i="4"/>
  <c r="S118" i="4"/>
  <c r="L119" i="4"/>
  <c r="M119" i="4"/>
  <c r="O119" i="4"/>
  <c r="P119" i="4"/>
  <c r="R119" i="4"/>
  <c r="S119" i="4"/>
  <c r="L120" i="4"/>
  <c r="M120" i="4"/>
  <c r="O120" i="4"/>
  <c r="P120" i="4"/>
  <c r="R120" i="4"/>
  <c r="S120" i="4"/>
  <c r="L121" i="4"/>
  <c r="M121" i="4"/>
  <c r="O121" i="4"/>
  <c r="P121" i="4"/>
  <c r="R121" i="4"/>
  <c r="S121" i="4"/>
  <c r="L122" i="4"/>
  <c r="M122" i="4"/>
  <c r="O122" i="4"/>
  <c r="P122" i="4"/>
  <c r="R122" i="4"/>
  <c r="S122" i="4"/>
  <c r="L123" i="4"/>
  <c r="M123" i="4"/>
  <c r="O123" i="4"/>
  <c r="P123" i="4"/>
  <c r="R123" i="4"/>
  <c r="S123" i="4"/>
  <c r="L124" i="4"/>
  <c r="M124" i="4"/>
  <c r="O124" i="4"/>
  <c r="P124" i="4"/>
  <c r="R124" i="4"/>
  <c r="S124" i="4"/>
  <c r="L125" i="4"/>
  <c r="M125" i="4"/>
  <c r="O125" i="4"/>
  <c r="P125" i="4"/>
  <c r="R125" i="4"/>
  <c r="S125" i="4"/>
  <c r="L126" i="4"/>
  <c r="M126" i="4"/>
  <c r="O126" i="4"/>
  <c r="P126" i="4"/>
  <c r="R126" i="4"/>
  <c r="S126" i="4"/>
  <c r="L127" i="4"/>
  <c r="M127" i="4"/>
  <c r="O127" i="4"/>
  <c r="P127" i="4"/>
  <c r="R127" i="4"/>
  <c r="S127" i="4"/>
  <c r="L128" i="4"/>
  <c r="M128" i="4"/>
  <c r="O128" i="4"/>
  <c r="P128" i="4"/>
  <c r="R128" i="4"/>
  <c r="S128" i="4"/>
  <c r="L129" i="4"/>
  <c r="M129" i="4"/>
  <c r="O129" i="4"/>
  <c r="P129" i="4"/>
  <c r="R129" i="4"/>
  <c r="S129" i="4"/>
  <c r="L130" i="4"/>
  <c r="M130" i="4"/>
  <c r="O130" i="4"/>
  <c r="P130" i="4"/>
  <c r="R130" i="4"/>
  <c r="S130" i="4"/>
  <c r="L131" i="4"/>
  <c r="M131" i="4"/>
  <c r="O131" i="4"/>
  <c r="P131" i="4"/>
  <c r="R131" i="4"/>
  <c r="S131" i="4"/>
  <c r="L132" i="4"/>
  <c r="M132" i="4"/>
  <c r="O132" i="4"/>
  <c r="P132" i="4"/>
  <c r="R132" i="4"/>
  <c r="S132" i="4"/>
  <c r="L133" i="4"/>
  <c r="M133" i="4"/>
  <c r="O133" i="4"/>
  <c r="P133" i="4"/>
  <c r="R133" i="4"/>
  <c r="S133" i="4"/>
  <c r="L134" i="4"/>
  <c r="M134" i="4"/>
  <c r="O134" i="4"/>
  <c r="P134" i="4"/>
  <c r="R134" i="4"/>
  <c r="S134" i="4"/>
  <c r="L135" i="4"/>
  <c r="M135" i="4"/>
  <c r="O135" i="4"/>
  <c r="P135" i="4"/>
  <c r="R135" i="4"/>
  <c r="S135" i="4"/>
  <c r="L136" i="4"/>
  <c r="M136" i="4"/>
  <c r="O136" i="4"/>
  <c r="P136" i="4"/>
  <c r="R136" i="4"/>
  <c r="S136" i="4"/>
  <c r="L137" i="4"/>
  <c r="M137" i="4"/>
  <c r="O137" i="4"/>
  <c r="P137" i="4"/>
  <c r="R137" i="4"/>
  <c r="S137" i="4"/>
  <c r="L138" i="4"/>
  <c r="M138" i="4"/>
  <c r="O138" i="4"/>
  <c r="P138" i="4"/>
  <c r="R138" i="4"/>
  <c r="S138" i="4"/>
  <c r="L139" i="4"/>
  <c r="M139" i="4"/>
  <c r="O139" i="4"/>
  <c r="P139" i="4"/>
  <c r="R139" i="4"/>
  <c r="S139" i="4"/>
  <c r="L140" i="4"/>
  <c r="M140" i="4"/>
  <c r="O140" i="4"/>
  <c r="P140" i="4"/>
  <c r="R140" i="4"/>
  <c r="S140" i="4"/>
  <c r="L141" i="4"/>
  <c r="M141" i="4"/>
  <c r="O141" i="4"/>
  <c r="P141" i="4"/>
  <c r="R141" i="4"/>
  <c r="S141" i="4"/>
  <c r="L142" i="4"/>
  <c r="M142" i="4"/>
  <c r="O142" i="4"/>
  <c r="P142" i="4"/>
  <c r="R142" i="4"/>
  <c r="S142" i="4"/>
  <c r="L143" i="4"/>
  <c r="M143" i="4"/>
  <c r="O143" i="4"/>
  <c r="P143" i="4"/>
  <c r="R143" i="4"/>
  <c r="S143" i="4"/>
  <c r="L144" i="4"/>
  <c r="M144" i="4"/>
  <c r="O144" i="4"/>
  <c r="P144" i="4"/>
  <c r="R144" i="4"/>
  <c r="S144" i="4"/>
  <c r="L145" i="4"/>
  <c r="M145" i="4"/>
  <c r="O145" i="4"/>
  <c r="P145" i="4"/>
  <c r="R145" i="4"/>
  <c r="S145" i="4"/>
  <c r="L146" i="4"/>
  <c r="M146" i="4"/>
  <c r="O146" i="4"/>
  <c r="P146" i="4"/>
  <c r="R146" i="4"/>
  <c r="S146" i="4"/>
  <c r="L147" i="4"/>
  <c r="M147" i="4"/>
  <c r="O147" i="4"/>
  <c r="P147" i="4"/>
  <c r="R147" i="4"/>
  <c r="S147" i="4"/>
  <c r="L148" i="4"/>
  <c r="M148" i="4"/>
  <c r="O148" i="4"/>
  <c r="P148" i="4"/>
  <c r="R148" i="4"/>
  <c r="S148" i="4"/>
  <c r="L149" i="4"/>
  <c r="M149" i="4"/>
  <c r="O149" i="4"/>
  <c r="P149" i="4"/>
  <c r="R149" i="4"/>
  <c r="S149" i="4"/>
  <c r="L150" i="4"/>
  <c r="M150" i="4"/>
  <c r="O150" i="4"/>
  <c r="P150" i="4"/>
  <c r="R150" i="4"/>
  <c r="S150" i="4"/>
  <c r="L151" i="4"/>
  <c r="M151" i="4"/>
  <c r="O151" i="4"/>
  <c r="P151" i="4"/>
  <c r="R151" i="4"/>
  <c r="S151" i="4"/>
  <c r="L152" i="4"/>
  <c r="M152" i="4"/>
  <c r="O152" i="4"/>
  <c r="P152" i="4"/>
  <c r="R152" i="4"/>
  <c r="S152" i="4"/>
  <c r="L153" i="4"/>
  <c r="M153" i="4"/>
  <c r="O153" i="4"/>
  <c r="P153" i="4"/>
  <c r="R153" i="4"/>
  <c r="S153" i="4"/>
  <c r="L154" i="4"/>
  <c r="M154" i="4"/>
  <c r="O154" i="4"/>
  <c r="P154" i="4"/>
  <c r="R154" i="4"/>
  <c r="S154" i="4"/>
  <c r="L155" i="4"/>
  <c r="M155" i="4"/>
  <c r="O155" i="4"/>
  <c r="P155" i="4"/>
  <c r="R155" i="4"/>
  <c r="S155" i="4"/>
  <c r="L156" i="4"/>
  <c r="M156" i="4"/>
  <c r="O156" i="4"/>
  <c r="P156" i="4"/>
  <c r="R156" i="4"/>
  <c r="S156" i="4"/>
  <c r="L157" i="4"/>
  <c r="M157" i="4"/>
  <c r="O157" i="4"/>
  <c r="P157" i="4"/>
  <c r="R157" i="4"/>
  <c r="S157" i="4"/>
  <c r="L158" i="4"/>
  <c r="M158" i="4"/>
  <c r="O158" i="4"/>
  <c r="P158" i="4"/>
  <c r="R158" i="4"/>
  <c r="S158" i="4"/>
  <c r="L159" i="4"/>
  <c r="M159" i="4"/>
  <c r="O159" i="4"/>
  <c r="P159" i="4"/>
  <c r="R159" i="4"/>
  <c r="S159" i="4"/>
  <c r="L160" i="4"/>
  <c r="M160" i="4"/>
  <c r="O160" i="4"/>
  <c r="P160" i="4"/>
  <c r="R160" i="4"/>
  <c r="S160" i="4"/>
  <c r="L161" i="4"/>
  <c r="M161" i="4"/>
  <c r="O161" i="4"/>
  <c r="P161" i="4"/>
  <c r="R161" i="4"/>
  <c r="S161" i="4"/>
  <c r="L162" i="4"/>
  <c r="M162" i="4"/>
  <c r="O162" i="4"/>
  <c r="P162" i="4"/>
  <c r="R162" i="4"/>
  <c r="S162" i="4"/>
  <c r="L163" i="4"/>
  <c r="M163" i="4"/>
  <c r="O163" i="4"/>
  <c r="P163" i="4"/>
  <c r="R163" i="4"/>
  <c r="S163" i="4"/>
  <c r="L164" i="4"/>
  <c r="M164" i="4"/>
  <c r="O164" i="4"/>
  <c r="P164" i="4"/>
  <c r="R164" i="4"/>
  <c r="S164" i="4"/>
  <c r="L165" i="4"/>
  <c r="M165" i="4"/>
  <c r="O165" i="4"/>
  <c r="P165" i="4"/>
  <c r="R165" i="4"/>
  <c r="S165" i="4"/>
  <c r="L166" i="4"/>
  <c r="M166" i="4"/>
  <c r="O166" i="4"/>
  <c r="P166" i="4"/>
  <c r="R166" i="4"/>
  <c r="S166" i="4"/>
  <c r="L167" i="4"/>
  <c r="M167" i="4"/>
  <c r="O167" i="4"/>
  <c r="P167" i="4"/>
  <c r="R167" i="4"/>
  <c r="S167" i="4"/>
  <c r="L168" i="4"/>
  <c r="M168" i="4"/>
  <c r="O168" i="4"/>
  <c r="P168" i="4"/>
  <c r="R168" i="4"/>
  <c r="S168" i="4"/>
  <c r="L169" i="4"/>
  <c r="M169" i="4"/>
  <c r="O169" i="4"/>
  <c r="P169" i="4"/>
  <c r="R169" i="4"/>
  <c r="S169" i="4"/>
  <c r="L170" i="4"/>
  <c r="M170" i="4"/>
  <c r="O170" i="4"/>
  <c r="P170" i="4"/>
  <c r="R170" i="4"/>
  <c r="S170" i="4"/>
  <c r="L171" i="4"/>
  <c r="M171" i="4"/>
  <c r="O171" i="4"/>
  <c r="P171" i="4"/>
  <c r="R171" i="4"/>
  <c r="S171" i="4"/>
  <c r="L172" i="4"/>
  <c r="M172" i="4"/>
  <c r="O172" i="4"/>
  <c r="P172" i="4"/>
  <c r="R172" i="4"/>
  <c r="S172" i="4"/>
  <c r="L173" i="4"/>
  <c r="M173" i="4"/>
  <c r="O173" i="4"/>
  <c r="P173" i="4"/>
  <c r="R173" i="4"/>
  <c r="S173" i="4"/>
  <c r="L174" i="4"/>
  <c r="M174" i="4"/>
  <c r="O174" i="4"/>
  <c r="P174" i="4"/>
  <c r="R174" i="4"/>
  <c r="S174" i="4"/>
  <c r="L175" i="4"/>
  <c r="M175" i="4"/>
  <c r="O175" i="4"/>
  <c r="P175" i="4"/>
  <c r="R175" i="4"/>
  <c r="S175" i="4"/>
  <c r="L176" i="4"/>
  <c r="M176" i="4"/>
  <c r="O176" i="4"/>
  <c r="P176" i="4"/>
  <c r="R176" i="4"/>
  <c r="S176" i="4"/>
  <c r="L177" i="4"/>
  <c r="M177" i="4"/>
  <c r="O177" i="4"/>
  <c r="P177" i="4"/>
  <c r="R177" i="4"/>
  <c r="S177" i="4"/>
  <c r="L178" i="4"/>
  <c r="M178" i="4"/>
  <c r="O178" i="4"/>
  <c r="P178" i="4"/>
  <c r="R178" i="4"/>
  <c r="S178" i="4"/>
  <c r="L179" i="4"/>
  <c r="M179" i="4"/>
  <c r="O179" i="4"/>
  <c r="P179" i="4"/>
  <c r="R179" i="4"/>
  <c r="S179" i="4"/>
  <c r="L180" i="4"/>
  <c r="M180" i="4"/>
  <c r="O180" i="4"/>
  <c r="P180" i="4"/>
  <c r="R180" i="4"/>
  <c r="S180" i="4"/>
  <c r="L181" i="4"/>
  <c r="M181" i="4"/>
  <c r="O181" i="4"/>
  <c r="P181" i="4"/>
  <c r="R181" i="4"/>
  <c r="S181" i="4"/>
  <c r="L182" i="4"/>
  <c r="M182" i="4"/>
  <c r="O182" i="4"/>
  <c r="P182" i="4"/>
  <c r="R182" i="4"/>
  <c r="S182" i="4"/>
  <c r="L183" i="4"/>
  <c r="M183" i="4"/>
  <c r="O183" i="4"/>
  <c r="P183" i="4"/>
  <c r="R183" i="4"/>
  <c r="S183" i="4"/>
  <c r="L184" i="4"/>
  <c r="M184" i="4"/>
  <c r="O184" i="4"/>
  <c r="P184" i="4"/>
  <c r="R184" i="4"/>
  <c r="S184" i="4"/>
  <c r="L185" i="4"/>
  <c r="M185" i="4"/>
  <c r="O185" i="4"/>
  <c r="P185" i="4"/>
  <c r="R185" i="4"/>
  <c r="S185" i="4"/>
  <c r="L186" i="4"/>
  <c r="M186" i="4"/>
  <c r="O186" i="4"/>
  <c r="P186" i="4"/>
  <c r="R186" i="4"/>
  <c r="S186" i="4"/>
  <c r="L187" i="4"/>
  <c r="M187" i="4"/>
  <c r="O187" i="4"/>
  <c r="P187" i="4"/>
  <c r="R187" i="4"/>
  <c r="S187" i="4"/>
  <c r="L188" i="4"/>
  <c r="M188" i="4"/>
  <c r="O188" i="4"/>
  <c r="P188" i="4"/>
  <c r="R188" i="4"/>
  <c r="S188" i="4"/>
  <c r="L189" i="4"/>
  <c r="M189" i="4"/>
  <c r="O189" i="4"/>
  <c r="P189" i="4"/>
  <c r="R189" i="4"/>
  <c r="S189" i="4"/>
  <c r="L190" i="4"/>
  <c r="M190" i="4"/>
  <c r="O190" i="4"/>
  <c r="P190" i="4"/>
  <c r="R190" i="4"/>
  <c r="S190" i="4"/>
  <c r="L191" i="4"/>
  <c r="M191" i="4"/>
  <c r="O191" i="4"/>
  <c r="P191" i="4"/>
  <c r="R191" i="4"/>
  <c r="S191" i="4"/>
  <c r="L192" i="4"/>
  <c r="M192" i="4"/>
  <c r="O192" i="4"/>
  <c r="P192" i="4"/>
  <c r="R192" i="4"/>
  <c r="S192" i="4"/>
  <c r="L193" i="4"/>
  <c r="M193" i="4"/>
  <c r="O193" i="4"/>
  <c r="P193" i="4"/>
  <c r="R193" i="4"/>
  <c r="S193" i="4"/>
  <c r="L194" i="4"/>
  <c r="M194" i="4"/>
  <c r="O194" i="4"/>
  <c r="P194" i="4"/>
  <c r="R194" i="4"/>
  <c r="S194" i="4"/>
  <c r="L195" i="4"/>
  <c r="M195" i="4"/>
  <c r="O195" i="4"/>
  <c r="P195" i="4"/>
  <c r="R195" i="4"/>
  <c r="S195" i="4"/>
  <c r="L196" i="4"/>
  <c r="M196" i="4"/>
  <c r="O196" i="4"/>
  <c r="P196" i="4"/>
  <c r="R196" i="4"/>
  <c r="S196" i="4"/>
  <c r="L197" i="4"/>
  <c r="M197" i="4"/>
  <c r="O197" i="4"/>
  <c r="P197" i="4"/>
  <c r="R197" i="4"/>
  <c r="S197" i="4"/>
  <c r="L198" i="4"/>
  <c r="M198" i="4"/>
  <c r="O198" i="4"/>
  <c r="P198" i="4"/>
  <c r="R198" i="4"/>
  <c r="S198" i="4"/>
  <c r="L199" i="4"/>
  <c r="M199" i="4"/>
  <c r="O199" i="4"/>
  <c r="P199" i="4"/>
  <c r="R199" i="4"/>
  <c r="S199" i="4"/>
  <c r="L200" i="4"/>
  <c r="M200" i="4"/>
  <c r="O200" i="4"/>
  <c r="P200" i="4"/>
  <c r="R200" i="4"/>
  <c r="S200" i="4"/>
  <c r="L201" i="4"/>
  <c r="M201" i="4"/>
  <c r="O201" i="4"/>
  <c r="P201" i="4"/>
  <c r="R201" i="4"/>
  <c r="S201" i="4"/>
  <c r="L202" i="4"/>
  <c r="M202" i="4"/>
  <c r="O202" i="4"/>
  <c r="P202" i="4"/>
  <c r="R202" i="4"/>
  <c r="S202" i="4"/>
  <c r="L203" i="4"/>
  <c r="M203" i="4"/>
  <c r="O203" i="4"/>
  <c r="P203" i="4"/>
  <c r="R203" i="4"/>
  <c r="S203" i="4"/>
  <c r="L204" i="4"/>
  <c r="M204" i="4"/>
  <c r="O204" i="4"/>
  <c r="P204" i="4"/>
  <c r="R204" i="4"/>
  <c r="S204" i="4"/>
  <c r="L205" i="4"/>
  <c r="M205" i="4"/>
  <c r="O205" i="4"/>
  <c r="P205" i="4"/>
  <c r="R205" i="4"/>
  <c r="S205" i="4"/>
  <c r="L206" i="4"/>
  <c r="M206" i="4"/>
  <c r="O206" i="4"/>
  <c r="P206" i="4"/>
  <c r="R206" i="4"/>
  <c r="S206" i="4"/>
  <c r="L207" i="4"/>
  <c r="M207" i="4"/>
  <c r="O207" i="4"/>
  <c r="P207" i="4"/>
  <c r="R207" i="4"/>
  <c r="S207" i="4"/>
  <c r="L208" i="4"/>
  <c r="M208" i="4"/>
  <c r="O208" i="4"/>
  <c r="P208" i="4"/>
  <c r="R208" i="4"/>
  <c r="S208" i="4"/>
  <c r="L209" i="4"/>
  <c r="M209" i="4"/>
  <c r="O209" i="4"/>
  <c r="P209" i="4"/>
  <c r="R209" i="4"/>
  <c r="S209" i="4"/>
  <c r="L210" i="4"/>
  <c r="M210" i="4"/>
  <c r="O210" i="4"/>
  <c r="P210" i="4"/>
  <c r="R210" i="4"/>
  <c r="S210" i="4"/>
  <c r="L211" i="4"/>
  <c r="M211" i="4"/>
  <c r="O211" i="4"/>
  <c r="P211" i="4"/>
  <c r="R211" i="4"/>
  <c r="S211" i="4"/>
  <c r="L212" i="4"/>
  <c r="M212" i="4"/>
  <c r="O212" i="4"/>
  <c r="P212" i="4"/>
  <c r="R212" i="4"/>
  <c r="S212" i="4"/>
  <c r="L213" i="4"/>
  <c r="M213" i="4"/>
  <c r="O213" i="4"/>
  <c r="P213" i="4"/>
  <c r="R213" i="4"/>
  <c r="S213" i="4"/>
  <c r="L214" i="4"/>
  <c r="M214" i="4"/>
  <c r="O214" i="4"/>
  <c r="P214" i="4"/>
  <c r="R214" i="4"/>
  <c r="S214" i="4"/>
  <c r="L215" i="4"/>
  <c r="M215" i="4"/>
  <c r="O215" i="4"/>
  <c r="P215" i="4"/>
  <c r="R215" i="4"/>
  <c r="S215" i="4"/>
  <c r="L216" i="4"/>
  <c r="M216" i="4"/>
  <c r="O216" i="4"/>
  <c r="P216" i="4"/>
  <c r="R216" i="4"/>
  <c r="S216" i="4"/>
  <c r="L217" i="4"/>
  <c r="M217" i="4"/>
  <c r="O217" i="4"/>
  <c r="P217" i="4"/>
  <c r="R217" i="4"/>
  <c r="S217" i="4"/>
  <c r="L218" i="4"/>
  <c r="M218" i="4"/>
  <c r="O218" i="4"/>
  <c r="P218" i="4"/>
  <c r="R218" i="4"/>
  <c r="S218" i="4"/>
  <c r="L219" i="4"/>
  <c r="M219" i="4"/>
  <c r="O219" i="4"/>
  <c r="P219" i="4"/>
  <c r="R219" i="4"/>
  <c r="S219" i="4"/>
  <c r="L220" i="4"/>
  <c r="M220" i="4"/>
  <c r="O220" i="4"/>
  <c r="P220" i="4"/>
  <c r="R220" i="4"/>
  <c r="S220" i="4"/>
  <c r="L221" i="4"/>
  <c r="M221" i="4"/>
  <c r="O221" i="4"/>
  <c r="P221" i="4"/>
  <c r="R221" i="4"/>
  <c r="S221" i="4"/>
  <c r="L222" i="4"/>
  <c r="M222" i="4"/>
  <c r="O222" i="4"/>
  <c r="P222" i="4"/>
  <c r="R222" i="4"/>
  <c r="S222" i="4"/>
  <c r="L223" i="4"/>
  <c r="M223" i="4"/>
  <c r="O223" i="4"/>
  <c r="P223" i="4"/>
  <c r="R223" i="4"/>
  <c r="S223" i="4"/>
  <c r="L224" i="4"/>
  <c r="M224" i="4"/>
  <c r="O224" i="4"/>
  <c r="P224" i="4"/>
  <c r="R224" i="4"/>
  <c r="S224" i="4"/>
  <c r="L225" i="4"/>
  <c r="M225" i="4"/>
  <c r="O225" i="4"/>
  <c r="P225" i="4"/>
  <c r="R225" i="4"/>
  <c r="S225" i="4"/>
  <c r="L226" i="4"/>
  <c r="M226" i="4"/>
  <c r="O226" i="4"/>
  <c r="P226" i="4"/>
  <c r="R226" i="4"/>
  <c r="S226" i="4"/>
  <c r="L227" i="4"/>
  <c r="M227" i="4"/>
  <c r="O227" i="4"/>
  <c r="P227" i="4"/>
  <c r="R227" i="4"/>
  <c r="S227" i="4"/>
  <c r="L228" i="4"/>
  <c r="M228" i="4"/>
  <c r="O228" i="4"/>
  <c r="P228" i="4"/>
  <c r="R228" i="4"/>
  <c r="S228" i="4"/>
  <c r="L229" i="4"/>
  <c r="M229" i="4"/>
  <c r="O229" i="4"/>
  <c r="P229" i="4"/>
  <c r="R229" i="4"/>
  <c r="S229" i="4"/>
  <c r="L230" i="4"/>
  <c r="M230" i="4"/>
  <c r="O230" i="4"/>
  <c r="P230" i="4"/>
  <c r="R230" i="4"/>
  <c r="S230" i="4"/>
  <c r="L231" i="4"/>
  <c r="M231" i="4"/>
  <c r="O231" i="4"/>
  <c r="P231" i="4"/>
  <c r="R231" i="4"/>
  <c r="S231" i="4"/>
  <c r="L232" i="4"/>
  <c r="M232" i="4"/>
  <c r="O232" i="4"/>
  <c r="P232" i="4"/>
  <c r="R232" i="4"/>
  <c r="S232" i="4"/>
  <c r="L233" i="4"/>
  <c r="M233" i="4"/>
  <c r="O233" i="4"/>
  <c r="P233" i="4"/>
  <c r="R233" i="4"/>
  <c r="S233" i="4"/>
  <c r="L234" i="4"/>
  <c r="M234" i="4"/>
  <c r="O234" i="4"/>
  <c r="P234" i="4"/>
  <c r="R234" i="4"/>
  <c r="S234" i="4"/>
  <c r="L235" i="4"/>
  <c r="M235" i="4"/>
  <c r="O235" i="4"/>
  <c r="P235" i="4"/>
  <c r="R235" i="4"/>
  <c r="S235" i="4"/>
  <c r="L236" i="4"/>
  <c r="M236" i="4"/>
  <c r="O236" i="4"/>
  <c r="P236" i="4"/>
  <c r="R236" i="4"/>
  <c r="S236" i="4"/>
  <c r="L237" i="4"/>
  <c r="M237" i="4"/>
  <c r="O237" i="4"/>
  <c r="P237" i="4"/>
  <c r="R237" i="4"/>
  <c r="S237" i="4"/>
  <c r="L238" i="4"/>
  <c r="M238" i="4"/>
  <c r="O238" i="4"/>
  <c r="P238" i="4"/>
  <c r="R238" i="4"/>
  <c r="S238" i="4"/>
  <c r="L239" i="4"/>
  <c r="M239" i="4"/>
  <c r="O239" i="4"/>
  <c r="P239" i="4"/>
  <c r="R239" i="4"/>
  <c r="S239" i="4"/>
  <c r="L240" i="4"/>
  <c r="M240" i="4"/>
  <c r="O240" i="4"/>
  <c r="P240" i="4"/>
  <c r="R240" i="4"/>
  <c r="S240" i="4"/>
  <c r="L241" i="4"/>
  <c r="M241" i="4"/>
  <c r="O241" i="4"/>
  <c r="P241" i="4"/>
  <c r="R241" i="4"/>
  <c r="S241" i="4"/>
  <c r="L242" i="4"/>
  <c r="M242" i="4"/>
  <c r="O242" i="4"/>
  <c r="P242" i="4"/>
  <c r="R242" i="4"/>
  <c r="S242" i="4"/>
  <c r="L243" i="4"/>
  <c r="M243" i="4"/>
  <c r="O243" i="4"/>
  <c r="P243" i="4"/>
  <c r="R243" i="4"/>
  <c r="S243" i="4"/>
  <c r="L244" i="4"/>
  <c r="M244" i="4"/>
  <c r="O244" i="4"/>
  <c r="P244" i="4"/>
  <c r="R244" i="4"/>
  <c r="S244" i="4"/>
  <c r="L245" i="4"/>
  <c r="M245" i="4"/>
  <c r="O245" i="4"/>
  <c r="P245" i="4"/>
  <c r="R245" i="4"/>
  <c r="S245" i="4"/>
  <c r="L246" i="4"/>
  <c r="M246" i="4"/>
  <c r="O246" i="4"/>
  <c r="P246" i="4"/>
  <c r="R246" i="4"/>
  <c r="S246" i="4"/>
  <c r="L247" i="4"/>
  <c r="M247" i="4"/>
  <c r="O247" i="4"/>
  <c r="P247" i="4"/>
  <c r="R247" i="4"/>
  <c r="S247" i="4"/>
  <c r="L248" i="4"/>
  <c r="M248" i="4"/>
  <c r="O248" i="4"/>
  <c r="P248" i="4"/>
  <c r="R248" i="4"/>
  <c r="S248" i="4"/>
  <c r="L249" i="4"/>
  <c r="M249" i="4"/>
  <c r="O249" i="4"/>
  <c r="P249" i="4"/>
  <c r="R249" i="4"/>
  <c r="S249" i="4"/>
  <c r="L250" i="4"/>
  <c r="M250" i="4"/>
  <c r="O250" i="4"/>
  <c r="P250" i="4"/>
  <c r="R250" i="4"/>
  <c r="S250" i="4"/>
  <c r="L251" i="4"/>
  <c r="M251" i="4"/>
  <c r="O251" i="4"/>
  <c r="P251" i="4"/>
  <c r="R251" i="4"/>
  <c r="S251" i="4"/>
  <c r="L252" i="4"/>
  <c r="M252" i="4"/>
  <c r="O252" i="4"/>
  <c r="P252" i="4"/>
  <c r="R252" i="4"/>
  <c r="S252" i="4"/>
  <c r="L253" i="4"/>
  <c r="M253" i="4"/>
  <c r="O253" i="4"/>
  <c r="P253" i="4"/>
  <c r="R253" i="4"/>
  <c r="S253" i="4"/>
  <c r="L254" i="4"/>
  <c r="M254" i="4"/>
  <c r="O254" i="4"/>
  <c r="P254" i="4"/>
  <c r="R254" i="4"/>
  <c r="S254" i="4"/>
  <c r="L255" i="4"/>
  <c r="M255" i="4"/>
  <c r="O255" i="4"/>
  <c r="P255" i="4"/>
  <c r="R255" i="4"/>
  <c r="S255" i="4"/>
  <c r="L256" i="4"/>
  <c r="M256" i="4"/>
  <c r="O256" i="4"/>
  <c r="P256" i="4"/>
  <c r="R256" i="4"/>
  <c r="S256" i="4"/>
  <c r="L257" i="4"/>
  <c r="M257" i="4"/>
  <c r="O257" i="4"/>
  <c r="P257" i="4"/>
  <c r="R257" i="4"/>
  <c r="S257" i="4"/>
  <c r="L258" i="4"/>
  <c r="M258" i="4"/>
  <c r="O258" i="4"/>
  <c r="P258" i="4"/>
  <c r="R258" i="4"/>
  <c r="S258" i="4"/>
  <c r="L259" i="4"/>
  <c r="M259" i="4"/>
  <c r="O259" i="4"/>
  <c r="P259" i="4"/>
  <c r="R259" i="4"/>
  <c r="S259" i="4"/>
  <c r="L260" i="4"/>
  <c r="M260" i="4"/>
  <c r="O260" i="4"/>
  <c r="P260" i="4"/>
  <c r="R260" i="4"/>
  <c r="S260" i="4"/>
  <c r="L261" i="4"/>
  <c r="M261" i="4"/>
  <c r="O261" i="4"/>
  <c r="P261" i="4"/>
  <c r="R261" i="4"/>
  <c r="S261" i="4"/>
  <c r="L262" i="4"/>
  <c r="M262" i="4"/>
  <c r="O262" i="4"/>
  <c r="P262" i="4"/>
  <c r="R262" i="4"/>
  <c r="S262" i="4"/>
  <c r="L263" i="4"/>
  <c r="M263" i="4"/>
  <c r="O263" i="4"/>
  <c r="P263" i="4"/>
  <c r="R263" i="4"/>
  <c r="S263" i="4"/>
  <c r="L264" i="4"/>
  <c r="M264" i="4"/>
  <c r="O264" i="4"/>
  <c r="P264" i="4"/>
  <c r="R264" i="4"/>
  <c r="S264" i="4"/>
  <c r="L265" i="4"/>
  <c r="M265" i="4"/>
  <c r="O265" i="4"/>
  <c r="P265" i="4"/>
  <c r="R265" i="4"/>
  <c r="S265" i="4"/>
  <c r="L266" i="4"/>
  <c r="M266" i="4"/>
  <c r="O266" i="4"/>
  <c r="P266" i="4"/>
  <c r="R266" i="4"/>
  <c r="S266" i="4"/>
  <c r="L267" i="4"/>
  <c r="M267" i="4"/>
  <c r="O267" i="4"/>
  <c r="P267" i="4"/>
  <c r="R267" i="4"/>
  <c r="S267" i="4"/>
  <c r="L268" i="4"/>
  <c r="M268" i="4"/>
  <c r="O268" i="4"/>
  <c r="P268" i="4"/>
  <c r="R268" i="4"/>
  <c r="S268" i="4"/>
  <c r="L269" i="4"/>
  <c r="M269" i="4"/>
  <c r="O269" i="4"/>
  <c r="P269" i="4"/>
  <c r="R269" i="4"/>
  <c r="S269" i="4"/>
  <c r="L270" i="4"/>
  <c r="M270" i="4"/>
  <c r="O270" i="4"/>
  <c r="P270" i="4"/>
  <c r="R270" i="4"/>
  <c r="S270" i="4"/>
  <c r="L271" i="4"/>
  <c r="M271" i="4"/>
  <c r="O271" i="4"/>
  <c r="P271" i="4"/>
  <c r="R271" i="4"/>
  <c r="S271" i="4"/>
  <c r="L272" i="4"/>
  <c r="M272" i="4"/>
  <c r="O272" i="4"/>
  <c r="P272" i="4"/>
  <c r="R272" i="4"/>
  <c r="S272" i="4"/>
  <c r="L273" i="4"/>
  <c r="M273" i="4"/>
  <c r="O273" i="4"/>
  <c r="P273" i="4"/>
  <c r="R273" i="4"/>
  <c r="S273" i="4"/>
  <c r="L274" i="4"/>
  <c r="M274" i="4"/>
  <c r="O274" i="4"/>
  <c r="P274" i="4"/>
  <c r="R274" i="4"/>
  <c r="S274" i="4"/>
  <c r="L275" i="4"/>
  <c r="M275" i="4"/>
  <c r="O275" i="4"/>
  <c r="P275" i="4"/>
  <c r="R275" i="4"/>
  <c r="S275" i="4"/>
  <c r="L276" i="4"/>
  <c r="M276" i="4"/>
  <c r="O276" i="4"/>
  <c r="P276" i="4"/>
  <c r="R276" i="4"/>
  <c r="S276" i="4"/>
  <c r="L277" i="4"/>
  <c r="M277" i="4"/>
  <c r="O277" i="4"/>
  <c r="P277" i="4"/>
  <c r="R277" i="4"/>
  <c r="S277" i="4"/>
  <c r="L278" i="4"/>
  <c r="M278" i="4"/>
  <c r="O278" i="4"/>
  <c r="P278" i="4"/>
  <c r="R278" i="4"/>
  <c r="S278" i="4"/>
  <c r="L279" i="4"/>
  <c r="M279" i="4"/>
  <c r="O279" i="4"/>
  <c r="P279" i="4"/>
  <c r="R279" i="4"/>
  <c r="S279" i="4"/>
  <c r="L280" i="4"/>
  <c r="M280" i="4"/>
  <c r="O280" i="4"/>
  <c r="P280" i="4"/>
  <c r="R280" i="4"/>
  <c r="S280" i="4"/>
  <c r="L281" i="4"/>
  <c r="M281" i="4"/>
  <c r="O281" i="4"/>
  <c r="P281" i="4"/>
  <c r="R281" i="4"/>
  <c r="S281" i="4"/>
  <c r="L282" i="4"/>
  <c r="M282" i="4"/>
  <c r="O282" i="4"/>
  <c r="P282" i="4"/>
  <c r="R282" i="4"/>
  <c r="S282" i="4"/>
  <c r="L283" i="4"/>
  <c r="M283" i="4"/>
  <c r="O283" i="4"/>
  <c r="P283" i="4"/>
  <c r="R283" i="4"/>
  <c r="S283" i="4"/>
  <c r="L284" i="4"/>
  <c r="M284" i="4"/>
  <c r="O284" i="4"/>
  <c r="P284" i="4"/>
  <c r="R284" i="4"/>
  <c r="S284" i="4"/>
  <c r="L285" i="4"/>
  <c r="M285" i="4"/>
  <c r="O285" i="4"/>
  <c r="P285" i="4"/>
  <c r="R285" i="4"/>
  <c r="S285" i="4"/>
  <c r="L286" i="4"/>
  <c r="M286" i="4"/>
  <c r="O286" i="4"/>
  <c r="P286" i="4"/>
  <c r="R286" i="4"/>
  <c r="S286" i="4"/>
  <c r="L287" i="4"/>
  <c r="M287" i="4"/>
  <c r="O287" i="4"/>
  <c r="P287" i="4"/>
  <c r="R287" i="4"/>
  <c r="S287" i="4"/>
  <c r="L288" i="4"/>
  <c r="M288" i="4"/>
  <c r="O288" i="4"/>
  <c r="P288" i="4"/>
  <c r="R288" i="4"/>
  <c r="S288" i="4"/>
  <c r="L289" i="4"/>
  <c r="M289" i="4"/>
  <c r="O289" i="4"/>
  <c r="P289" i="4"/>
  <c r="R289" i="4"/>
  <c r="S289" i="4"/>
  <c r="L290" i="4"/>
  <c r="M290" i="4"/>
  <c r="O290" i="4"/>
  <c r="P290" i="4"/>
  <c r="R290" i="4"/>
  <c r="S290" i="4"/>
  <c r="L291" i="4"/>
  <c r="M291" i="4"/>
  <c r="O291" i="4"/>
  <c r="P291" i="4"/>
  <c r="R291" i="4"/>
  <c r="S291" i="4"/>
  <c r="L292" i="4"/>
  <c r="M292" i="4"/>
  <c r="O292" i="4"/>
  <c r="P292" i="4"/>
  <c r="R292" i="4"/>
  <c r="S292" i="4"/>
  <c r="L293" i="4"/>
  <c r="M293" i="4"/>
  <c r="O293" i="4"/>
  <c r="P293" i="4"/>
  <c r="R293" i="4"/>
  <c r="S293" i="4"/>
  <c r="L294" i="4"/>
  <c r="M294" i="4"/>
  <c r="O294" i="4"/>
  <c r="P294" i="4"/>
  <c r="R294" i="4"/>
  <c r="S294" i="4"/>
  <c r="L295" i="4"/>
  <c r="M295" i="4"/>
  <c r="O295" i="4"/>
  <c r="P295" i="4"/>
  <c r="R295" i="4"/>
  <c r="S295" i="4"/>
  <c r="S3" i="4"/>
  <c r="R3" i="4"/>
  <c r="P3" i="4"/>
  <c r="O3" i="4"/>
  <c r="M3" i="4"/>
  <c r="L3" i="4"/>
  <c r="C4" i="4"/>
  <c r="D4" i="4"/>
  <c r="F4" i="4"/>
  <c r="G4" i="4"/>
  <c r="I4" i="4"/>
  <c r="J4" i="4"/>
  <c r="C5" i="4"/>
  <c r="D5" i="4"/>
  <c r="F5" i="4"/>
  <c r="G5" i="4"/>
  <c r="I5" i="4"/>
  <c r="J5" i="4"/>
  <c r="C6" i="4"/>
  <c r="D6" i="4"/>
  <c r="F6" i="4"/>
  <c r="G6" i="4"/>
  <c r="I6" i="4"/>
  <c r="J6" i="4"/>
  <c r="C7" i="4"/>
  <c r="D7" i="4"/>
  <c r="F7" i="4"/>
  <c r="G7" i="4"/>
  <c r="I7" i="4"/>
  <c r="J7" i="4"/>
  <c r="C8" i="4"/>
  <c r="D8" i="4"/>
  <c r="F8" i="4"/>
  <c r="G8" i="4"/>
  <c r="I8" i="4"/>
  <c r="J8" i="4"/>
  <c r="C9" i="4"/>
  <c r="D9" i="4"/>
  <c r="F9" i="4"/>
  <c r="G9" i="4"/>
  <c r="I9" i="4"/>
  <c r="J9" i="4"/>
  <c r="C10" i="4"/>
  <c r="D10" i="4"/>
  <c r="F10" i="4"/>
  <c r="G10" i="4"/>
  <c r="I10" i="4"/>
  <c r="J10" i="4"/>
  <c r="C11" i="4"/>
  <c r="D11" i="4"/>
  <c r="F11" i="4"/>
  <c r="G11" i="4"/>
  <c r="I11" i="4"/>
  <c r="J11" i="4"/>
  <c r="C12" i="4"/>
  <c r="D12" i="4"/>
  <c r="F12" i="4"/>
  <c r="G12" i="4"/>
  <c r="I12" i="4"/>
  <c r="J12" i="4"/>
  <c r="C13" i="4"/>
  <c r="D13" i="4"/>
  <c r="F13" i="4"/>
  <c r="G13" i="4"/>
  <c r="I13" i="4"/>
  <c r="J13" i="4"/>
  <c r="C14" i="4"/>
  <c r="D14" i="4"/>
  <c r="F14" i="4"/>
  <c r="G14" i="4"/>
  <c r="I14" i="4"/>
  <c r="J14" i="4"/>
  <c r="C15" i="4"/>
  <c r="D15" i="4"/>
  <c r="F15" i="4"/>
  <c r="G15" i="4"/>
  <c r="I15" i="4"/>
  <c r="J15" i="4"/>
  <c r="C16" i="4"/>
  <c r="D16" i="4"/>
  <c r="F16" i="4"/>
  <c r="G16" i="4"/>
  <c r="I16" i="4"/>
  <c r="J16" i="4"/>
  <c r="C17" i="4"/>
  <c r="D17" i="4"/>
  <c r="F17" i="4"/>
  <c r="G17" i="4"/>
  <c r="I17" i="4"/>
  <c r="J17" i="4"/>
  <c r="C18" i="4"/>
  <c r="D18" i="4"/>
  <c r="F18" i="4"/>
  <c r="G18" i="4"/>
  <c r="I18" i="4"/>
  <c r="J18" i="4"/>
  <c r="C19" i="4"/>
  <c r="D19" i="4"/>
  <c r="F19" i="4"/>
  <c r="G19" i="4"/>
  <c r="I19" i="4"/>
  <c r="J19" i="4"/>
  <c r="C20" i="4"/>
  <c r="D20" i="4"/>
  <c r="F20" i="4"/>
  <c r="G20" i="4"/>
  <c r="I20" i="4"/>
  <c r="J20" i="4"/>
  <c r="C21" i="4"/>
  <c r="D21" i="4"/>
  <c r="F21" i="4"/>
  <c r="G21" i="4"/>
  <c r="I21" i="4"/>
  <c r="J21" i="4"/>
  <c r="C22" i="4"/>
  <c r="D22" i="4"/>
  <c r="F22" i="4"/>
  <c r="G22" i="4"/>
  <c r="I22" i="4"/>
  <c r="J22" i="4"/>
  <c r="C23" i="4"/>
  <c r="D23" i="4"/>
  <c r="F23" i="4"/>
  <c r="G23" i="4"/>
  <c r="I23" i="4"/>
  <c r="J23" i="4"/>
  <c r="C24" i="4"/>
  <c r="D24" i="4"/>
  <c r="F24" i="4"/>
  <c r="G24" i="4"/>
  <c r="I24" i="4"/>
  <c r="J24" i="4"/>
  <c r="C25" i="4"/>
  <c r="D25" i="4"/>
  <c r="F25" i="4"/>
  <c r="G25" i="4"/>
  <c r="I25" i="4"/>
  <c r="J25" i="4"/>
  <c r="C26" i="4"/>
  <c r="D26" i="4"/>
  <c r="F26" i="4"/>
  <c r="G26" i="4"/>
  <c r="I26" i="4"/>
  <c r="J26" i="4"/>
  <c r="C27" i="4"/>
  <c r="D27" i="4"/>
  <c r="F27" i="4"/>
  <c r="G27" i="4"/>
  <c r="I27" i="4"/>
  <c r="J27" i="4"/>
  <c r="C28" i="4"/>
  <c r="D28" i="4"/>
  <c r="F28" i="4"/>
  <c r="G28" i="4"/>
  <c r="I28" i="4"/>
  <c r="J28" i="4"/>
  <c r="C29" i="4"/>
  <c r="D29" i="4"/>
  <c r="F29" i="4"/>
  <c r="G29" i="4"/>
  <c r="I29" i="4"/>
  <c r="J29" i="4"/>
  <c r="C30" i="4"/>
  <c r="D30" i="4"/>
  <c r="F30" i="4"/>
  <c r="G30" i="4"/>
  <c r="I30" i="4"/>
  <c r="J30" i="4"/>
  <c r="C31" i="4"/>
  <c r="D31" i="4"/>
  <c r="F31" i="4"/>
  <c r="G31" i="4"/>
  <c r="I31" i="4"/>
  <c r="J31" i="4"/>
  <c r="C32" i="4"/>
  <c r="D32" i="4"/>
  <c r="F32" i="4"/>
  <c r="G32" i="4"/>
  <c r="I32" i="4"/>
  <c r="J32" i="4"/>
  <c r="C33" i="4"/>
  <c r="D33" i="4"/>
  <c r="F33" i="4"/>
  <c r="G33" i="4"/>
  <c r="I33" i="4"/>
  <c r="J33" i="4"/>
  <c r="C34" i="4"/>
  <c r="D34" i="4"/>
  <c r="F34" i="4"/>
  <c r="G34" i="4"/>
  <c r="I34" i="4"/>
  <c r="J34" i="4"/>
  <c r="C35" i="4"/>
  <c r="D35" i="4"/>
  <c r="F35" i="4"/>
  <c r="G35" i="4"/>
  <c r="I35" i="4"/>
  <c r="J35" i="4"/>
  <c r="C36" i="4"/>
  <c r="D36" i="4"/>
  <c r="F36" i="4"/>
  <c r="G36" i="4"/>
  <c r="I36" i="4"/>
  <c r="J36" i="4"/>
  <c r="C37" i="4"/>
  <c r="D37" i="4"/>
  <c r="F37" i="4"/>
  <c r="G37" i="4"/>
  <c r="I37" i="4"/>
  <c r="J37" i="4"/>
  <c r="C38" i="4"/>
  <c r="D38" i="4"/>
  <c r="F38" i="4"/>
  <c r="G38" i="4"/>
  <c r="I38" i="4"/>
  <c r="J38" i="4"/>
  <c r="C39" i="4"/>
  <c r="D39" i="4"/>
  <c r="F39" i="4"/>
  <c r="G39" i="4"/>
  <c r="I39" i="4"/>
  <c r="J39" i="4"/>
  <c r="C40" i="4"/>
  <c r="D40" i="4"/>
  <c r="F40" i="4"/>
  <c r="G40" i="4"/>
  <c r="I40" i="4"/>
  <c r="J40" i="4"/>
  <c r="C41" i="4"/>
  <c r="D41" i="4"/>
  <c r="F41" i="4"/>
  <c r="G41" i="4"/>
  <c r="I41" i="4"/>
  <c r="J41" i="4"/>
  <c r="C42" i="4"/>
  <c r="D42" i="4"/>
  <c r="F42" i="4"/>
  <c r="G42" i="4"/>
  <c r="I42" i="4"/>
  <c r="J42" i="4"/>
  <c r="C43" i="4"/>
  <c r="D43" i="4"/>
  <c r="F43" i="4"/>
  <c r="G43" i="4"/>
  <c r="I43" i="4"/>
  <c r="J43" i="4"/>
  <c r="C44" i="4"/>
  <c r="D44" i="4"/>
  <c r="F44" i="4"/>
  <c r="G44" i="4"/>
  <c r="I44" i="4"/>
  <c r="J44" i="4"/>
  <c r="C45" i="4"/>
  <c r="D45" i="4"/>
  <c r="F45" i="4"/>
  <c r="G45" i="4"/>
  <c r="I45" i="4"/>
  <c r="J45" i="4"/>
  <c r="C46" i="4"/>
  <c r="D46" i="4"/>
  <c r="F46" i="4"/>
  <c r="G46" i="4"/>
  <c r="I46" i="4"/>
  <c r="J46" i="4"/>
  <c r="C47" i="4"/>
  <c r="D47" i="4"/>
  <c r="F47" i="4"/>
  <c r="G47" i="4"/>
  <c r="I47" i="4"/>
  <c r="J47" i="4"/>
  <c r="C48" i="4"/>
  <c r="D48" i="4"/>
  <c r="F48" i="4"/>
  <c r="G48" i="4"/>
  <c r="I48" i="4"/>
  <c r="J48" i="4"/>
  <c r="C49" i="4"/>
  <c r="D49" i="4"/>
  <c r="F49" i="4"/>
  <c r="G49" i="4"/>
  <c r="I49" i="4"/>
  <c r="J49" i="4"/>
  <c r="C50" i="4"/>
  <c r="D50" i="4"/>
  <c r="F50" i="4"/>
  <c r="G50" i="4"/>
  <c r="I50" i="4"/>
  <c r="J50" i="4"/>
  <c r="C51" i="4"/>
  <c r="D51" i="4"/>
  <c r="F51" i="4"/>
  <c r="G51" i="4"/>
  <c r="I51" i="4"/>
  <c r="J51" i="4"/>
  <c r="C52" i="4"/>
  <c r="D52" i="4"/>
  <c r="F52" i="4"/>
  <c r="G52" i="4"/>
  <c r="I52" i="4"/>
  <c r="J52" i="4"/>
  <c r="C53" i="4"/>
  <c r="D53" i="4"/>
  <c r="F53" i="4"/>
  <c r="G53" i="4"/>
  <c r="I53" i="4"/>
  <c r="J53" i="4"/>
  <c r="C54" i="4"/>
  <c r="D54" i="4"/>
  <c r="F54" i="4"/>
  <c r="G54" i="4"/>
  <c r="I54" i="4"/>
  <c r="J54" i="4"/>
  <c r="C55" i="4"/>
  <c r="D55" i="4"/>
  <c r="F55" i="4"/>
  <c r="G55" i="4"/>
  <c r="I55" i="4"/>
  <c r="J55" i="4"/>
  <c r="C56" i="4"/>
  <c r="D56" i="4"/>
  <c r="F56" i="4"/>
  <c r="G56" i="4"/>
  <c r="I56" i="4"/>
  <c r="J56" i="4"/>
  <c r="C57" i="4"/>
  <c r="D57" i="4"/>
  <c r="F57" i="4"/>
  <c r="G57" i="4"/>
  <c r="I57" i="4"/>
  <c r="J57" i="4"/>
  <c r="C58" i="4"/>
  <c r="D58" i="4"/>
  <c r="F58" i="4"/>
  <c r="G58" i="4"/>
  <c r="I58" i="4"/>
  <c r="J58" i="4"/>
  <c r="C59" i="4"/>
  <c r="D59" i="4"/>
  <c r="F59" i="4"/>
  <c r="G59" i="4"/>
  <c r="I59" i="4"/>
  <c r="J59" i="4"/>
  <c r="C60" i="4"/>
  <c r="D60" i="4"/>
  <c r="F60" i="4"/>
  <c r="G60" i="4"/>
  <c r="I60" i="4"/>
  <c r="J60" i="4"/>
  <c r="C61" i="4"/>
  <c r="D61" i="4"/>
  <c r="F61" i="4"/>
  <c r="G61" i="4"/>
  <c r="I61" i="4"/>
  <c r="J61" i="4"/>
  <c r="C62" i="4"/>
  <c r="D62" i="4"/>
  <c r="F62" i="4"/>
  <c r="G62" i="4"/>
  <c r="I62" i="4"/>
  <c r="J62" i="4"/>
  <c r="C63" i="4"/>
  <c r="D63" i="4"/>
  <c r="F63" i="4"/>
  <c r="G63" i="4"/>
  <c r="I63" i="4"/>
  <c r="J63" i="4"/>
  <c r="C64" i="4"/>
  <c r="D64" i="4"/>
  <c r="F64" i="4"/>
  <c r="G64" i="4"/>
  <c r="I64" i="4"/>
  <c r="J64" i="4"/>
  <c r="C65" i="4"/>
  <c r="D65" i="4"/>
  <c r="F65" i="4"/>
  <c r="G65" i="4"/>
  <c r="I65" i="4"/>
  <c r="J65" i="4"/>
  <c r="C66" i="4"/>
  <c r="D66" i="4"/>
  <c r="F66" i="4"/>
  <c r="G66" i="4"/>
  <c r="I66" i="4"/>
  <c r="J66" i="4"/>
  <c r="C67" i="4"/>
  <c r="D67" i="4"/>
  <c r="F67" i="4"/>
  <c r="G67" i="4"/>
  <c r="I67" i="4"/>
  <c r="J67" i="4"/>
  <c r="C68" i="4"/>
  <c r="D68" i="4"/>
  <c r="F68" i="4"/>
  <c r="G68" i="4"/>
  <c r="I68" i="4"/>
  <c r="J68" i="4"/>
  <c r="C69" i="4"/>
  <c r="D69" i="4"/>
  <c r="F69" i="4"/>
  <c r="G69" i="4"/>
  <c r="I69" i="4"/>
  <c r="J69" i="4"/>
  <c r="C70" i="4"/>
  <c r="D70" i="4"/>
  <c r="F70" i="4"/>
  <c r="G70" i="4"/>
  <c r="I70" i="4"/>
  <c r="J70" i="4"/>
  <c r="C71" i="4"/>
  <c r="D71" i="4"/>
  <c r="F71" i="4"/>
  <c r="G71" i="4"/>
  <c r="I71" i="4"/>
  <c r="J71" i="4"/>
  <c r="C72" i="4"/>
  <c r="D72" i="4"/>
  <c r="F72" i="4"/>
  <c r="G72" i="4"/>
  <c r="I72" i="4"/>
  <c r="J72" i="4"/>
  <c r="C73" i="4"/>
  <c r="D73" i="4"/>
  <c r="F73" i="4"/>
  <c r="G73" i="4"/>
  <c r="I73" i="4"/>
  <c r="J73" i="4"/>
  <c r="C74" i="4"/>
  <c r="D74" i="4"/>
  <c r="F74" i="4"/>
  <c r="G74" i="4"/>
  <c r="I74" i="4"/>
  <c r="J74" i="4"/>
  <c r="C75" i="4"/>
  <c r="D75" i="4"/>
  <c r="F75" i="4"/>
  <c r="G75" i="4"/>
  <c r="I75" i="4"/>
  <c r="J75" i="4"/>
  <c r="C76" i="4"/>
  <c r="D76" i="4"/>
  <c r="F76" i="4"/>
  <c r="G76" i="4"/>
  <c r="I76" i="4"/>
  <c r="J76" i="4"/>
  <c r="C77" i="4"/>
  <c r="D77" i="4"/>
  <c r="F77" i="4"/>
  <c r="G77" i="4"/>
  <c r="I77" i="4"/>
  <c r="J77" i="4"/>
  <c r="C78" i="4"/>
  <c r="D78" i="4"/>
  <c r="F78" i="4"/>
  <c r="G78" i="4"/>
  <c r="I78" i="4"/>
  <c r="J78" i="4"/>
  <c r="C79" i="4"/>
  <c r="D79" i="4"/>
  <c r="F79" i="4"/>
  <c r="G79" i="4"/>
  <c r="I79" i="4"/>
  <c r="J79" i="4"/>
  <c r="C80" i="4"/>
  <c r="D80" i="4"/>
  <c r="F80" i="4"/>
  <c r="G80" i="4"/>
  <c r="I80" i="4"/>
  <c r="J80" i="4"/>
  <c r="C81" i="4"/>
  <c r="D81" i="4"/>
  <c r="F81" i="4"/>
  <c r="G81" i="4"/>
  <c r="I81" i="4"/>
  <c r="J81" i="4"/>
  <c r="C82" i="4"/>
  <c r="D82" i="4"/>
  <c r="F82" i="4"/>
  <c r="G82" i="4"/>
  <c r="I82" i="4"/>
  <c r="J82" i="4"/>
  <c r="C83" i="4"/>
  <c r="D83" i="4"/>
  <c r="F83" i="4"/>
  <c r="G83" i="4"/>
  <c r="I83" i="4"/>
  <c r="J83" i="4"/>
  <c r="C84" i="4"/>
  <c r="D84" i="4"/>
  <c r="F84" i="4"/>
  <c r="G84" i="4"/>
  <c r="I84" i="4"/>
  <c r="J84" i="4"/>
  <c r="C85" i="4"/>
  <c r="D85" i="4"/>
  <c r="F85" i="4"/>
  <c r="G85" i="4"/>
  <c r="I85" i="4"/>
  <c r="J85" i="4"/>
  <c r="C86" i="4"/>
  <c r="D86" i="4"/>
  <c r="F86" i="4"/>
  <c r="G86" i="4"/>
  <c r="I86" i="4"/>
  <c r="J86" i="4"/>
  <c r="C87" i="4"/>
  <c r="D87" i="4"/>
  <c r="F87" i="4"/>
  <c r="G87" i="4"/>
  <c r="I87" i="4"/>
  <c r="J87" i="4"/>
  <c r="C88" i="4"/>
  <c r="D88" i="4"/>
  <c r="F88" i="4"/>
  <c r="G88" i="4"/>
  <c r="I88" i="4"/>
  <c r="J88" i="4"/>
  <c r="C89" i="4"/>
  <c r="D89" i="4"/>
  <c r="F89" i="4"/>
  <c r="G89" i="4"/>
  <c r="I89" i="4"/>
  <c r="J89" i="4"/>
  <c r="C90" i="4"/>
  <c r="D90" i="4"/>
  <c r="F90" i="4"/>
  <c r="G90" i="4"/>
  <c r="I90" i="4"/>
  <c r="J90" i="4"/>
  <c r="C91" i="4"/>
  <c r="D91" i="4"/>
  <c r="F91" i="4"/>
  <c r="G91" i="4"/>
  <c r="I91" i="4"/>
  <c r="J91" i="4"/>
  <c r="C92" i="4"/>
  <c r="D92" i="4"/>
  <c r="F92" i="4"/>
  <c r="G92" i="4"/>
  <c r="I92" i="4"/>
  <c r="J92" i="4"/>
  <c r="C93" i="4"/>
  <c r="D93" i="4"/>
  <c r="F93" i="4"/>
  <c r="G93" i="4"/>
  <c r="I93" i="4"/>
  <c r="J93" i="4"/>
  <c r="C94" i="4"/>
  <c r="D94" i="4"/>
  <c r="F94" i="4"/>
  <c r="G94" i="4"/>
  <c r="I94" i="4"/>
  <c r="J94" i="4"/>
  <c r="C95" i="4"/>
  <c r="D95" i="4"/>
  <c r="F95" i="4"/>
  <c r="G95" i="4"/>
  <c r="I95" i="4"/>
  <c r="J95" i="4"/>
  <c r="C96" i="4"/>
  <c r="D96" i="4"/>
  <c r="F96" i="4"/>
  <c r="G96" i="4"/>
  <c r="I96" i="4"/>
  <c r="J96" i="4"/>
  <c r="C97" i="4"/>
  <c r="D97" i="4"/>
  <c r="F97" i="4"/>
  <c r="G97" i="4"/>
  <c r="I97" i="4"/>
  <c r="J97" i="4"/>
  <c r="C98" i="4"/>
  <c r="D98" i="4"/>
  <c r="F98" i="4"/>
  <c r="G98" i="4"/>
  <c r="I98" i="4"/>
  <c r="J98" i="4"/>
  <c r="C99" i="4"/>
  <c r="D99" i="4"/>
  <c r="F99" i="4"/>
  <c r="G99" i="4"/>
  <c r="I99" i="4"/>
  <c r="J99" i="4"/>
  <c r="C100" i="4"/>
  <c r="D100" i="4"/>
  <c r="F100" i="4"/>
  <c r="G100" i="4"/>
  <c r="I100" i="4"/>
  <c r="J100" i="4"/>
  <c r="C101" i="4"/>
  <c r="D101" i="4"/>
  <c r="F101" i="4"/>
  <c r="G101" i="4"/>
  <c r="I101" i="4"/>
  <c r="J101" i="4"/>
  <c r="C102" i="4"/>
  <c r="D102" i="4"/>
  <c r="F102" i="4"/>
  <c r="G102" i="4"/>
  <c r="I102" i="4"/>
  <c r="J102" i="4"/>
  <c r="C103" i="4"/>
  <c r="D103" i="4"/>
  <c r="F103" i="4"/>
  <c r="G103" i="4"/>
  <c r="I103" i="4"/>
  <c r="J103" i="4"/>
  <c r="C104" i="4"/>
  <c r="D104" i="4"/>
  <c r="F104" i="4"/>
  <c r="G104" i="4"/>
  <c r="I104" i="4"/>
  <c r="J104" i="4"/>
  <c r="C105" i="4"/>
  <c r="D105" i="4"/>
  <c r="F105" i="4"/>
  <c r="G105" i="4"/>
  <c r="I105" i="4"/>
  <c r="J105" i="4"/>
  <c r="C106" i="4"/>
  <c r="D106" i="4"/>
  <c r="F106" i="4"/>
  <c r="G106" i="4"/>
  <c r="I106" i="4"/>
  <c r="J106" i="4"/>
  <c r="C107" i="4"/>
  <c r="D107" i="4"/>
  <c r="F107" i="4"/>
  <c r="G107" i="4"/>
  <c r="I107" i="4"/>
  <c r="J107" i="4"/>
  <c r="C108" i="4"/>
  <c r="D108" i="4"/>
  <c r="F108" i="4"/>
  <c r="G108" i="4"/>
  <c r="I108" i="4"/>
  <c r="J108" i="4"/>
  <c r="C109" i="4"/>
  <c r="D109" i="4"/>
  <c r="F109" i="4"/>
  <c r="G109" i="4"/>
  <c r="I109" i="4"/>
  <c r="J109" i="4"/>
  <c r="C110" i="4"/>
  <c r="D110" i="4"/>
  <c r="F110" i="4"/>
  <c r="G110" i="4"/>
  <c r="I110" i="4"/>
  <c r="J110" i="4"/>
  <c r="C111" i="4"/>
  <c r="D111" i="4"/>
  <c r="F111" i="4"/>
  <c r="G111" i="4"/>
  <c r="I111" i="4"/>
  <c r="J111" i="4"/>
  <c r="C112" i="4"/>
  <c r="D112" i="4"/>
  <c r="F112" i="4"/>
  <c r="G112" i="4"/>
  <c r="I112" i="4"/>
  <c r="J112" i="4"/>
  <c r="C113" i="4"/>
  <c r="D113" i="4"/>
  <c r="F113" i="4"/>
  <c r="G113" i="4"/>
  <c r="I113" i="4"/>
  <c r="J113" i="4"/>
  <c r="C114" i="4"/>
  <c r="D114" i="4"/>
  <c r="F114" i="4"/>
  <c r="G114" i="4"/>
  <c r="I114" i="4"/>
  <c r="J114" i="4"/>
  <c r="C115" i="4"/>
  <c r="D115" i="4"/>
  <c r="F115" i="4"/>
  <c r="G115" i="4"/>
  <c r="I115" i="4"/>
  <c r="J115" i="4"/>
  <c r="C116" i="4"/>
  <c r="D116" i="4"/>
  <c r="F116" i="4"/>
  <c r="G116" i="4"/>
  <c r="I116" i="4"/>
  <c r="J116" i="4"/>
  <c r="C117" i="4"/>
  <c r="D117" i="4"/>
  <c r="F117" i="4"/>
  <c r="G117" i="4"/>
  <c r="I117" i="4"/>
  <c r="J117" i="4"/>
  <c r="C118" i="4"/>
  <c r="D118" i="4"/>
  <c r="F118" i="4"/>
  <c r="G118" i="4"/>
  <c r="I118" i="4"/>
  <c r="J118" i="4"/>
  <c r="C119" i="4"/>
  <c r="D119" i="4"/>
  <c r="F119" i="4"/>
  <c r="G119" i="4"/>
  <c r="I119" i="4"/>
  <c r="J119" i="4"/>
  <c r="C120" i="4"/>
  <c r="D120" i="4"/>
  <c r="F120" i="4"/>
  <c r="G120" i="4"/>
  <c r="I120" i="4"/>
  <c r="J120" i="4"/>
  <c r="C121" i="4"/>
  <c r="D121" i="4"/>
  <c r="F121" i="4"/>
  <c r="G121" i="4"/>
  <c r="I121" i="4"/>
  <c r="J121" i="4"/>
  <c r="C122" i="4"/>
  <c r="D122" i="4"/>
  <c r="F122" i="4"/>
  <c r="G122" i="4"/>
  <c r="I122" i="4"/>
  <c r="J122" i="4"/>
  <c r="C123" i="4"/>
  <c r="D123" i="4"/>
  <c r="F123" i="4"/>
  <c r="G123" i="4"/>
  <c r="I123" i="4"/>
  <c r="J123" i="4"/>
  <c r="C124" i="4"/>
  <c r="D124" i="4"/>
  <c r="F124" i="4"/>
  <c r="G124" i="4"/>
  <c r="I124" i="4"/>
  <c r="J124" i="4"/>
  <c r="C125" i="4"/>
  <c r="D125" i="4"/>
  <c r="F125" i="4"/>
  <c r="G125" i="4"/>
  <c r="I125" i="4"/>
  <c r="J125" i="4"/>
  <c r="C126" i="4"/>
  <c r="D126" i="4"/>
  <c r="F126" i="4"/>
  <c r="G126" i="4"/>
  <c r="I126" i="4"/>
  <c r="J126" i="4"/>
  <c r="C127" i="4"/>
  <c r="D127" i="4"/>
  <c r="F127" i="4"/>
  <c r="G127" i="4"/>
  <c r="I127" i="4"/>
  <c r="J127" i="4"/>
  <c r="C128" i="4"/>
  <c r="D128" i="4"/>
  <c r="F128" i="4"/>
  <c r="G128" i="4"/>
  <c r="I128" i="4"/>
  <c r="J128" i="4"/>
  <c r="C129" i="4"/>
  <c r="D129" i="4"/>
  <c r="F129" i="4"/>
  <c r="G129" i="4"/>
  <c r="I129" i="4"/>
  <c r="J129" i="4"/>
  <c r="C130" i="4"/>
  <c r="D130" i="4"/>
  <c r="F130" i="4"/>
  <c r="G130" i="4"/>
  <c r="I130" i="4"/>
  <c r="J130" i="4"/>
  <c r="C131" i="4"/>
  <c r="D131" i="4"/>
  <c r="F131" i="4"/>
  <c r="G131" i="4"/>
  <c r="I131" i="4"/>
  <c r="J131" i="4"/>
  <c r="C132" i="4"/>
  <c r="D132" i="4"/>
  <c r="F132" i="4"/>
  <c r="G132" i="4"/>
  <c r="I132" i="4"/>
  <c r="J132" i="4"/>
  <c r="C133" i="4"/>
  <c r="D133" i="4"/>
  <c r="F133" i="4"/>
  <c r="G133" i="4"/>
  <c r="I133" i="4"/>
  <c r="J133" i="4"/>
  <c r="C134" i="4"/>
  <c r="D134" i="4"/>
  <c r="F134" i="4"/>
  <c r="G134" i="4"/>
  <c r="I134" i="4"/>
  <c r="J134" i="4"/>
  <c r="C135" i="4"/>
  <c r="D135" i="4"/>
  <c r="F135" i="4"/>
  <c r="G135" i="4"/>
  <c r="I135" i="4"/>
  <c r="J135" i="4"/>
  <c r="C136" i="4"/>
  <c r="D136" i="4"/>
  <c r="F136" i="4"/>
  <c r="G136" i="4"/>
  <c r="I136" i="4"/>
  <c r="J136" i="4"/>
  <c r="C137" i="4"/>
  <c r="D137" i="4"/>
  <c r="F137" i="4"/>
  <c r="G137" i="4"/>
  <c r="I137" i="4"/>
  <c r="J137" i="4"/>
  <c r="C138" i="4"/>
  <c r="D138" i="4"/>
  <c r="F138" i="4"/>
  <c r="G138" i="4"/>
  <c r="I138" i="4"/>
  <c r="J138" i="4"/>
  <c r="C139" i="4"/>
  <c r="D139" i="4"/>
  <c r="F139" i="4"/>
  <c r="G139" i="4"/>
  <c r="I139" i="4"/>
  <c r="J139" i="4"/>
  <c r="C140" i="4"/>
  <c r="D140" i="4"/>
  <c r="F140" i="4"/>
  <c r="G140" i="4"/>
  <c r="I140" i="4"/>
  <c r="J140" i="4"/>
  <c r="C141" i="4"/>
  <c r="D141" i="4"/>
  <c r="F141" i="4"/>
  <c r="G141" i="4"/>
  <c r="I141" i="4"/>
  <c r="J141" i="4"/>
  <c r="C142" i="4"/>
  <c r="D142" i="4"/>
  <c r="F142" i="4"/>
  <c r="G142" i="4"/>
  <c r="I142" i="4"/>
  <c r="J142" i="4"/>
  <c r="C143" i="4"/>
  <c r="D143" i="4"/>
  <c r="F143" i="4"/>
  <c r="G143" i="4"/>
  <c r="I143" i="4"/>
  <c r="J143" i="4"/>
  <c r="C144" i="4"/>
  <c r="D144" i="4"/>
  <c r="F144" i="4"/>
  <c r="G144" i="4"/>
  <c r="I144" i="4"/>
  <c r="J144" i="4"/>
  <c r="C145" i="4"/>
  <c r="D145" i="4"/>
  <c r="F145" i="4"/>
  <c r="G145" i="4"/>
  <c r="I145" i="4"/>
  <c r="J145" i="4"/>
  <c r="C146" i="4"/>
  <c r="D146" i="4"/>
  <c r="F146" i="4"/>
  <c r="G146" i="4"/>
  <c r="I146" i="4"/>
  <c r="J146" i="4"/>
  <c r="C147" i="4"/>
  <c r="D147" i="4"/>
  <c r="F147" i="4"/>
  <c r="G147" i="4"/>
  <c r="I147" i="4"/>
  <c r="J147" i="4"/>
  <c r="C148" i="4"/>
  <c r="D148" i="4"/>
  <c r="F148" i="4"/>
  <c r="G148" i="4"/>
  <c r="I148" i="4"/>
  <c r="J148" i="4"/>
  <c r="C149" i="4"/>
  <c r="D149" i="4"/>
  <c r="F149" i="4"/>
  <c r="G149" i="4"/>
  <c r="I149" i="4"/>
  <c r="J149" i="4"/>
  <c r="C150" i="4"/>
  <c r="D150" i="4"/>
  <c r="F150" i="4"/>
  <c r="G150" i="4"/>
  <c r="I150" i="4"/>
  <c r="J150" i="4"/>
  <c r="C151" i="4"/>
  <c r="D151" i="4"/>
  <c r="F151" i="4"/>
  <c r="G151" i="4"/>
  <c r="I151" i="4"/>
  <c r="J151" i="4"/>
  <c r="C152" i="4"/>
  <c r="D152" i="4"/>
  <c r="F152" i="4"/>
  <c r="G152" i="4"/>
  <c r="I152" i="4"/>
  <c r="J152" i="4"/>
  <c r="C153" i="4"/>
  <c r="D153" i="4"/>
  <c r="F153" i="4"/>
  <c r="G153" i="4"/>
  <c r="I153" i="4"/>
  <c r="J153" i="4"/>
  <c r="C154" i="4"/>
  <c r="D154" i="4"/>
  <c r="F154" i="4"/>
  <c r="G154" i="4"/>
  <c r="I154" i="4"/>
  <c r="J154" i="4"/>
  <c r="C155" i="4"/>
  <c r="D155" i="4"/>
  <c r="F155" i="4"/>
  <c r="G155" i="4"/>
  <c r="I155" i="4"/>
  <c r="J155" i="4"/>
  <c r="C156" i="4"/>
  <c r="D156" i="4"/>
  <c r="F156" i="4"/>
  <c r="G156" i="4"/>
  <c r="I156" i="4"/>
  <c r="J156" i="4"/>
  <c r="C157" i="4"/>
  <c r="D157" i="4"/>
  <c r="F157" i="4"/>
  <c r="G157" i="4"/>
  <c r="I157" i="4"/>
  <c r="J157" i="4"/>
  <c r="C158" i="4"/>
  <c r="D158" i="4"/>
  <c r="F158" i="4"/>
  <c r="G158" i="4"/>
  <c r="I158" i="4"/>
  <c r="J158" i="4"/>
  <c r="C159" i="4"/>
  <c r="D159" i="4"/>
  <c r="F159" i="4"/>
  <c r="G159" i="4"/>
  <c r="I159" i="4"/>
  <c r="J159" i="4"/>
  <c r="C160" i="4"/>
  <c r="D160" i="4"/>
  <c r="F160" i="4"/>
  <c r="G160" i="4"/>
  <c r="I160" i="4"/>
  <c r="J160" i="4"/>
  <c r="C161" i="4"/>
  <c r="D161" i="4"/>
  <c r="F161" i="4"/>
  <c r="G161" i="4"/>
  <c r="I161" i="4"/>
  <c r="J161" i="4"/>
  <c r="C162" i="4"/>
  <c r="D162" i="4"/>
  <c r="F162" i="4"/>
  <c r="G162" i="4"/>
  <c r="I162" i="4"/>
  <c r="J162" i="4"/>
  <c r="C163" i="4"/>
  <c r="D163" i="4"/>
  <c r="F163" i="4"/>
  <c r="G163" i="4"/>
  <c r="I163" i="4"/>
  <c r="J163" i="4"/>
  <c r="C164" i="4"/>
  <c r="D164" i="4"/>
  <c r="F164" i="4"/>
  <c r="G164" i="4"/>
  <c r="I164" i="4"/>
  <c r="J164" i="4"/>
  <c r="C165" i="4"/>
  <c r="D165" i="4"/>
  <c r="F165" i="4"/>
  <c r="G165" i="4"/>
  <c r="I165" i="4"/>
  <c r="J165" i="4"/>
  <c r="C166" i="4"/>
  <c r="D166" i="4"/>
  <c r="F166" i="4"/>
  <c r="G166" i="4"/>
  <c r="I166" i="4"/>
  <c r="J166" i="4"/>
  <c r="C167" i="4"/>
  <c r="D167" i="4"/>
  <c r="F167" i="4"/>
  <c r="G167" i="4"/>
  <c r="I167" i="4"/>
  <c r="J167" i="4"/>
  <c r="C168" i="4"/>
  <c r="D168" i="4"/>
  <c r="F168" i="4"/>
  <c r="G168" i="4"/>
  <c r="I168" i="4"/>
  <c r="J168" i="4"/>
  <c r="C169" i="4"/>
  <c r="D169" i="4"/>
  <c r="F169" i="4"/>
  <c r="G169" i="4"/>
  <c r="I169" i="4"/>
  <c r="J169" i="4"/>
  <c r="C170" i="4"/>
  <c r="D170" i="4"/>
  <c r="F170" i="4"/>
  <c r="G170" i="4"/>
  <c r="I170" i="4"/>
  <c r="J170" i="4"/>
  <c r="C171" i="4"/>
  <c r="D171" i="4"/>
  <c r="F171" i="4"/>
  <c r="G171" i="4"/>
  <c r="I171" i="4"/>
  <c r="J171" i="4"/>
  <c r="C172" i="4"/>
  <c r="D172" i="4"/>
  <c r="F172" i="4"/>
  <c r="G172" i="4"/>
  <c r="I172" i="4"/>
  <c r="J172" i="4"/>
  <c r="C173" i="4"/>
  <c r="D173" i="4"/>
  <c r="F173" i="4"/>
  <c r="G173" i="4"/>
  <c r="I173" i="4"/>
  <c r="J173" i="4"/>
  <c r="C174" i="4"/>
  <c r="D174" i="4"/>
  <c r="F174" i="4"/>
  <c r="G174" i="4"/>
  <c r="I174" i="4"/>
  <c r="J174" i="4"/>
  <c r="C175" i="4"/>
  <c r="D175" i="4"/>
  <c r="F175" i="4"/>
  <c r="G175" i="4"/>
  <c r="I175" i="4"/>
  <c r="J175" i="4"/>
  <c r="C176" i="4"/>
  <c r="D176" i="4"/>
  <c r="F176" i="4"/>
  <c r="G176" i="4"/>
  <c r="I176" i="4"/>
  <c r="J176" i="4"/>
  <c r="C177" i="4"/>
  <c r="D177" i="4"/>
  <c r="F177" i="4"/>
  <c r="G177" i="4"/>
  <c r="I177" i="4"/>
  <c r="J177" i="4"/>
  <c r="C178" i="4"/>
  <c r="D178" i="4"/>
  <c r="F178" i="4"/>
  <c r="G178" i="4"/>
  <c r="I178" i="4"/>
  <c r="J178" i="4"/>
  <c r="C179" i="4"/>
  <c r="D179" i="4"/>
  <c r="F179" i="4"/>
  <c r="G179" i="4"/>
  <c r="I179" i="4"/>
  <c r="J179" i="4"/>
  <c r="C180" i="4"/>
  <c r="D180" i="4"/>
  <c r="F180" i="4"/>
  <c r="G180" i="4"/>
  <c r="I180" i="4"/>
  <c r="J180" i="4"/>
  <c r="C181" i="4"/>
  <c r="D181" i="4"/>
  <c r="F181" i="4"/>
  <c r="G181" i="4"/>
  <c r="I181" i="4"/>
  <c r="J181" i="4"/>
  <c r="C182" i="4"/>
  <c r="D182" i="4"/>
  <c r="F182" i="4"/>
  <c r="G182" i="4"/>
  <c r="I182" i="4"/>
  <c r="J182" i="4"/>
  <c r="C183" i="4"/>
  <c r="D183" i="4"/>
  <c r="F183" i="4"/>
  <c r="G183" i="4"/>
  <c r="I183" i="4"/>
  <c r="J183" i="4"/>
  <c r="C184" i="4"/>
  <c r="D184" i="4"/>
  <c r="F184" i="4"/>
  <c r="G184" i="4"/>
  <c r="I184" i="4"/>
  <c r="J184" i="4"/>
  <c r="C185" i="4"/>
  <c r="D185" i="4"/>
  <c r="F185" i="4"/>
  <c r="G185" i="4"/>
  <c r="I185" i="4"/>
  <c r="J185" i="4"/>
  <c r="C186" i="4"/>
  <c r="D186" i="4"/>
  <c r="F186" i="4"/>
  <c r="G186" i="4"/>
  <c r="I186" i="4"/>
  <c r="J186" i="4"/>
  <c r="C187" i="4"/>
  <c r="D187" i="4"/>
  <c r="F187" i="4"/>
  <c r="G187" i="4"/>
  <c r="I187" i="4"/>
  <c r="J187" i="4"/>
  <c r="C188" i="4"/>
  <c r="D188" i="4"/>
  <c r="F188" i="4"/>
  <c r="G188" i="4"/>
  <c r="I188" i="4"/>
  <c r="J188" i="4"/>
  <c r="C189" i="4"/>
  <c r="D189" i="4"/>
  <c r="F189" i="4"/>
  <c r="G189" i="4"/>
  <c r="I189" i="4"/>
  <c r="J189" i="4"/>
  <c r="C190" i="4"/>
  <c r="D190" i="4"/>
  <c r="F190" i="4"/>
  <c r="G190" i="4"/>
  <c r="I190" i="4"/>
  <c r="J190" i="4"/>
  <c r="C191" i="4"/>
  <c r="D191" i="4"/>
  <c r="F191" i="4"/>
  <c r="G191" i="4"/>
  <c r="I191" i="4"/>
  <c r="J191" i="4"/>
  <c r="C192" i="4"/>
  <c r="D192" i="4"/>
  <c r="F192" i="4"/>
  <c r="G192" i="4"/>
  <c r="I192" i="4"/>
  <c r="J192" i="4"/>
  <c r="C193" i="4"/>
  <c r="D193" i="4"/>
  <c r="F193" i="4"/>
  <c r="G193" i="4"/>
  <c r="I193" i="4"/>
  <c r="J193" i="4"/>
  <c r="C194" i="4"/>
  <c r="D194" i="4"/>
  <c r="F194" i="4"/>
  <c r="G194" i="4"/>
  <c r="I194" i="4"/>
  <c r="J194" i="4"/>
  <c r="C195" i="4"/>
  <c r="D195" i="4"/>
  <c r="F195" i="4"/>
  <c r="G195" i="4"/>
  <c r="I195" i="4"/>
  <c r="J195" i="4"/>
  <c r="C196" i="4"/>
  <c r="D196" i="4"/>
  <c r="F196" i="4"/>
  <c r="G196" i="4"/>
  <c r="I196" i="4"/>
  <c r="J196" i="4"/>
  <c r="C197" i="4"/>
  <c r="D197" i="4"/>
  <c r="F197" i="4"/>
  <c r="G197" i="4"/>
  <c r="I197" i="4"/>
  <c r="J197" i="4"/>
  <c r="C198" i="4"/>
  <c r="D198" i="4"/>
  <c r="F198" i="4"/>
  <c r="G198" i="4"/>
  <c r="I198" i="4"/>
  <c r="J198" i="4"/>
  <c r="C199" i="4"/>
  <c r="D199" i="4"/>
  <c r="F199" i="4"/>
  <c r="G199" i="4"/>
  <c r="I199" i="4"/>
  <c r="J199" i="4"/>
  <c r="C200" i="4"/>
  <c r="D200" i="4"/>
  <c r="F200" i="4"/>
  <c r="G200" i="4"/>
  <c r="I200" i="4"/>
  <c r="J200" i="4"/>
  <c r="C201" i="4"/>
  <c r="D201" i="4"/>
  <c r="F201" i="4"/>
  <c r="G201" i="4"/>
  <c r="I201" i="4"/>
  <c r="J201" i="4"/>
  <c r="C202" i="4"/>
  <c r="D202" i="4"/>
  <c r="F202" i="4"/>
  <c r="G202" i="4"/>
  <c r="I202" i="4"/>
  <c r="J202" i="4"/>
  <c r="C203" i="4"/>
  <c r="D203" i="4"/>
  <c r="F203" i="4"/>
  <c r="G203" i="4"/>
  <c r="I203" i="4"/>
  <c r="J203" i="4"/>
  <c r="C204" i="4"/>
  <c r="D204" i="4"/>
  <c r="F204" i="4"/>
  <c r="G204" i="4"/>
  <c r="I204" i="4"/>
  <c r="J204" i="4"/>
  <c r="C205" i="4"/>
  <c r="D205" i="4"/>
  <c r="F205" i="4"/>
  <c r="G205" i="4"/>
  <c r="I205" i="4"/>
  <c r="J205" i="4"/>
  <c r="C206" i="4"/>
  <c r="D206" i="4"/>
  <c r="F206" i="4"/>
  <c r="G206" i="4"/>
  <c r="I206" i="4"/>
  <c r="J206" i="4"/>
  <c r="C207" i="4"/>
  <c r="D207" i="4"/>
  <c r="F207" i="4"/>
  <c r="G207" i="4"/>
  <c r="I207" i="4"/>
  <c r="J207" i="4"/>
  <c r="C208" i="4"/>
  <c r="D208" i="4"/>
  <c r="F208" i="4"/>
  <c r="G208" i="4"/>
  <c r="I208" i="4"/>
  <c r="J208" i="4"/>
  <c r="C209" i="4"/>
  <c r="D209" i="4"/>
  <c r="F209" i="4"/>
  <c r="G209" i="4"/>
  <c r="I209" i="4"/>
  <c r="J209" i="4"/>
  <c r="C210" i="4"/>
  <c r="D210" i="4"/>
  <c r="F210" i="4"/>
  <c r="G210" i="4"/>
  <c r="I210" i="4"/>
  <c r="J210" i="4"/>
  <c r="C211" i="4"/>
  <c r="D211" i="4"/>
  <c r="F211" i="4"/>
  <c r="G211" i="4"/>
  <c r="I211" i="4"/>
  <c r="J211" i="4"/>
  <c r="C212" i="4"/>
  <c r="D212" i="4"/>
  <c r="F212" i="4"/>
  <c r="G212" i="4"/>
  <c r="I212" i="4"/>
  <c r="J212" i="4"/>
  <c r="C213" i="4"/>
  <c r="D213" i="4"/>
  <c r="F213" i="4"/>
  <c r="G213" i="4"/>
  <c r="I213" i="4"/>
  <c r="J213" i="4"/>
  <c r="C214" i="4"/>
  <c r="D214" i="4"/>
  <c r="F214" i="4"/>
  <c r="G214" i="4"/>
  <c r="I214" i="4"/>
  <c r="J214" i="4"/>
  <c r="C215" i="4"/>
  <c r="D215" i="4"/>
  <c r="F215" i="4"/>
  <c r="G215" i="4"/>
  <c r="I215" i="4"/>
  <c r="J215" i="4"/>
  <c r="C216" i="4"/>
  <c r="D216" i="4"/>
  <c r="F216" i="4"/>
  <c r="G216" i="4"/>
  <c r="I216" i="4"/>
  <c r="J216" i="4"/>
  <c r="C217" i="4"/>
  <c r="D217" i="4"/>
  <c r="F217" i="4"/>
  <c r="G217" i="4"/>
  <c r="I217" i="4"/>
  <c r="J217" i="4"/>
  <c r="C218" i="4"/>
  <c r="D218" i="4"/>
  <c r="F218" i="4"/>
  <c r="G218" i="4"/>
  <c r="I218" i="4"/>
  <c r="J218" i="4"/>
  <c r="C219" i="4"/>
  <c r="D219" i="4"/>
  <c r="F219" i="4"/>
  <c r="G219" i="4"/>
  <c r="I219" i="4"/>
  <c r="J219" i="4"/>
  <c r="C220" i="4"/>
  <c r="D220" i="4"/>
  <c r="F220" i="4"/>
  <c r="G220" i="4"/>
  <c r="I220" i="4"/>
  <c r="J220" i="4"/>
  <c r="C221" i="4"/>
  <c r="D221" i="4"/>
  <c r="F221" i="4"/>
  <c r="G221" i="4"/>
  <c r="I221" i="4"/>
  <c r="J221" i="4"/>
  <c r="C222" i="4"/>
  <c r="D222" i="4"/>
  <c r="F222" i="4"/>
  <c r="G222" i="4"/>
  <c r="I222" i="4"/>
  <c r="J222" i="4"/>
  <c r="C223" i="4"/>
  <c r="D223" i="4"/>
  <c r="F223" i="4"/>
  <c r="G223" i="4"/>
  <c r="I223" i="4"/>
  <c r="J223" i="4"/>
  <c r="C224" i="4"/>
  <c r="D224" i="4"/>
  <c r="F224" i="4"/>
  <c r="G224" i="4"/>
  <c r="I224" i="4"/>
  <c r="J224" i="4"/>
  <c r="C225" i="4"/>
  <c r="D225" i="4"/>
  <c r="F225" i="4"/>
  <c r="G225" i="4"/>
  <c r="I225" i="4"/>
  <c r="J225" i="4"/>
  <c r="C226" i="4"/>
  <c r="D226" i="4"/>
  <c r="F226" i="4"/>
  <c r="G226" i="4"/>
  <c r="I226" i="4"/>
  <c r="J226" i="4"/>
  <c r="C227" i="4"/>
  <c r="D227" i="4"/>
  <c r="F227" i="4"/>
  <c r="G227" i="4"/>
  <c r="I227" i="4"/>
  <c r="J227" i="4"/>
  <c r="C228" i="4"/>
  <c r="D228" i="4"/>
  <c r="F228" i="4"/>
  <c r="G228" i="4"/>
  <c r="I228" i="4"/>
  <c r="J228" i="4"/>
  <c r="C229" i="4"/>
  <c r="D229" i="4"/>
  <c r="F229" i="4"/>
  <c r="G229" i="4"/>
  <c r="I229" i="4"/>
  <c r="J229" i="4"/>
  <c r="C230" i="4"/>
  <c r="D230" i="4"/>
  <c r="F230" i="4"/>
  <c r="G230" i="4"/>
  <c r="I230" i="4"/>
  <c r="J230" i="4"/>
  <c r="C231" i="4"/>
  <c r="D231" i="4"/>
  <c r="F231" i="4"/>
  <c r="G231" i="4"/>
  <c r="I231" i="4"/>
  <c r="J231" i="4"/>
  <c r="C232" i="4"/>
  <c r="D232" i="4"/>
  <c r="F232" i="4"/>
  <c r="G232" i="4"/>
  <c r="I232" i="4"/>
  <c r="J232" i="4"/>
  <c r="C233" i="4"/>
  <c r="D233" i="4"/>
  <c r="F233" i="4"/>
  <c r="G233" i="4"/>
  <c r="I233" i="4"/>
  <c r="J233" i="4"/>
  <c r="C234" i="4"/>
  <c r="D234" i="4"/>
  <c r="F234" i="4"/>
  <c r="G234" i="4"/>
  <c r="I234" i="4"/>
  <c r="J234" i="4"/>
  <c r="C235" i="4"/>
  <c r="D235" i="4"/>
  <c r="F235" i="4"/>
  <c r="G235" i="4"/>
  <c r="I235" i="4"/>
  <c r="J235" i="4"/>
  <c r="C236" i="4"/>
  <c r="D236" i="4"/>
  <c r="F236" i="4"/>
  <c r="G236" i="4"/>
  <c r="I236" i="4"/>
  <c r="J236" i="4"/>
  <c r="C237" i="4"/>
  <c r="D237" i="4"/>
  <c r="F237" i="4"/>
  <c r="G237" i="4"/>
  <c r="I237" i="4"/>
  <c r="J237" i="4"/>
  <c r="C238" i="4"/>
  <c r="D238" i="4"/>
  <c r="F238" i="4"/>
  <c r="G238" i="4"/>
  <c r="I238" i="4"/>
  <c r="J238" i="4"/>
  <c r="C239" i="4"/>
  <c r="D239" i="4"/>
  <c r="F239" i="4"/>
  <c r="G239" i="4"/>
  <c r="I239" i="4"/>
  <c r="J239" i="4"/>
  <c r="C240" i="4"/>
  <c r="D240" i="4"/>
  <c r="F240" i="4"/>
  <c r="G240" i="4"/>
  <c r="I240" i="4"/>
  <c r="J240" i="4"/>
  <c r="C241" i="4"/>
  <c r="D241" i="4"/>
  <c r="F241" i="4"/>
  <c r="G241" i="4"/>
  <c r="I241" i="4"/>
  <c r="J241" i="4"/>
  <c r="C242" i="4"/>
  <c r="D242" i="4"/>
  <c r="F242" i="4"/>
  <c r="G242" i="4"/>
  <c r="I242" i="4"/>
  <c r="J242" i="4"/>
  <c r="C243" i="4"/>
  <c r="D243" i="4"/>
  <c r="F243" i="4"/>
  <c r="G243" i="4"/>
  <c r="I243" i="4"/>
  <c r="J243" i="4"/>
  <c r="C244" i="4"/>
  <c r="D244" i="4"/>
  <c r="F244" i="4"/>
  <c r="G244" i="4"/>
  <c r="I244" i="4"/>
  <c r="J244" i="4"/>
  <c r="C245" i="4"/>
  <c r="D245" i="4"/>
  <c r="F245" i="4"/>
  <c r="G245" i="4"/>
  <c r="I245" i="4"/>
  <c r="J245" i="4"/>
  <c r="C246" i="4"/>
  <c r="D246" i="4"/>
  <c r="F246" i="4"/>
  <c r="G246" i="4"/>
  <c r="I246" i="4"/>
  <c r="J246" i="4"/>
  <c r="C247" i="4"/>
  <c r="D247" i="4"/>
  <c r="F247" i="4"/>
  <c r="G247" i="4"/>
  <c r="I247" i="4"/>
  <c r="J247" i="4"/>
  <c r="C248" i="4"/>
  <c r="D248" i="4"/>
  <c r="F248" i="4"/>
  <c r="G248" i="4"/>
  <c r="I248" i="4"/>
  <c r="J248" i="4"/>
  <c r="C249" i="4"/>
  <c r="D249" i="4"/>
  <c r="F249" i="4"/>
  <c r="G249" i="4"/>
  <c r="I249" i="4"/>
  <c r="J249" i="4"/>
  <c r="C250" i="4"/>
  <c r="D250" i="4"/>
  <c r="F250" i="4"/>
  <c r="G250" i="4"/>
  <c r="I250" i="4"/>
  <c r="J250" i="4"/>
  <c r="C251" i="4"/>
  <c r="D251" i="4"/>
  <c r="F251" i="4"/>
  <c r="G251" i="4"/>
  <c r="I251" i="4"/>
  <c r="J251" i="4"/>
  <c r="C252" i="4"/>
  <c r="D252" i="4"/>
  <c r="F252" i="4"/>
  <c r="G252" i="4"/>
  <c r="I252" i="4"/>
  <c r="J252" i="4"/>
  <c r="C253" i="4"/>
  <c r="D253" i="4"/>
  <c r="F253" i="4"/>
  <c r="G253" i="4"/>
  <c r="I253" i="4"/>
  <c r="J253" i="4"/>
  <c r="C254" i="4"/>
  <c r="D254" i="4"/>
  <c r="F254" i="4"/>
  <c r="G254" i="4"/>
  <c r="I254" i="4"/>
  <c r="J254" i="4"/>
  <c r="C255" i="4"/>
  <c r="D255" i="4"/>
  <c r="F255" i="4"/>
  <c r="G255" i="4"/>
  <c r="I255" i="4"/>
  <c r="J255" i="4"/>
  <c r="C256" i="4"/>
  <c r="D256" i="4"/>
  <c r="F256" i="4"/>
  <c r="G256" i="4"/>
  <c r="I256" i="4"/>
  <c r="J256" i="4"/>
  <c r="C257" i="4"/>
  <c r="D257" i="4"/>
  <c r="F257" i="4"/>
  <c r="G257" i="4"/>
  <c r="I257" i="4"/>
  <c r="J257" i="4"/>
  <c r="C258" i="4"/>
  <c r="D258" i="4"/>
  <c r="F258" i="4"/>
  <c r="G258" i="4"/>
  <c r="I258" i="4"/>
  <c r="J258" i="4"/>
  <c r="C259" i="4"/>
  <c r="D259" i="4"/>
  <c r="F259" i="4"/>
  <c r="G259" i="4"/>
  <c r="I259" i="4"/>
  <c r="J259" i="4"/>
  <c r="C260" i="4"/>
  <c r="D260" i="4"/>
  <c r="F260" i="4"/>
  <c r="G260" i="4"/>
  <c r="I260" i="4"/>
  <c r="J260" i="4"/>
  <c r="C261" i="4"/>
  <c r="D261" i="4"/>
  <c r="F261" i="4"/>
  <c r="G261" i="4"/>
  <c r="I261" i="4"/>
  <c r="J261" i="4"/>
  <c r="C262" i="4"/>
  <c r="D262" i="4"/>
  <c r="F262" i="4"/>
  <c r="G262" i="4"/>
  <c r="I262" i="4"/>
  <c r="J262" i="4"/>
  <c r="C263" i="4"/>
  <c r="D263" i="4"/>
  <c r="F263" i="4"/>
  <c r="G263" i="4"/>
  <c r="I263" i="4"/>
  <c r="J263" i="4"/>
  <c r="C264" i="4"/>
  <c r="D264" i="4"/>
  <c r="F264" i="4"/>
  <c r="G264" i="4"/>
  <c r="I264" i="4"/>
  <c r="J264" i="4"/>
  <c r="C265" i="4"/>
  <c r="D265" i="4"/>
  <c r="F265" i="4"/>
  <c r="G265" i="4"/>
  <c r="I265" i="4"/>
  <c r="J265" i="4"/>
  <c r="C266" i="4"/>
  <c r="D266" i="4"/>
  <c r="F266" i="4"/>
  <c r="G266" i="4"/>
  <c r="I266" i="4"/>
  <c r="J266" i="4"/>
  <c r="C267" i="4"/>
  <c r="D267" i="4"/>
  <c r="F267" i="4"/>
  <c r="G267" i="4"/>
  <c r="I267" i="4"/>
  <c r="J267" i="4"/>
  <c r="C268" i="4"/>
  <c r="D268" i="4"/>
  <c r="F268" i="4"/>
  <c r="G268" i="4"/>
  <c r="I268" i="4"/>
  <c r="J268" i="4"/>
  <c r="C269" i="4"/>
  <c r="D269" i="4"/>
  <c r="F269" i="4"/>
  <c r="G269" i="4"/>
  <c r="I269" i="4"/>
  <c r="J269" i="4"/>
  <c r="C270" i="4"/>
  <c r="D270" i="4"/>
  <c r="F270" i="4"/>
  <c r="G270" i="4"/>
  <c r="I270" i="4"/>
  <c r="J270" i="4"/>
  <c r="C271" i="4"/>
  <c r="D271" i="4"/>
  <c r="F271" i="4"/>
  <c r="G271" i="4"/>
  <c r="I271" i="4"/>
  <c r="J271" i="4"/>
  <c r="C272" i="4"/>
  <c r="D272" i="4"/>
  <c r="F272" i="4"/>
  <c r="G272" i="4"/>
  <c r="I272" i="4"/>
  <c r="J272" i="4"/>
  <c r="C273" i="4"/>
  <c r="D273" i="4"/>
  <c r="F273" i="4"/>
  <c r="G273" i="4"/>
  <c r="I273" i="4"/>
  <c r="J273" i="4"/>
  <c r="C274" i="4"/>
  <c r="D274" i="4"/>
  <c r="F274" i="4"/>
  <c r="G274" i="4"/>
  <c r="I274" i="4"/>
  <c r="J274" i="4"/>
  <c r="C275" i="4"/>
  <c r="D275" i="4"/>
  <c r="F275" i="4"/>
  <c r="G275" i="4"/>
  <c r="I275" i="4"/>
  <c r="J275" i="4"/>
  <c r="C276" i="4"/>
  <c r="D276" i="4"/>
  <c r="F276" i="4"/>
  <c r="G276" i="4"/>
  <c r="I276" i="4"/>
  <c r="J276" i="4"/>
  <c r="C277" i="4"/>
  <c r="D277" i="4"/>
  <c r="F277" i="4"/>
  <c r="G277" i="4"/>
  <c r="I277" i="4"/>
  <c r="J277" i="4"/>
  <c r="C278" i="4"/>
  <c r="D278" i="4"/>
  <c r="F278" i="4"/>
  <c r="G278" i="4"/>
  <c r="I278" i="4"/>
  <c r="J278" i="4"/>
  <c r="C279" i="4"/>
  <c r="D279" i="4"/>
  <c r="F279" i="4"/>
  <c r="G279" i="4"/>
  <c r="I279" i="4"/>
  <c r="J279" i="4"/>
  <c r="C280" i="4"/>
  <c r="D280" i="4"/>
  <c r="F280" i="4"/>
  <c r="G280" i="4"/>
  <c r="I280" i="4"/>
  <c r="J280" i="4"/>
  <c r="C281" i="4"/>
  <c r="D281" i="4"/>
  <c r="F281" i="4"/>
  <c r="G281" i="4"/>
  <c r="I281" i="4"/>
  <c r="J281" i="4"/>
  <c r="C282" i="4"/>
  <c r="D282" i="4"/>
  <c r="F282" i="4"/>
  <c r="G282" i="4"/>
  <c r="I282" i="4"/>
  <c r="J282" i="4"/>
  <c r="C283" i="4"/>
  <c r="D283" i="4"/>
  <c r="F283" i="4"/>
  <c r="G283" i="4"/>
  <c r="I283" i="4"/>
  <c r="J283" i="4"/>
  <c r="C284" i="4"/>
  <c r="D284" i="4"/>
  <c r="F284" i="4"/>
  <c r="G284" i="4"/>
  <c r="I284" i="4"/>
  <c r="J284" i="4"/>
  <c r="C285" i="4"/>
  <c r="D285" i="4"/>
  <c r="F285" i="4"/>
  <c r="G285" i="4"/>
  <c r="I285" i="4"/>
  <c r="J285" i="4"/>
  <c r="C286" i="4"/>
  <c r="D286" i="4"/>
  <c r="F286" i="4"/>
  <c r="G286" i="4"/>
  <c r="I286" i="4"/>
  <c r="J286" i="4"/>
  <c r="C287" i="4"/>
  <c r="D287" i="4"/>
  <c r="F287" i="4"/>
  <c r="G287" i="4"/>
  <c r="I287" i="4"/>
  <c r="J287" i="4"/>
  <c r="C288" i="4"/>
  <c r="D288" i="4"/>
  <c r="F288" i="4"/>
  <c r="G288" i="4"/>
  <c r="I288" i="4"/>
  <c r="J288" i="4"/>
  <c r="C289" i="4"/>
  <c r="D289" i="4"/>
  <c r="F289" i="4"/>
  <c r="G289" i="4"/>
  <c r="I289" i="4"/>
  <c r="J289" i="4"/>
  <c r="C290" i="4"/>
  <c r="D290" i="4"/>
  <c r="F290" i="4"/>
  <c r="G290" i="4"/>
  <c r="I290" i="4"/>
  <c r="J290" i="4"/>
  <c r="C291" i="4"/>
  <c r="D291" i="4"/>
  <c r="F291" i="4"/>
  <c r="G291" i="4"/>
  <c r="I291" i="4"/>
  <c r="J291" i="4"/>
  <c r="C292" i="4"/>
  <c r="D292" i="4"/>
  <c r="F292" i="4"/>
  <c r="G292" i="4"/>
  <c r="I292" i="4"/>
  <c r="J292" i="4"/>
  <c r="C293" i="4"/>
  <c r="D293" i="4"/>
  <c r="F293" i="4"/>
  <c r="G293" i="4"/>
  <c r="I293" i="4"/>
  <c r="J293" i="4"/>
  <c r="C294" i="4"/>
  <c r="D294" i="4"/>
  <c r="F294" i="4"/>
  <c r="G294" i="4"/>
  <c r="I294" i="4"/>
  <c r="J294" i="4"/>
  <c r="C295" i="4"/>
  <c r="D295" i="4"/>
  <c r="F295" i="4"/>
  <c r="G295" i="4"/>
  <c r="I295" i="4"/>
  <c r="J295" i="4"/>
  <c r="J3" i="4"/>
  <c r="D55" i="1" s="1"/>
  <c r="I3" i="4"/>
  <c r="D54" i="1" s="1"/>
  <c r="G3" i="4"/>
  <c r="D37" i="1" s="1"/>
  <c r="F3" i="4"/>
  <c r="D36" i="1" s="1"/>
  <c r="D3" i="4"/>
  <c r="D19" i="1" s="1"/>
  <c r="C3" i="4"/>
  <c r="D18" i="1" s="1"/>
  <c r="E55" i="1" l="1"/>
  <c r="F55" i="1" s="1"/>
  <c r="G55" i="1" s="1"/>
  <c r="H55" i="1" s="1"/>
  <c r="I55" i="1" s="1"/>
  <c r="E37" i="1"/>
  <c r="F37" i="1" s="1"/>
  <c r="G37" i="1" s="1"/>
  <c r="H37" i="1" s="1"/>
  <c r="I37" i="1" s="1"/>
  <c r="E18" i="1"/>
  <c r="E36" i="1"/>
  <c r="F36" i="1" s="1"/>
  <c r="G36" i="1" s="1"/>
  <c r="H36" i="1" s="1"/>
  <c r="I36" i="1" s="1"/>
  <c r="E19" i="1"/>
  <c r="F19" i="1" s="1"/>
  <c r="G19" i="1" s="1"/>
  <c r="H19" i="1" s="1"/>
  <c r="I19" i="1" s="1"/>
  <c r="Z18" i="1"/>
  <c r="Z15" i="1"/>
  <c r="Z12" i="1"/>
  <c r="E54" i="1" l="1"/>
  <c r="F54" i="1" s="1"/>
  <c r="G54" i="1" s="1"/>
  <c r="H54" i="1" s="1"/>
  <c r="I54" i="1" s="1"/>
  <c r="F18" i="1"/>
  <c r="G18" i="1" s="1"/>
  <c r="H18" i="1" s="1"/>
  <c r="I18" i="1" s="1"/>
  <c r="C31" i="1"/>
  <c r="C49" i="1"/>
  <c r="Z10" i="1" l="1"/>
  <c r="Z20" i="1" l="1"/>
  <c r="Z14" i="1"/>
  <c r="Z17" i="1"/>
</calcChain>
</file>

<file path=xl/sharedStrings.xml><?xml version="1.0" encoding="utf-8"?>
<sst xmlns="http://schemas.openxmlformats.org/spreadsheetml/2006/main" count="15738" uniqueCount="705">
  <si>
    <t>CHAUMONT</t>
  </si>
  <si>
    <t>REGION</t>
  </si>
  <si>
    <t>TERRITOIRE</t>
  </si>
  <si>
    <t>AGENCE</t>
  </si>
  <si>
    <t>AUBE HAUTE MARNE</t>
  </si>
  <si>
    <t>BOURBONNE LES BAINS</t>
  </si>
  <si>
    <t>S45</t>
  </si>
  <si>
    <t>S46</t>
  </si>
  <si>
    <t>S47</t>
  </si>
  <si>
    <t>S48</t>
  </si>
  <si>
    <t>S49</t>
  </si>
  <si>
    <t>S50</t>
  </si>
  <si>
    <t>Obj 100%</t>
  </si>
  <si>
    <t>Obj 120%</t>
  </si>
  <si>
    <t>Reste à faire hebdo par ETP pour atteindre l'objectif</t>
  </si>
  <si>
    <t>RANG BAROMETRE :</t>
  </si>
  <si>
    <t>ECART AU 1ER :</t>
  </si>
  <si>
    <t>ATTENDU :</t>
  </si>
  <si>
    <t>PAR ETP</t>
  </si>
  <si>
    <t>REGIONS</t>
  </si>
  <si>
    <t>TERRITOIRES</t>
  </si>
  <si>
    <t>AGENCES</t>
  </si>
  <si>
    <t>ETP Perf moyen annuel</t>
  </si>
  <si>
    <t>Taux PV  sais. (max 9%)</t>
  </si>
  <si>
    <t>Taux PV annuel (max 9%)</t>
  </si>
  <si>
    <t>Nb items &gt; 100% de l'objectif sais.</t>
  </si>
  <si>
    <t>Nb items &gt; 100% de l'objectif annuel</t>
  </si>
  <si>
    <t>Excédents de collecte yc DAV depuis le 01/01 (en K€)</t>
  </si>
  <si>
    <t>Engagements nets Crédit Conso depuis le 01/01 (en K€) avec coefficients</t>
  </si>
  <si>
    <t>Ventes brutes IARD / Prévoyance depuis le 01/01 avec coefficients</t>
  </si>
  <si>
    <t>Nombre brut Mandats Mobilité depuis le 01/01 avec coefficients</t>
  </si>
  <si>
    <t>Ventes brutes Forfaits depuis le 01/01 avec coefficients</t>
  </si>
  <si>
    <t>Complétude DRC Stock et Traitement RPM Risques majeurs</t>
  </si>
  <si>
    <t>EMJ DAV / M-12</t>
  </si>
  <si>
    <t>Exc. hors DAV J-1</t>
  </si>
  <si>
    <t>Exc. yc DAV (M-12)</t>
  </si>
  <si>
    <t>Réal. / ETP</t>
  </si>
  <si>
    <t>Obj / ETP</t>
  </si>
  <si>
    <t>% Réal.</t>
  </si>
  <si>
    <t>Ecart / 120% de l'attendu</t>
  </si>
  <si>
    <t>Taux PV sais.</t>
  </si>
  <si>
    <t>Taux PV</t>
  </si>
  <si>
    <t>RàF pour 100%</t>
  </si>
  <si>
    <t>RàF pour 120%</t>
  </si>
  <si>
    <t>Engag. nets Conso</t>
  </si>
  <si>
    <t>VB Iard Prev</t>
  </si>
  <si>
    <t>Nb Mob</t>
  </si>
  <si>
    <t>VB Forf</t>
  </si>
  <si>
    <t>Obj DRC</t>
  </si>
  <si>
    <t>Taux compl. DRC</t>
  </si>
  <si>
    <t>Obj RPM</t>
  </si>
  <si>
    <t>Taux trait. RPM</t>
  </si>
  <si>
    <t>info</t>
  </si>
  <si>
    <t>63</t>
  </si>
  <si>
    <t>16</t>
  </si>
  <si>
    <t>32</t>
  </si>
  <si>
    <t>CHAUMONT HOTEL DE VILLE</t>
  </si>
  <si>
    <t>CHAUMONT REPUBLIQUE</t>
  </si>
  <si>
    <t>JOINVILLE</t>
  </si>
  <si>
    <t>LANGRES</t>
  </si>
  <si>
    <t>NOGENT</t>
  </si>
  <si>
    <t>SAINT DIZIER CENTRE</t>
  </si>
  <si>
    <t>SAINT DIZIER EUROPE</t>
  </si>
  <si>
    <t>WASSY</t>
  </si>
  <si>
    <t>TROYES</t>
  </si>
  <si>
    <t>ARCIS SUR AUBE</t>
  </si>
  <si>
    <t>BAR SUR AUBE</t>
  </si>
  <si>
    <t>BAR SUR SEINE</t>
  </si>
  <si>
    <t>BRIENNE LE CHATEAU</t>
  </si>
  <si>
    <t>LA CHAPELLE ST LUC</t>
  </si>
  <si>
    <t>NOGENT SUR SEINE</t>
  </si>
  <si>
    <t>ROMILLY SUR SEINE</t>
  </si>
  <si>
    <t>SAINT ANDRE LES VERGERS</t>
  </si>
  <si>
    <t>SAINTE SAVINE</t>
  </si>
  <si>
    <t>SAINT JULIEN LES VILLAS</t>
  </si>
  <si>
    <t>TROYES 1ER MAI</t>
  </si>
  <si>
    <t>TROYES BROSSOLETTE</t>
  </si>
  <si>
    <t>TROYES CHARTREUX</t>
  </si>
  <si>
    <t>TROYES GAMBETTA</t>
  </si>
  <si>
    <t>TROYES ZOLA</t>
  </si>
  <si>
    <t>BAS RHIN</t>
  </si>
  <si>
    <t>HAGUENAU</t>
  </si>
  <si>
    <t>BISCHWILLER</t>
  </si>
  <si>
    <t>BOUXWILLER</t>
  </si>
  <si>
    <t>BRUMATH</t>
  </si>
  <si>
    <t>HAGUENAU HOUBLON</t>
  </si>
  <si>
    <t>HAGUENAU MUSAU</t>
  </si>
  <si>
    <t>HOCHFELDEN</t>
  </si>
  <si>
    <t>HOERDT</t>
  </si>
  <si>
    <t>INGWILLER</t>
  </si>
  <si>
    <t>NIEDERBRONN LES BAINS</t>
  </si>
  <si>
    <t>PFAFFENHOFFEN</t>
  </si>
  <si>
    <t>SARRE UNION</t>
  </si>
  <si>
    <t>SAVERNE</t>
  </si>
  <si>
    <t>SCHWEIGHOUSE SUR MODER</t>
  </si>
  <si>
    <t>SOUFFLENHEIM</t>
  </si>
  <si>
    <t>SOULTZ SOUS FORETS</t>
  </si>
  <si>
    <t>TRUCHTERSHEIM</t>
  </si>
  <si>
    <t>WISSEMBOURG</t>
  </si>
  <si>
    <t>WOERTH</t>
  </si>
  <si>
    <t>SELESTAT</t>
  </si>
  <si>
    <t>BARR</t>
  </si>
  <si>
    <t>BENFELD</t>
  </si>
  <si>
    <t>ERSTEIN</t>
  </si>
  <si>
    <t>FEGERSHEIM</t>
  </si>
  <si>
    <t>ILLKIRCH CENTRE</t>
  </si>
  <si>
    <t>LINGOLSHEIM</t>
  </si>
  <si>
    <t>MARCKOLSHEIM</t>
  </si>
  <si>
    <t>MARLENHEIM</t>
  </si>
  <si>
    <t>MOLSHEIM</t>
  </si>
  <si>
    <t>MUTZIG</t>
  </si>
  <si>
    <t>OBERNAI</t>
  </si>
  <si>
    <t>ROSHEIM</t>
  </si>
  <si>
    <t>SCHIRMECK</t>
  </si>
  <si>
    <t>SELESTAT CENTRE</t>
  </si>
  <si>
    <t>SELESTAT OUEST</t>
  </si>
  <si>
    <t>VILLE</t>
  </si>
  <si>
    <t>WASSELONNE</t>
  </si>
  <si>
    <t>STRASBOURG</t>
  </si>
  <si>
    <t>BISCHHEIM</t>
  </si>
  <si>
    <t>LA WANTZENAU</t>
  </si>
  <si>
    <t>MUNDOLSHEIM</t>
  </si>
  <si>
    <t>OBERHAUSBERGEN</t>
  </si>
  <si>
    <t>REICHSTETT</t>
  </si>
  <si>
    <t>SCHILTIGHEIM CENTRE</t>
  </si>
  <si>
    <t>SCHILTIGHEIM KLEBER</t>
  </si>
  <si>
    <t>STRASBOURG ANVERS</t>
  </si>
  <si>
    <t>STRASBOURG AUSTERLITZ</t>
  </si>
  <si>
    <t>STRASBOURG CRONENBOURG</t>
  </si>
  <si>
    <t>STRASBOURG DANUBE</t>
  </si>
  <si>
    <t>STRASBOURG FRANCS BOURGEOIS</t>
  </si>
  <si>
    <t>STRASBOURG HALLES</t>
  </si>
  <si>
    <t>STRASBOURG KOENIGSHOFFEN</t>
  </si>
  <si>
    <t>STRASBOURG MEINAU</t>
  </si>
  <si>
    <t>STRASBOURG MONTAGNE VERTE</t>
  </si>
  <si>
    <t>STRASBOURG NEUDORF</t>
  </si>
  <si>
    <t>STRASBOURG ROBERTSAU</t>
  </si>
  <si>
    <t>STRASBOURG STOCKFELD</t>
  </si>
  <si>
    <t>STRASBOURG VOSGES</t>
  </si>
  <si>
    <t>HAUT RHIN</t>
  </si>
  <si>
    <t>COLMAR</t>
  </si>
  <si>
    <t>COLMAR MARAICHERS</t>
  </si>
  <si>
    <t>COLMAR REPUBLIQUE</t>
  </si>
  <si>
    <t>COLMAR SAINTE MARIE</t>
  </si>
  <si>
    <t>COLMAR SAINT JOSEPH</t>
  </si>
  <si>
    <t xml:space="preserve"> </t>
  </si>
  <si>
    <t>COLMAR VAUBAN</t>
  </si>
  <si>
    <t>ENSISHEIM</t>
  </si>
  <si>
    <t>GUEBWILLER</t>
  </si>
  <si>
    <t>HORBOURG WIHR</t>
  </si>
  <si>
    <t>INGERSHEIM</t>
  </si>
  <si>
    <t>MUNSTER</t>
  </si>
  <si>
    <t>MUNTZENHEIM</t>
  </si>
  <si>
    <t>NEUF BRISACH</t>
  </si>
  <si>
    <t>ORBEY</t>
  </si>
  <si>
    <t>RIBEAUVILLE</t>
  </si>
  <si>
    <t>ROUFFACH</t>
  </si>
  <si>
    <t>SAINTE MARIE AUX MINES</t>
  </si>
  <si>
    <t>WINTZENHEIM</t>
  </si>
  <si>
    <t>MULHOUSE</t>
  </si>
  <si>
    <t>ALTKIRCH</t>
  </si>
  <si>
    <t>CERNAY</t>
  </si>
  <si>
    <t>DANNEMARIE</t>
  </si>
  <si>
    <t>ILLZACH</t>
  </si>
  <si>
    <t>MASEVAUX</t>
  </si>
  <si>
    <t>MULHOUSE DORNACH</t>
  </si>
  <si>
    <t>MULHOUSE REUNION</t>
  </si>
  <si>
    <t>MULHOUSE ROOSEVELT</t>
  </si>
  <si>
    <t>PFASTATT</t>
  </si>
  <si>
    <t>RIEDISHEIM</t>
  </si>
  <si>
    <t>RIXHEIM</t>
  </si>
  <si>
    <t>SAINT LOUIS</t>
  </si>
  <si>
    <t>THANN</t>
  </si>
  <si>
    <t>WITTELSHEIM</t>
  </si>
  <si>
    <t>WITTENHEIM</t>
  </si>
  <si>
    <t>MARNE ARDENNES</t>
  </si>
  <si>
    <t>CHALONS EN CHAMPAGNE</t>
  </si>
  <si>
    <t>CHALONS ROOSEVELT</t>
  </si>
  <si>
    <t>CHALONS VIVIERS</t>
  </si>
  <si>
    <t>FAGNIERES LECLERC</t>
  </si>
  <si>
    <t>MONTMIRAIL</t>
  </si>
  <si>
    <t>MOURMELON LE GRAND</t>
  </si>
  <si>
    <t>SAINTE MENEHOULD</t>
  </si>
  <si>
    <t>SARRY</t>
  </si>
  <si>
    <t>SEZANNE</t>
  </si>
  <si>
    <t>VERTUS</t>
  </si>
  <si>
    <t>VITRY LE FRANCOIS</t>
  </si>
  <si>
    <t>CHARLEVILLE MEZIERES</t>
  </si>
  <si>
    <t>CARIGNAN</t>
  </si>
  <si>
    <t>CHARLEVILLE JEAN JAURES</t>
  </si>
  <si>
    <t>CHARLEVILLE MOHON</t>
  </si>
  <si>
    <t>CHARLEVILLE NEVERS</t>
  </si>
  <si>
    <t>GIVET</t>
  </si>
  <si>
    <t>MOUZON</t>
  </si>
  <si>
    <t>RETHEL</t>
  </si>
  <si>
    <t>REVIN</t>
  </si>
  <si>
    <t>ROCROI</t>
  </si>
  <si>
    <t>SEDAN</t>
  </si>
  <si>
    <t>VILLERS SEMEUSE CORA</t>
  </si>
  <si>
    <t>VOUZIERS</t>
  </si>
  <si>
    <t>VRIGNE AUX BOIS</t>
  </si>
  <si>
    <t>REIMS</t>
  </si>
  <si>
    <t>AY CHAMPAGNE</t>
  </si>
  <si>
    <t>BETHENY</t>
  </si>
  <si>
    <t>DAMERY</t>
  </si>
  <si>
    <t>DORMANS</t>
  </si>
  <si>
    <t>EPERNAY</t>
  </si>
  <si>
    <t>FISMES</t>
  </si>
  <si>
    <t>PIERRY LECLERC</t>
  </si>
  <si>
    <t>REIMS CENTRE VILLE</t>
  </si>
  <si>
    <t>REIMS CHATILLONS</t>
  </si>
  <si>
    <t>REIMS EUROPE</t>
  </si>
  <si>
    <t>REIMS HIPPODROME</t>
  </si>
  <si>
    <t>REIMS HOTEL DE VILLE</t>
  </si>
  <si>
    <t>REIMS JEAN JAURES</t>
  </si>
  <si>
    <t>REIMS SAINTE ANNE</t>
  </si>
  <si>
    <t>REIMS SAINT MARCEAUX</t>
  </si>
  <si>
    <t>REIMS SAINT REMI</t>
  </si>
  <si>
    <t>REIMS SAINT THOMAS</t>
  </si>
  <si>
    <t>TINQUEUX</t>
  </si>
  <si>
    <t>MEURTHE ET MOSELLE MEUSE</t>
  </si>
  <si>
    <t>NANCY</t>
  </si>
  <si>
    <t>BACCARAT</t>
  </si>
  <si>
    <t>BAYON</t>
  </si>
  <si>
    <t>BLAINVILLE</t>
  </si>
  <si>
    <t>BLAMONT</t>
  </si>
  <si>
    <t>DOMBASLE SUR MEURTHE</t>
  </si>
  <si>
    <t>ESSEY LES NANCY</t>
  </si>
  <si>
    <t>JARVILLE LA MALGRANGE</t>
  </si>
  <si>
    <t>LUNEVILLE CARNOT</t>
  </si>
  <si>
    <t>LUNEVILLE CHATEAU</t>
  </si>
  <si>
    <t>NANCY ARTEM</t>
  </si>
  <si>
    <t>NANCY JEAN JAURES</t>
  </si>
  <si>
    <t>NANCY PLACE DOMBASLE</t>
  </si>
  <si>
    <t>NANCY POINT CENTRAL</t>
  </si>
  <si>
    <t>NANCY SAINT SEBASTIEN</t>
  </si>
  <si>
    <t>SAINT MAX</t>
  </si>
  <si>
    <t>SAINT NICOLAS DE PORT</t>
  </si>
  <si>
    <t>TOMBLAINE</t>
  </si>
  <si>
    <t>VANDOEUVRE LES NANCY</t>
  </si>
  <si>
    <t>PONT A MOUSSON</t>
  </si>
  <si>
    <t>BRIEY</t>
  </si>
  <si>
    <t>CHALIGNY NEUVES MAISONS</t>
  </si>
  <si>
    <t>CHAMPIGNEULLES</t>
  </si>
  <si>
    <t>DIEULOUARD</t>
  </si>
  <si>
    <t>FROUARD</t>
  </si>
  <si>
    <t>JARNY</t>
  </si>
  <si>
    <t>JOEUF</t>
  </si>
  <si>
    <t>LAXOU ARISTIDE BRIAND</t>
  </si>
  <si>
    <t>LAXOU SAPINIERE</t>
  </si>
  <si>
    <t>LUDRES</t>
  </si>
  <si>
    <t>NANCY PLATEAU DE HAYE</t>
  </si>
  <si>
    <t>NANCY TROIS MAISONS</t>
  </si>
  <si>
    <t>PAGNY SUR MOSELLE</t>
  </si>
  <si>
    <t>POMPEY</t>
  </si>
  <si>
    <t>PONT A MOUSSON BREUIL</t>
  </si>
  <si>
    <t>PONT A MOUSSON CENTRALE</t>
  </si>
  <si>
    <t>TOUL</t>
  </si>
  <si>
    <t>VEZELISE</t>
  </si>
  <si>
    <t>VILLERS GENERAL LECLERC</t>
  </si>
  <si>
    <t>VERDUN</t>
  </si>
  <si>
    <t>BAR LE DUC</t>
  </si>
  <si>
    <t>COMMERCY</t>
  </si>
  <si>
    <t>ETAIN</t>
  </si>
  <si>
    <t>LIGNY EN BARROIS</t>
  </si>
  <si>
    <t>LONGUYON</t>
  </si>
  <si>
    <t>LONGWY BAS</t>
  </si>
  <si>
    <t>LONGWY HAUT</t>
  </si>
  <si>
    <t>MONTMEDY</t>
  </si>
  <si>
    <t>REVIGNY SUR ORNAIN</t>
  </si>
  <si>
    <t>STENAY</t>
  </si>
  <si>
    <t>VAUCOULEURS</t>
  </si>
  <si>
    <t>VERDUN CENTRALE</t>
  </si>
  <si>
    <t>VERDUN MAZEL</t>
  </si>
  <si>
    <t>VILLERUPT</t>
  </si>
  <si>
    <t>MOSELLE</t>
  </si>
  <si>
    <t>METZ</t>
  </si>
  <si>
    <t>ARS SUR MOSELLE</t>
  </si>
  <si>
    <t>BOULAY</t>
  </si>
  <si>
    <t>CLOUANGE</t>
  </si>
  <si>
    <t>MAIZIERES LES METZ</t>
  </si>
  <si>
    <t>MARANGE SILVANGE</t>
  </si>
  <si>
    <t>MARLY</t>
  </si>
  <si>
    <t>METZ CATHEDRALE</t>
  </si>
  <si>
    <t>METZ MOZART</t>
  </si>
  <si>
    <t>METZ PLAPPEVILLE</t>
  </si>
  <si>
    <t>METZ POMPIDOU</t>
  </si>
  <si>
    <t>METZ REPUBLIQUE</t>
  </si>
  <si>
    <t>METZ SAINT LIVIER</t>
  </si>
  <si>
    <t>METZ SAINT LOUIS</t>
  </si>
  <si>
    <t>METZ SAINT MAXIMIN</t>
  </si>
  <si>
    <t>METZ SARRE</t>
  </si>
  <si>
    <t>MONTIGNY LES METZ</t>
  </si>
  <si>
    <t>MOULINS LES METZ</t>
  </si>
  <si>
    <t>REMILLY</t>
  </si>
  <si>
    <t>ROMBAS</t>
  </si>
  <si>
    <t>SAINTE MARIE AUX CHENES</t>
  </si>
  <si>
    <t>SAINT JULIEN LES METZ</t>
  </si>
  <si>
    <t>WOIPPY</t>
  </si>
  <si>
    <t>MOSELLE EST</t>
  </si>
  <si>
    <t>BEHREN LES FORBACH</t>
  </si>
  <si>
    <t>BITCHE</t>
  </si>
  <si>
    <t>CHATEAU SALINS</t>
  </si>
  <si>
    <t>CREUTZWALD</t>
  </si>
  <si>
    <t>DIEUZE</t>
  </si>
  <si>
    <t>FAULQUEMONT</t>
  </si>
  <si>
    <t>FORBACH CENTRALE</t>
  </si>
  <si>
    <t>GROSBLIEDERSTROFF</t>
  </si>
  <si>
    <t>HOMBOURG HAUT</t>
  </si>
  <si>
    <t>MERLEBACH</t>
  </si>
  <si>
    <t>MORHANGE</t>
  </si>
  <si>
    <t>NEUNKIRCH</t>
  </si>
  <si>
    <t>PHALSBOURG</t>
  </si>
  <si>
    <t>PUTTELANGE AUX LACS</t>
  </si>
  <si>
    <t>SAINT AVOLD</t>
  </si>
  <si>
    <t>SARREBOURG</t>
  </si>
  <si>
    <t>SARREGUEMINES</t>
  </si>
  <si>
    <t>VALMONT</t>
  </si>
  <si>
    <t>MOSELLE NORD</t>
  </si>
  <si>
    <t>AUDUN LE TICHE</t>
  </si>
  <si>
    <t>BOUSSE</t>
  </si>
  <si>
    <t>BOUZONVILLE</t>
  </si>
  <si>
    <t>CATTENOM</t>
  </si>
  <si>
    <t>FAMECK</t>
  </si>
  <si>
    <t>FLORANGE</t>
  </si>
  <si>
    <t>FONTOY</t>
  </si>
  <si>
    <t>GUENANGE</t>
  </si>
  <si>
    <t>HAGONDANGE</t>
  </si>
  <si>
    <t>HAYANGE</t>
  </si>
  <si>
    <t>HETTANGE GRANDE</t>
  </si>
  <si>
    <t>METZERVISSE</t>
  </si>
  <si>
    <t>NILVANGE</t>
  </si>
  <si>
    <t>SIERCK LES BAINS</t>
  </si>
  <si>
    <t>TERVILLE</t>
  </si>
  <si>
    <t>THIONVILLE CENTRALE</t>
  </si>
  <si>
    <t>THIONVILLE COTE DES ROSES</t>
  </si>
  <si>
    <t>THIONVILLE LA MILLIAIRE</t>
  </si>
  <si>
    <t>UCKANGE</t>
  </si>
  <si>
    <t>YUTZ</t>
  </si>
  <si>
    <t>VOSGES</t>
  </si>
  <si>
    <t>EPINAL</t>
  </si>
  <si>
    <t>CHANTRAINE</t>
  </si>
  <si>
    <t>CHARMES</t>
  </si>
  <si>
    <t>CHATENOIS VOSGES</t>
  </si>
  <si>
    <t>DARNEY</t>
  </si>
  <si>
    <t>ELOYES</t>
  </si>
  <si>
    <t>EPINAL ARISTIDE BRIAND</t>
  </si>
  <si>
    <t>EPINAL AVRINSART</t>
  </si>
  <si>
    <t>EPINAL LEOPOLD BOURG</t>
  </si>
  <si>
    <t>GOLBEY</t>
  </si>
  <si>
    <t>LE VAL D AJOL</t>
  </si>
  <si>
    <t>MIRECOURT</t>
  </si>
  <si>
    <t>NEUFCHATEAU</t>
  </si>
  <si>
    <t>REMIREMONT</t>
  </si>
  <si>
    <t>THAON LES VOSGES</t>
  </si>
  <si>
    <t>VITTEL</t>
  </si>
  <si>
    <t>XERTIGNY</t>
  </si>
  <si>
    <t>SAINT DIE</t>
  </si>
  <si>
    <t>BRUYERES</t>
  </si>
  <si>
    <t>CORNIMONT LA BRESSE</t>
  </si>
  <si>
    <t>FRAIZE</t>
  </si>
  <si>
    <t>GERARDMER</t>
  </si>
  <si>
    <t>GRANGES AUMONTZEY</t>
  </si>
  <si>
    <t>LE THILLOT</t>
  </si>
  <si>
    <t>MOYENMOUTIER</t>
  </si>
  <si>
    <t>RAMBERVILLERS</t>
  </si>
  <si>
    <t>RAON L ETAPE</t>
  </si>
  <si>
    <t>SAINT DIE CATHEDRALE</t>
  </si>
  <si>
    <t>SENONES</t>
  </si>
  <si>
    <t>VAGNEY</t>
  </si>
  <si>
    <t>TOTAL AGENCES</t>
  </si>
  <si>
    <t>0 - 79%</t>
  </si>
  <si>
    <t>80% - 100%</t>
  </si>
  <si>
    <t>101% - 120%</t>
  </si>
  <si>
    <t>largeur</t>
  </si>
  <si>
    <t>part invisible</t>
  </si>
  <si>
    <t>Au 09/20</t>
  </si>
  <si>
    <t>Jauge</t>
  </si>
  <si>
    <t>aiguille IARD</t>
  </si>
  <si>
    <t>aiguille CONSO</t>
  </si>
  <si>
    <t>aiguille BANCA</t>
  </si>
  <si>
    <t>S0 RAF IARD 100%</t>
  </si>
  <si>
    <t>S0 RAF IARD 120%</t>
  </si>
  <si>
    <t>S0 RAF CONSO 100%</t>
  </si>
  <si>
    <t>S0 RAF CONSO 120%</t>
  </si>
  <si>
    <t>S0 RAF FORF 100%</t>
  </si>
  <si>
    <t>S0 RAF FORF 120%</t>
  </si>
  <si>
    <t>S45 RAF IARD 100%</t>
  </si>
  <si>
    <t>S45 RAF IARD 120%</t>
  </si>
  <si>
    <t>S45 RAF CONSO 100%</t>
  </si>
  <si>
    <t>S45 RAF CONSO 120%</t>
  </si>
  <si>
    <t>S45 RAF FORF 100%</t>
  </si>
  <si>
    <t>S45 RAF FORF 120%</t>
  </si>
  <si>
    <t>S46 RAF IARD 100%</t>
  </si>
  <si>
    <t>S46 RAF IARD 120%</t>
  </si>
  <si>
    <t>S46 RAF CONSO 100%</t>
  </si>
  <si>
    <t>S46 RAF CONSO 120%</t>
  </si>
  <si>
    <t>S46 RAF FORF 100%</t>
  </si>
  <si>
    <t>S46 RAF FORF 120%</t>
  </si>
  <si>
    <t>S47 RAF IARD 100%</t>
  </si>
  <si>
    <t>S47 RAF IARD 120%</t>
  </si>
  <si>
    <t>S47 RAF CONSO 100%</t>
  </si>
  <si>
    <t>S47 RAF CONSO 120%</t>
  </si>
  <si>
    <t>S47 RAF FORF 100%</t>
  </si>
  <si>
    <t>S47 RAF FORF 120%</t>
  </si>
  <si>
    <t>S48 RAF IARD 100%</t>
  </si>
  <si>
    <t>S48 RAF IARD 120%</t>
  </si>
  <si>
    <t>S48 RAF CONSO 100%</t>
  </si>
  <si>
    <t>S48 RAF CONSO 120%</t>
  </si>
  <si>
    <t>S48 RAF FORF 100%</t>
  </si>
  <si>
    <t>S48 RAF FORF 120%</t>
  </si>
  <si>
    <t>S49 RAF IARD 100%</t>
  </si>
  <si>
    <t>S49 RAF IARD 120%</t>
  </si>
  <si>
    <t>S49 RAF CONSO 100%</t>
  </si>
  <si>
    <t>S49 RAF CONSO 120%</t>
  </si>
  <si>
    <t>S49 RAF FORF 100%</t>
  </si>
  <si>
    <t>S49 RAF FORF 120%</t>
  </si>
  <si>
    <t>S50 RAF IARD 100%</t>
  </si>
  <si>
    <t>S50 RAF IARD 120%</t>
  </si>
  <si>
    <t>S50 RAF CONSO 100%</t>
  </si>
  <si>
    <t>S50 RAF CONSO 120%</t>
  </si>
  <si>
    <t>S50 RAF FORF 100%</t>
  </si>
  <si>
    <t>S50 RAF FORF 120%</t>
  </si>
  <si>
    <t>EDS</t>
  </si>
  <si>
    <t>ETP_SUIVI</t>
  </si>
  <si>
    <t>contenu de la table BDD_CONQ_UNIV_ETP  (remplacer les . par des , )</t>
  </si>
  <si>
    <t>MOSELLE_EST</t>
  </si>
  <si>
    <t>MOSELLE_NORD</t>
  </si>
  <si>
    <t>SAINT_DIE</t>
  </si>
  <si>
    <t>AUBE_HAUTE_MARNE</t>
  </si>
  <si>
    <t>BANQUE DIGITALE</t>
  </si>
  <si>
    <t>MON_AGENCE</t>
  </si>
  <si>
    <t>MON AGENCE</t>
  </si>
  <si>
    <t>MON_BANQUIER_EN_LIGNE</t>
  </si>
  <si>
    <t>MON BANQUIER EN LIGNE</t>
  </si>
  <si>
    <t>BAS_RHIN</t>
  </si>
  <si>
    <t>HAUT_RHIN</t>
  </si>
  <si>
    <t>MARNE_ARDENNES</t>
  </si>
  <si>
    <t>CHALONS_EN_CHAMPAGNE</t>
  </si>
  <si>
    <t>CHARLEVILLE_MEZIERES</t>
  </si>
  <si>
    <t>MEURTHE_ET_MOSELLE_MEUSE</t>
  </si>
  <si>
    <t>PONT_A_MOUSSON</t>
  </si>
  <si>
    <t>Réalis. / ETP</t>
  </si>
  <si>
    <r>
      <t xml:space="preserve">Reste à faire hebdo </t>
    </r>
    <r>
      <rPr>
        <b/>
        <sz val="11"/>
        <color rgb="FFC00000"/>
        <rFont val="Calibri"/>
        <family val="2"/>
        <scheme val="minor"/>
      </rPr>
      <t>par ETP</t>
    </r>
    <r>
      <rPr>
        <b/>
        <sz val="11"/>
        <color theme="1"/>
        <rFont val="Calibri"/>
        <family val="2"/>
        <scheme val="minor"/>
      </rPr>
      <t xml:space="preserve"> pour atteindre l'objectif</t>
    </r>
  </si>
  <si>
    <r>
      <t xml:space="preserve">Reste à faire hebdo </t>
    </r>
    <r>
      <rPr>
        <b/>
        <sz val="11"/>
        <color rgb="FFC00000"/>
        <rFont val="Calibri"/>
        <family val="2"/>
        <scheme val="minor"/>
      </rPr>
      <t xml:space="preserve">par ETP </t>
    </r>
    <r>
      <rPr>
        <b/>
        <sz val="11"/>
        <color theme="1"/>
        <rFont val="Calibri"/>
        <family val="2"/>
        <scheme val="minor"/>
      </rPr>
      <t>pour atteindre l'objectif (en K€)</t>
    </r>
  </si>
  <si>
    <t>DONNEES DE BASES</t>
  </si>
  <si>
    <t>CALCULS</t>
  </si>
  <si>
    <t>CA UC RESTE A FAIRE</t>
  </si>
  <si>
    <t>NB SEMAINES PASSEES</t>
  </si>
  <si>
    <t>NB SEMAINES RESTANTES</t>
  </si>
  <si>
    <t>Direction</t>
  </si>
  <si>
    <t>eds</t>
  </si>
  <si>
    <t>Territoire</t>
  </si>
  <si>
    <t>Agence</t>
  </si>
  <si>
    <t>ETP perf 
au 30/09</t>
  </si>
  <si>
    <t>Réal / ETP</t>
  </si>
  <si>
    <t>PNB / ETP</t>
  </si>
  <si>
    <t>% Ecart au 1er</t>
  </si>
  <si>
    <t>Rang</t>
  </si>
  <si>
    <t>Top 1</t>
  </si>
  <si>
    <t>Top 10</t>
  </si>
  <si>
    <t>Top 30</t>
  </si>
  <si>
    <t>Top 50</t>
  </si>
  <si>
    <t>Top 100</t>
  </si>
  <si>
    <t>Moyenne</t>
  </si>
  <si>
    <t>Atteinte Top1</t>
  </si>
  <si>
    <t>Atteinte Top10</t>
  </si>
  <si>
    <t>Atteinte Top30</t>
  </si>
  <si>
    <t>Atteinte Top50</t>
  </si>
  <si>
    <t>Atteinte Top100</t>
  </si>
  <si>
    <t>Atteinte Moyenne</t>
  </si>
  <si>
    <t>NOGENT EN BASSIGNY</t>
  </si>
  <si>
    <t>BRIENNE LE CHÂTEAU</t>
  </si>
  <si>
    <t>ROMILLY ORMES</t>
  </si>
  <si>
    <t>TROYES 1er MAI</t>
  </si>
  <si>
    <t>BAS-RHIN</t>
  </si>
  <si>
    <t xml:space="preserve">BOUXWILLER </t>
  </si>
  <si>
    <t xml:space="preserve">BRUMATH </t>
  </si>
  <si>
    <t xml:space="preserve">HAGUENAU HOUBLON </t>
  </si>
  <si>
    <t xml:space="preserve">HOCHFELDEN </t>
  </si>
  <si>
    <t xml:space="preserve">HOERDT </t>
  </si>
  <si>
    <t xml:space="preserve">INGWILLER </t>
  </si>
  <si>
    <t xml:space="preserve">NIEDERBRONN LES BAINS           </t>
  </si>
  <si>
    <t xml:space="preserve">PFAFFENHOFFEN </t>
  </si>
  <si>
    <t xml:space="preserve">SCHWEIGHOUSE SUR MODER </t>
  </si>
  <si>
    <t xml:space="preserve">SOUFFLENHEIM </t>
  </si>
  <si>
    <t xml:space="preserve">SOULTZ SOUS FORETS </t>
  </si>
  <si>
    <t xml:space="preserve">TRUCHTERSHEIM </t>
  </si>
  <si>
    <t xml:space="preserve">WOERTH </t>
  </si>
  <si>
    <t xml:space="preserve">BARR </t>
  </si>
  <si>
    <t xml:space="preserve">BENFELD </t>
  </si>
  <si>
    <t xml:space="preserve">ERSTEIN </t>
  </si>
  <si>
    <t xml:space="preserve">FEGERSHEIM </t>
  </si>
  <si>
    <t xml:space="preserve">ILLKIRCH CENTRE </t>
  </si>
  <si>
    <t xml:space="preserve">MARCKOLSHEIM </t>
  </si>
  <si>
    <t xml:space="preserve">MARLENHEIM </t>
  </si>
  <si>
    <t xml:space="preserve">MUTZIG </t>
  </si>
  <si>
    <t xml:space="preserve">OBERNAI </t>
  </si>
  <si>
    <t xml:space="preserve">ROSHEIM </t>
  </si>
  <si>
    <t xml:space="preserve">SCHIRMECK </t>
  </si>
  <si>
    <t xml:space="preserve">SELESTAT CENTRE </t>
  </si>
  <si>
    <t xml:space="preserve">WASSELONNE </t>
  </si>
  <si>
    <t xml:space="preserve">BISCHHEIM </t>
  </si>
  <si>
    <t xml:space="preserve">LA WANTZENAU </t>
  </si>
  <si>
    <t xml:space="preserve">REICHSTETT </t>
  </si>
  <si>
    <t xml:space="preserve">SCHILTIGHEIM CENTRE </t>
  </si>
  <si>
    <t xml:space="preserve">SCHILTIGHEIM KLEBER </t>
  </si>
  <si>
    <t xml:space="preserve">STRASBOURG AUSTERLITZ </t>
  </si>
  <si>
    <t xml:space="preserve">STRASBOURG FRANCS BOURGEOIS </t>
  </si>
  <si>
    <t xml:space="preserve">STRASBOURG KOENIGSHOFFEN </t>
  </si>
  <si>
    <t xml:space="preserve">STRASBOURG MONTAGNE VERTE </t>
  </si>
  <si>
    <t xml:space="preserve">STRASBOURG STOCKFELD </t>
  </si>
  <si>
    <t>HAUT-RHIN</t>
  </si>
  <si>
    <t xml:space="preserve">COLMAR SAINT JOSEPH </t>
  </si>
  <si>
    <t xml:space="preserve">COLMAR SAINTE MARIE </t>
  </si>
  <si>
    <t xml:space="preserve">COLMAR VAUBAN </t>
  </si>
  <si>
    <t xml:space="preserve">ENSISHEIM </t>
  </si>
  <si>
    <t xml:space="preserve">GUEBWILLER </t>
  </si>
  <si>
    <t xml:space="preserve">HORBOURG WIHR </t>
  </si>
  <si>
    <t xml:space="preserve">INGERSHEIM </t>
  </si>
  <si>
    <t xml:space="preserve">MUNSTER </t>
  </si>
  <si>
    <t xml:space="preserve">NEUF BRISACH </t>
  </si>
  <si>
    <t xml:space="preserve">SAINTE MARIE AUX MINES </t>
  </si>
  <si>
    <t xml:space="preserve">CERNAY </t>
  </si>
  <si>
    <t xml:space="preserve">DANNEMARIE </t>
  </si>
  <si>
    <t xml:space="preserve">ILLZACH </t>
  </si>
  <si>
    <t xml:space="preserve">MULHOUSE DORNACH </t>
  </si>
  <si>
    <t xml:space="preserve">MULHOUSE REUNION </t>
  </si>
  <si>
    <t xml:space="preserve">RIEDISHEIM </t>
  </si>
  <si>
    <t xml:space="preserve">RIXHEIM </t>
  </si>
  <si>
    <t xml:space="preserve">WITTENHEIM </t>
  </si>
  <si>
    <t>MARNE-ARDENNES</t>
  </si>
  <si>
    <t>MOURMELON suippes</t>
  </si>
  <si>
    <t>SEZANNE CHAMP BENOIST</t>
  </si>
  <si>
    <t>SEDAN LA HALLE</t>
  </si>
  <si>
    <t>EPERNAY VERRON</t>
  </si>
  <si>
    <t>BRIEY CENTRALE</t>
  </si>
  <si>
    <t>JOEUF MAIRIE</t>
  </si>
  <si>
    <t>LAXOU LA SAPINIERE</t>
  </si>
  <si>
    <t>TOUL REPUBLIQUE</t>
  </si>
  <si>
    <t>METZ HAUT DE BLEMONT</t>
  </si>
  <si>
    <t>METZ SAINT JULIEN</t>
  </si>
  <si>
    <t>MONTIGNY CENTRALE</t>
  </si>
  <si>
    <t>WOIPPY BONNE FONTAINE</t>
  </si>
  <si>
    <t>SARREGUEMINES CENTRALE</t>
  </si>
  <si>
    <t>UCKANGE JEANNE D ARC</t>
  </si>
  <si>
    <t>CHATENOIS</t>
  </si>
  <si>
    <t>NB VENTES NETTES DE CONTRATS PAR ENTITE</t>
  </si>
  <si>
    <t>NB CEGEE</t>
  </si>
  <si>
    <t>PNB CEGEE</t>
  </si>
  <si>
    <t>Taux Moyen</t>
  </si>
  <si>
    <t>Nb / ETP</t>
  </si>
  <si>
    <t>taux moyen de PNB</t>
  </si>
  <si>
    <t>Code EDS</t>
  </si>
  <si>
    <t>CA UC BAROM</t>
  </si>
  <si>
    <t>RàF</t>
  </si>
  <si>
    <t>IZICARTES BAROM</t>
  </si>
  <si>
    <t>HDG DD BAROM</t>
  </si>
  <si>
    <t>Nb semaines restantes :</t>
  </si>
  <si>
    <t>Semaine en cours :</t>
  </si>
  <si>
    <t>RàF par ETP par semaine</t>
  </si>
  <si>
    <t>MULTIMEDIA</t>
  </si>
  <si>
    <t>CEGEE</t>
  </si>
  <si>
    <t>PDV</t>
  </si>
  <si>
    <t>SAINT _DIE</t>
  </si>
  <si>
    <t>AIX EN OTHE</t>
  </si>
  <si>
    <t>CHALINDREY</t>
  </si>
  <si>
    <t>DRUSENHEIM</t>
  </si>
  <si>
    <t>FERRETTE</t>
  </si>
  <si>
    <t>CHATEAUVILLAIN</t>
  </si>
  <si>
    <t>HERRLISHEIM</t>
  </si>
  <si>
    <t>VENDENHEIM</t>
  </si>
  <si>
    <t>BRUNSTATT</t>
  </si>
  <si>
    <t>SEPPOIS LE BAS</t>
  </si>
  <si>
    <t>SUIPPES</t>
  </si>
  <si>
    <t>DOCELLES</t>
  </si>
  <si>
    <t>WEITBRUCH</t>
  </si>
  <si>
    <t>ILLKIRCH NORD</t>
  </si>
  <si>
    <t>OSTWALD</t>
  </si>
  <si>
    <t>PULVERSHEIM</t>
  </si>
  <si>
    <t>SAINT MIHIEL</t>
  </si>
  <si>
    <t>KAYSERSBERG</t>
  </si>
  <si>
    <t>WINGEN SUR MODER</t>
  </si>
  <si>
    <t>STRASBOURG ESPLANADE</t>
  </si>
  <si>
    <t>REICHSHOFFEN</t>
  </si>
  <si>
    <t>PIENNES</t>
  </si>
  <si>
    <t>NOMEXY</t>
  </si>
  <si>
    <t>GUNDERSHOFFEN</t>
  </si>
  <si>
    <t>ESPACE MESANGE</t>
  </si>
  <si>
    <t>LAPOUTROIE</t>
  </si>
  <si>
    <t>HUNINGUE</t>
  </si>
  <si>
    <t>DIEMERINGEN</t>
  </si>
  <si>
    <t>STRASBOURG GARE</t>
  </si>
  <si>
    <t>SIERENTZ</t>
  </si>
  <si>
    <t>ECKBOLSHEIM</t>
  </si>
  <si>
    <t>STIRING WENDEL</t>
  </si>
  <si>
    <t>SOULTZMATT</t>
  </si>
  <si>
    <t>SAINT AMARIN</t>
  </si>
  <si>
    <t>VERZY</t>
  </si>
  <si>
    <t>MARMOUTIER</t>
  </si>
  <si>
    <t>LIEPVRE</t>
  </si>
  <si>
    <t>SOULTZ</t>
  </si>
  <si>
    <t>BETSCHDORF</t>
  </si>
  <si>
    <t>SELTZ</t>
  </si>
  <si>
    <t>LAUTERBOURG</t>
  </si>
  <si>
    <t>CRC METZ</t>
  </si>
  <si>
    <t>EXPERTS CREDIT IMMO</t>
  </si>
  <si>
    <t>EXPERTS DIRECT</t>
  </si>
  <si>
    <t>Meilleure perf Conso</t>
  </si>
  <si>
    <t>Meilleure perf IARD</t>
  </si>
  <si>
    <t>Meilleure perf Banca</t>
  </si>
  <si>
    <t>REALISATION DEPUIS LE 04/11</t>
  </si>
  <si>
    <t>DOM Desg Cour Eds Niv7</t>
  </si>
  <si>
    <t>DOM Desg Cour Eds Niv6</t>
  </si>
  <si>
    <t>DOM Idnt Extr Eds Niv5</t>
  </si>
  <si>
    <t>DOM Desg Cour Eds Niv5</t>
  </si>
  <si>
    <t>Nombre D Ouvertures De Services</t>
  </si>
  <si>
    <t>RESTE A FAIRE HEBDO</t>
  </si>
  <si>
    <t xml:space="preserve">S0 PROD IARD </t>
  </si>
  <si>
    <t xml:space="preserve">S0 PROD CONSO </t>
  </si>
  <si>
    <t xml:space="preserve">S0 PROD FORF </t>
  </si>
  <si>
    <t xml:space="preserve">S45 PROD IARD </t>
  </si>
  <si>
    <t xml:space="preserve">S45 PROD CONSO </t>
  </si>
  <si>
    <t xml:space="preserve">S45 PROD FORF </t>
  </si>
  <si>
    <t xml:space="preserve">S46 PROD IARD </t>
  </si>
  <si>
    <t xml:space="preserve">S46 PROD CONSO </t>
  </si>
  <si>
    <t xml:space="preserve">S46 PROD FORF </t>
  </si>
  <si>
    <t xml:space="preserve">S47 PROD IARD </t>
  </si>
  <si>
    <t xml:space="preserve">S47 PROD CONSO </t>
  </si>
  <si>
    <t xml:space="preserve">S47 PROD FORF </t>
  </si>
  <si>
    <t xml:space="preserve">S48 PROD IARD </t>
  </si>
  <si>
    <t xml:space="preserve">S48 PROD CONSO </t>
  </si>
  <si>
    <t xml:space="preserve">S48 PROD FORF </t>
  </si>
  <si>
    <t xml:space="preserve">S49 PROD IARD </t>
  </si>
  <si>
    <t xml:space="preserve">S49 PROD CONSO </t>
  </si>
  <si>
    <t xml:space="preserve">S49 PROD FORF </t>
  </si>
  <si>
    <t xml:space="preserve">S50 PROD IARD </t>
  </si>
  <si>
    <t xml:space="preserve">S50 PROD CONSO </t>
  </si>
  <si>
    <t xml:space="preserve">S50 PROD FORF </t>
  </si>
  <si>
    <t>TAUX D'ATT. SAIS.</t>
  </si>
  <si>
    <t>LEXIQUE FICHE AGENCE "VERS LA PV 2020"</t>
  </si>
  <si>
    <t>Le rôle de la fiche Agence "Vers la Part Variable 2020" est de vous aider à piloter les principaux items de la Part Variable 2020 sur les 2 derniers mois de l'année. Les indicateurs vous permettent d'avoir une vision hebdomadaire et par ETP des performances à réaliser pour atteindre vos objectifs.</t>
  </si>
  <si>
    <t>Elle sera mise à jour chaque lundi et mardi matin pour vous offrir la vision la plus complète de la production de la semaine précédente et du reste à faire.</t>
  </si>
  <si>
    <t>Ce suivi n'a pas vocation à figer vos résultats et les taux de Part Variable, ces derniers le seront lors de la réalisation des arrêtés définitifs début 2021.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</si>
  <si>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Taux d'atteinte de l'objectif </t>
    </r>
    <r>
      <rPr>
        <sz val="11"/>
        <color rgb="FF000000"/>
        <rFont val="Calibri"/>
        <family val="2"/>
        <scheme val="minor"/>
      </rPr>
      <t>: réalisation cumulée à fin de semaine précédente / objectif annuel 2020</t>
    </r>
  </si>
  <si>
    <t>L'ETP utilisé pour calculer mon reste à faire et ma production sur les semaines 45 à 50 est trop éloigné de la réalité, comment le modifier ?</t>
  </si>
  <si>
    <t xml:space="preserve">         - la réalisation sur la semaine précédente</t>
  </si>
  <si>
    <t xml:space="preserve">Pour piloter vos objectifs Part Variable en quotidien : </t>
  </si>
  <si>
    <t>Suivi Quotidien Part Variable sur Objectifs</t>
  </si>
  <si>
    <t>Suivi Baromètre</t>
  </si>
  <si>
    <t xml:space="preserve">Pour piloter vos performances au Baromètre tous les lundis : </t>
  </si>
  <si>
    <t xml:space="preserve">Exemple : </t>
  </si>
  <si>
    <t>L'entité selectionnée devra donc réaliser 1,875 K€ de PNB / ETP en CA UC pour atteindre la 50ème place.</t>
  </si>
  <si>
    <t>Il vous suffit d'envoyer un email à la boîte CEGEE-B-CRM-DATA en précisant l'ETP le plus proche de votre situation sur cette période.</t>
  </si>
  <si>
    <t>Mon reste à faire ne correspond pas au reste à faire de la semaine précédente moins ma production de la semaine, comment est-ce possible ?</t>
  </si>
  <si>
    <t>Le reste à faire s'adapte au fil de l'eau à 2 informations : l'objectif annuel, qui dépend de l'ETP moyen annuel, et la réalisation sur la semaine précédente.</t>
  </si>
  <si>
    <t>Lorsque les ETP d'octobre seront intégrés à l'ETP moyen annuel, autour du 20/11, l'objectif annuel va s'ajuster. Le reste à faire sera donc recalculé selon l'objectif annuel.</t>
  </si>
  <si>
    <t>Sur les graphiques liés au baromètre je ne vois pas toujours les mêmes informations : reste à faire pour intégrer le TOP 100, le TOP 50, etc., pourquoi ?</t>
  </si>
  <si>
    <t>Les graphiques s'adaptent à votre classement actuel pour tenir compte du prochain pallier à atteindre.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</si>
  <si>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Reste à faire pour atteindre l'objectif de 100% ou 120% </t>
    </r>
    <r>
      <rPr>
        <sz val="11"/>
        <color rgb="FF000000"/>
        <rFont val="Calibri"/>
        <family val="2"/>
        <scheme val="minor"/>
      </rPr>
      <t xml:space="preserve">:  il s'agit d'une </t>
    </r>
    <r>
      <rPr>
        <b/>
        <sz val="11"/>
        <color rgb="FF000000"/>
        <rFont val="Calibri"/>
        <family val="2"/>
        <scheme val="minor"/>
      </rPr>
      <t xml:space="preserve">estimation </t>
    </r>
    <r>
      <rPr>
        <sz val="11"/>
        <color rgb="FF000000"/>
        <rFont val="Calibri"/>
        <family val="2"/>
        <scheme val="minor"/>
      </rPr>
      <t xml:space="preserve">du reste à faire pour atteindre l'objectif </t>
    </r>
  </si>
  <si>
    <t xml:space="preserve">    le pilotage du Challenge "A la Conquête des Univers".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</si>
  <si>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Reste à faire pour atteindre le TOP </t>
    </r>
    <r>
      <rPr>
        <sz val="11"/>
        <color rgb="FF000000"/>
        <rFont val="Calibri"/>
        <family val="2"/>
        <scheme val="minor"/>
      </rPr>
      <t>: il s'agit de la performance à réaliser sur les semaines restantes pour atteindre le</t>
    </r>
  </si>
  <si>
    <t xml:space="preserve">    classement précisé. Cette performance intègre pour chaque entité le trend constaté depuis le début de l'année et ce dernier </t>
  </si>
  <si>
    <t xml:space="preserve">    est appliqué aux semaines restantes (jusqu'à la semaine 50).</t>
  </si>
  <si>
    <t xml:space="preserve">L'agence classée 50ème en CA UC a généré 1,65 K€ de PNB / ETP en 44 semaines soit 0,0375 K€ de PNB / ETP / Semaine. En atterrissage, l'entité réalisera 1,875 K€ de PNB / ETP. </t>
  </si>
  <si>
    <t>Avec un PNB sur CA UC de 0,30%, l'objectif sera donc de 250 K€ de CA UC / ETP (0,75 / 0,30%).</t>
  </si>
  <si>
    <t>Pour une entité classée 113ème avec un PNB / ETP à date de 1,13 K€ / ETP en 44 semaines, l'effort sera de 0,75 K€ de PNB / ETP (1,88 - 1,13).</t>
  </si>
  <si>
    <t>Est-ce que les Responsabilités Civiles sont prises en compte dans ma production Innov'2020 ?</t>
  </si>
  <si>
    <t>Non, les Responsabilités Civiles ne sont pas prises en compte dans cet indicateur.</t>
  </si>
  <si>
    <t>Les projections tiennent compte des réalisations passées mais ne présagent pas des réalisations futures.</t>
  </si>
  <si>
    <t>MEILLEURE PERFORMANCE HEBDO EN 2020 :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</si>
  <si>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Meilleure performance hebdo </t>
    </r>
    <r>
      <rPr>
        <sz val="11"/>
        <color rgb="FF000000"/>
        <rFont val="Calibri"/>
        <family val="2"/>
        <scheme val="minor"/>
      </rPr>
      <t>:  meilleure production hebdomadaire en 2020 (avant S44) rapportée à l'ETP moyen annuel</t>
    </r>
  </si>
  <si>
    <t xml:space="preserve">    à fin septembre</t>
  </si>
  <si>
    <t xml:space="preserve">    annuel. Ce dernier s'adapte en fonction de : </t>
  </si>
  <si>
    <t xml:space="preserve">         - la mise à jour mensuelle de l'objectif en fonction de l'ETP annuel moyen (ETP d'octobre disponible autour du 20/11)</t>
  </si>
  <si>
    <r>
      <rPr>
        <b/>
        <sz val="11"/>
        <color rgb="FFC00000"/>
        <rFont val="Calibri"/>
        <family val="2"/>
        <scheme val="minor"/>
      </rPr>
      <t>●</t>
    </r>
    <r>
      <rPr>
        <b/>
        <sz val="11"/>
        <color rgb="FF000000"/>
        <rFont val="Calibri"/>
        <family val="2"/>
        <scheme val="minor"/>
      </rPr>
      <t xml:space="preserve"> ETP utilisé dans le calcul du reste à faire et de la production des semaines 45 à 50 : </t>
    </r>
    <r>
      <rPr>
        <sz val="11"/>
        <color rgb="FF000000"/>
        <rFont val="Calibri"/>
        <family val="2"/>
        <scheme val="minor"/>
      </rPr>
      <t>il s'agit de l'ETP remonté par vos DR/DT pour</t>
    </r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</si>
  <si>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Rang Baromètre : </t>
    </r>
    <r>
      <rPr>
        <sz val="11"/>
        <color rgb="FF000000"/>
        <rFont val="Calibri"/>
        <family val="2"/>
        <scheme val="minor"/>
      </rPr>
      <t>rang de l'entité dans le Baromètre BDD le plus récent publié sur la rubrique des commerciaux</t>
    </r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</si>
  <si>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Ecart au 1er : </t>
    </r>
    <r>
      <rPr>
        <sz val="11"/>
        <color rgb="FF000000"/>
        <rFont val="Calibri"/>
        <family val="2"/>
        <scheme val="minor"/>
      </rPr>
      <t>écart au 1er de l'entité dans le Baromètre BDD le plus récent publié sur la rubrique des commerciaux</t>
    </r>
  </si>
  <si>
    <t>Exemple 1 : je suis 128e au classement, la graphique affiche mon reste à faire pour atteindre le Top 100, le Top 50 et le Top 30.</t>
  </si>
  <si>
    <t>Exemple 2 : je suis 76e au classement, la graphique affiche mon reste à faire pour atteindre le Top 50, le Top 30 et le Top 10.</t>
  </si>
  <si>
    <t>EMJ au 09/20 &amp; Exc. hors DAV au 03/11/20  -  Saisonnalité attendue : 91%   -  Tx PV max : 1%</t>
  </si>
  <si>
    <t>Au 31/10/20  -  Saisonnalité attendue : 91%   -  Tx PV max : 2%</t>
  </si>
  <si>
    <t>Au 31/10/20  -  Saisonnalité attendue : 91%   -   Tx PV max : 2%</t>
  </si>
  <si>
    <t>Au 01/11/20  -  Saisonnalité attendue : 91%   -   Tx PV max : 1%</t>
  </si>
  <si>
    <t>Au 02/11/20  -  Saisonnalité attendue : 91%   -   Tx PV max : 2%</t>
  </si>
  <si>
    <t>DRC arretés à fin 09/2020  -  RPM arrêtés à fin 09/2020</t>
  </si>
  <si>
    <t>EMJ au 10/20 &amp; Exc. hors DAV au 09/11/20  -  Saisonnalité attendue : 94%   -  Tx PV max : 1%</t>
  </si>
  <si>
    <t>Au 07/11/20  -  Saisonnalité attendue : 94%   -  Tx PV max : 2%</t>
  </si>
  <si>
    <t>Au 07/11/20  -  Saisonnalité attendue : 94%   -   Tx PV max : 2%</t>
  </si>
  <si>
    <t>Au 01/11/20  -  Saisonnalité attendue : 94%   -   Tx PV max : 1%</t>
  </si>
  <si>
    <t>Au 09/11/20  -  Saisonnalité attendue : 94%   -   Tx PV max : 2%</t>
  </si>
  <si>
    <t>EMJ au 10/20 &amp; Exc. hors DAV au 15/11/20  -  Saisonnalité attendue : 96%   -  Tx PV max : 1%</t>
  </si>
  <si>
    <t>Au 13/11/20  -  Saisonnalité attendue : 96%   -  Tx PV max : 2%</t>
  </si>
  <si>
    <t>Au 13/11/20  -  Saisonnalité attendue : 96%   -   Tx PV max : 2%</t>
  </si>
  <si>
    <t>Au 15/11/20  -  Saisonnalité attendue : 96%   -   Tx PV max : 1%</t>
  </si>
  <si>
    <t>Au 14/11/20  -  Saisonnalité attendue : 96%   -   Tx PV max : 2%</t>
  </si>
  <si>
    <t>VERS LA PART VARIABLE 2020 - SEMAINE 48</t>
  </si>
  <si>
    <t>ETP perf 
au 31/10</t>
  </si>
  <si>
    <t>Au 22/11/20  -  Saisonnalité attendue : 98%   -   Tx PV max : 1%</t>
  </si>
  <si>
    <t>Au 21/11/20  -  Saisonnalité attendue : 98%   -   Tx PV max : 2%</t>
  </si>
  <si>
    <t>DRC arretés à fin 10/2020  -  RPM arrêtés à fin 09/2020</t>
  </si>
  <si>
    <t>EMJ au 10/20 &amp; Exc. hors DAV au 23/11/20  -  Saisonnalité attendue : 98%   -  Tx PV max : 1%</t>
  </si>
  <si>
    <t>Au 21/11/20  -  Saisonnalité attendue : 98%   -  Tx PV max : 2%</t>
  </si>
  <si>
    <t>Au 23/11/20  -  Saisonnalité attendue : 98%   -   Tx PV max : 2%</t>
  </si>
  <si>
    <t>A modifier manuellement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</si>
</sst>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164" formatCode="#\ ##0.#;\-#\ ##0.#;0"/>
    <numFmt numFmtId="165" formatCode="#,##0.###%"/>
    <numFmt numFmtId="166" formatCode="0;\-0;\ "/>
    <numFmt numFmtId="167" formatCode="#,##0.#%"/>
    <numFmt numFmtId="168" formatCode="#,##0;\-#,##0;\ "/>
    <numFmt numFmtId="169" formatCode="#\ ##0;\ ;\ "/>
    <numFmt numFmtId="170" formatCode="#,##0.0"/>
    <numFmt numFmtId="171" formatCode="#,##0.####%"/>
    <numFmt numFmtId="172" formatCode="#,##0%"/>
    <numFmt numFmtId="173" formatCode="0.0"/>
    <numFmt numFmtId="174" formatCode="#,##0\ &quot;€&quot;"/>
    <numFmt numFmtId="175" formatCode="######;\-######;0"/>
    <numFmt numFmtId="176" formatCode="###,###;\-###,###;0"/>
  </numFmts>
  <fonts count="4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sz val="11"/>
      <color theme="1" tint="0.499984740745262"/>
      <name val="Calibri"/>
      <family val="2"/>
      <scheme val="minor"/>
    </font>
    <font>
      <b/>
      <sz val="12"/>
      <color theme="1" tint="0.34998626667073579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sz val="9"/>
      <color rgb="FF333333"/>
      <name val="Arial"/>
      <family val="2"/>
    </font>
    <font>
      <sz val="10"/>
      <color rgb="FF000000"/>
      <name val="Arial"/>
      <family val="2"/>
    </font>
    <font>
      <b/>
      <sz val="10"/>
      <color rgb="FFFFFFFF"/>
      <name val="Calibri"/>
      <family val="2"/>
      <scheme val="minor"/>
    </font>
    <font>
      <sz val="10"/>
      <color rgb="FF333333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 tint="0.249977111117893"/>
      <name val="Calibri"/>
      <family val="2"/>
      <scheme val="minor"/>
    </font>
    <font>
      <sz val="10"/>
      <name val="Garamond"/>
      <family val="1"/>
    </font>
    <font>
      <sz val="14"/>
      <color theme="1"/>
      <name val="Calibri"/>
      <family val="2"/>
      <scheme val="minor"/>
    </font>
    <font>
      <b/>
      <i/>
      <sz val="11"/>
      <color rgb="FFC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9"/>
      <name val="Calibri"/>
      <family val="2"/>
      <scheme val="minor"/>
    </font>
    <font>
      <sz val="9"/>
      <color rgb="FF333333"/>
      <name val="Arial"/>
      <family val="2"/>
    </font>
    <font>
      <sz val="9"/>
      <color theme="1"/>
      <name val="Arial"/>
      <family val="2"/>
    </font>
    <font>
      <sz val="11"/>
      <color rgb="FFC000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  <font>
      <i/>
      <sz val="11"/>
      <color theme="1" tint="0.249977111117893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9"/>
      <color rgb="FF333333"/>
      <name val="Arial"/>
    </font>
    <font>
      <b/>
      <sz val="9"/>
      <color rgb="FFFFFFFF"/>
      <name val="Arial"/>
    </font>
    <font>
      <b/>
      <sz val="9"/>
      <color rgb="FFCCFFFF"/>
      <name val="Arial"/>
    </font>
    <font>
      <b/>
      <sz val="9"/>
      <color rgb="FFFFFFCE"/>
      <name val="Arial"/>
    </font>
    <font>
      <b/>
      <sz val="9"/>
      <color rgb="FFCEFFCE"/>
      <name val="Arial"/>
    </font>
    <font>
      <b/>
      <sz val="9"/>
      <color rgb="FFFFC794"/>
      <name val="Arial"/>
    </font>
    <font>
      <b/>
      <sz val="9"/>
      <color rgb="FF94C7FF"/>
      <name val="Arial"/>
    </font>
    <font>
      <b/>
      <sz val="9"/>
      <color rgb="FFE2CFF5"/>
      <name val="Arial"/>
    </font>
    <font>
      <b/>
      <u/>
      <sz val="7"/>
      <color rgb="FF0000FF"/>
      <name val="Arial"/>
    </font>
    <font>
      <sz val="9"/>
      <color rgb="FF000000"/>
      <name val="Arial"/>
    </font>
    <font>
      <b/>
      <sz val="9"/>
      <color rgb="FF333333"/>
      <name val="Arial"/>
    </font>
  </fonts>
  <fills count="23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808080"/>
        <bgColor rgb="FFFFFFFF"/>
      </patternFill>
    </fill>
    <fill>
      <patternFill patternType="solid">
        <fgColor rgb="FFDFDFDF"/>
        <bgColor rgb="FFFFFFFF"/>
      </patternFill>
    </fill>
    <fill>
      <patternFill patternType="solid">
        <fgColor rgb="FFFBE0E0"/>
        <bgColor rgb="FFFFFFFF"/>
      </patternFill>
    </fill>
    <fill>
      <patternFill patternType="solid">
        <fgColor rgb="FF00FF00"/>
        <bgColor rgb="FFFFFFFF"/>
      </patternFill>
    </fill>
    <fill>
      <patternFill patternType="solid">
        <fgColor rgb="FFCCFFCC"/>
        <bgColor rgb="FFFFFFFF"/>
      </patternFill>
    </fill>
    <fill>
      <patternFill patternType="solid">
        <fgColor theme="8" tint="-0.249977111117893"/>
        <bgColor rgb="FFFFFFFF"/>
      </patternFill>
    </fill>
    <fill>
      <patternFill patternType="solid">
        <fgColor theme="9" tint="-0.249977111117893"/>
        <bgColor rgb="FFFFFFFF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7F7F7"/>
        <bgColor rgb="FFFFFFFF"/>
      </patternFill>
    </fill>
    <fill>
      <patternFill patternType="solid">
        <fgColor theme="8" tint="0.79998168889431442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theme="0" tint="-0.499984740745262"/>
      </left>
      <right/>
      <top style="hair">
        <color theme="0" tint="-0.499984740745262"/>
      </top>
      <bottom/>
      <diagonal/>
    </border>
    <border>
      <left/>
      <right/>
      <top style="hair">
        <color theme="0" tint="-0.499984740745262"/>
      </top>
      <bottom/>
      <diagonal/>
    </border>
    <border>
      <left/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/>
      <top/>
      <bottom/>
      <diagonal/>
    </border>
    <border>
      <left/>
      <right style="hair">
        <color theme="0" tint="-0.499984740745262"/>
      </right>
      <top/>
      <bottom/>
      <diagonal/>
    </border>
    <border>
      <left style="hair">
        <color theme="0" tint="-0.499984740745262"/>
      </left>
      <right/>
      <top/>
      <bottom style="hair">
        <color theme="0" tint="-0.499984740745262"/>
      </bottom>
      <diagonal/>
    </border>
    <border>
      <left/>
      <right/>
      <top/>
      <bottom style="hair">
        <color theme="0" tint="-0.499984740745262"/>
      </bottom>
      <diagonal/>
    </border>
    <border>
      <left/>
      <right style="hair">
        <color theme="0" tint="-0.499984740745262"/>
      </right>
      <top/>
      <bottom style="hair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hair">
        <color theme="0" tint="-0.249977111117893"/>
      </left>
      <right/>
      <top style="hair">
        <color theme="0" tint="-0.249977111117893"/>
      </top>
      <bottom/>
      <diagonal/>
    </border>
    <border>
      <left/>
      <right/>
      <top style="hair">
        <color theme="0" tint="-0.249977111117893"/>
      </top>
      <bottom/>
      <diagonal/>
    </border>
    <border>
      <left/>
      <right style="hair">
        <color theme="0" tint="-0.249977111117893"/>
      </right>
      <top style="hair">
        <color theme="0" tint="-0.249977111117893"/>
      </top>
      <bottom/>
      <diagonal/>
    </border>
    <border>
      <left style="hair">
        <color theme="0" tint="-0.249977111117893"/>
      </left>
      <right/>
      <top/>
      <bottom/>
      <diagonal/>
    </border>
    <border>
      <left/>
      <right style="hair">
        <color theme="0" tint="-0.249977111117893"/>
      </right>
      <top/>
      <bottom/>
      <diagonal/>
    </border>
    <border>
      <left style="hair">
        <color theme="0" tint="-0.249977111117893"/>
      </left>
      <right/>
      <top/>
      <bottom style="hair">
        <color theme="0" tint="-0.249977111117893"/>
      </bottom>
      <diagonal/>
    </border>
    <border>
      <left/>
      <right/>
      <top/>
      <bottom style="hair">
        <color theme="0" tint="-0.249977111117893"/>
      </bottom>
      <diagonal/>
    </border>
    <border>
      <left/>
      <right style="hair">
        <color theme="0" tint="-0.249977111117893"/>
      </right>
      <top/>
      <bottom style="hair">
        <color theme="0" tint="-0.249977111117893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/>
      <diagonal/>
    </border>
    <border>
      <left/>
      <right/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/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CAC9D9"/>
      </top>
      <bottom style="thin">
        <color rgb="FFDDDDDD"/>
      </bottom>
      <diagonal/>
    </border>
    <border>
      <left style="slantDashDot">
        <color rgb="FFFF0000"/>
      </left>
      <right/>
      <top style="slantDashDot">
        <color rgb="FFFF0000"/>
      </top>
      <bottom style="hair">
        <color rgb="FFFF0000"/>
      </bottom>
      <diagonal/>
    </border>
    <border>
      <left style="hair">
        <color rgb="FFFF0000"/>
      </left>
      <right style="slantDashDot">
        <color rgb="FFFF0000"/>
      </right>
      <top style="slantDashDot">
        <color rgb="FFFF0000"/>
      </top>
      <bottom style="hair">
        <color rgb="FFFF0000"/>
      </bottom>
      <diagonal/>
    </border>
    <border>
      <left style="slantDashDot">
        <color rgb="FFFF0000"/>
      </left>
      <right/>
      <top style="hair">
        <color rgb="FFFF0000"/>
      </top>
      <bottom style="hair">
        <color rgb="FFFF0000"/>
      </bottom>
      <diagonal/>
    </border>
    <border>
      <left style="hair">
        <color rgb="FFFF0000"/>
      </left>
      <right style="slantDashDot">
        <color rgb="FFFF0000"/>
      </right>
      <top style="hair">
        <color rgb="FFFF0000"/>
      </top>
      <bottom style="hair">
        <color rgb="FFFF0000"/>
      </bottom>
      <diagonal/>
    </border>
    <border>
      <left style="slantDashDot">
        <color rgb="FFFF0000"/>
      </left>
      <right/>
      <top style="hair">
        <color rgb="FFFF0000"/>
      </top>
      <bottom style="slantDashDot">
        <color rgb="FFFF0000"/>
      </bottom>
      <diagonal/>
    </border>
    <border>
      <left style="hair">
        <color rgb="FFFF0000"/>
      </left>
      <right style="slantDashDot">
        <color rgb="FFFF0000"/>
      </right>
      <top style="hair">
        <color rgb="FFFF0000"/>
      </top>
      <bottom style="slantDashDot">
        <color rgb="FFFF0000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1" tint="0.499984740745262"/>
      </left>
      <right/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thin">
        <color theme="0" tint="-0.24994659260841701"/>
      </right>
      <top style="medium">
        <color theme="1" tint="0.499984740745262"/>
      </top>
      <bottom style="medium">
        <color theme="1" tint="0.499984740745262"/>
      </bottom>
      <diagonal/>
    </border>
    <border>
      <left/>
      <right/>
      <top style="medium">
        <color theme="1" tint="0.499984740745262"/>
      </top>
      <bottom style="medium">
        <color theme="1" tint="0.499984740745262"/>
      </bottom>
      <diagonal/>
    </border>
    <border>
      <left style="thin">
        <color theme="0" tint="-0.24994659260841701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 style="medium">
        <color theme="1" tint="0.499984740745262"/>
      </top>
      <bottom style="thin">
        <color theme="0" tint="-0.24994659260841701"/>
      </bottom>
      <diagonal/>
    </border>
    <border>
      <left/>
      <right/>
      <top style="medium">
        <color theme="1" tint="0.499984740745262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 style="medium">
        <color theme="1" tint="0.499984740745262"/>
      </right>
      <top/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/>
      <bottom style="thin">
        <color theme="0" tint="-0.24994659260841701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theme="1" tint="0.34998626667073579"/>
      </left>
      <right style="hair">
        <color theme="1" tint="0.34998626667073579"/>
      </right>
      <top style="hair">
        <color theme="1" tint="0.34998626667073579"/>
      </top>
      <bottom/>
      <diagonal/>
    </border>
    <border>
      <left style="hair">
        <color theme="1" tint="0.34998626667073579"/>
      </left>
      <right style="hair">
        <color theme="1" tint="0.34998626667073579"/>
      </right>
      <top/>
      <bottom style="hair">
        <color theme="1" tint="0.34998626667073579"/>
      </bottom>
      <diagonal/>
    </border>
    <border>
      <left style="hair">
        <color theme="1" tint="0.34998626667073579"/>
      </left>
      <right style="hair">
        <color theme="1" tint="0.34998626667073579"/>
      </right>
      <top/>
      <bottom/>
      <diagonal/>
    </border>
    <border>
      <left/>
      <right/>
      <top/>
      <bottom style="hair">
        <color theme="1" tint="0.34998626667073579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12" fillId="0" borderId="0"/>
    <xf numFmtId="0" fontId="21" fillId="0" borderId="0"/>
    <xf numFmtId="0" fontId="32" fillId="0" borderId="0" applyNumberFormat="0" applyFill="0" applyBorder="0" applyAlignment="0" applyProtection="0"/>
  </cellStyleXfs>
  <cellXfs count="288">
    <xf numFmtId="0" fontId="0" fillId="0" borderId="0" xfId="0"/>
    <xf numFmtId="0" fontId="0" fillId="0" borderId="0" xfId="0" applyBorder="1"/>
    <xf numFmtId="0" fontId="0" fillId="2" borderId="0" xfId="0" applyFill="1" applyAlignment="1">
      <alignment vertical="center"/>
    </xf>
    <xf numFmtId="0" fontId="4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horizontal="center"/>
    </xf>
    <xf numFmtId="9" fontId="5" fillId="0" borderId="0" xfId="0" applyNumberFormat="1" applyFont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0" xfId="0" applyBorder="1" applyAlignment="1">
      <alignment vertical="center"/>
    </xf>
    <xf numFmtId="0" fontId="5" fillId="0" borderId="0" xfId="2" applyFont="1" applyBorder="1" applyAlignment="1">
      <alignment horizontal="left" vertical="center"/>
    </xf>
    <xf numFmtId="0" fontId="5" fillId="0" borderId="0" xfId="0" applyFont="1" applyBorder="1" applyAlignment="1">
      <alignment vertical="top" wrapText="1"/>
    </xf>
    <xf numFmtId="0" fontId="5" fillId="0" borderId="0" xfId="0" applyFont="1" applyBorder="1" applyAlignment="1">
      <alignment horizontal="center" vertical="top" wrapText="1"/>
    </xf>
    <xf numFmtId="1" fontId="8" fillId="0" borderId="0" xfId="0" applyNumberFormat="1" applyFont="1" applyBorder="1" applyAlignment="1">
      <alignment horizontal="left" vertical="center"/>
    </xf>
    <xf numFmtId="9" fontId="8" fillId="0" borderId="0" xfId="1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10" fillId="0" borderId="0" xfId="0" applyFont="1" applyBorder="1" applyAlignment="1">
      <alignment horizontal="center"/>
    </xf>
    <xf numFmtId="9" fontId="10" fillId="0" borderId="0" xfId="0" applyNumberFormat="1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0" fillId="0" borderId="5" xfId="0" applyFont="1" applyBorder="1" applyAlignment="1">
      <alignment horizontal="center" vertical="center" wrapText="1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3" xfId="0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14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5" fillId="0" borderId="9" xfId="0" applyFont="1" applyBorder="1" applyAlignment="1">
      <alignment vertical="center" wrapText="1"/>
    </xf>
    <xf numFmtId="0" fontId="7" fillId="0" borderId="13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7" fillId="0" borderId="14" xfId="0" applyFont="1" applyFill="1" applyBorder="1" applyAlignment="1">
      <alignment horizontal="center"/>
    </xf>
    <xf numFmtId="0" fontId="9" fillId="0" borderId="0" xfId="0" applyFont="1" applyBorder="1" applyAlignment="1">
      <alignment vertical="top" wrapText="1"/>
    </xf>
    <xf numFmtId="0" fontId="4" fillId="0" borderId="31" xfId="0" applyFont="1" applyBorder="1"/>
    <xf numFmtId="0" fontId="4" fillId="0" borderId="32" xfId="0" applyFont="1" applyBorder="1" applyAlignment="1">
      <alignment horizontal="center"/>
    </xf>
    <xf numFmtId="0" fontId="0" fillId="0" borderId="33" xfId="0" applyBorder="1"/>
    <xf numFmtId="1" fontId="0" fillId="0" borderId="34" xfId="0" applyNumberFormat="1" applyBorder="1" applyAlignment="1">
      <alignment horizontal="center"/>
    </xf>
    <xf numFmtId="1" fontId="4" fillId="0" borderId="34" xfId="0" applyNumberFormat="1" applyFont="1" applyBorder="1" applyAlignment="1">
      <alignment horizontal="center"/>
    </xf>
    <xf numFmtId="0" fontId="4" fillId="0" borderId="33" xfId="0" applyFont="1" applyBorder="1"/>
    <xf numFmtId="0" fontId="0" fillId="0" borderId="35" xfId="0" applyBorder="1"/>
    <xf numFmtId="1" fontId="0" fillId="0" borderId="36" xfId="0" applyNumberFormat="1" applyBorder="1" applyAlignment="1">
      <alignment horizontal="center"/>
    </xf>
    <xf numFmtId="173" fontId="4" fillId="0" borderId="34" xfId="1" applyNumberFormat="1" applyFont="1" applyBorder="1" applyAlignment="1">
      <alignment horizontal="center"/>
    </xf>
    <xf numFmtId="173" fontId="0" fillId="0" borderId="34" xfId="0" applyNumberFormat="1" applyBorder="1" applyAlignment="1">
      <alignment horizontal="center"/>
    </xf>
    <xf numFmtId="173" fontId="0" fillId="0" borderId="36" xfId="0" applyNumberFormat="1" applyBorder="1" applyAlignment="1">
      <alignment horizontal="center"/>
    </xf>
    <xf numFmtId="2" fontId="0" fillId="0" borderId="0" xfId="0" applyNumberFormat="1"/>
    <xf numFmtId="0" fontId="15" fillId="0" borderId="0" xfId="0" applyFont="1"/>
    <xf numFmtId="49" fontId="16" fillId="5" borderId="29" xfId="0" applyNumberFormat="1" applyFont="1" applyFill="1" applyBorder="1" applyAlignment="1">
      <alignment horizontal="center" vertical="center"/>
    </xf>
    <xf numFmtId="2" fontId="16" fillId="5" borderId="29" xfId="0" applyNumberFormat="1" applyFont="1" applyFill="1" applyBorder="1" applyAlignment="1">
      <alignment horizontal="center" vertical="center"/>
    </xf>
    <xf numFmtId="49" fontId="13" fillId="6" borderId="29" xfId="0" applyNumberFormat="1" applyFont="1" applyFill="1" applyBorder="1" applyAlignment="1">
      <alignment horizontal="center" vertical="center" wrapText="1"/>
    </xf>
    <xf numFmtId="2" fontId="13" fillId="13" borderId="29" xfId="0" applyNumberFormat="1" applyFont="1" applyFill="1" applyBorder="1" applyAlignment="1">
      <alignment horizontal="center" vertical="center" wrapText="1"/>
    </xf>
    <xf numFmtId="2" fontId="13" fillId="11" borderId="29" xfId="0" applyNumberFormat="1" applyFont="1" applyFill="1" applyBorder="1" applyAlignment="1">
      <alignment horizontal="center" vertical="center" wrapText="1"/>
    </xf>
    <xf numFmtId="2" fontId="13" fillId="12" borderId="29" xfId="0" applyNumberFormat="1" applyFont="1" applyFill="1" applyBorder="1" applyAlignment="1">
      <alignment horizontal="center" vertical="center" wrapText="1"/>
    </xf>
    <xf numFmtId="0" fontId="15" fillId="0" borderId="0" xfId="0" applyFont="1" applyAlignment="1"/>
    <xf numFmtId="2" fontId="15" fillId="0" borderId="0" xfId="0" applyNumberFormat="1" applyFont="1" applyAlignment="1">
      <alignment horizontal="center" wrapText="1"/>
    </xf>
    <xf numFmtId="0" fontId="15" fillId="0" borderId="0" xfId="0" applyFont="1" applyAlignment="1">
      <alignment horizontal="center" wrapText="1"/>
    </xf>
    <xf numFmtId="2" fontId="16" fillId="0" borderId="0" xfId="0" applyNumberFormat="1" applyFont="1" applyAlignment="1">
      <alignment horizontal="center"/>
    </xf>
    <xf numFmtId="2" fontId="15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14" fillId="5" borderId="0" xfId="0" applyFont="1" applyFill="1" applyAlignment="1">
      <alignment horizontal="center"/>
    </xf>
    <xf numFmtId="2" fontId="14" fillId="5" borderId="0" xfId="0" applyNumberFormat="1" applyFont="1" applyFill="1" applyAlignment="1">
      <alignment horizontal="center"/>
    </xf>
    <xf numFmtId="173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18" fillId="0" borderId="0" xfId="0" applyFont="1"/>
    <xf numFmtId="0" fontId="0" fillId="15" borderId="0" xfId="0" applyFill="1"/>
    <xf numFmtId="0" fontId="15" fillId="15" borderId="37" xfId="0" applyFont="1" applyFill="1" applyBorder="1"/>
    <xf numFmtId="0" fontId="20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1" fontId="19" fillId="4" borderId="38" xfId="4" applyNumberFormat="1" applyFont="1" applyFill="1" applyBorder="1" applyAlignment="1" applyProtection="1">
      <alignment horizontal="center" vertical="center" wrapText="1"/>
    </xf>
    <xf numFmtId="1" fontId="19" fillId="4" borderId="39" xfId="4" applyNumberFormat="1" applyFont="1" applyFill="1" applyBorder="1" applyAlignment="1" applyProtection="1">
      <alignment horizontal="center" vertical="center" wrapText="1"/>
    </xf>
    <xf numFmtId="3" fontId="19" fillId="4" borderId="40" xfId="0" applyNumberFormat="1" applyFont="1" applyFill="1" applyBorder="1" applyAlignment="1">
      <alignment horizontal="center" vertical="center" wrapText="1"/>
    </xf>
    <xf numFmtId="3" fontId="19" fillId="4" borderId="41" xfId="0" applyNumberFormat="1" applyFont="1" applyFill="1" applyBorder="1" applyAlignment="1">
      <alignment horizontal="center" vertical="center" wrapText="1"/>
    </xf>
    <xf numFmtId="1" fontId="19" fillId="4" borderId="42" xfId="0" applyNumberFormat="1" applyFont="1" applyFill="1" applyBorder="1" applyAlignment="1">
      <alignment horizontal="center" vertical="center" wrapText="1"/>
    </xf>
    <xf numFmtId="3" fontId="19" fillId="4" borderId="0" xfId="0" applyNumberFormat="1" applyFont="1" applyFill="1" applyBorder="1" applyAlignment="1">
      <alignment horizontal="center" vertical="center" wrapText="1"/>
    </xf>
    <xf numFmtId="0" fontId="22" fillId="3" borderId="43" xfId="0" applyFont="1" applyFill="1" applyBorder="1" applyAlignment="1">
      <alignment horizontal="center"/>
    </xf>
    <xf numFmtId="0" fontId="22" fillId="4" borderId="43" xfId="0" applyFont="1" applyFill="1" applyBorder="1"/>
    <xf numFmtId="173" fontId="22" fillId="0" borderId="43" xfId="0" applyNumberFormat="1" applyFont="1" applyFill="1" applyBorder="1" applyAlignment="1">
      <alignment horizontal="center" vertical="center"/>
    </xf>
    <xf numFmtId="2" fontId="0" fillId="3" borderId="44" xfId="0" applyNumberFormat="1" applyFill="1" applyBorder="1" applyAlignment="1">
      <alignment vertical="center"/>
    </xf>
    <xf numFmtId="2" fontId="0" fillId="3" borderId="45" xfId="0" applyNumberFormat="1" applyFill="1" applyBorder="1" applyAlignment="1">
      <alignment vertical="center"/>
    </xf>
    <xf numFmtId="9" fontId="0" fillId="3" borderId="45" xfId="1" applyFont="1" applyFill="1" applyBorder="1" applyAlignment="1">
      <alignment vertical="center"/>
    </xf>
    <xf numFmtId="0" fontId="0" fillId="3" borderId="46" xfId="0" applyFill="1" applyBorder="1" applyAlignment="1">
      <alignment horizontal="center" vertical="center"/>
    </xf>
    <xf numFmtId="3" fontId="0" fillId="0" borderId="0" xfId="0" applyNumberFormat="1"/>
    <xf numFmtId="0" fontId="22" fillId="3" borderId="47" xfId="0" applyFont="1" applyFill="1" applyBorder="1" applyAlignment="1">
      <alignment horizontal="center"/>
    </xf>
    <xf numFmtId="0" fontId="22" fillId="4" borderId="47" xfId="0" applyFont="1" applyFill="1" applyBorder="1"/>
    <xf numFmtId="173" fontId="22" fillId="0" borderId="47" xfId="0" applyNumberFormat="1" applyFont="1" applyFill="1" applyBorder="1" applyAlignment="1">
      <alignment horizontal="center"/>
    </xf>
    <xf numFmtId="2" fontId="0" fillId="3" borderId="48" xfId="0" applyNumberFormat="1" applyFill="1" applyBorder="1"/>
    <xf numFmtId="2" fontId="0" fillId="3" borderId="49" xfId="0" applyNumberFormat="1" applyFill="1" applyBorder="1"/>
    <xf numFmtId="9" fontId="0" fillId="3" borderId="49" xfId="1" applyFont="1" applyFill="1" applyBorder="1"/>
    <xf numFmtId="0" fontId="0" fillId="3" borderId="50" xfId="0" applyFill="1" applyBorder="1" applyAlignment="1">
      <alignment horizontal="center" vertical="center"/>
    </xf>
    <xf numFmtId="10" fontId="0" fillId="0" borderId="0" xfId="1" applyNumberFormat="1" applyFont="1"/>
    <xf numFmtId="0" fontId="22" fillId="3" borderId="51" xfId="0" applyFont="1" applyFill="1" applyBorder="1" applyAlignment="1">
      <alignment horizontal="center"/>
    </xf>
    <xf numFmtId="0" fontId="22" fillId="4" borderId="51" xfId="0" applyFont="1" applyFill="1" applyBorder="1"/>
    <xf numFmtId="173" fontId="22" fillId="0" borderId="51" xfId="0" applyNumberFormat="1" applyFont="1" applyFill="1" applyBorder="1" applyAlignment="1">
      <alignment horizontal="center"/>
    </xf>
    <xf numFmtId="2" fontId="0" fillId="3" borderId="52" xfId="0" applyNumberFormat="1" applyFill="1" applyBorder="1"/>
    <xf numFmtId="2" fontId="0" fillId="3" borderId="53" xfId="0" applyNumberFormat="1" applyFill="1" applyBorder="1"/>
    <xf numFmtId="9" fontId="0" fillId="3" borderId="53" xfId="1" applyFont="1" applyFill="1" applyBorder="1"/>
    <xf numFmtId="0" fontId="0" fillId="3" borderId="54" xfId="0" applyFill="1" applyBorder="1" applyAlignment="1">
      <alignment horizontal="center" vertical="center"/>
    </xf>
    <xf numFmtId="9" fontId="0" fillId="0" borderId="0" xfId="1" applyFont="1"/>
    <xf numFmtId="4" fontId="0" fillId="0" borderId="0" xfId="0" applyNumberFormat="1"/>
    <xf numFmtId="0" fontId="18" fillId="16" borderId="0" xfId="0" applyFont="1" applyFill="1"/>
    <xf numFmtId="0" fontId="0" fillId="16" borderId="0" xfId="0" applyFill="1"/>
    <xf numFmtId="1" fontId="8" fillId="0" borderId="6" xfId="0" applyNumberFormat="1" applyFont="1" applyBorder="1" applyAlignment="1">
      <alignment horizontal="center" vertical="center"/>
    </xf>
    <xf numFmtId="9" fontId="8" fillId="0" borderId="6" xfId="1" applyFont="1" applyBorder="1" applyAlignment="1">
      <alignment horizontal="center" vertical="center"/>
    </xf>
    <xf numFmtId="3" fontId="0" fillId="0" borderId="34" xfId="0" applyNumberFormat="1" applyBorder="1" applyAlignment="1">
      <alignment horizontal="center"/>
    </xf>
    <xf numFmtId="174" fontId="0" fillId="0" borderId="34" xfId="0" applyNumberFormat="1" applyBorder="1" applyAlignment="1">
      <alignment horizontal="center"/>
    </xf>
    <xf numFmtId="170" fontId="0" fillId="0" borderId="34" xfId="0" applyNumberFormat="1" applyBorder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17" fillId="4" borderId="55" xfId="0" applyFont="1" applyFill="1" applyBorder="1" applyAlignment="1">
      <alignment horizontal="center" vertical="center"/>
    </xf>
    <xf numFmtId="0" fontId="15" fillId="4" borderId="0" xfId="0" applyFont="1" applyFill="1" applyBorder="1"/>
    <xf numFmtId="0" fontId="15" fillId="4" borderId="0" xfId="0" applyFont="1" applyFill="1"/>
    <xf numFmtId="0" fontId="25" fillId="0" borderId="0" xfId="0" applyFont="1"/>
    <xf numFmtId="0" fontId="15" fillId="0" borderId="0" xfId="0" applyFont="1" applyBorder="1"/>
    <xf numFmtId="0" fontId="4" fillId="18" borderId="0" xfId="0" applyNumberFormat="1" applyFont="1" applyFill="1" applyAlignment="1">
      <alignment horizontal="center" vertical="center"/>
    </xf>
    <xf numFmtId="0" fontId="26" fillId="5" borderId="0" xfId="0" applyFont="1" applyFill="1" applyAlignment="1">
      <alignment horizontal="center"/>
    </xf>
    <xf numFmtId="49" fontId="26" fillId="21" borderId="29" xfId="0" applyNumberFormat="1" applyFont="1" applyFill="1" applyBorder="1" applyAlignment="1">
      <alignment horizontal="center"/>
    </xf>
    <xf numFmtId="0" fontId="26" fillId="21" borderId="29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6" fillId="5" borderId="29" xfId="0" applyFont="1" applyFill="1" applyBorder="1" applyAlignment="1">
      <alignment horizontal="center"/>
    </xf>
    <xf numFmtId="2" fontId="11" fillId="5" borderId="0" xfId="0" applyNumberFormat="1" applyFont="1" applyFill="1" applyAlignment="1">
      <alignment horizontal="center"/>
    </xf>
    <xf numFmtId="2" fontId="27" fillId="0" borderId="0" xfId="0" applyNumberFormat="1" applyFont="1" applyAlignment="1">
      <alignment horizontal="center"/>
    </xf>
    <xf numFmtId="1" fontId="11" fillId="5" borderId="0" xfId="0" applyNumberFormat="1" applyFont="1" applyFill="1" applyAlignment="1">
      <alignment horizontal="center"/>
    </xf>
    <xf numFmtId="1" fontId="27" fillId="0" borderId="0" xfId="0" applyNumberFormat="1" applyFont="1" applyAlignment="1">
      <alignment horizontal="center"/>
    </xf>
    <xf numFmtId="173" fontId="10" fillId="0" borderId="6" xfId="0" applyNumberFormat="1" applyFont="1" applyBorder="1" applyAlignment="1">
      <alignment horizontal="center" vertical="center" wrapText="1"/>
    </xf>
    <xf numFmtId="173" fontId="10" fillId="0" borderId="5" xfId="0" applyNumberFormat="1" applyFont="1" applyBorder="1" applyAlignment="1">
      <alignment horizontal="center" vertical="center"/>
    </xf>
    <xf numFmtId="170" fontId="0" fillId="0" borderId="1" xfId="0" applyNumberFormat="1" applyBorder="1" applyAlignment="1">
      <alignment horizontal="center" vertical="center"/>
    </xf>
    <xf numFmtId="0" fontId="28" fillId="0" borderId="0" xfId="0" applyFont="1" applyAlignment="1">
      <alignment vertical="center"/>
    </xf>
    <xf numFmtId="9" fontId="10" fillId="0" borderId="57" xfId="0" applyNumberFormat="1" applyFont="1" applyBorder="1" applyAlignment="1">
      <alignment vertical="center" wrapText="1"/>
    </xf>
    <xf numFmtId="0" fontId="10" fillId="0" borderId="59" xfId="0" applyFont="1" applyBorder="1" applyAlignment="1">
      <alignment vertical="center" wrapText="1"/>
    </xf>
    <xf numFmtId="9" fontId="10" fillId="0" borderId="58" xfId="0" applyNumberFormat="1" applyFont="1" applyBorder="1" applyAlignment="1">
      <alignment horizontal="center" vertical="center" wrapText="1"/>
    </xf>
    <xf numFmtId="1" fontId="0" fillId="19" borderId="0" xfId="0" applyNumberFormat="1" applyFill="1" applyAlignment="1">
      <alignment horizontal="center" vertical="center"/>
    </xf>
    <xf numFmtId="0" fontId="7" fillId="0" borderId="11" xfId="0" applyFont="1" applyFill="1" applyBorder="1" applyAlignment="1">
      <alignment vertical="center"/>
    </xf>
    <xf numFmtId="0" fontId="0" fillId="0" borderId="0" xfId="0" applyFill="1"/>
    <xf numFmtId="0" fontId="7" fillId="0" borderId="0" xfId="0" applyFont="1" applyFill="1" applyBorder="1" applyAlignment="1">
      <alignment vertical="center"/>
    </xf>
    <xf numFmtId="0" fontId="0" fillId="0" borderId="0" xfId="0" applyFill="1" applyBorder="1"/>
    <xf numFmtId="0" fontId="7" fillId="0" borderId="0" xfId="0" applyFont="1" applyFill="1" applyBorder="1" applyAlignment="1">
      <alignment horizontal="center" vertical="center"/>
    </xf>
    <xf numFmtId="0" fontId="35" fillId="0" borderId="0" xfId="0" applyFont="1" applyBorder="1" applyAlignment="1">
      <alignment horizontal="left"/>
    </xf>
    <xf numFmtId="0" fontId="0" fillId="0" borderId="0" xfId="0" applyFill="1" applyAlignment="1">
      <alignment vertical="center"/>
    </xf>
    <xf numFmtId="0" fontId="30" fillId="0" borderId="0" xfId="0" quotePrefix="1" applyFont="1" applyBorder="1"/>
    <xf numFmtId="0" fontId="30" fillId="0" borderId="0" xfId="0" quotePrefix="1" applyFont="1" applyBorder="1" applyAlignment="1">
      <alignment horizontal="left" wrapText="1"/>
    </xf>
    <xf numFmtId="0" fontId="30" fillId="0" borderId="0" xfId="0" quotePrefix="1" applyFont="1" applyBorder="1" applyAlignment="1">
      <alignment horizontal="left"/>
    </xf>
    <xf numFmtId="0" fontId="30" fillId="0" borderId="0" xfId="0" quotePrefix="1" applyFont="1" applyBorder="1" applyAlignment="1"/>
    <xf numFmtId="0" fontId="31" fillId="0" borderId="0" xfId="0" quotePrefix="1" applyFont="1" applyBorder="1"/>
    <xf numFmtId="0" fontId="36" fillId="0" borderId="0" xfId="0" applyFont="1" applyBorder="1"/>
    <xf numFmtId="0" fontId="29" fillId="0" borderId="0" xfId="0" applyFont="1" applyBorder="1"/>
    <xf numFmtId="0" fontId="37" fillId="5" borderId="0" xfId="0" applyFont="1" applyFill="1" applyAlignment="1">
      <alignment horizontal="left"/>
    </xf>
    <xf numFmtId="0" fontId="38" fillId="5" borderId="0" xfId="0" applyFont="1" applyFill="1" applyAlignment="1">
      <alignment horizontal="center" vertical="center"/>
    </xf>
    <xf numFmtId="0" fontId="38" fillId="5" borderId="0" xfId="0" applyFont="1" applyFill="1" applyAlignment="1">
      <alignment horizontal="center" vertical="center" wrapText="1"/>
    </xf>
    <xf numFmtId="0" fontId="39" fillId="5" borderId="0" xfId="0" applyFont="1" applyFill="1" applyAlignment="1">
      <alignment horizontal="center" vertical="center" wrapText="1"/>
    </xf>
    <xf numFmtId="0" fontId="40" fillId="5" borderId="0" xfId="0" applyFont="1" applyFill="1" applyAlignment="1">
      <alignment horizontal="center" vertical="center" wrapText="1"/>
    </xf>
    <xf numFmtId="0" fontId="41" fillId="5" borderId="0" xfId="0" applyFont="1" applyFill="1" applyAlignment="1">
      <alignment horizontal="center" vertical="center" wrapText="1"/>
    </xf>
    <xf numFmtId="0" fontId="43" fillId="5" borderId="0" xfId="0" applyFont="1" applyFill="1" applyAlignment="1">
      <alignment horizontal="center" vertical="center" wrapText="1"/>
    </xf>
    <xf numFmtId="0" fontId="45" fillId="6" borderId="28" xfId="0" applyFont="1" applyFill="1" applyBorder="1" applyAlignment="1">
      <alignment horizontal="center" vertical="center" wrapText="1"/>
    </xf>
    <xf numFmtId="0" fontId="45" fillId="6" borderId="0" xfId="0" applyFont="1" applyFill="1" applyAlignment="1">
      <alignment horizontal="center" vertical="center" wrapText="1"/>
    </xf>
    <xf numFmtId="49" fontId="37" fillId="5" borderId="29" xfId="0" applyNumberFormat="1" applyFont="1" applyFill="1" applyBorder="1" applyAlignment="1">
      <alignment horizontal="center" vertical="center"/>
    </xf>
    <xf numFmtId="164" fontId="37" fillId="5" borderId="29" xfId="0" applyNumberFormat="1" applyFont="1" applyFill="1" applyBorder="1" applyAlignment="1">
      <alignment horizontal="center" vertical="center"/>
    </xf>
    <xf numFmtId="0" fontId="37" fillId="5" borderId="0" xfId="0" applyFont="1" applyFill="1" applyAlignment="1">
      <alignment horizontal="center"/>
    </xf>
    <xf numFmtId="165" fontId="37" fillId="5" borderId="29" xfId="0" applyNumberFormat="1" applyFont="1" applyFill="1" applyBorder="1" applyAlignment="1">
      <alignment horizontal="center" vertical="center"/>
    </xf>
    <xf numFmtId="0" fontId="37" fillId="5" borderId="0" xfId="0" applyFont="1" applyFill="1" applyAlignment="1">
      <alignment horizontal="center" vertical="center"/>
    </xf>
    <xf numFmtId="166" fontId="37" fillId="5" borderId="29" xfId="0" applyNumberFormat="1" applyFont="1" applyFill="1" applyBorder="1" applyAlignment="1">
      <alignment horizontal="center" vertical="center"/>
    </xf>
    <xf numFmtId="3" fontId="37" fillId="5" borderId="29" xfId="0" applyNumberFormat="1" applyFont="1" applyFill="1" applyBorder="1" applyAlignment="1">
      <alignment horizontal="center" vertical="center"/>
    </xf>
    <xf numFmtId="164" fontId="37" fillId="7" borderId="29" xfId="0" applyNumberFormat="1" applyFont="1" applyFill="1" applyBorder="1" applyAlignment="1">
      <alignment horizontal="center" vertical="center"/>
    </xf>
    <xf numFmtId="167" fontId="46" fillId="8" borderId="29" xfId="0" applyNumberFormat="1" applyFont="1" applyFill="1" applyBorder="1" applyAlignment="1">
      <alignment horizontal="center" vertical="center"/>
    </xf>
    <xf numFmtId="3" fontId="46" fillId="8" borderId="29" xfId="0" applyNumberFormat="1" applyFont="1" applyFill="1" applyBorder="1" applyAlignment="1">
      <alignment horizontal="center" vertical="center"/>
    </xf>
    <xf numFmtId="168" fontId="37" fillId="5" borderId="29" xfId="0" applyNumberFormat="1" applyFont="1" applyFill="1" applyBorder="1" applyAlignment="1">
      <alignment horizontal="center" vertical="center"/>
    </xf>
    <xf numFmtId="169" fontId="37" fillId="5" borderId="29" xfId="0" applyNumberFormat="1" applyFont="1" applyFill="1" applyBorder="1" applyAlignment="1">
      <alignment horizontal="center" vertical="center"/>
    </xf>
    <xf numFmtId="3" fontId="37" fillId="7" borderId="29" xfId="0" applyNumberFormat="1" applyFont="1" applyFill="1" applyBorder="1" applyAlignment="1">
      <alignment horizontal="center" vertical="center"/>
    </xf>
    <xf numFmtId="167" fontId="46" fillId="9" borderId="29" xfId="0" applyNumberFormat="1" applyFont="1" applyFill="1" applyBorder="1" applyAlignment="1">
      <alignment horizontal="center" vertical="center"/>
    </xf>
    <xf numFmtId="3" fontId="46" fillId="9" borderId="29" xfId="0" applyNumberFormat="1" applyFont="1" applyFill="1" applyBorder="1" applyAlignment="1">
      <alignment horizontal="center" vertical="center"/>
    </xf>
    <xf numFmtId="170" fontId="37" fillId="5" borderId="29" xfId="0" applyNumberFormat="1" applyFont="1" applyFill="1" applyBorder="1" applyAlignment="1">
      <alignment horizontal="center" vertical="center"/>
    </xf>
    <xf numFmtId="49" fontId="37" fillId="7" borderId="29" xfId="0" applyNumberFormat="1" applyFont="1" applyFill="1" applyBorder="1" applyAlignment="1">
      <alignment horizontal="center" vertical="center"/>
    </xf>
    <xf numFmtId="167" fontId="46" fillId="10" borderId="29" xfId="0" applyNumberFormat="1" applyFont="1" applyFill="1" applyBorder="1" applyAlignment="1">
      <alignment horizontal="center" vertical="center"/>
    </xf>
    <xf numFmtId="3" fontId="46" fillId="10" borderId="29" xfId="0" applyNumberFormat="1" applyFont="1" applyFill="1" applyBorder="1" applyAlignment="1">
      <alignment horizontal="center" vertical="center"/>
    </xf>
    <xf numFmtId="0" fontId="37" fillId="5" borderId="29" xfId="0" applyFont="1" applyFill="1" applyBorder="1" applyAlignment="1">
      <alignment horizontal="center" vertical="center"/>
    </xf>
    <xf numFmtId="167" fontId="37" fillId="7" borderId="29" xfId="0" applyNumberFormat="1" applyFont="1" applyFill="1" applyBorder="1" applyAlignment="1">
      <alignment horizontal="center" vertical="center"/>
    </xf>
    <xf numFmtId="171" fontId="37" fillId="5" borderId="29" xfId="0" applyNumberFormat="1" applyFont="1" applyFill="1" applyBorder="1" applyAlignment="1">
      <alignment horizontal="center" vertical="center"/>
    </xf>
    <xf numFmtId="172" fontId="37" fillId="7" borderId="29" xfId="0" applyNumberFormat="1" applyFont="1" applyFill="1" applyBorder="1" applyAlignment="1">
      <alignment horizontal="center" vertical="center"/>
    </xf>
    <xf numFmtId="167" fontId="37" fillId="5" borderId="29" xfId="0" applyNumberFormat="1" applyFont="1" applyFill="1" applyBorder="1" applyAlignment="1">
      <alignment horizontal="center" vertical="center"/>
    </xf>
    <xf numFmtId="0" fontId="47" fillId="5" borderId="30" xfId="0" applyFont="1" applyFill="1" applyBorder="1" applyAlignment="1">
      <alignment horizontal="center" vertical="center"/>
    </xf>
    <xf numFmtId="49" fontId="47" fillId="5" borderId="30" xfId="0" applyNumberFormat="1" applyFont="1" applyFill="1" applyBorder="1" applyAlignment="1">
      <alignment horizontal="center" vertical="center"/>
    </xf>
    <xf numFmtId="164" fontId="47" fillId="5" borderId="30" xfId="0" applyNumberFormat="1" applyFont="1" applyFill="1" applyBorder="1" applyAlignment="1">
      <alignment horizontal="center" vertical="center"/>
    </xf>
    <xf numFmtId="0" fontId="47" fillId="5" borderId="0" xfId="0" applyFont="1" applyFill="1" applyAlignment="1">
      <alignment horizontal="center"/>
    </xf>
    <xf numFmtId="0" fontId="47" fillId="5" borderId="0" xfId="0" applyFont="1" applyFill="1" applyAlignment="1">
      <alignment horizontal="center" vertical="center"/>
    </xf>
    <xf numFmtId="3" fontId="47" fillId="5" borderId="30" xfId="0" applyNumberFormat="1" applyFont="1" applyFill="1" applyBorder="1" applyAlignment="1">
      <alignment horizontal="center" vertical="center"/>
    </xf>
    <xf numFmtId="0" fontId="47" fillId="7" borderId="30" xfId="0" applyFont="1" applyFill="1" applyBorder="1" applyAlignment="1">
      <alignment horizontal="center" vertical="center"/>
    </xf>
    <xf numFmtId="169" fontId="47" fillId="5" borderId="30" xfId="0" applyNumberFormat="1" applyFont="1" applyFill="1" applyBorder="1" applyAlignment="1">
      <alignment horizontal="center" vertical="center"/>
    </xf>
    <xf numFmtId="168" fontId="47" fillId="5" borderId="29" xfId="0" applyNumberFormat="1" applyFont="1" applyFill="1" applyBorder="1" applyAlignment="1">
      <alignment horizontal="center" vertical="center"/>
    </xf>
    <xf numFmtId="170" fontId="47" fillId="5" borderId="29" xfId="0" applyNumberFormat="1" applyFont="1" applyFill="1" applyBorder="1" applyAlignment="1">
      <alignment horizontal="center" vertical="center"/>
    </xf>
    <xf numFmtId="0" fontId="47" fillId="7" borderId="29" xfId="0" applyFont="1" applyFill="1" applyBorder="1" applyAlignment="1">
      <alignment horizontal="center" vertical="center"/>
    </xf>
    <xf numFmtId="0" fontId="47" fillId="5" borderId="29" xfId="0" applyFont="1" applyFill="1" applyBorder="1" applyAlignment="1">
      <alignment horizontal="center" vertical="center"/>
    </xf>
    <xf numFmtId="169" fontId="47" fillId="5" borderId="29" xfId="0" applyNumberFormat="1" applyFont="1" applyFill="1" applyBorder="1" applyAlignment="1">
      <alignment horizontal="center" vertical="center"/>
    </xf>
    <xf numFmtId="164" fontId="47" fillId="5" borderId="29" xfId="0" applyNumberFormat="1" applyFont="1" applyFill="1" applyBorder="1" applyAlignment="1">
      <alignment horizontal="center" vertical="center"/>
    </xf>
    <xf numFmtId="49" fontId="47" fillId="5" borderId="29" xfId="0" applyNumberFormat="1" applyFont="1" applyFill="1" applyBorder="1" applyAlignment="1">
      <alignment horizontal="center" vertical="center"/>
    </xf>
    <xf numFmtId="49" fontId="38" fillId="6" borderId="0" xfId="0" applyNumberFormat="1" applyFont="1" applyFill="1" applyAlignment="1">
      <alignment horizontal="center" vertical="center"/>
    </xf>
    <xf numFmtId="49" fontId="37" fillId="21" borderId="29" xfId="0" applyNumberFormat="1" applyFont="1" applyFill="1" applyBorder="1" applyAlignment="1">
      <alignment horizontal="left"/>
    </xf>
    <xf numFmtId="49" fontId="37" fillId="5" borderId="29" xfId="0" applyNumberFormat="1" applyFont="1" applyFill="1" applyBorder="1" applyAlignment="1">
      <alignment horizontal="left"/>
    </xf>
    <xf numFmtId="175" fontId="37" fillId="5" borderId="29" xfId="0" applyNumberFormat="1" applyFont="1" applyFill="1" applyBorder="1" applyAlignment="1">
      <alignment horizontal="right"/>
    </xf>
    <xf numFmtId="176" fontId="37" fillId="5" borderId="29" xfId="0" applyNumberFormat="1" applyFont="1" applyFill="1" applyBorder="1" applyAlignment="1">
      <alignment horizontal="right"/>
    </xf>
    <xf numFmtId="49" fontId="38" fillId="6" borderId="0" xfId="0" applyNumberFormat="1" applyFont="1" applyFill="1" applyAlignment="1">
      <alignment horizontal="center" vertical="center"/>
    </xf>
    <xf numFmtId="49" fontId="38" fillId="6" borderId="0" xfId="0" applyNumberFormat="1" applyFont="1" applyFill="1" applyAlignment="1">
      <alignment horizontal="center" vertical="center"/>
    </xf>
    <xf numFmtId="49" fontId="38" fillId="6" borderId="0" xfId="0" applyNumberFormat="1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29" fillId="0" borderId="0" xfId="0" applyFont="1" applyBorder="1" applyAlignment="1">
      <alignment horizontal="left" vertical="center" wrapText="1"/>
    </xf>
    <xf numFmtId="0" fontId="30" fillId="0" borderId="0" xfId="0" quotePrefix="1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7" fillId="4" borderId="0" xfId="0" applyFont="1" applyFill="1" applyBorder="1" applyAlignment="1">
      <alignment horizontal="center" vertical="center"/>
    </xf>
    <xf numFmtId="0" fontId="19" fillId="0" borderId="0" xfId="0" applyFont="1" applyBorder="1" applyAlignment="1">
      <alignment horizontal="left" vertical="center" wrapText="1"/>
    </xf>
    <xf numFmtId="0" fontId="34" fillId="0" borderId="0" xfId="0" applyFont="1" applyBorder="1" applyAlignment="1">
      <alignment horizontal="center"/>
    </xf>
    <xf numFmtId="0" fontId="33" fillId="0" borderId="0" xfId="5" applyFont="1" applyBorder="1" applyAlignment="1">
      <alignment horizontal="center"/>
    </xf>
    <xf numFmtId="0" fontId="5" fillId="0" borderId="18" xfId="0" applyFont="1" applyBorder="1" applyAlignment="1">
      <alignment horizontal="center" vertical="top" wrapText="1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5" fillId="0" borderId="22" xfId="0" applyFont="1" applyBorder="1" applyAlignment="1">
      <alignment horizontal="center" vertical="top" wrapText="1"/>
    </xf>
    <xf numFmtId="173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9" fillId="0" borderId="2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top" wrapText="1"/>
    </xf>
    <xf numFmtId="0" fontId="9" fillId="0" borderId="0" xfId="0" applyFont="1" applyBorder="1" applyAlignment="1">
      <alignment horizontal="center" vertical="top" wrapText="1"/>
    </xf>
    <xf numFmtId="0" fontId="9" fillId="0" borderId="22" xfId="0" applyFont="1" applyBorder="1" applyAlignment="1">
      <alignment horizontal="center" vertical="top" wrapText="1"/>
    </xf>
    <xf numFmtId="0" fontId="9" fillId="0" borderId="23" xfId="0" applyFont="1" applyBorder="1" applyAlignment="1">
      <alignment horizontal="center" vertical="top" wrapText="1"/>
    </xf>
    <xf numFmtId="0" fontId="9" fillId="0" borderId="24" xfId="0" applyFont="1" applyBorder="1" applyAlignment="1">
      <alignment horizontal="center" vertical="top" wrapText="1"/>
    </xf>
    <xf numFmtId="0" fontId="9" fillId="0" borderId="25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173" fontId="10" fillId="0" borderId="6" xfId="0" applyNumberFormat="1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1" fontId="8" fillId="0" borderId="0" xfId="0" applyNumberFormat="1" applyFont="1" applyBorder="1" applyAlignment="1">
      <alignment horizontal="center" vertical="center"/>
    </xf>
    <xf numFmtId="1" fontId="8" fillId="0" borderId="6" xfId="0" applyNumberFormat="1" applyFont="1" applyBorder="1" applyAlignment="1">
      <alignment horizontal="center" vertical="center"/>
    </xf>
    <xf numFmtId="0" fontId="5" fillId="0" borderId="0" xfId="2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5" fillId="0" borderId="5" xfId="2" applyFont="1" applyBorder="1" applyAlignment="1">
      <alignment horizontal="right" vertical="center"/>
    </xf>
    <xf numFmtId="0" fontId="5" fillId="0" borderId="0" xfId="2" applyFont="1" applyBorder="1" applyAlignment="1">
      <alignment horizontal="right" vertical="center"/>
    </xf>
    <xf numFmtId="9" fontId="8" fillId="0" borderId="0" xfId="1" applyFont="1" applyBorder="1" applyAlignment="1">
      <alignment horizontal="center" vertical="center"/>
    </xf>
    <xf numFmtId="9" fontId="8" fillId="0" borderId="6" xfId="1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 wrapText="1"/>
    </xf>
    <xf numFmtId="0" fontId="5" fillId="0" borderId="58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top" wrapText="1"/>
    </xf>
    <xf numFmtId="0" fontId="0" fillId="15" borderId="0" xfId="0" applyFill="1" applyAlignment="1">
      <alignment horizontal="center"/>
    </xf>
    <xf numFmtId="0" fontId="4" fillId="14" borderId="0" xfId="0" applyFont="1" applyFill="1" applyAlignment="1">
      <alignment horizontal="center"/>
    </xf>
    <xf numFmtId="0" fontId="0" fillId="17" borderId="0" xfId="0" applyFill="1" applyAlignment="1">
      <alignment horizontal="center"/>
    </xf>
    <xf numFmtId="49" fontId="44" fillId="6" borderId="29" xfId="0" applyNumberFormat="1" applyFont="1" applyFill="1" applyBorder="1" applyAlignment="1">
      <alignment horizontal="center" vertical="center" wrapText="1"/>
    </xf>
    <xf numFmtId="49" fontId="43" fillId="6" borderId="29" xfId="0" applyNumberFormat="1" applyFont="1" applyFill="1" applyBorder="1" applyAlignment="1">
      <alignment horizontal="center" vertical="center" wrapText="1"/>
    </xf>
    <xf numFmtId="49" fontId="42" fillId="6" borderId="29" xfId="0" applyNumberFormat="1" applyFont="1" applyFill="1" applyBorder="1" applyAlignment="1">
      <alignment horizontal="center" vertical="center" wrapText="1"/>
    </xf>
    <xf numFmtId="49" fontId="41" fillId="6" borderId="29" xfId="0" applyNumberFormat="1" applyFont="1" applyFill="1" applyBorder="1" applyAlignment="1">
      <alignment horizontal="center" vertical="center" wrapText="1"/>
    </xf>
    <xf numFmtId="49" fontId="40" fillId="6" borderId="29" xfId="0" applyNumberFormat="1" applyFont="1" applyFill="1" applyBorder="1" applyAlignment="1">
      <alignment horizontal="center" vertical="center" wrapText="1"/>
    </xf>
    <xf numFmtId="49" fontId="39" fillId="6" borderId="29" xfId="0" applyNumberFormat="1" applyFont="1" applyFill="1" applyBorder="1" applyAlignment="1">
      <alignment horizontal="center" vertical="center" wrapText="1"/>
    </xf>
    <xf numFmtId="49" fontId="43" fillId="6" borderId="27" xfId="0" applyNumberFormat="1" applyFont="1" applyFill="1" applyBorder="1" applyAlignment="1">
      <alignment horizontal="center" vertical="center" wrapText="1"/>
    </xf>
    <xf numFmtId="49" fontId="44" fillId="6" borderId="27" xfId="0" applyNumberFormat="1" applyFont="1" applyFill="1" applyBorder="1" applyAlignment="1">
      <alignment horizontal="center" vertical="center" wrapText="1"/>
    </xf>
    <xf numFmtId="49" fontId="39" fillId="6" borderId="27" xfId="0" applyNumberFormat="1" applyFont="1" applyFill="1" applyBorder="1" applyAlignment="1">
      <alignment horizontal="center" vertical="center" wrapText="1"/>
    </xf>
    <xf numFmtId="49" fontId="40" fillId="6" borderId="27" xfId="0" applyNumberFormat="1" applyFont="1" applyFill="1" applyBorder="1" applyAlignment="1">
      <alignment horizontal="center" vertical="center" wrapText="1"/>
    </xf>
    <xf numFmtId="49" fontId="41" fillId="6" borderId="27" xfId="0" applyNumberFormat="1" applyFont="1" applyFill="1" applyBorder="1" applyAlignment="1">
      <alignment horizontal="center" vertical="center" wrapText="1"/>
    </xf>
    <xf numFmtId="49" fontId="42" fillId="6" borderId="27" xfId="0" applyNumberFormat="1" applyFont="1" applyFill="1" applyBorder="1" applyAlignment="1">
      <alignment horizontal="center" vertical="center" wrapText="1"/>
    </xf>
    <xf numFmtId="49" fontId="38" fillId="6" borderId="0" xfId="0" applyNumberFormat="1" applyFont="1" applyFill="1" applyAlignment="1">
      <alignment horizontal="center" wrapText="1"/>
    </xf>
    <xf numFmtId="49" fontId="38" fillId="6" borderId="26" xfId="0" applyNumberFormat="1" applyFont="1" applyFill="1" applyBorder="1" applyAlignment="1">
      <alignment horizontal="center" wrapText="1"/>
    </xf>
    <xf numFmtId="49" fontId="38" fillId="6" borderId="0" xfId="0" applyNumberFormat="1" applyFont="1" applyFill="1" applyAlignment="1">
      <alignment horizontal="center" vertical="center"/>
    </xf>
    <xf numFmtId="49" fontId="38" fillId="6" borderId="29" xfId="0" applyNumberFormat="1" applyFont="1" applyFill="1" applyBorder="1" applyAlignment="1">
      <alignment horizontal="center" vertical="center"/>
    </xf>
    <xf numFmtId="49" fontId="38" fillId="6" borderId="0" xfId="0" applyNumberFormat="1" applyFont="1" applyFill="1" applyAlignment="1">
      <alignment horizontal="center" vertical="center" wrapText="1"/>
    </xf>
    <xf numFmtId="0" fontId="18" fillId="20" borderId="0" xfId="0" applyFont="1" applyFill="1" applyAlignment="1">
      <alignment horizontal="center"/>
    </xf>
    <xf numFmtId="0" fontId="24" fillId="20" borderId="0" xfId="0" applyFont="1" applyFill="1" applyAlignment="1">
      <alignment horizontal="center"/>
    </xf>
    <xf numFmtId="0" fontId="4" fillId="22" borderId="0" xfId="0" applyFont="1" applyFill="1" applyAlignment="1">
      <alignment horizontal="center" vertical="center"/>
    </xf>
  </cellXfs>
  <cellStyles count="6">
    <cellStyle name="Lien hypertexte" xfId="5" builtinId="8"/>
    <cellStyle name="Normal" xfId="0" builtinId="0"/>
    <cellStyle name="Normal 4" xfId="3"/>
    <cellStyle name="Normal_FCP DOUBL'O" xfId="4"/>
    <cellStyle name="Pourcentage" xfId="1" builtinId="5"/>
    <cellStyle name="Texte explicatif" xfId="2" builtinId="53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border outline="0"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</dxf>
    <dxf>
      <font>
        <color theme="0"/>
      </font>
    </dxf>
  </dxfs>
  <tableStyles count="0" defaultTableStyle="TableStyleMedium2" defaultPivotStyle="PivotStyleLight16"/>
  <colors>
    <mruColors>
      <color rgb="FFFF9966"/>
      <color rgb="FF74B349"/>
      <color rgb="FF4B7430"/>
      <color rgb="FF669900"/>
      <color rgb="FF009900"/>
      <color rgb="FF00CC00"/>
      <color rgb="FFF4B184"/>
      <color rgb="FFEE864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0"/>
        <c:ser>
          <c:idx val="0"/>
          <c:order val="0"/>
          <c:spPr>
            <a:solidFill>
              <a:schemeClr val="accent1"/>
            </a:solidFill>
            <a:ln w="19050">
              <a:noFill/>
            </a:ln>
            <a:effectLst/>
          </c:spPr>
          <c:dPt>
            <c:idx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77000">
                    <a:srgbClr val="EE8640"/>
                  </a:gs>
                  <a:gs pos="97000">
                    <a:schemeClr val="accent2">
                      <a:lumMod val="40000"/>
                      <a:lumOff val="60000"/>
                    </a:schemeClr>
                  </a:gs>
                </a:gsLst>
                <a:lin ang="18900000" scaled="0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5811-4467-B2F6-D088596AAE1F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/>
                  </a:gs>
                  <a:gs pos="17000">
                    <a:schemeClr val="accent2">
                      <a:lumMod val="0"/>
                      <a:lumOff val="100000"/>
                    </a:schemeClr>
                  </a:gs>
                  <a:gs pos="100000">
                    <a:srgbClr val="F4B184"/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5811-4467-B2F6-D088596AAE1F}"/>
              </c:ext>
            </c:extLst>
          </c:dPt>
          <c:dPt>
            <c:idx val="2"/>
            <c:bubble3D val="0"/>
            <c:spPr>
              <a:gradFill>
                <a:gsLst>
                  <a:gs pos="50000">
                    <a:srgbClr val="74B349"/>
                  </a:gs>
                  <a:gs pos="0">
                    <a:srgbClr val="4B7430"/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5811-4467-B2F6-D088596AAE1F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5811-4467-B2F6-D088596AAE1F}"/>
              </c:ext>
            </c:extLst>
          </c:dPt>
          <c:dLbls>
            <c:dLbl>
              <c:idx val="0"/>
              <c:layout>
                <c:manualLayout>
                  <c:x val="-0.15748031496062992"/>
                  <c:y val="-5.940590971860933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811-4467-B2F6-D088596AAE1F}"/>
                </c:ext>
              </c:extLst>
            </c:dLbl>
            <c:dLbl>
              <c:idx val="1"/>
              <c:layout>
                <c:manualLayout>
                  <c:x val="0.16535433070866132"/>
                  <c:y val="-9.240919289561454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6401554136441605"/>
                      <c:h val="0.1648183961859638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5811-4467-B2F6-D088596AAE1F}"/>
                </c:ext>
              </c:extLst>
            </c:dLbl>
            <c:dLbl>
              <c:idx val="2"/>
              <c:layout>
                <c:manualLayout>
                  <c:x val="0.22309711286089234"/>
                  <c:y val="6.6006566354010364E-3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595779858226378"/>
                      <c:h val="0.1648183961859638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5811-4467-B2F6-D088596AAE1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'Fiche Agence'!$X$7:$X$9</c:f>
              <c:strCache>
                <c:ptCount val="3"/>
                <c:pt idx="0">
                  <c:v>0 - 79%</c:v>
                </c:pt>
                <c:pt idx="1">
                  <c:v>80% - 100%</c:v>
                </c:pt>
                <c:pt idx="2">
                  <c:v>101% - 120%</c:v>
                </c:pt>
              </c:strCache>
            </c:strRef>
          </c:cat>
          <c:val>
            <c:numRef>
              <c:f>'Fiche Agence'!$Z$7:$Z$10</c:f>
              <c:numCache>
                <c:formatCode>0</c:formatCode>
                <c:ptCount val="4"/>
                <c:pt idx="0">
                  <c:v>80</c:v>
                </c:pt>
                <c:pt idx="1">
                  <c:v>20</c:v>
                </c:pt>
                <c:pt idx="2">
                  <c:v>20</c:v>
                </c:pt>
                <c:pt idx="3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11-4467-B2F6-D088596AAE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270"/>
        <c:holeSize val="60"/>
      </c:doughnutChart>
      <c:pieChart>
        <c:varyColors val="1"/>
        <c:ser>
          <c:idx val="1"/>
          <c:order val="1"/>
          <c:spPr>
            <a:noFill/>
            <a:ln>
              <a:solidFill>
                <a:schemeClr val="tx1">
                  <a:lumMod val="65000"/>
                  <a:lumOff val="35000"/>
                </a:schemeClr>
              </a:solidFill>
            </a:ln>
          </c:spPr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E0DE-4606-B9B9-156D8A3705F5}"/>
              </c:ext>
            </c:extLst>
          </c:dPt>
          <c:dPt>
            <c:idx val="1"/>
            <c:bubble3D val="0"/>
            <c:spPr>
              <a:noFill/>
              <a:ln w="1905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8-E0DE-4606-B9B9-156D8A3705F5}"/>
              </c:ext>
            </c:extLst>
          </c:dPt>
          <c:dPt>
            <c:idx val="2"/>
            <c:bubble3D val="0"/>
            <c:explosion val="2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E0DE-4606-B9B9-156D8A3705F5}"/>
              </c:ext>
            </c:extLst>
          </c:dPt>
          <c:val>
            <c:numRef>
              <c:f>'Fiche Agence'!$Z$12:$Z$14</c:f>
              <c:numCache>
                <c:formatCode>0</c:formatCode>
                <c:ptCount val="3"/>
                <c:pt idx="0" formatCode="0.0">
                  <c:v>95.3</c:v>
                </c:pt>
                <c:pt idx="1">
                  <c:v>1</c:v>
                </c:pt>
                <c:pt idx="2">
                  <c:v>143.69999999999999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0DE-4606-B9B9-156D8A3705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tx1">
                <a:lumMod val="50000"/>
                <a:lumOff val="50000"/>
              </a:schemeClr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Pt>
            <c:idx val="0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5000"/>
                      <a:lumOff val="95000"/>
                    </a:schemeClr>
                  </a:gs>
                  <a:gs pos="74000">
                    <a:schemeClr val="accent6">
                      <a:lumMod val="45000"/>
                      <a:lumOff val="55000"/>
                    </a:schemeClr>
                  </a:gs>
                  <a:gs pos="83000">
                    <a:schemeClr val="accent6">
                      <a:lumMod val="45000"/>
                      <a:lumOff val="55000"/>
                    </a:schemeClr>
                  </a:gs>
                  <a:gs pos="100000">
                    <a:schemeClr val="accent6">
                      <a:lumMod val="30000"/>
                      <a:lumOff val="70000"/>
                    </a:schemeClr>
                  </a:gs>
                </a:gsLst>
                <a:lin ang="54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1CF7-4EDA-B190-10D6C3959F6A}"/>
              </c:ext>
            </c:extLst>
          </c:dPt>
          <c:dPt>
            <c:idx val="1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0"/>
                      <a:lumOff val="100000"/>
                    </a:schemeClr>
                  </a:gs>
                  <a:gs pos="35000">
                    <a:schemeClr val="accent6">
                      <a:lumMod val="0"/>
                      <a:lumOff val="100000"/>
                    </a:schemeClr>
                  </a:gs>
                  <a:gs pos="100000">
                    <a:schemeClr val="accent6">
                      <a:lumMod val="100000"/>
                    </a:schemeClr>
                  </a:gs>
                </a:gsLst>
                <a:path path="circle">
                  <a:fillToRect l="50000" t="-80000" r="50000" b="180000"/>
                </a:path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1CF7-4EDA-B190-10D6C3959F6A}"/>
              </c:ext>
            </c:extLst>
          </c:dPt>
          <c:dPt>
            <c:idx val="2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67000"/>
                    </a:schemeClr>
                  </a:gs>
                  <a:gs pos="48000">
                    <a:schemeClr val="accent6">
                      <a:lumMod val="97000"/>
                      <a:lumOff val="3000"/>
                    </a:schemeClr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lin ang="162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1CF7-4EDA-B190-10D6C3959F6A}"/>
              </c:ext>
            </c:extLst>
          </c:dPt>
          <c:dLbls>
            <c:numFmt formatCode="#,##0\ \K&quot;€&quot;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2"/>
                </a:solidFill>
                <a:tailEnd type="stealth" w="lg" len="lg"/>
              </a:ln>
              <a:effectLst/>
            </c:spPr>
            <c:trendlineType val="poly"/>
            <c:order val="2"/>
            <c:dispRSqr val="0"/>
            <c:dispEq val="0"/>
          </c:trendline>
          <c:cat>
            <c:strRef>
              <c:f>'Fiche Agence'!$X$24:$X$26</c:f>
              <c:strCache>
                <c:ptCount val="3"/>
                <c:pt idx="0">
                  <c:v>TOP 100</c:v>
                </c:pt>
                <c:pt idx="1">
                  <c:v>TOP 50</c:v>
                </c:pt>
                <c:pt idx="2">
                  <c:v>TOP 30</c:v>
                </c:pt>
              </c:strCache>
            </c:strRef>
          </c:cat>
          <c:val>
            <c:numRef>
              <c:f>'Fiche Agence'!$Z$24:$Z$26</c:f>
              <c:numCache>
                <c:formatCode>#,##0</c:formatCode>
                <c:ptCount val="3"/>
                <c:pt idx="0">
                  <c:v>112.2354471378553</c:v>
                </c:pt>
                <c:pt idx="1">
                  <c:v>154.6670468875092</c:v>
                </c:pt>
                <c:pt idx="2">
                  <c:v>185.75382163713095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CF7-4EDA-B190-10D6C3959F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608023080"/>
        <c:axId val="608028000"/>
        <c:extLst/>
      </c:barChart>
      <c:catAx>
        <c:axId val="608023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08028000"/>
        <c:crosses val="autoZero"/>
        <c:auto val="1"/>
        <c:lblAlgn val="ctr"/>
        <c:lblOffset val="100"/>
        <c:noMultiLvlLbl val="0"/>
      </c:catAx>
      <c:valAx>
        <c:axId val="608028000"/>
        <c:scaling>
          <c:orientation val="minMax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crossAx val="608023080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4918695060430871E-2"/>
          <c:y val="8.1623209270339919E-2"/>
          <c:w val="0.83016260987913826"/>
          <c:h val="0.769587671331323"/>
        </c:manualLayout>
      </c:layout>
      <c:barChart>
        <c:barDir val="col"/>
        <c:grouping val="cluster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Pt>
            <c:idx val="0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5000"/>
                      <a:lumOff val="95000"/>
                    </a:schemeClr>
                  </a:gs>
                  <a:gs pos="74000">
                    <a:schemeClr val="accent6">
                      <a:lumMod val="45000"/>
                      <a:lumOff val="55000"/>
                    </a:schemeClr>
                  </a:gs>
                  <a:gs pos="83000">
                    <a:schemeClr val="accent6">
                      <a:lumMod val="45000"/>
                      <a:lumOff val="55000"/>
                    </a:schemeClr>
                  </a:gs>
                  <a:gs pos="100000">
                    <a:schemeClr val="accent6">
                      <a:lumMod val="30000"/>
                      <a:lumOff val="70000"/>
                    </a:schemeClr>
                  </a:gs>
                </a:gsLst>
                <a:lin ang="54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07D0-42A8-B981-51E9171B0782}"/>
              </c:ext>
            </c:extLst>
          </c:dPt>
          <c:dPt>
            <c:idx val="1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0"/>
                      <a:lumOff val="100000"/>
                    </a:schemeClr>
                  </a:gs>
                  <a:gs pos="35000">
                    <a:schemeClr val="accent6">
                      <a:lumMod val="0"/>
                      <a:lumOff val="100000"/>
                    </a:schemeClr>
                  </a:gs>
                  <a:gs pos="100000">
                    <a:schemeClr val="accent6">
                      <a:lumMod val="100000"/>
                    </a:schemeClr>
                  </a:gs>
                </a:gsLst>
                <a:path path="circle">
                  <a:fillToRect l="50000" t="-80000" r="50000" b="180000"/>
                </a:path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07D0-42A8-B981-51E9171B0782}"/>
              </c:ext>
            </c:extLst>
          </c:dPt>
          <c:dPt>
            <c:idx val="2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67000"/>
                    </a:schemeClr>
                  </a:gs>
                  <a:gs pos="48000">
                    <a:schemeClr val="accent6">
                      <a:lumMod val="97000"/>
                      <a:lumOff val="3000"/>
                    </a:schemeClr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lin ang="162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07D0-42A8-B981-51E9171B0782}"/>
              </c:ext>
            </c:extLst>
          </c:dPt>
          <c:dLbls>
            <c:dLbl>
              <c:idx val="2"/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7D0-42A8-B981-51E9171B078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2"/>
                </a:solidFill>
                <a:tailEnd type="stealth" w="lg" len="lg"/>
              </a:ln>
              <a:effectLst/>
            </c:spPr>
            <c:trendlineType val="poly"/>
            <c:order val="2"/>
            <c:dispRSqr val="0"/>
            <c:dispEq val="0"/>
          </c:trendline>
          <c:cat>
            <c:strRef>
              <c:f>'Fiche Agence'!$X$34:$X$36</c:f>
              <c:strCache>
                <c:ptCount val="3"/>
                <c:pt idx="0">
                  <c:v>TOP 100</c:v>
                </c:pt>
                <c:pt idx="1">
                  <c:v>TOP 50</c:v>
                </c:pt>
                <c:pt idx="2">
                  <c:v>TOP 30</c:v>
                </c:pt>
              </c:strCache>
            </c:strRef>
          </c:cat>
          <c:val>
            <c:numRef>
              <c:f>'Fiche Agence'!$Z$34:$Z$36</c:f>
              <c:numCache>
                <c:formatCode>#\ ##0.0</c:formatCode>
                <c:ptCount val="3"/>
                <c:pt idx="0">
                  <c:v>1.3474352437866333</c:v>
                </c:pt>
                <c:pt idx="1">
                  <c:v>3.1029736789745317</c:v>
                </c:pt>
                <c:pt idx="2">
                  <c:v>4.2110250267078504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7D0-42A8-B981-51E9171B07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608023080"/>
        <c:axId val="60802800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satMod val="103000"/>
                          <a:lumMod val="102000"/>
                          <a:tint val="94000"/>
                        </a:schemeClr>
                      </a:gs>
                      <a:gs pos="50000">
                        <a:schemeClr val="accent1">
                          <a:satMod val="110000"/>
                          <a:lumMod val="100000"/>
                          <a:shade val="100000"/>
                        </a:schemeClr>
                      </a:gs>
                      <a:gs pos="100000">
                        <a:schemeClr val="accent1">
                          <a:lumMod val="99000"/>
                          <a:satMod val="120000"/>
                          <a:shade val="78000"/>
                        </a:schemeClr>
                      </a:gs>
                    </a:gsLst>
                    <a:lin ang="5400000" scaled="0"/>
                  </a:gradFill>
                  <a:ln>
                    <a:noFill/>
                  </a:ln>
                  <a:effectLst>
                    <a:outerShdw blurRad="57150" dist="19050" dir="5400000" algn="ctr" rotWithShape="0">
                      <a:srgbClr val="000000">
                        <a:alpha val="63000"/>
                      </a:srgbClr>
                    </a:outerShdw>
                  </a:effectLst>
                </c:spPr>
                <c:invertIfNegative val="0"/>
                <c:dLbls>
                  <c:dLbl>
                    <c:idx val="1"/>
                    <c:tx>
                      <c:rich>
                        <a:bodyPr/>
                        <a:lstStyle/>
                        <a:p>
                          <a:fld id="{CCE86B7C-49E7-4B24-A2DC-CEF9F58AFA53}" type="SERIESNAME">
                            <a:rPr lang="en-US"/>
                            <a:pPr/>
                            <a:t>[NOM DE SÉRIE]</a:t>
                          </a:fld>
                          <a:r>
                            <a:rPr lang="en-US" baseline="0"/>
                            <a:t> </a:t>
                          </a:r>
                          <a:fld id="{E3F52103-1EB4-4540-9179-13955960E5F2}" type="VALUE">
                            <a:rPr lang="en-US" baseline="0"/>
                            <a:pPr/>
                            <a:t>[VALEUR]</a:t>
                          </a:fld>
                          <a:endParaRPr lang="en-US" baseline="0"/>
                        </a:p>
                      </c:rich>
                    </c:tx>
                    <c:dLblPos val="outEnd"/>
                    <c:showLegendKey val="0"/>
                    <c:showVal val="1"/>
                    <c:showCatName val="0"/>
                    <c:showSerName val="1"/>
                    <c:showPercent val="0"/>
                    <c:showBubbleSize val="0"/>
                    <c:extLst>
                      <c:ext uri="{CE6537A1-D6FC-4f65-9D91-7224C49458BB}">
                        <c15:dlblFieldTable/>
                        <c15:showDataLabelsRange val="0"/>
                      </c:ext>
                      <c:ext xmlns:c16="http://schemas.microsoft.com/office/drawing/2014/chart" uri="{C3380CC4-5D6E-409C-BE32-E72D297353CC}">
                        <c16:uniqueId val="{00000007-07D0-42A8-B981-51E9171B0782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fr-FR"/>
                    </a:p>
                  </c:txPr>
                  <c:dLblPos val="outEnd"/>
                  <c:showLegendKey val="0"/>
                  <c:showVal val="1"/>
                  <c:showCatName val="0"/>
                  <c:showSerName val="1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trendline>
                  <c:spPr>
                    <a:ln w="19050" cap="rnd">
                      <a:solidFill>
                        <a:schemeClr val="accent1"/>
                      </a:solidFill>
                    </a:ln>
                    <a:effectLst/>
                  </c:spPr>
                  <c:trendlineType val="linear"/>
                  <c:dispRSqr val="0"/>
                  <c:dispEq val="0"/>
                </c:trendline>
                <c:trendline>
                  <c:spPr>
                    <a:ln w="19050" cap="rnd">
                      <a:solidFill>
                        <a:schemeClr val="accent1"/>
                      </a:solidFill>
                    </a:ln>
                    <a:effectLst/>
                  </c:spPr>
                  <c:trendlineType val="linear"/>
                  <c:dispRSqr val="0"/>
                  <c:dispEq val="0"/>
                </c:trendline>
                <c:cat>
                  <c:strRef>
                    <c:extLst>
                      <c:ext uri="{02D57815-91ED-43cb-92C2-25804820EDAC}">
                        <c15:formulaRef>
                          <c15:sqref>'Fiche Agence'!$X$34:$X$36</c15:sqref>
                        </c15:formulaRef>
                      </c:ext>
                    </c:extLst>
                    <c:strCache>
                      <c:ptCount val="3"/>
                      <c:pt idx="0">
                        <c:v>TOP 100</c:v>
                      </c:pt>
                      <c:pt idx="1">
                        <c:v>TOP 50</c:v>
                      </c:pt>
                      <c:pt idx="2">
                        <c:v>TOP 30</c:v>
                      </c:pt>
                    </c:strCache>
                  </c:strRef>
                </c:cat>
                <c:val>
                  <c:numLit>
                    <c:formatCode>General</c:formatCode>
                    <c:ptCount val="3"/>
                  </c:numLit>
                </c:val>
                <c:extLst>
                  <c:ext xmlns:c16="http://schemas.microsoft.com/office/drawing/2014/chart" uri="{C3380CC4-5D6E-409C-BE32-E72D297353CC}">
                    <c16:uniqueId val="{00000008-07D0-42A8-B981-51E9171B0782}"/>
                  </c:ext>
                </c:extLst>
              </c15:ser>
            </c15:filteredBarSeries>
          </c:ext>
        </c:extLst>
      </c:barChart>
      <c:catAx>
        <c:axId val="608023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08028000"/>
        <c:crosses val="autoZero"/>
        <c:auto val="1"/>
        <c:lblAlgn val="ctr"/>
        <c:lblOffset val="100"/>
        <c:noMultiLvlLbl val="0"/>
      </c:catAx>
      <c:valAx>
        <c:axId val="608028000"/>
        <c:scaling>
          <c:orientation val="minMax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\ ##0.0" sourceLinked="1"/>
        <c:majorTickMark val="none"/>
        <c:minorTickMark val="none"/>
        <c:tickLblPos val="nextTo"/>
        <c:crossAx val="608023080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2667198276377756E-2"/>
          <c:y val="9.3541238003804941E-2"/>
          <c:w val="0.85466560344724452"/>
          <c:h val="0.75683696455577498"/>
        </c:manualLayout>
      </c:layout>
      <c:barChart>
        <c:barDir val="col"/>
        <c:grouping val="cluster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Pt>
            <c:idx val="0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5000"/>
                      <a:lumOff val="95000"/>
                    </a:schemeClr>
                  </a:gs>
                  <a:gs pos="74000">
                    <a:schemeClr val="accent6">
                      <a:lumMod val="45000"/>
                      <a:lumOff val="55000"/>
                    </a:schemeClr>
                  </a:gs>
                  <a:gs pos="83000">
                    <a:schemeClr val="accent6">
                      <a:lumMod val="45000"/>
                      <a:lumOff val="55000"/>
                    </a:schemeClr>
                  </a:gs>
                  <a:gs pos="100000">
                    <a:schemeClr val="accent6">
                      <a:lumMod val="30000"/>
                      <a:lumOff val="70000"/>
                    </a:schemeClr>
                  </a:gs>
                </a:gsLst>
                <a:lin ang="54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AACC-4870-BABF-CBC0315184E9}"/>
              </c:ext>
            </c:extLst>
          </c:dPt>
          <c:dPt>
            <c:idx val="1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0"/>
                      <a:lumOff val="100000"/>
                    </a:schemeClr>
                  </a:gs>
                  <a:gs pos="35000">
                    <a:schemeClr val="accent6">
                      <a:lumMod val="0"/>
                      <a:lumOff val="100000"/>
                    </a:schemeClr>
                  </a:gs>
                  <a:gs pos="100000">
                    <a:schemeClr val="accent6">
                      <a:lumMod val="100000"/>
                    </a:schemeClr>
                  </a:gs>
                </a:gsLst>
                <a:path path="circle">
                  <a:fillToRect l="50000" t="-80000" r="50000" b="180000"/>
                </a:path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AACC-4870-BABF-CBC0315184E9}"/>
              </c:ext>
            </c:extLst>
          </c:dPt>
          <c:dPt>
            <c:idx val="2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67000"/>
                    </a:schemeClr>
                  </a:gs>
                  <a:gs pos="48000">
                    <a:schemeClr val="accent6">
                      <a:lumMod val="97000"/>
                      <a:lumOff val="3000"/>
                    </a:schemeClr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lin ang="162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AACC-4870-BABF-CBC0315184E9}"/>
              </c:ext>
            </c:extLst>
          </c:dPt>
          <c:dLbls>
            <c:dLbl>
              <c:idx val="2"/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ACC-4870-BABF-CBC0315184E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2"/>
                </a:solidFill>
                <a:tailEnd type="stealth" w="lg" len="lg"/>
              </a:ln>
              <a:effectLst/>
            </c:spPr>
            <c:trendlineType val="poly"/>
            <c:order val="2"/>
            <c:dispRSqr val="0"/>
            <c:dispEq val="0"/>
          </c:trendline>
          <c:cat>
            <c:strRef>
              <c:f>'Fiche Agence'!$X$29:$X$31</c:f>
              <c:strCache>
                <c:ptCount val="3"/>
                <c:pt idx="0">
                  <c:v>TOP 100</c:v>
                </c:pt>
                <c:pt idx="1">
                  <c:v>TOP 50</c:v>
                </c:pt>
                <c:pt idx="2">
                  <c:v>TOP 30</c:v>
                </c:pt>
              </c:strCache>
            </c:strRef>
          </c:cat>
          <c:val>
            <c:numRef>
              <c:f>'Fiche Agence'!$Z$29:$Z$31</c:f>
              <c:numCache>
                <c:formatCode>#\ ##0.0</c:formatCode>
                <c:ptCount val="3"/>
                <c:pt idx="0">
                  <c:v>1.6366411109885037</c:v>
                </c:pt>
                <c:pt idx="1">
                  <c:v>2.4990053449254304</c:v>
                </c:pt>
                <c:pt idx="2">
                  <c:v>2.8813754197730819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ACC-4870-BABF-CBC0315184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608023080"/>
        <c:axId val="60802800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satMod val="103000"/>
                          <a:lumMod val="102000"/>
                          <a:tint val="94000"/>
                        </a:schemeClr>
                      </a:gs>
                      <a:gs pos="50000">
                        <a:schemeClr val="accent1">
                          <a:satMod val="110000"/>
                          <a:lumMod val="100000"/>
                          <a:shade val="100000"/>
                        </a:schemeClr>
                      </a:gs>
                      <a:gs pos="100000">
                        <a:schemeClr val="accent1">
                          <a:lumMod val="99000"/>
                          <a:satMod val="120000"/>
                          <a:shade val="78000"/>
                        </a:schemeClr>
                      </a:gs>
                    </a:gsLst>
                    <a:lin ang="5400000" scaled="0"/>
                  </a:gradFill>
                  <a:ln>
                    <a:noFill/>
                  </a:ln>
                  <a:effectLst>
                    <a:outerShdw blurRad="57150" dist="19050" dir="5400000" algn="ctr" rotWithShape="0">
                      <a:srgbClr val="000000">
                        <a:alpha val="63000"/>
                      </a:srgbClr>
                    </a:outerShdw>
                  </a:effectLst>
                </c:spPr>
                <c:invertIfNegative val="0"/>
                <c:dLbls>
                  <c:dLbl>
                    <c:idx val="1"/>
                    <c:tx>
                      <c:rich>
                        <a:bodyPr/>
                        <a:lstStyle/>
                        <a:p>
                          <a:fld id="{CCE86B7C-49E7-4B24-A2DC-CEF9F58AFA53}" type="SERIESNAME">
                            <a:rPr lang="en-US"/>
                            <a:pPr/>
                            <a:t>[NOM DE SÉRIE]</a:t>
                          </a:fld>
                          <a:r>
                            <a:rPr lang="en-US" baseline="0"/>
                            <a:t> </a:t>
                          </a:r>
                          <a:fld id="{E3F52103-1EB4-4540-9179-13955960E5F2}" type="VALUE">
                            <a:rPr lang="en-US" baseline="0"/>
                            <a:pPr/>
                            <a:t>[VALEUR]</a:t>
                          </a:fld>
                          <a:endParaRPr lang="en-US" baseline="0"/>
                        </a:p>
                      </c:rich>
                    </c:tx>
                    <c:dLblPos val="outEnd"/>
                    <c:showLegendKey val="0"/>
                    <c:showVal val="1"/>
                    <c:showCatName val="0"/>
                    <c:showSerName val="1"/>
                    <c:showPercent val="0"/>
                    <c:showBubbleSize val="0"/>
                    <c:extLst>
                      <c:ext uri="{CE6537A1-D6FC-4f65-9D91-7224C49458BB}">
                        <c15:dlblFieldTable/>
                        <c15:showDataLabelsRange val="0"/>
                      </c:ext>
                      <c:ext xmlns:c16="http://schemas.microsoft.com/office/drawing/2014/chart" uri="{C3380CC4-5D6E-409C-BE32-E72D297353CC}">
                        <c16:uniqueId val="{00000007-AACC-4870-BABF-CBC0315184E9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fr-FR"/>
                    </a:p>
                  </c:txPr>
                  <c:dLblPos val="outEnd"/>
                  <c:showLegendKey val="0"/>
                  <c:showVal val="1"/>
                  <c:showCatName val="0"/>
                  <c:showSerName val="1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trendline>
                  <c:spPr>
                    <a:ln w="19050" cap="rnd">
                      <a:solidFill>
                        <a:schemeClr val="accent1"/>
                      </a:solidFill>
                    </a:ln>
                    <a:effectLst/>
                  </c:spPr>
                  <c:trendlineType val="linear"/>
                  <c:dispRSqr val="0"/>
                  <c:dispEq val="0"/>
                </c:trendline>
                <c:trendline>
                  <c:spPr>
                    <a:ln w="19050" cap="rnd">
                      <a:solidFill>
                        <a:schemeClr val="accent1"/>
                      </a:solidFill>
                    </a:ln>
                    <a:effectLst/>
                  </c:spPr>
                  <c:trendlineType val="linear"/>
                  <c:dispRSqr val="0"/>
                  <c:dispEq val="0"/>
                </c:trendline>
                <c:cat>
                  <c:strRef>
                    <c:extLst>
                      <c:ext uri="{02D57815-91ED-43cb-92C2-25804820EDAC}">
                        <c15:formulaRef>
                          <c15:sqref>'Fiche Agence'!$X$29:$X$31</c15:sqref>
                        </c15:formulaRef>
                      </c:ext>
                    </c:extLst>
                    <c:strCache>
                      <c:ptCount val="3"/>
                      <c:pt idx="0">
                        <c:v>TOP 100</c:v>
                      </c:pt>
                      <c:pt idx="1">
                        <c:v>TOP 50</c:v>
                      </c:pt>
                      <c:pt idx="2">
                        <c:v>TOP 30</c:v>
                      </c:pt>
                    </c:strCache>
                  </c:strRef>
                </c:cat>
                <c:val>
                  <c:numLit>
                    <c:formatCode>General</c:formatCode>
                    <c:ptCount val="3"/>
                  </c:numLit>
                </c:val>
                <c:extLst>
                  <c:ext xmlns:c16="http://schemas.microsoft.com/office/drawing/2014/chart" uri="{C3380CC4-5D6E-409C-BE32-E72D297353CC}">
                    <c16:uniqueId val="{00000008-AACC-4870-BABF-CBC0315184E9}"/>
                  </c:ext>
                </c:extLst>
              </c15:ser>
            </c15:filteredBarSeries>
          </c:ext>
        </c:extLst>
      </c:barChart>
      <c:catAx>
        <c:axId val="608023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08028000"/>
        <c:crosses val="autoZero"/>
        <c:auto val="1"/>
        <c:lblAlgn val="ctr"/>
        <c:lblOffset val="100"/>
        <c:noMultiLvlLbl val="0"/>
      </c:catAx>
      <c:valAx>
        <c:axId val="608028000"/>
        <c:scaling>
          <c:orientation val="minMax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\ ##0.0" sourceLinked="1"/>
        <c:majorTickMark val="none"/>
        <c:minorTickMark val="none"/>
        <c:tickLblPos val="nextTo"/>
        <c:crossAx val="608023080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0"/>
        <c:ser>
          <c:idx val="0"/>
          <c:order val="0"/>
          <c:spPr>
            <a:solidFill>
              <a:schemeClr val="accent1"/>
            </a:solidFill>
            <a:ln w="19050">
              <a:noFill/>
            </a:ln>
            <a:effectLst/>
          </c:spPr>
          <c:dPt>
            <c:idx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77000">
                    <a:srgbClr val="EE8640"/>
                  </a:gs>
                  <a:gs pos="97000">
                    <a:schemeClr val="accent2">
                      <a:lumMod val="40000"/>
                      <a:lumOff val="60000"/>
                    </a:schemeClr>
                  </a:gs>
                </a:gsLst>
                <a:lin ang="18900000" scaled="0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34AE-4249-B28A-89E1AF4C8F3F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/>
                  </a:gs>
                  <a:gs pos="17000">
                    <a:schemeClr val="accent2">
                      <a:lumMod val="0"/>
                      <a:lumOff val="100000"/>
                    </a:schemeClr>
                  </a:gs>
                  <a:gs pos="100000">
                    <a:srgbClr val="F4B184"/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34AE-4249-B28A-89E1AF4C8F3F}"/>
              </c:ext>
            </c:extLst>
          </c:dPt>
          <c:dPt>
            <c:idx val="2"/>
            <c:bubble3D val="0"/>
            <c:spPr>
              <a:gradFill>
                <a:gsLst>
                  <a:gs pos="50000">
                    <a:srgbClr val="74B349"/>
                  </a:gs>
                  <a:gs pos="0">
                    <a:srgbClr val="4B7430"/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34AE-4249-B28A-89E1AF4C8F3F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34AE-4249-B28A-89E1AF4C8F3F}"/>
              </c:ext>
            </c:extLst>
          </c:dPt>
          <c:dLbls>
            <c:dLbl>
              <c:idx val="0"/>
              <c:layout>
                <c:manualLayout>
                  <c:x val="-0.13648293963254596"/>
                  <c:y val="-5.970146135388083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34AE-4249-B28A-89E1AF4C8F3F}"/>
                </c:ext>
              </c:extLst>
            </c:dLbl>
            <c:dLbl>
              <c:idx val="1"/>
              <c:layout>
                <c:manualLayout>
                  <c:x val="0.16010519354372035"/>
                  <c:y val="-8.6235444177827858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826750986835309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34AE-4249-B28A-89E1AF4C8F3F}"/>
                </c:ext>
              </c:extLst>
            </c:dLbl>
            <c:dLbl>
              <c:idx val="2"/>
              <c:layout>
                <c:manualLayout>
                  <c:x val="0.1994752722838779"/>
                  <c:y val="0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3020976708620081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34AE-4249-B28A-89E1AF4C8F3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'Fiche Agence'!$X$7:$X$9</c:f>
              <c:strCache>
                <c:ptCount val="3"/>
                <c:pt idx="0">
                  <c:v>0 - 79%</c:v>
                </c:pt>
                <c:pt idx="1">
                  <c:v>80% - 100%</c:v>
                </c:pt>
                <c:pt idx="2">
                  <c:v>101% - 120%</c:v>
                </c:pt>
              </c:strCache>
            </c:strRef>
          </c:cat>
          <c:val>
            <c:numRef>
              <c:f>'Fiche Agence'!$Z$7:$Z$10</c:f>
              <c:numCache>
                <c:formatCode>0</c:formatCode>
                <c:ptCount val="4"/>
                <c:pt idx="0">
                  <c:v>80</c:v>
                </c:pt>
                <c:pt idx="1">
                  <c:v>20</c:v>
                </c:pt>
                <c:pt idx="2">
                  <c:v>20</c:v>
                </c:pt>
                <c:pt idx="3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34AE-4249-B28A-89E1AF4C8F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270"/>
        <c:holeSize val="60"/>
      </c:doughnutChart>
      <c:pieChart>
        <c:varyColors val="1"/>
        <c:ser>
          <c:idx val="1"/>
          <c:order val="1"/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>
                  <a:lumMod val="65000"/>
                  <a:lumOff val="35000"/>
                </a:schemeClr>
              </a:solidFill>
            </a:ln>
          </c:spPr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4-34AE-4249-B28A-89E1AF4C8F3F}"/>
              </c:ext>
            </c:extLst>
          </c:dPt>
          <c:dPt>
            <c:idx val="1"/>
            <c:bubble3D val="0"/>
            <c:spPr>
              <a:solidFill>
                <a:schemeClr val="tx1">
                  <a:lumMod val="50000"/>
                  <a:lumOff val="50000"/>
                </a:schemeClr>
              </a:solidFill>
              <a:ln w="1905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FA5B-411E-BBFF-E1009C1236B5}"/>
              </c:ext>
            </c:extLst>
          </c:dPt>
          <c:dPt>
            <c:idx val="2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5-34AE-4249-B28A-89E1AF4C8F3F}"/>
              </c:ext>
            </c:extLst>
          </c:dPt>
          <c:val>
            <c:numRef>
              <c:f>'Fiche Agence'!$Z$15:$Z$17</c:f>
              <c:numCache>
                <c:formatCode>0</c:formatCode>
                <c:ptCount val="3"/>
                <c:pt idx="0" formatCode="0.0">
                  <c:v>115.1</c:v>
                </c:pt>
                <c:pt idx="1">
                  <c:v>1</c:v>
                </c:pt>
                <c:pt idx="2">
                  <c:v>123.9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34AE-4249-B28A-89E1AF4C8F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0"/>
        <c:ser>
          <c:idx val="0"/>
          <c:order val="0"/>
          <c:spPr>
            <a:solidFill>
              <a:schemeClr val="accent1"/>
            </a:solidFill>
            <a:ln w="19050">
              <a:noFill/>
            </a:ln>
            <a:effectLst/>
          </c:spPr>
          <c:dPt>
            <c:idx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77000">
                    <a:srgbClr val="EE8640"/>
                  </a:gs>
                  <a:gs pos="97000">
                    <a:schemeClr val="accent2">
                      <a:lumMod val="40000"/>
                      <a:lumOff val="60000"/>
                    </a:schemeClr>
                  </a:gs>
                </a:gsLst>
                <a:lin ang="18900000" scaled="0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1BB4-4983-B96A-704EA41601B0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/>
                  </a:gs>
                  <a:gs pos="17000">
                    <a:schemeClr val="accent2">
                      <a:lumMod val="0"/>
                      <a:lumOff val="100000"/>
                    </a:schemeClr>
                  </a:gs>
                  <a:gs pos="100000">
                    <a:srgbClr val="F4B184"/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1BB4-4983-B96A-704EA41601B0}"/>
              </c:ext>
            </c:extLst>
          </c:dPt>
          <c:dPt>
            <c:idx val="2"/>
            <c:bubble3D val="0"/>
            <c:spPr>
              <a:gradFill>
                <a:gsLst>
                  <a:gs pos="50000">
                    <a:srgbClr val="74B349"/>
                  </a:gs>
                  <a:gs pos="0">
                    <a:srgbClr val="4B7430"/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1BB4-4983-B96A-704EA41601B0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1BB4-4983-B96A-704EA41601B0}"/>
              </c:ext>
            </c:extLst>
          </c:dPt>
          <c:dLbls>
            <c:dLbl>
              <c:idx val="0"/>
              <c:layout>
                <c:manualLayout>
                  <c:x val="-0.13648293963254596"/>
                  <c:y val="-5.970146135388083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BB4-4983-B96A-704EA41601B0}"/>
                </c:ext>
              </c:extLst>
            </c:dLbl>
            <c:dLbl>
              <c:idx val="1"/>
              <c:layout>
                <c:manualLayout>
                  <c:x val="0.16010519354372035"/>
                  <c:y val="-8.6235444177827858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826750986835309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1BB4-4983-B96A-704EA41601B0}"/>
                </c:ext>
              </c:extLst>
            </c:dLbl>
            <c:dLbl>
              <c:idx val="2"/>
              <c:layout>
                <c:manualLayout>
                  <c:x val="0.1994752722838779"/>
                  <c:y val="0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3020976708620081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1BB4-4983-B96A-704EA41601B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'Fiche Agence'!$X$7:$X$9</c:f>
              <c:strCache>
                <c:ptCount val="3"/>
                <c:pt idx="0">
                  <c:v>0 - 79%</c:v>
                </c:pt>
                <c:pt idx="1">
                  <c:v>80% - 100%</c:v>
                </c:pt>
                <c:pt idx="2">
                  <c:v>101% - 120%</c:v>
                </c:pt>
              </c:strCache>
            </c:strRef>
          </c:cat>
          <c:val>
            <c:numRef>
              <c:f>'Fiche Agence'!$Z$7:$Z$10</c:f>
              <c:numCache>
                <c:formatCode>0</c:formatCode>
                <c:ptCount val="4"/>
                <c:pt idx="0">
                  <c:v>80</c:v>
                </c:pt>
                <c:pt idx="1">
                  <c:v>20</c:v>
                </c:pt>
                <c:pt idx="2">
                  <c:v>20</c:v>
                </c:pt>
                <c:pt idx="3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BB4-4983-B96A-704EA41601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270"/>
        <c:holeSize val="60"/>
      </c:doughnutChart>
      <c:pieChart>
        <c:varyColors val="0"/>
        <c:ser>
          <c:idx val="1"/>
          <c:order val="1"/>
          <c:spPr>
            <a:noFill/>
            <a:ln w="19050">
              <a:solidFill>
                <a:schemeClr val="tx1">
                  <a:lumMod val="65000"/>
                  <a:lumOff val="35000"/>
                </a:schemeClr>
              </a:solidFill>
            </a:ln>
            <a:effectLst/>
          </c:spPr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A-1BB4-4983-B96A-704EA41601B0}"/>
              </c:ext>
            </c:extLst>
          </c:dPt>
          <c:dPt>
            <c:idx val="2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1BB4-4983-B96A-704EA41601B0}"/>
              </c:ext>
            </c:extLst>
          </c:dPt>
          <c:val>
            <c:numRef>
              <c:f>'Fiche Agence'!$Z$18:$Z$20</c:f>
              <c:numCache>
                <c:formatCode>0</c:formatCode>
                <c:ptCount val="3"/>
                <c:pt idx="0" formatCode="0.0">
                  <c:v>120</c:v>
                </c:pt>
                <c:pt idx="1">
                  <c:v>1</c:v>
                </c:pt>
                <c:pt idx="2">
                  <c:v>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1BB4-4983-B96A-704EA41601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'Fiche Agence'!A1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hyperlink" Target="#Lexique!A1"/><Relationship Id="rId3" Type="http://schemas.openxmlformats.org/officeDocument/2006/relationships/chart" Target="../charts/chart3.xml"/><Relationship Id="rId7" Type="http://schemas.openxmlformats.org/officeDocument/2006/relationships/chart" Target="../charts/chart6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5.xml"/><Relationship Id="rId5" Type="http://schemas.openxmlformats.org/officeDocument/2006/relationships/image" Target="../media/image1.png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9524</xdr:colOff>
      <xdr:row>3</xdr:row>
      <xdr:rowOff>0</xdr:rowOff>
    </xdr:from>
    <xdr:to>
      <xdr:col>15</xdr:col>
      <xdr:colOff>66674</xdr:colOff>
      <xdr:row>12</xdr:row>
      <xdr:rowOff>161925</xdr:rowOff>
    </xdr:to>
    <xdr:sp macro="" textlink="">
      <xdr:nvSpPr>
        <xdr:cNvPr id="3" name="Rectangle 2"/>
        <xdr:cNvSpPr/>
      </xdr:nvSpPr>
      <xdr:spPr>
        <a:xfrm>
          <a:off x="57149" y="733425"/>
          <a:ext cx="7886700" cy="240982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257173</xdr:colOff>
      <xdr:row>2</xdr:row>
      <xdr:rowOff>9525</xdr:rowOff>
    </xdr:from>
    <xdr:to>
      <xdr:col>4</xdr:col>
      <xdr:colOff>123825</xdr:colOff>
      <xdr:row>3</xdr:row>
      <xdr:rowOff>85724</xdr:rowOff>
    </xdr:to>
    <xdr:sp macro="" textlink="">
      <xdr:nvSpPr>
        <xdr:cNvPr id="2" name="Espace réservé du texte 10"/>
        <xdr:cNvSpPr txBox="1">
          <a:spLocks/>
        </xdr:cNvSpPr>
      </xdr:nvSpPr>
      <xdr:spPr>
        <a:xfrm>
          <a:off x="304798" y="666750"/>
          <a:ext cx="1314452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Présentation</a:t>
          </a:r>
        </a:p>
      </xdr:txBody>
    </xdr:sp>
    <xdr:clientData/>
  </xdr:twoCellAnchor>
  <xdr:twoCellAnchor>
    <xdr:from>
      <xdr:col>1</xdr:col>
      <xdr:colOff>9523</xdr:colOff>
      <xdr:row>14</xdr:row>
      <xdr:rowOff>104775</xdr:rowOff>
    </xdr:from>
    <xdr:to>
      <xdr:col>15</xdr:col>
      <xdr:colOff>67573</xdr:colOff>
      <xdr:row>44</xdr:row>
      <xdr:rowOff>19050</xdr:rowOff>
    </xdr:to>
    <xdr:sp macro="" textlink="">
      <xdr:nvSpPr>
        <xdr:cNvPr id="4" name="Rectangle 3"/>
        <xdr:cNvSpPr/>
      </xdr:nvSpPr>
      <xdr:spPr>
        <a:xfrm>
          <a:off x="57148" y="3343275"/>
          <a:ext cx="7887600" cy="5505450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9524</xdr:colOff>
      <xdr:row>13</xdr:row>
      <xdr:rowOff>171450</xdr:rowOff>
    </xdr:from>
    <xdr:to>
      <xdr:col>3</xdr:col>
      <xdr:colOff>419100</xdr:colOff>
      <xdr:row>15</xdr:row>
      <xdr:rowOff>57149</xdr:rowOff>
    </xdr:to>
    <xdr:sp macro="" textlink="">
      <xdr:nvSpPr>
        <xdr:cNvPr id="5" name="Espace réservé du texte 10"/>
        <xdr:cNvSpPr txBox="1">
          <a:spLocks/>
        </xdr:cNvSpPr>
      </xdr:nvSpPr>
      <xdr:spPr>
        <a:xfrm>
          <a:off x="400049" y="3181350"/>
          <a:ext cx="1714501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Indicateurs</a:t>
          </a:r>
        </a:p>
      </xdr:txBody>
    </xdr:sp>
    <xdr:clientData/>
  </xdr:twoCellAnchor>
  <xdr:twoCellAnchor>
    <xdr:from>
      <xdr:col>1</xdr:col>
      <xdr:colOff>9524</xdr:colOff>
      <xdr:row>46</xdr:row>
      <xdr:rowOff>38100</xdr:rowOff>
    </xdr:from>
    <xdr:to>
      <xdr:col>15</xdr:col>
      <xdr:colOff>67574</xdr:colOff>
      <xdr:row>61</xdr:row>
      <xdr:rowOff>142875</xdr:rowOff>
    </xdr:to>
    <xdr:sp macro="" textlink="">
      <xdr:nvSpPr>
        <xdr:cNvPr id="6" name="Rectangle 5"/>
        <xdr:cNvSpPr/>
      </xdr:nvSpPr>
      <xdr:spPr>
        <a:xfrm>
          <a:off x="57149" y="9067800"/>
          <a:ext cx="7887600" cy="378142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266699</xdr:colOff>
      <xdr:row>45</xdr:row>
      <xdr:rowOff>47625</xdr:rowOff>
    </xdr:from>
    <xdr:to>
      <xdr:col>3</xdr:col>
      <xdr:colOff>409575</xdr:colOff>
      <xdr:row>46</xdr:row>
      <xdr:rowOff>123824</xdr:rowOff>
    </xdr:to>
    <xdr:sp macro="" textlink="">
      <xdr:nvSpPr>
        <xdr:cNvPr id="7" name="Espace réservé du texte 10"/>
        <xdr:cNvSpPr txBox="1">
          <a:spLocks/>
        </xdr:cNvSpPr>
      </xdr:nvSpPr>
      <xdr:spPr>
        <a:xfrm>
          <a:off x="390524" y="6486525"/>
          <a:ext cx="1714501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FAQ</a:t>
          </a:r>
        </a:p>
      </xdr:txBody>
    </xdr:sp>
    <xdr:clientData/>
  </xdr:twoCellAnchor>
  <xdr:twoCellAnchor>
    <xdr:from>
      <xdr:col>13</xdr:col>
      <xdr:colOff>142875</xdr:colOff>
      <xdr:row>0</xdr:row>
      <xdr:rowOff>66674</xdr:rowOff>
    </xdr:from>
    <xdr:to>
      <xdr:col>14</xdr:col>
      <xdr:colOff>238125</xdr:colOff>
      <xdr:row>0</xdr:row>
      <xdr:rowOff>304799</xdr:rowOff>
    </xdr:to>
    <xdr:sp macro="" textlink="">
      <xdr:nvSpPr>
        <xdr:cNvPr id="8" name="Rectangle à coins arrondis 7">
          <a:hlinkClick xmlns:r="http://schemas.openxmlformats.org/officeDocument/2006/relationships" r:id="rId1"/>
        </xdr:cNvPr>
        <xdr:cNvSpPr/>
      </xdr:nvSpPr>
      <xdr:spPr>
        <a:xfrm>
          <a:off x="10277475" y="66674"/>
          <a:ext cx="981075" cy="238125"/>
        </a:xfrm>
        <a:prstGeom prst="roundRect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RETOUR</a:t>
          </a:r>
        </a:p>
      </xdr:txBody>
    </xdr:sp>
    <xdr:clientData/>
  </xdr:twoCellAnchor>
  <xdr:twoCellAnchor>
    <xdr:from>
      <xdr:col>13</xdr:col>
      <xdr:colOff>19049</xdr:colOff>
      <xdr:row>0</xdr:row>
      <xdr:rowOff>66674</xdr:rowOff>
    </xdr:from>
    <xdr:to>
      <xdr:col>14</xdr:col>
      <xdr:colOff>238124</xdr:colOff>
      <xdr:row>0</xdr:row>
      <xdr:rowOff>304799</xdr:rowOff>
    </xdr:to>
    <xdr:sp macro="" textlink="">
      <xdr:nvSpPr>
        <xdr:cNvPr id="9" name="Rectangle à coins arrondis 8">
          <a:hlinkClick xmlns:r="http://schemas.openxmlformats.org/officeDocument/2006/relationships" r:id="rId1"/>
        </xdr:cNvPr>
        <xdr:cNvSpPr/>
      </xdr:nvSpPr>
      <xdr:spPr>
        <a:xfrm>
          <a:off x="6829424" y="66674"/>
          <a:ext cx="809625" cy="238125"/>
        </a:xfrm>
        <a:prstGeom prst="roundRect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RETOUR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114300</xdr:colOff>
      <xdr:row>5</xdr:row>
      <xdr:rowOff>187780</xdr:rowOff>
    </xdr:from>
    <xdr:to>
      <xdr:col>5</xdr:col>
      <xdr:colOff>435428</xdr:colOff>
      <xdr:row>15</xdr:row>
      <xdr:rowOff>178256</xdr:rowOff>
    </xdr:to>
    <xdr:graphicFrame macro="">
      <xdr:nvGraphicFramePr>
        <xdr:cNvPr id="70" name="Graphique 6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104772</xdr:colOff>
      <xdr:row>5</xdr:row>
      <xdr:rowOff>180974</xdr:rowOff>
    </xdr:from>
    <xdr:to>
      <xdr:col>9</xdr:col>
      <xdr:colOff>135297</xdr:colOff>
      <xdr:row>21</xdr:row>
      <xdr:rowOff>123824</xdr:rowOff>
    </xdr:to>
    <xdr:sp macro="" textlink="">
      <xdr:nvSpPr>
        <xdr:cNvPr id="6" name="Rectangle 5"/>
        <xdr:cNvSpPr/>
      </xdr:nvSpPr>
      <xdr:spPr>
        <a:xfrm>
          <a:off x="447672" y="1581149"/>
          <a:ext cx="4212000" cy="340042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0</xdr:colOff>
      <xdr:row>5</xdr:row>
      <xdr:rowOff>19050</xdr:rowOff>
    </xdr:from>
    <xdr:to>
      <xdr:col>5</xdr:col>
      <xdr:colOff>219075</xdr:colOff>
      <xdr:row>6</xdr:row>
      <xdr:rowOff>85724</xdr:rowOff>
    </xdr:to>
    <xdr:sp macro="" textlink="">
      <xdr:nvSpPr>
        <xdr:cNvPr id="7" name="Espace réservé du texte 10"/>
        <xdr:cNvSpPr txBox="1">
          <a:spLocks/>
        </xdr:cNvSpPr>
      </xdr:nvSpPr>
      <xdr:spPr>
        <a:xfrm>
          <a:off x="657225" y="1257300"/>
          <a:ext cx="1962150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IARD &amp; PREVOYANCE</a:t>
          </a:r>
        </a:p>
      </xdr:txBody>
    </xdr:sp>
    <xdr:clientData/>
  </xdr:twoCellAnchor>
  <xdr:twoCellAnchor>
    <xdr:from>
      <xdr:col>9</xdr:col>
      <xdr:colOff>190500</xdr:colOff>
      <xdr:row>5</xdr:row>
      <xdr:rowOff>180974</xdr:rowOff>
    </xdr:from>
    <xdr:to>
      <xdr:col>18</xdr:col>
      <xdr:colOff>86400</xdr:colOff>
      <xdr:row>21</xdr:row>
      <xdr:rowOff>123825</xdr:rowOff>
    </xdr:to>
    <xdr:sp macro="" textlink="">
      <xdr:nvSpPr>
        <xdr:cNvPr id="8" name="Rectangle 7"/>
        <xdr:cNvSpPr/>
      </xdr:nvSpPr>
      <xdr:spPr>
        <a:xfrm>
          <a:off x="4714875" y="1581149"/>
          <a:ext cx="4201200" cy="3400426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10</xdr:col>
      <xdr:colOff>161926</xdr:colOff>
      <xdr:row>5</xdr:row>
      <xdr:rowOff>19050</xdr:rowOff>
    </xdr:from>
    <xdr:to>
      <xdr:col>13</xdr:col>
      <xdr:colOff>85725</xdr:colOff>
      <xdr:row>6</xdr:row>
      <xdr:rowOff>118269</xdr:rowOff>
    </xdr:to>
    <xdr:sp macro="" textlink="">
      <xdr:nvSpPr>
        <xdr:cNvPr id="9" name="Espace réservé du texte 10"/>
        <xdr:cNvSpPr txBox="1">
          <a:spLocks/>
        </xdr:cNvSpPr>
      </xdr:nvSpPr>
      <xdr:spPr>
        <a:xfrm>
          <a:off x="4857751" y="1257300"/>
          <a:ext cx="1523999" cy="299244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INNOV'2020</a:t>
          </a:r>
        </a:p>
      </xdr:txBody>
    </xdr:sp>
    <xdr:clientData/>
  </xdr:twoCellAnchor>
  <xdr:twoCellAnchor>
    <xdr:from>
      <xdr:col>1</xdr:col>
      <xdr:colOff>104772</xdr:colOff>
      <xdr:row>23</xdr:row>
      <xdr:rowOff>180974</xdr:rowOff>
    </xdr:from>
    <xdr:to>
      <xdr:col>9</xdr:col>
      <xdr:colOff>133348</xdr:colOff>
      <xdr:row>39</xdr:row>
      <xdr:rowOff>123824</xdr:rowOff>
    </xdr:to>
    <xdr:sp macro="" textlink="">
      <xdr:nvSpPr>
        <xdr:cNvPr id="24" name="Rectangle 23"/>
        <xdr:cNvSpPr/>
      </xdr:nvSpPr>
      <xdr:spPr>
        <a:xfrm>
          <a:off x="447672" y="5486399"/>
          <a:ext cx="4210051" cy="3390900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314324</xdr:colOff>
      <xdr:row>23</xdr:row>
      <xdr:rowOff>66676</xdr:rowOff>
    </xdr:from>
    <xdr:to>
      <xdr:col>3</xdr:col>
      <xdr:colOff>314324</xdr:colOff>
      <xdr:row>24</xdr:row>
      <xdr:rowOff>24884</xdr:rowOff>
    </xdr:to>
    <xdr:sp macro="" textlink="">
      <xdr:nvSpPr>
        <xdr:cNvPr id="25" name="Espace réservé du texte 10"/>
        <xdr:cNvSpPr txBox="1">
          <a:spLocks/>
        </xdr:cNvSpPr>
      </xdr:nvSpPr>
      <xdr:spPr>
        <a:xfrm>
          <a:off x="657224" y="4943476"/>
          <a:ext cx="1028700" cy="263008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CONSO</a:t>
          </a:r>
        </a:p>
      </xdr:txBody>
    </xdr:sp>
    <xdr:clientData/>
  </xdr:twoCellAnchor>
  <xdr:twoCellAnchor>
    <xdr:from>
      <xdr:col>9</xdr:col>
      <xdr:colOff>190500</xdr:colOff>
      <xdr:row>23</xdr:row>
      <xdr:rowOff>180974</xdr:rowOff>
    </xdr:from>
    <xdr:to>
      <xdr:col>18</xdr:col>
      <xdr:colOff>86400</xdr:colOff>
      <xdr:row>39</xdr:row>
      <xdr:rowOff>124124</xdr:rowOff>
    </xdr:to>
    <xdr:sp macro="" textlink="">
      <xdr:nvSpPr>
        <xdr:cNvPr id="28" name="Rectangle 27"/>
        <xdr:cNvSpPr/>
      </xdr:nvSpPr>
      <xdr:spPr>
        <a:xfrm>
          <a:off x="4714875" y="5486399"/>
          <a:ext cx="4201200" cy="3391200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10</xdr:col>
      <xdr:colOff>76200</xdr:colOff>
      <xdr:row>23</xdr:row>
      <xdr:rowOff>66676</xdr:rowOff>
    </xdr:from>
    <xdr:to>
      <xdr:col>11</xdr:col>
      <xdr:colOff>476250</xdr:colOff>
      <xdr:row>24</xdr:row>
      <xdr:rowOff>47625</xdr:rowOff>
    </xdr:to>
    <xdr:sp macro="" textlink="">
      <xdr:nvSpPr>
        <xdr:cNvPr id="29" name="Espace réservé du texte 10"/>
        <xdr:cNvSpPr txBox="1">
          <a:spLocks/>
        </xdr:cNvSpPr>
      </xdr:nvSpPr>
      <xdr:spPr>
        <a:xfrm>
          <a:off x="4772025" y="4943476"/>
          <a:ext cx="1114425" cy="28574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CA UC</a:t>
          </a:r>
        </a:p>
      </xdr:txBody>
    </xdr:sp>
    <xdr:clientData/>
  </xdr:twoCellAnchor>
  <xdr:twoCellAnchor>
    <xdr:from>
      <xdr:col>10</xdr:col>
      <xdr:colOff>447675</xdr:colOff>
      <xdr:row>31</xdr:row>
      <xdr:rowOff>19050</xdr:rowOff>
    </xdr:from>
    <xdr:to>
      <xdr:col>17</xdr:col>
      <xdr:colOff>57150</xdr:colOff>
      <xdr:row>38</xdr:row>
      <xdr:rowOff>168476</xdr:rowOff>
    </xdr:to>
    <xdr:graphicFrame macro="">
      <xdr:nvGraphicFramePr>
        <xdr:cNvPr id="31" name="Graphique 3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352426</xdr:colOff>
      <xdr:row>29</xdr:row>
      <xdr:rowOff>104775</xdr:rowOff>
    </xdr:from>
    <xdr:to>
      <xdr:col>16</xdr:col>
      <xdr:colOff>590550</xdr:colOff>
      <xdr:row>31</xdr:row>
      <xdr:rowOff>57150</xdr:rowOff>
    </xdr:to>
    <xdr:sp macro="" textlink="">
      <xdr:nvSpPr>
        <xdr:cNvPr id="34" name="Rectangle 33"/>
        <xdr:cNvSpPr/>
      </xdr:nvSpPr>
      <xdr:spPr>
        <a:xfrm>
          <a:off x="5048251" y="6534150"/>
          <a:ext cx="3228974" cy="333375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RESTE A FAIRE HEBDO PAR ETP POUR ATTEINDRE LE TOP</a:t>
          </a:r>
        </a:p>
      </xdr:txBody>
    </xdr:sp>
    <xdr:clientData/>
  </xdr:twoCellAnchor>
  <xdr:twoCellAnchor>
    <xdr:from>
      <xdr:col>1</xdr:col>
      <xdr:colOff>104772</xdr:colOff>
      <xdr:row>41</xdr:row>
      <xdr:rowOff>180975</xdr:rowOff>
    </xdr:from>
    <xdr:to>
      <xdr:col>9</xdr:col>
      <xdr:colOff>135297</xdr:colOff>
      <xdr:row>57</xdr:row>
      <xdr:rowOff>123825</xdr:rowOff>
    </xdr:to>
    <xdr:sp macro="" textlink="">
      <xdr:nvSpPr>
        <xdr:cNvPr id="36" name="Rectangle 35"/>
        <xdr:cNvSpPr/>
      </xdr:nvSpPr>
      <xdr:spPr>
        <a:xfrm>
          <a:off x="447672" y="9315450"/>
          <a:ext cx="4212000" cy="317182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190500</xdr:colOff>
      <xdr:row>41</xdr:row>
      <xdr:rowOff>180975</xdr:rowOff>
    </xdr:from>
    <xdr:to>
      <xdr:col>18</xdr:col>
      <xdr:colOff>86400</xdr:colOff>
      <xdr:row>57</xdr:row>
      <xdr:rowOff>123824</xdr:rowOff>
    </xdr:to>
    <xdr:sp macro="" textlink="">
      <xdr:nvSpPr>
        <xdr:cNvPr id="40" name="Rectangle 39"/>
        <xdr:cNvSpPr/>
      </xdr:nvSpPr>
      <xdr:spPr>
        <a:xfrm>
          <a:off x="4714875" y="9315450"/>
          <a:ext cx="4201200" cy="3171824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10</xdr:col>
      <xdr:colOff>161926</xdr:colOff>
      <xdr:row>41</xdr:row>
      <xdr:rowOff>19050</xdr:rowOff>
    </xdr:from>
    <xdr:to>
      <xdr:col>13</xdr:col>
      <xdr:colOff>0</xdr:colOff>
      <xdr:row>42</xdr:row>
      <xdr:rowOff>85725</xdr:rowOff>
    </xdr:to>
    <xdr:sp macro="" textlink="">
      <xdr:nvSpPr>
        <xdr:cNvPr id="45" name="Espace réservé du texte 10"/>
        <xdr:cNvSpPr txBox="1">
          <a:spLocks/>
        </xdr:cNvSpPr>
      </xdr:nvSpPr>
      <xdr:spPr>
        <a:xfrm>
          <a:off x="4857751" y="8867775"/>
          <a:ext cx="1438274" cy="257175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CARTES</a:t>
          </a:r>
        </a:p>
      </xdr:txBody>
    </xdr:sp>
    <xdr:clientData/>
  </xdr:twoCellAnchor>
  <xdr:twoCellAnchor>
    <xdr:from>
      <xdr:col>15</xdr:col>
      <xdr:colOff>78922</xdr:colOff>
      <xdr:row>48</xdr:row>
      <xdr:rowOff>161925</xdr:rowOff>
    </xdr:from>
    <xdr:to>
      <xdr:col>18</xdr:col>
      <xdr:colOff>0</xdr:colOff>
      <xdr:row>56</xdr:row>
      <xdr:rowOff>168473</xdr:rowOff>
    </xdr:to>
    <xdr:graphicFrame macro="">
      <xdr:nvGraphicFramePr>
        <xdr:cNvPr id="46" name="Graphique 4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47625</xdr:colOff>
      <xdr:row>48</xdr:row>
      <xdr:rowOff>171450</xdr:rowOff>
    </xdr:from>
    <xdr:to>
      <xdr:col>13</xdr:col>
      <xdr:colOff>512763</xdr:colOff>
      <xdr:row>56</xdr:row>
      <xdr:rowOff>168473</xdr:rowOff>
    </xdr:to>
    <xdr:graphicFrame macro="">
      <xdr:nvGraphicFramePr>
        <xdr:cNvPr id="47" name="Graphique 4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133351</xdr:colOff>
      <xdr:row>42</xdr:row>
      <xdr:rowOff>123825</xdr:rowOff>
    </xdr:from>
    <xdr:to>
      <xdr:col>11</xdr:col>
      <xdr:colOff>457201</xdr:colOff>
      <xdr:row>43</xdr:row>
      <xdr:rowOff>76200</xdr:rowOff>
    </xdr:to>
    <xdr:sp macro="" textlink="">
      <xdr:nvSpPr>
        <xdr:cNvPr id="48" name="Rectangle 47"/>
        <xdr:cNvSpPr/>
      </xdr:nvSpPr>
      <xdr:spPr>
        <a:xfrm>
          <a:off x="6477001" y="7610475"/>
          <a:ext cx="1123950" cy="142875"/>
        </a:xfrm>
        <a:prstGeom prst="rect">
          <a:avLst/>
        </a:prstGeom>
        <a:solidFill>
          <a:schemeClr val="bg1"/>
        </a:solidFill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200" b="1" u="none" cap="all" baseline="0">
              <a:solidFill>
                <a:schemeClr val="tx1">
                  <a:lumMod val="50000"/>
                  <a:lumOff val="50000"/>
                </a:schemeClr>
              </a:solidFill>
            </a:rPr>
            <a:t>IZICARTE DD</a:t>
          </a:r>
        </a:p>
      </xdr:txBody>
    </xdr:sp>
    <xdr:clientData/>
  </xdr:twoCellAnchor>
  <xdr:twoCellAnchor>
    <xdr:from>
      <xdr:col>15</xdr:col>
      <xdr:colOff>76199</xdr:colOff>
      <xdr:row>42</xdr:row>
      <xdr:rowOff>123825</xdr:rowOff>
    </xdr:from>
    <xdr:to>
      <xdr:col>16</xdr:col>
      <xdr:colOff>180974</xdr:colOff>
      <xdr:row>43</xdr:row>
      <xdr:rowOff>123825</xdr:rowOff>
    </xdr:to>
    <xdr:sp macro="" textlink="">
      <xdr:nvSpPr>
        <xdr:cNvPr id="49" name="Rectangle 48"/>
        <xdr:cNvSpPr/>
      </xdr:nvSpPr>
      <xdr:spPr>
        <a:xfrm>
          <a:off x="7019924" y="7953375"/>
          <a:ext cx="866775" cy="190500"/>
        </a:xfrm>
        <a:prstGeom prst="rect">
          <a:avLst/>
        </a:prstGeom>
        <a:solidFill>
          <a:schemeClr val="bg1"/>
        </a:solidFill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200" b="1" u="none" cap="all" baseline="0">
              <a:solidFill>
                <a:schemeClr val="tx1">
                  <a:lumMod val="50000"/>
                  <a:lumOff val="50000"/>
                </a:schemeClr>
              </a:solidFill>
            </a:rPr>
            <a:t>hdg dd</a:t>
          </a:r>
        </a:p>
      </xdr:txBody>
    </xdr:sp>
    <xdr:clientData/>
  </xdr:twoCellAnchor>
  <xdr:twoCellAnchor>
    <xdr:from>
      <xdr:col>10</xdr:col>
      <xdr:colOff>9525</xdr:colOff>
      <xdr:row>47</xdr:row>
      <xdr:rowOff>9525</xdr:rowOff>
    </xdr:from>
    <xdr:to>
      <xdr:col>13</xdr:col>
      <xdr:colOff>495300</xdr:colOff>
      <xdr:row>48</xdr:row>
      <xdr:rowOff>104775</xdr:rowOff>
    </xdr:to>
    <xdr:sp macro="" textlink="">
      <xdr:nvSpPr>
        <xdr:cNvPr id="50" name="Rectangle 49"/>
        <xdr:cNvSpPr/>
      </xdr:nvSpPr>
      <xdr:spPr>
        <a:xfrm>
          <a:off x="4772025" y="10287000"/>
          <a:ext cx="1943100" cy="285750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RESTE A FAIRE HEBDO PAR ETP POUR ATTEINDRE LE TOP</a:t>
          </a:r>
        </a:p>
      </xdr:txBody>
    </xdr:sp>
    <xdr:clientData/>
  </xdr:twoCellAnchor>
  <xdr:twoCellAnchor>
    <xdr:from>
      <xdr:col>14</xdr:col>
      <xdr:colOff>104775</xdr:colOff>
      <xdr:row>47</xdr:row>
      <xdr:rowOff>9525</xdr:rowOff>
    </xdr:from>
    <xdr:to>
      <xdr:col>18</xdr:col>
      <xdr:colOff>0</xdr:colOff>
      <xdr:row>48</xdr:row>
      <xdr:rowOff>104775</xdr:rowOff>
    </xdr:to>
    <xdr:sp macro="" textlink="">
      <xdr:nvSpPr>
        <xdr:cNvPr id="51" name="Rectangle 50"/>
        <xdr:cNvSpPr/>
      </xdr:nvSpPr>
      <xdr:spPr>
        <a:xfrm>
          <a:off x="6838950" y="10287000"/>
          <a:ext cx="1990725" cy="285750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RESTE A FAIRE HEBDO PAR ETP POUR ATTEINDRE LE TOP</a:t>
          </a:r>
        </a:p>
      </xdr:txBody>
    </xdr:sp>
    <xdr:clientData/>
  </xdr:twoCellAnchor>
  <xdr:twoCellAnchor>
    <xdr:from>
      <xdr:col>16</xdr:col>
      <xdr:colOff>95251</xdr:colOff>
      <xdr:row>5</xdr:row>
      <xdr:rowOff>85724</xdr:rowOff>
    </xdr:from>
    <xdr:to>
      <xdr:col>19</xdr:col>
      <xdr:colOff>277814</xdr:colOff>
      <xdr:row>11</xdr:row>
      <xdr:rowOff>9524</xdr:rowOff>
    </xdr:to>
    <xdr:grpSp>
      <xdr:nvGrpSpPr>
        <xdr:cNvPr id="55" name="Groupe 54"/>
        <xdr:cNvGrpSpPr>
          <a:grpSpLocks/>
        </xdr:cNvGrpSpPr>
      </xdr:nvGrpSpPr>
      <xdr:grpSpPr bwMode="auto">
        <a:xfrm>
          <a:off x="7905751" y="1493307"/>
          <a:ext cx="1463146" cy="1077384"/>
          <a:chOff x="3312319" y="1545713"/>
          <a:chExt cx="4653629" cy="3690889"/>
        </a:xfrm>
      </xdr:grpSpPr>
      <xdr:pic>
        <xdr:nvPicPr>
          <xdr:cNvPr id="56" name="Image 55"/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grayscl/>
            <a:biLevel thresh="5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312319" y="1545713"/>
            <a:ext cx="4653629" cy="369088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grpSp>
        <xdr:nvGrpSpPr>
          <xdr:cNvPr id="57" name="Groupe 56"/>
          <xdr:cNvGrpSpPr>
            <a:grpSpLocks/>
          </xdr:cNvGrpSpPr>
        </xdr:nvGrpSpPr>
        <xdr:grpSpPr bwMode="auto">
          <a:xfrm>
            <a:off x="4615758" y="2143192"/>
            <a:ext cx="2144040" cy="2800283"/>
            <a:chOff x="13982179" y="2849111"/>
            <a:chExt cx="2144040" cy="2800283"/>
          </a:xfrm>
        </xdr:grpSpPr>
        <xdr:sp macro="" textlink="">
          <xdr:nvSpPr>
            <xdr:cNvPr id="58" name="object 60"/>
            <xdr:cNvSpPr>
              <a:spLocks/>
            </xdr:cNvSpPr>
          </xdr:nvSpPr>
          <xdr:spPr bwMode="auto">
            <a:xfrm>
              <a:off x="14051337" y="3336485"/>
              <a:ext cx="723445" cy="311143"/>
            </a:xfrm>
            <a:custGeom>
              <a:avLst/>
              <a:gdLst>
                <a:gd name="T0" fmla="*/ 118728 w 299720"/>
                <a:gd name="T1" fmla="*/ 70331 h 128905"/>
                <a:gd name="T2" fmla="*/ 27055 w 299720"/>
                <a:gd name="T3" fmla="*/ 70331 h 128905"/>
                <a:gd name="T4" fmla="*/ 35356 w 299720"/>
                <a:gd name="T5" fmla="*/ 73750 h 128905"/>
                <a:gd name="T6" fmla="*/ 45910 w 299720"/>
                <a:gd name="T7" fmla="*/ 84008 h 128905"/>
                <a:gd name="T8" fmla="*/ 64057 w 299720"/>
                <a:gd name="T9" fmla="*/ 100088 h 128905"/>
                <a:gd name="T10" fmla="*/ 87736 w 299720"/>
                <a:gd name="T11" fmla="*/ 116900 h 128905"/>
                <a:gd name="T12" fmla="*/ 110184 w 299720"/>
                <a:gd name="T13" fmla="*/ 128337 h 128905"/>
                <a:gd name="T14" fmla="*/ 124637 w 299720"/>
                <a:gd name="T15" fmla="*/ 128293 h 128905"/>
                <a:gd name="T16" fmla="*/ 144523 w 299720"/>
                <a:gd name="T17" fmla="*/ 113927 h 128905"/>
                <a:gd name="T18" fmla="*/ 210131 w 299720"/>
                <a:gd name="T19" fmla="*/ 70991 h 128905"/>
                <a:gd name="T20" fmla="*/ 120269 w 299720"/>
                <a:gd name="T21" fmla="*/ 70991 h 128905"/>
                <a:gd name="T22" fmla="*/ 118728 w 299720"/>
                <a:gd name="T23" fmla="*/ 70331 h 128905"/>
                <a:gd name="T24" fmla="*/ 50292 w 299720"/>
                <a:gd name="T25" fmla="*/ 55357 h 128905"/>
                <a:gd name="T26" fmla="*/ 30443 w 299720"/>
                <a:gd name="T27" fmla="*/ 59834 h 128905"/>
                <a:gd name="T28" fmla="*/ 14487 w 299720"/>
                <a:gd name="T29" fmla="*/ 69683 h 128905"/>
                <a:gd name="T30" fmla="*/ 3861 w 299720"/>
                <a:gd name="T31" fmla="*/ 79532 h 128905"/>
                <a:gd name="T32" fmla="*/ 0 w 299720"/>
                <a:gd name="T33" fmla="*/ 84008 h 128905"/>
                <a:gd name="T34" fmla="*/ 16705 w 299720"/>
                <a:gd name="T35" fmla="*/ 73750 h 128905"/>
                <a:gd name="T36" fmla="*/ 27055 w 299720"/>
                <a:gd name="T37" fmla="*/ 70331 h 128905"/>
                <a:gd name="T38" fmla="*/ 118728 w 299720"/>
                <a:gd name="T39" fmla="*/ 70331 h 128905"/>
                <a:gd name="T40" fmla="*/ 106875 w 299720"/>
                <a:gd name="T41" fmla="*/ 65248 h 128905"/>
                <a:gd name="T42" fmla="*/ 90200 w 299720"/>
                <a:gd name="T43" fmla="*/ 60240 h 128905"/>
                <a:gd name="T44" fmla="*/ 71064 w 299720"/>
                <a:gd name="T45" fmla="*/ 56700 h 128905"/>
                <a:gd name="T46" fmla="*/ 50292 w 299720"/>
                <a:gd name="T47" fmla="*/ 55357 h 128905"/>
                <a:gd name="T48" fmla="*/ 232602 w 299720"/>
                <a:gd name="T49" fmla="*/ 0 h 128905"/>
                <a:gd name="T50" fmla="*/ 219927 w 299720"/>
                <a:gd name="T51" fmla="*/ 1140 h 128905"/>
                <a:gd name="T52" fmla="*/ 191601 w 299720"/>
                <a:gd name="T53" fmla="*/ 29227 h 128905"/>
                <a:gd name="T54" fmla="*/ 165088 w 299720"/>
                <a:gd name="T55" fmla="*/ 50800 h 128905"/>
                <a:gd name="T56" fmla="*/ 138579 w 299720"/>
                <a:gd name="T57" fmla="*/ 67488 h 128905"/>
                <a:gd name="T58" fmla="*/ 120269 w 299720"/>
                <a:gd name="T59" fmla="*/ 70991 h 128905"/>
                <a:gd name="T60" fmla="*/ 210131 w 299720"/>
                <a:gd name="T61" fmla="*/ 70991 h 128905"/>
                <a:gd name="T62" fmla="*/ 213813 w 299720"/>
                <a:gd name="T63" fmla="*/ 68584 h 128905"/>
                <a:gd name="T64" fmla="*/ 236156 w 299720"/>
                <a:gd name="T65" fmla="*/ 52754 h 128905"/>
                <a:gd name="T66" fmla="*/ 252520 w 299720"/>
                <a:gd name="T67" fmla="*/ 44000 h 128905"/>
                <a:gd name="T68" fmla="*/ 273600 w 299720"/>
                <a:gd name="T69" fmla="*/ 37447 h 128905"/>
                <a:gd name="T70" fmla="*/ 291811 w 299720"/>
                <a:gd name="T71" fmla="*/ 33337 h 128905"/>
                <a:gd name="T72" fmla="*/ 299567 w 299720"/>
                <a:gd name="T73" fmla="*/ 31913 h 128905"/>
                <a:gd name="T74" fmla="*/ 256347 w 299720"/>
                <a:gd name="T75" fmla="*/ 9606 h 128905"/>
                <a:gd name="T76" fmla="*/ 232602 w 299720"/>
                <a:gd name="T77" fmla="*/ 0 h 1289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</a:cxnLst>
              <a:rect l="0" t="0" r="r" b="b"/>
              <a:pathLst>
                <a:path w="299720" h="128905">
                  <a:moveTo>
                    <a:pt x="118728" y="70331"/>
                  </a:moveTo>
                  <a:lnTo>
                    <a:pt x="27055" y="70331"/>
                  </a:lnTo>
                  <a:lnTo>
                    <a:pt x="35356" y="73750"/>
                  </a:lnTo>
                  <a:lnTo>
                    <a:pt x="45910" y="84008"/>
                  </a:lnTo>
                  <a:lnTo>
                    <a:pt x="64057" y="100088"/>
                  </a:lnTo>
                  <a:lnTo>
                    <a:pt x="87736" y="116900"/>
                  </a:lnTo>
                  <a:lnTo>
                    <a:pt x="110184" y="128337"/>
                  </a:lnTo>
                  <a:lnTo>
                    <a:pt x="124637" y="128293"/>
                  </a:lnTo>
                  <a:lnTo>
                    <a:pt x="144523" y="113927"/>
                  </a:lnTo>
                  <a:lnTo>
                    <a:pt x="210131" y="70991"/>
                  </a:lnTo>
                  <a:lnTo>
                    <a:pt x="120269" y="70991"/>
                  </a:lnTo>
                  <a:lnTo>
                    <a:pt x="118728" y="70331"/>
                  </a:lnTo>
                  <a:close/>
                </a:path>
                <a:path w="299720" h="128905">
                  <a:moveTo>
                    <a:pt x="50292" y="55357"/>
                  </a:moveTo>
                  <a:lnTo>
                    <a:pt x="30443" y="59834"/>
                  </a:lnTo>
                  <a:lnTo>
                    <a:pt x="14487" y="69683"/>
                  </a:lnTo>
                  <a:lnTo>
                    <a:pt x="3861" y="79532"/>
                  </a:lnTo>
                  <a:lnTo>
                    <a:pt x="0" y="84008"/>
                  </a:lnTo>
                  <a:lnTo>
                    <a:pt x="16705" y="73750"/>
                  </a:lnTo>
                  <a:lnTo>
                    <a:pt x="27055" y="70331"/>
                  </a:lnTo>
                  <a:lnTo>
                    <a:pt x="118728" y="70331"/>
                  </a:lnTo>
                  <a:lnTo>
                    <a:pt x="106875" y="65248"/>
                  </a:lnTo>
                  <a:lnTo>
                    <a:pt x="90200" y="60240"/>
                  </a:lnTo>
                  <a:lnTo>
                    <a:pt x="71064" y="56700"/>
                  </a:lnTo>
                  <a:lnTo>
                    <a:pt x="50292" y="55357"/>
                  </a:lnTo>
                  <a:close/>
                </a:path>
                <a:path w="299720" h="128905">
                  <a:moveTo>
                    <a:pt x="232602" y="0"/>
                  </a:moveTo>
                  <a:lnTo>
                    <a:pt x="219927" y="1140"/>
                  </a:lnTo>
                  <a:lnTo>
                    <a:pt x="191601" y="29227"/>
                  </a:lnTo>
                  <a:lnTo>
                    <a:pt x="165088" y="50800"/>
                  </a:lnTo>
                  <a:lnTo>
                    <a:pt x="138579" y="67488"/>
                  </a:lnTo>
                  <a:lnTo>
                    <a:pt x="120269" y="70991"/>
                  </a:lnTo>
                  <a:lnTo>
                    <a:pt x="210131" y="70991"/>
                  </a:lnTo>
                  <a:lnTo>
                    <a:pt x="213813" y="68584"/>
                  </a:lnTo>
                  <a:lnTo>
                    <a:pt x="236156" y="52754"/>
                  </a:lnTo>
                  <a:lnTo>
                    <a:pt x="252520" y="44000"/>
                  </a:lnTo>
                  <a:lnTo>
                    <a:pt x="273600" y="37447"/>
                  </a:lnTo>
                  <a:lnTo>
                    <a:pt x="291811" y="33337"/>
                  </a:lnTo>
                  <a:lnTo>
                    <a:pt x="299567" y="31913"/>
                  </a:lnTo>
                  <a:lnTo>
                    <a:pt x="256347" y="9606"/>
                  </a:lnTo>
                  <a:lnTo>
                    <a:pt x="232602" y="0"/>
                  </a:lnTo>
                  <a:close/>
                </a:path>
              </a:pathLst>
            </a:custGeom>
            <a:solidFill>
              <a:srgbClr val="FF5D5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9" name="object 61"/>
            <xdr:cNvSpPr>
              <a:spLocks/>
            </xdr:cNvSpPr>
          </xdr:nvSpPr>
          <xdr:spPr bwMode="auto">
            <a:xfrm>
              <a:off x="15038490" y="3325498"/>
              <a:ext cx="869054" cy="346395"/>
            </a:xfrm>
            <a:custGeom>
              <a:avLst/>
              <a:gdLst>
                <a:gd name="T0" fmla="*/ 153695 w 360045"/>
                <a:gd name="T1" fmla="*/ 0 h 143510"/>
                <a:gd name="T2" fmla="*/ 110391 w 360045"/>
                <a:gd name="T3" fmla="*/ 7812 h 143510"/>
                <a:gd name="T4" fmla="*/ 65125 w 360045"/>
                <a:gd name="T5" fmla="*/ 23444 h 143510"/>
                <a:gd name="T6" fmla="*/ 47993 w 360045"/>
                <a:gd name="T7" fmla="*/ 32110 h 143510"/>
                <a:gd name="T8" fmla="*/ 23775 w 360045"/>
                <a:gd name="T9" fmla="*/ 43953 h 143510"/>
                <a:gd name="T10" fmla="*/ 3951 w 360045"/>
                <a:gd name="T11" fmla="*/ 55307 h 143510"/>
                <a:gd name="T12" fmla="*/ 0 w 360045"/>
                <a:gd name="T13" fmla="*/ 62509 h 143510"/>
                <a:gd name="T14" fmla="*/ 16161 w 360045"/>
                <a:gd name="T15" fmla="*/ 69474 h 143510"/>
                <a:gd name="T16" fmla="*/ 81688 w 360045"/>
                <a:gd name="T17" fmla="*/ 95117 h 143510"/>
                <a:gd name="T18" fmla="*/ 179420 w 360045"/>
                <a:gd name="T19" fmla="*/ 131219 h 143510"/>
                <a:gd name="T20" fmla="*/ 221424 w 360045"/>
                <a:gd name="T21" fmla="*/ 143268 h 143510"/>
                <a:gd name="T22" fmla="*/ 249285 w 360045"/>
                <a:gd name="T23" fmla="*/ 141775 h 143510"/>
                <a:gd name="T24" fmla="*/ 267317 w 360045"/>
                <a:gd name="T25" fmla="*/ 127180 h 143510"/>
                <a:gd name="T26" fmla="*/ 280637 w 360045"/>
                <a:gd name="T27" fmla="*/ 104999 h 143510"/>
                <a:gd name="T28" fmla="*/ 294360 w 360045"/>
                <a:gd name="T29" fmla="*/ 80746 h 143510"/>
                <a:gd name="T30" fmla="*/ 307101 w 360045"/>
                <a:gd name="T31" fmla="*/ 62026 h 143510"/>
                <a:gd name="T32" fmla="*/ 316314 w 360045"/>
                <a:gd name="T33" fmla="*/ 50468 h 143510"/>
                <a:gd name="T34" fmla="*/ 251053 w 360045"/>
                <a:gd name="T35" fmla="*/ 50468 h 143510"/>
                <a:gd name="T36" fmla="*/ 232371 w 360045"/>
                <a:gd name="T37" fmla="*/ 49451 h 143510"/>
                <a:gd name="T38" fmla="*/ 218821 w 360045"/>
                <a:gd name="T39" fmla="*/ 44284 h 143510"/>
                <a:gd name="T40" fmla="*/ 204612 w 360045"/>
                <a:gd name="T41" fmla="*/ 33332 h 143510"/>
                <a:gd name="T42" fmla="*/ 185277 w 360045"/>
                <a:gd name="T43" fmla="*/ 19208 h 143510"/>
                <a:gd name="T44" fmla="*/ 166432 w 360045"/>
                <a:gd name="T45" fmla="*/ 6551 h 143510"/>
                <a:gd name="T46" fmla="*/ 153695 w 360045"/>
                <a:gd name="T47" fmla="*/ 0 h 143510"/>
                <a:gd name="T48" fmla="*/ 359486 w 360045"/>
                <a:gd name="T49" fmla="*/ 7810 h 143510"/>
                <a:gd name="T50" fmla="*/ 308935 w 360045"/>
                <a:gd name="T51" fmla="*/ 39684 h 143510"/>
                <a:gd name="T52" fmla="*/ 271202 w 360045"/>
                <a:gd name="T53" fmla="*/ 49044 h 143510"/>
                <a:gd name="T54" fmla="*/ 251053 w 360045"/>
                <a:gd name="T55" fmla="*/ 50468 h 143510"/>
                <a:gd name="T56" fmla="*/ 316314 w 360045"/>
                <a:gd name="T57" fmla="*/ 50468 h 143510"/>
                <a:gd name="T58" fmla="*/ 318131 w 360045"/>
                <a:gd name="T59" fmla="*/ 48188 h 143510"/>
                <a:gd name="T60" fmla="*/ 333558 w 360045"/>
                <a:gd name="T61" fmla="*/ 32395 h 143510"/>
                <a:gd name="T62" fmla="*/ 359486 w 360045"/>
                <a:gd name="T63" fmla="*/ 7810 h 14351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360045" h="143510">
                  <a:moveTo>
                    <a:pt x="153695" y="0"/>
                  </a:moveTo>
                  <a:lnTo>
                    <a:pt x="110391" y="7812"/>
                  </a:lnTo>
                  <a:lnTo>
                    <a:pt x="65125" y="23444"/>
                  </a:lnTo>
                  <a:lnTo>
                    <a:pt x="47993" y="32110"/>
                  </a:lnTo>
                  <a:lnTo>
                    <a:pt x="23775" y="43953"/>
                  </a:lnTo>
                  <a:lnTo>
                    <a:pt x="3951" y="55307"/>
                  </a:lnTo>
                  <a:lnTo>
                    <a:pt x="0" y="62509"/>
                  </a:lnTo>
                  <a:lnTo>
                    <a:pt x="16161" y="69474"/>
                  </a:lnTo>
                  <a:lnTo>
                    <a:pt x="81688" y="95117"/>
                  </a:lnTo>
                  <a:lnTo>
                    <a:pt x="179420" y="131219"/>
                  </a:lnTo>
                  <a:lnTo>
                    <a:pt x="221424" y="143268"/>
                  </a:lnTo>
                  <a:lnTo>
                    <a:pt x="249285" y="141775"/>
                  </a:lnTo>
                  <a:lnTo>
                    <a:pt x="267317" y="127180"/>
                  </a:lnTo>
                  <a:lnTo>
                    <a:pt x="280637" y="104999"/>
                  </a:lnTo>
                  <a:lnTo>
                    <a:pt x="294360" y="80746"/>
                  </a:lnTo>
                  <a:lnTo>
                    <a:pt x="307101" y="62026"/>
                  </a:lnTo>
                  <a:lnTo>
                    <a:pt x="316314" y="50468"/>
                  </a:lnTo>
                  <a:lnTo>
                    <a:pt x="251053" y="50468"/>
                  </a:lnTo>
                  <a:lnTo>
                    <a:pt x="232371" y="49451"/>
                  </a:lnTo>
                  <a:lnTo>
                    <a:pt x="218821" y="44284"/>
                  </a:lnTo>
                  <a:lnTo>
                    <a:pt x="204612" y="33332"/>
                  </a:lnTo>
                  <a:lnTo>
                    <a:pt x="185277" y="19208"/>
                  </a:lnTo>
                  <a:lnTo>
                    <a:pt x="166432" y="6551"/>
                  </a:lnTo>
                  <a:lnTo>
                    <a:pt x="153695" y="0"/>
                  </a:lnTo>
                  <a:close/>
                </a:path>
                <a:path w="360045" h="143510">
                  <a:moveTo>
                    <a:pt x="359486" y="7810"/>
                  </a:moveTo>
                  <a:lnTo>
                    <a:pt x="308935" y="39684"/>
                  </a:lnTo>
                  <a:lnTo>
                    <a:pt x="271202" y="49044"/>
                  </a:lnTo>
                  <a:lnTo>
                    <a:pt x="251053" y="50468"/>
                  </a:lnTo>
                  <a:lnTo>
                    <a:pt x="316314" y="50468"/>
                  </a:lnTo>
                  <a:lnTo>
                    <a:pt x="318131" y="48188"/>
                  </a:lnTo>
                  <a:lnTo>
                    <a:pt x="333558" y="32395"/>
                  </a:lnTo>
                  <a:lnTo>
                    <a:pt x="359486" y="7810"/>
                  </a:lnTo>
                  <a:close/>
                </a:path>
              </a:pathLst>
            </a:custGeom>
            <a:solidFill>
              <a:srgbClr val="76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0" name="object 62"/>
            <xdr:cNvSpPr>
              <a:spLocks/>
            </xdr:cNvSpPr>
          </xdr:nvSpPr>
          <xdr:spPr bwMode="auto">
            <a:xfrm>
              <a:off x="14277688" y="3397796"/>
              <a:ext cx="1258363" cy="514995"/>
            </a:xfrm>
            <a:custGeom>
              <a:avLst/>
              <a:gdLst>
                <a:gd name="T0" fmla="*/ 243887 w 521334"/>
                <a:gd name="T1" fmla="*/ 0 h 213360"/>
                <a:gd name="T2" fmla="*/ 213159 w 521334"/>
                <a:gd name="T3" fmla="*/ 653 h 213360"/>
                <a:gd name="T4" fmla="*/ 195376 w 521334"/>
                <a:gd name="T5" fmla="*/ 1306 h 213360"/>
                <a:gd name="T6" fmla="*/ 178399 w 521334"/>
                <a:gd name="T7" fmla="*/ 5376 h 213360"/>
                <a:gd name="T8" fmla="*/ 149458 w 521334"/>
                <a:gd name="T9" fmla="*/ 14330 h 213360"/>
                <a:gd name="T10" fmla="*/ 118076 w 521334"/>
                <a:gd name="T11" fmla="*/ 23284 h 213360"/>
                <a:gd name="T12" fmla="*/ 67769 w 521334"/>
                <a:gd name="T13" fmla="*/ 35494 h 213360"/>
                <a:gd name="T14" fmla="*/ 6962 w 521334"/>
                <a:gd name="T15" fmla="*/ 71309 h 213360"/>
                <a:gd name="T16" fmla="*/ 0 w 521334"/>
                <a:gd name="T17" fmla="*/ 79449 h 213360"/>
                <a:gd name="T18" fmla="*/ 8346 w 521334"/>
                <a:gd name="T19" fmla="*/ 82950 h 213360"/>
                <a:gd name="T20" fmla="*/ 17911 w 521334"/>
                <a:gd name="T21" fmla="*/ 91824 h 213360"/>
                <a:gd name="T22" fmla="*/ 58979 w 521334"/>
                <a:gd name="T23" fmla="*/ 123938 h 213360"/>
                <a:gd name="T24" fmla="*/ 110179 w 521334"/>
                <a:gd name="T25" fmla="*/ 130207 h 213360"/>
                <a:gd name="T26" fmla="*/ 140665 w 521334"/>
                <a:gd name="T27" fmla="*/ 136764 h 213360"/>
                <a:gd name="T28" fmla="*/ 165292 w 521334"/>
                <a:gd name="T29" fmla="*/ 147221 h 213360"/>
                <a:gd name="T30" fmla="*/ 187232 w 521334"/>
                <a:gd name="T31" fmla="*/ 159878 h 213360"/>
                <a:gd name="T32" fmla="*/ 222361 w 521334"/>
                <a:gd name="T33" fmla="*/ 175955 h 213360"/>
                <a:gd name="T34" fmla="*/ 286550 w 521334"/>
                <a:gd name="T35" fmla="*/ 196670 h 213360"/>
                <a:gd name="T36" fmla="*/ 353221 w 521334"/>
                <a:gd name="T37" fmla="*/ 212752 h 213360"/>
                <a:gd name="T38" fmla="*/ 399865 w 521334"/>
                <a:gd name="T39" fmla="*/ 208073 h 213360"/>
                <a:gd name="T40" fmla="*/ 448463 w 521334"/>
                <a:gd name="T41" fmla="*/ 173598 h 213360"/>
                <a:gd name="T42" fmla="*/ 520992 w 521334"/>
                <a:gd name="T43" fmla="*/ 100290 h 213360"/>
                <a:gd name="T44" fmla="*/ 489483 w 521334"/>
                <a:gd name="T45" fmla="*/ 83534 h 213360"/>
                <a:gd name="T46" fmla="*/ 438341 w 521334"/>
                <a:gd name="T47" fmla="*/ 61276 h 213360"/>
                <a:gd name="T48" fmla="*/ 381072 w 521334"/>
                <a:gd name="T49" fmla="*/ 38019 h 213360"/>
                <a:gd name="T50" fmla="*/ 302171 w 521334"/>
                <a:gd name="T51" fmla="*/ 6513 h 213360"/>
                <a:gd name="T52" fmla="*/ 277058 w 521334"/>
                <a:gd name="T53" fmla="*/ 1301 h 213360"/>
                <a:gd name="T54" fmla="*/ 243887 w 521334"/>
                <a:gd name="T55" fmla="*/ 0 h 2133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</a:cxnLst>
              <a:rect l="0" t="0" r="r" b="b"/>
              <a:pathLst>
                <a:path w="521334" h="213360">
                  <a:moveTo>
                    <a:pt x="243887" y="0"/>
                  </a:moveTo>
                  <a:lnTo>
                    <a:pt x="213159" y="653"/>
                  </a:lnTo>
                  <a:lnTo>
                    <a:pt x="195376" y="1306"/>
                  </a:lnTo>
                  <a:lnTo>
                    <a:pt x="178399" y="5376"/>
                  </a:lnTo>
                  <a:lnTo>
                    <a:pt x="149458" y="14330"/>
                  </a:lnTo>
                  <a:lnTo>
                    <a:pt x="118076" y="23284"/>
                  </a:lnTo>
                  <a:lnTo>
                    <a:pt x="67769" y="35494"/>
                  </a:lnTo>
                  <a:lnTo>
                    <a:pt x="6962" y="71309"/>
                  </a:lnTo>
                  <a:lnTo>
                    <a:pt x="0" y="79449"/>
                  </a:lnTo>
                  <a:lnTo>
                    <a:pt x="8346" y="82950"/>
                  </a:lnTo>
                  <a:lnTo>
                    <a:pt x="17911" y="91824"/>
                  </a:lnTo>
                  <a:lnTo>
                    <a:pt x="58979" y="123938"/>
                  </a:lnTo>
                  <a:lnTo>
                    <a:pt x="110179" y="130207"/>
                  </a:lnTo>
                  <a:lnTo>
                    <a:pt x="140665" y="136764"/>
                  </a:lnTo>
                  <a:lnTo>
                    <a:pt x="165292" y="147221"/>
                  </a:lnTo>
                  <a:lnTo>
                    <a:pt x="187232" y="159878"/>
                  </a:lnTo>
                  <a:lnTo>
                    <a:pt x="222361" y="175955"/>
                  </a:lnTo>
                  <a:lnTo>
                    <a:pt x="286550" y="196670"/>
                  </a:lnTo>
                  <a:lnTo>
                    <a:pt x="353221" y="212752"/>
                  </a:lnTo>
                  <a:lnTo>
                    <a:pt x="399865" y="208073"/>
                  </a:lnTo>
                  <a:lnTo>
                    <a:pt x="448463" y="173598"/>
                  </a:lnTo>
                  <a:lnTo>
                    <a:pt x="520992" y="100290"/>
                  </a:lnTo>
                  <a:lnTo>
                    <a:pt x="489483" y="83534"/>
                  </a:lnTo>
                  <a:lnTo>
                    <a:pt x="438341" y="61276"/>
                  </a:lnTo>
                  <a:lnTo>
                    <a:pt x="381072" y="38019"/>
                  </a:lnTo>
                  <a:lnTo>
                    <a:pt x="302171" y="6513"/>
                  </a:lnTo>
                  <a:lnTo>
                    <a:pt x="277058" y="1301"/>
                  </a:lnTo>
                  <a:lnTo>
                    <a:pt x="243887" y="0"/>
                  </a:lnTo>
                  <a:close/>
                </a:path>
              </a:pathLst>
            </a:custGeom>
            <a:solidFill>
              <a:srgbClr val="76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1" name="object 63"/>
            <xdr:cNvSpPr>
              <a:spLocks/>
            </xdr:cNvSpPr>
          </xdr:nvSpPr>
          <xdr:spPr bwMode="auto">
            <a:xfrm>
              <a:off x="14335790" y="2849111"/>
              <a:ext cx="1180195" cy="2800283"/>
            </a:xfrm>
            <a:custGeom>
              <a:avLst/>
              <a:gdLst>
                <a:gd name="T0" fmla="*/ 297343 w 488950"/>
                <a:gd name="T1" fmla="*/ 935651 h 1160145"/>
                <a:gd name="T2" fmla="*/ 318120 w 488950"/>
                <a:gd name="T3" fmla="*/ 1041239 h 1160145"/>
                <a:gd name="T4" fmla="*/ 346517 w 488950"/>
                <a:gd name="T5" fmla="*/ 1160124 h 1160145"/>
                <a:gd name="T6" fmla="*/ 376794 w 488950"/>
                <a:gd name="T7" fmla="*/ 1125529 h 1160145"/>
                <a:gd name="T8" fmla="*/ 343000 w 488950"/>
                <a:gd name="T9" fmla="*/ 935651 h 1160145"/>
                <a:gd name="T10" fmla="*/ 122172 w 488950"/>
                <a:gd name="T11" fmla="*/ 423283 h 1160145"/>
                <a:gd name="T12" fmla="*/ 140434 w 488950"/>
                <a:gd name="T13" fmla="*/ 505934 h 1160145"/>
                <a:gd name="T14" fmla="*/ 150036 w 488950"/>
                <a:gd name="T15" fmla="*/ 561687 h 1160145"/>
                <a:gd name="T16" fmla="*/ 167181 w 488950"/>
                <a:gd name="T17" fmla="*/ 640237 h 1160145"/>
                <a:gd name="T18" fmla="*/ 211341 w 488950"/>
                <a:gd name="T19" fmla="*/ 809233 h 1160145"/>
                <a:gd name="T20" fmla="*/ 232697 w 488950"/>
                <a:gd name="T21" fmla="*/ 874663 h 1160145"/>
                <a:gd name="T22" fmla="*/ 247792 w 488950"/>
                <a:gd name="T23" fmla="*/ 939343 h 1160145"/>
                <a:gd name="T24" fmla="*/ 266607 w 488950"/>
                <a:gd name="T25" fmla="*/ 1028651 h 1160145"/>
                <a:gd name="T26" fmla="*/ 255700 w 488950"/>
                <a:gd name="T27" fmla="*/ 1134178 h 1160145"/>
                <a:gd name="T28" fmla="*/ 300937 w 488950"/>
                <a:gd name="T29" fmla="*/ 1142687 h 1160145"/>
                <a:gd name="T30" fmla="*/ 303871 w 488950"/>
                <a:gd name="T31" fmla="*/ 1041988 h 1160145"/>
                <a:gd name="T32" fmla="*/ 300226 w 488950"/>
                <a:gd name="T33" fmla="*/ 963947 h 1160145"/>
                <a:gd name="T34" fmla="*/ 343000 w 488950"/>
                <a:gd name="T35" fmla="*/ 935651 h 1160145"/>
                <a:gd name="T36" fmla="*/ 342644 w 488950"/>
                <a:gd name="T37" fmla="*/ 768608 h 1160145"/>
                <a:gd name="T38" fmla="*/ 333373 w 488950"/>
                <a:gd name="T39" fmla="*/ 545838 h 1160145"/>
                <a:gd name="T40" fmla="*/ 336956 w 488950"/>
                <a:gd name="T41" fmla="*/ 494765 h 1160145"/>
                <a:gd name="T42" fmla="*/ 339139 w 488950"/>
                <a:gd name="T43" fmla="*/ 465104 h 1160145"/>
                <a:gd name="T44" fmla="*/ 338338 w 488950"/>
                <a:gd name="T45" fmla="*/ 454372 h 1160145"/>
                <a:gd name="T46" fmla="*/ 344180 w 488950"/>
                <a:gd name="T47" fmla="*/ 434814 h 1160145"/>
                <a:gd name="T48" fmla="*/ 413073 w 488950"/>
                <a:gd name="T49" fmla="*/ 423283 h 1160145"/>
                <a:gd name="T50" fmla="*/ 344180 w 488950"/>
                <a:gd name="T51" fmla="*/ 434814 h 1160145"/>
                <a:gd name="T52" fmla="*/ 373648 w 488950"/>
                <a:gd name="T53" fmla="*/ 442026 h 1160145"/>
                <a:gd name="T54" fmla="*/ 392521 w 488950"/>
                <a:gd name="T55" fmla="*/ 434814 h 1160145"/>
                <a:gd name="T56" fmla="*/ 225801 w 488950"/>
                <a:gd name="T57" fmla="*/ 2630 h 1160145"/>
                <a:gd name="T58" fmla="*/ 212422 w 488950"/>
                <a:gd name="T59" fmla="*/ 13114 h 1160145"/>
                <a:gd name="T60" fmla="*/ 212515 w 488950"/>
                <a:gd name="T61" fmla="*/ 22989 h 1160145"/>
                <a:gd name="T62" fmla="*/ 211694 w 488950"/>
                <a:gd name="T63" fmla="*/ 54157 h 1160145"/>
                <a:gd name="T64" fmla="*/ 210157 w 488950"/>
                <a:gd name="T65" fmla="*/ 83951 h 1160145"/>
                <a:gd name="T66" fmla="*/ 196594 w 488950"/>
                <a:gd name="T67" fmla="*/ 184916 h 1160145"/>
                <a:gd name="T68" fmla="*/ 111008 w 488950"/>
                <a:gd name="T69" fmla="*/ 219536 h 1160145"/>
                <a:gd name="T70" fmla="*/ 69768 w 488950"/>
                <a:gd name="T71" fmla="*/ 231108 h 1160145"/>
                <a:gd name="T72" fmla="*/ 44321 w 488950"/>
                <a:gd name="T73" fmla="*/ 271416 h 1160145"/>
                <a:gd name="T74" fmla="*/ 30350 w 488950"/>
                <a:gd name="T75" fmla="*/ 303272 h 1160145"/>
                <a:gd name="T76" fmla="*/ 0 w 488950"/>
                <a:gd name="T77" fmla="*/ 381405 h 1160145"/>
                <a:gd name="T78" fmla="*/ 38542 w 488950"/>
                <a:gd name="T79" fmla="*/ 429048 h 1160145"/>
                <a:gd name="T80" fmla="*/ 71845 w 488950"/>
                <a:gd name="T81" fmla="*/ 430813 h 1160145"/>
                <a:gd name="T82" fmla="*/ 122172 w 488950"/>
                <a:gd name="T83" fmla="*/ 423283 h 1160145"/>
                <a:gd name="T84" fmla="*/ 415627 w 488950"/>
                <a:gd name="T85" fmla="*/ 421849 h 1160145"/>
                <a:gd name="T86" fmla="*/ 456009 w 488950"/>
                <a:gd name="T87" fmla="*/ 384260 h 1160145"/>
                <a:gd name="T88" fmla="*/ 470246 w 488950"/>
                <a:gd name="T89" fmla="*/ 359214 h 1160145"/>
                <a:gd name="T90" fmla="*/ 482104 w 488950"/>
                <a:gd name="T91" fmla="*/ 334842 h 1160145"/>
                <a:gd name="T92" fmla="*/ 486186 w 488950"/>
                <a:gd name="T93" fmla="*/ 301416 h 1160145"/>
                <a:gd name="T94" fmla="*/ 482215 w 488950"/>
                <a:gd name="T95" fmla="*/ 245933 h 1160145"/>
                <a:gd name="T96" fmla="*/ 400162 w 488950"/>
                <a:gd name="T97" fmla="*/ 211345 h 1160145"/>
                <a:gd name="T98" fmla="*/ 352499 w 488950"/>
                <a:gd name="T99" fmla="*/ 199513 h 1160145"/>
                <a:gd name="T100" fmla="*/ 328077 w 488950"/>
                <a:gd name="T101" fmla="*/ 186834 h 1160145"/>
                <a:gd name="T102" fmla="*/ 313662 w 488950"/>
                <a:gd name="T103" fmla="*/ 173385 h 1160145"/>
                <a:gd name="T104" fmla="*/ 318107 w 488950"/>
                <a:gd name="T105" fmla="*/ 118749 h 1160145"/>
                <a:gd name="T106" fmla="*/ 323114 w 488950"/>
                <a:gd name="T107" fmla="*/ 110266 h 1160145"/>
                <a:gd name="T108" fmla="*/ 325778 w 488950"/>
                <a:gd name="T109" fmla="*/ 94962 h 1160145"/>
                <a:gd name="T110" fmla="*/ 312837 w 488950"/>
                <a:gd name="T111" fmla="*/ 92803 h 1160145"/>
                <a:gd name="T112" fmla="*/ 310652 w 488950"/>
                <a:gd name="T113" fmla="*/ 41622 h 1160145"/>
                <a:gd name="T114" fmla="*/ 239983 w 488950"/>
                <a:gd name="T115" fmla="*/ 324 h 1160145"/>
                <a:gd name="T116" fmla="*/ 322641 w 488950"/>
                <a:gd name="T117" fmla="*/ 85869 h 1160145"/>
                <a:gd name="T118" fmla="*/ 325033 w 488950"/>
                <a:gd name="T119" fmla="*/ 92803 h 11601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488950" h="1160145">
                  <a:moveTo>
                    <a:pt x="343000" y="935651"/>
                  </a:moveTo>
                  <a:lnTo>
                    <a:pt x="297343" y="935651"/>
                  </a:lnTo>
                  <a:lnTo>
                    <a:pt x="303159" y="960594"/>
                  </a:lnTo>
                  <a:lnTo>
                    <a:pt x="318120" y="1041239"/>
                  </a:lnTo>
                  <a:lnTo>
                    <a:pt x="320571" y="1138508"/>
                  </a:lnTo>
                  <a:lnTo>
                    <a:pt x="346517" y="1160124"/>
                  </a:lnTo>
                  <a:lnTo>
                    <a:pt x="368145" y="1155806"/>
                  </a:lnTo>
                  <a:lnTo>
                    <a:pt x="376794" y="1125529"/>
                  </a:lnTo>
                  <a:lnTo>
                    <a:pt x="349565" y="1046446"/>
                  </a:lnTo>
                  <a:lnTo>
                    <a:pt x="343000" y="935651"/>
                  </a:lnTo>
                  <a:close/>
                </a:path>
                <a:path w="488950" h="1160145">
                  <a:moveTo>
                    <a:pt x="413073" y="423283"/>
                  </a:moveTo>
                  <a:lnTo>
                    <a:pt x="122172" y="423283"/>
                  </a:lnTo>
                  <a:lnTo>
                    <a:pt x="131532" y="444923"/>
                  </a:lnTo>
                  <a:lnTo>
                    <a:pt x="140434" y="505934"/>
                  </a:lnTo>
                  <a:lnTo>
                    <a:pt x="145946" y="541672"/>
                  </a:lnTo>
                  <a:lnTo>
                    <a:pt x="150036" y="561687"/>
                  </a:lnTo>
                  <a:lnTo>
                    <a:pt x="157732" y="600130"/>
                  </a:lnTo>
                  <a:lnTo>
                    <a:pt x="167181" y="640237"/>
                  </a:lnTo>
                  <a:lnTo>
                    <a:pt x="206690" y="795405"/>
                  </a:lnTo>
                  <a:lnTo>
                    <a:pt x="211341" y="809233"/>
                  </a:lnTo>
                  <a:lnTo>
                    <a:pt x="221771" y="840673"/>
                  </a:lnTo>
                  <a:lnTo>
                    <a:pt x="232697" y="874663"/>
                  </a:lnTo>
                  <a:lnTo>
                    <a:pt x="238834" y="896142"/>
                  </a:lnTo>
                  <a:lnTo>
                    <a:pt x="247792" y="939343"/>
                  </a:lnTo>
                  <a:lnTo>
                    <a:pt x="258203" y="987759"/>
                  </a:lnTo>
                  <a:lnTo>
                    <a:pt x="266607" y="1028651"/>
                  </a:lnTo>
                  <a:lnTo>
                    <a:pt x="269543" y="1049278"/>
                  </a:lnTo>
                  <a:lnTo>
                    <a:pt x="255700" y="1134178"/>
                  </a:lnTo>
                  <a:lnTo>
                    <a:pt x="268679" y="1155806"/>
                  </a:lnTo>
                  <a:lnTo>
                    <a:pt x="300937" y="1142687"/>
                  </a:lnTo>
                  <a:lnTo>
                    <a:pt x="309586" y="1055704"/>
                  </a:lnTo>
                  <a:lnTo>
                    <a:pt x="303871" y="1041988"/>
                  </a:lnTo>
                  <a:lnTo>
                    <a:pt x="301737" y="1034432"/>
                  </a:lnTo>
                  <a:lnTo>
                    <a:pt x="300226" y="963947"/>
                  </a:lnTo>
                  <a:lnTo>
                    <a:pt x="297343" y="935651"/>
                  </a:lnTo>
                  <a:lnTo>
                    <a:pt x="343000" y="935651"/>
                  </a:lnTo>
                  <a:lnTo>
                    <a:pt x="339481" y="876279"/>
                  </a:lnTo>
                  <a:lnTo>
                    <a:pt x="342644" y="768608"/>
                  </a:lnTo>
                  <a:lnTo>
                    <a:pt x="335532" y="576102"/>
                  </a:lnTo>
                  <a:lnTo>
                    <a:pt x="333373" y="545838"/>
                  </a:lnTo>
                  <a:lnTo>
                    <a:pt x="335061" y="519410"/>
                  </a:lnTo>
                  <a:lnTo>
                    <a:pt x="336956" y="494765"/>
                  </a:lnTo>
                  <a:lnTo>
                    <a:pt x="338500" y="475472"/>
                  </a:lnTo>
                  <a:lnTo>
                    <a:pt x="339139" y="465104"/>
                  </a:lnTo>
                  <a:lnTo>
                    <a:pt x="339139" y="462818"/>
                  </a:lnTo>
                  <a:lnTo>
                    <a:pt x="338338" y="454372"/>
                  </a:lnTo>
                  <a:lnTo>
                    <a:pt x="344180" y="443463"/>
                  </a:lnTo>
                  <a:lnTo>
                    <a:pt x="344180" y="434814"/>
                  </a:lnTo>
                  <a:lnTo>
                    <a:pt x="392521" y="434814"/>
                  </a:lnTo>
                  <a:lnTo>
                    <a:pt x="413073" y="423283"/>
                  </a:lnTo>
                  <a:close/>
                </a:path>
                <a:path w="488950" h="1160145">
                  <a:moveTo>
                    <a:pt x="392521" y="434814"/>
                  </a:moveTo>
                  <a:lnTo>
                    <a:pt x="344180" y="434814"/>
                  </a:lnTo>
                  <a:lnTo>
                    <a:pt x="367256" y="443463"/>
                  </a:lnTo>
                  <a:lnTo>
                    <a:pt x="373648" y="442026"/>
                  </a:lnTo>
                  <a:lnTo>
                    <a:pt x="390789" y="435786"/>
                  </a:lnTo>
                  <a:lnTo>
                    <a:pt x="392521" y="434814"/>
                  </a:lnTo>
                  <a:close/>
                </a:path>
                <a:path w="488950" h="1160145">
                  <a:moveTo>
                    <a:pt x="232420" y="0"/>
                  </a:moveTo>
                  <a:lnTo>
                    <a:pt x="225801" y="2630"/>
                  </a:lnTo>
                  <a:lnTo>
                    <a:pt x="218527" y="7891"/>
                  </a:lnTo>
                  <a:lnTo>
                    <a:pt x="212422" y="13114"/>
                  </a:lnTo>
                  <a:lnTo>
                    <a:pt x="210411" y="17387"/>
                  </a:lnTo>
                  <a:lnTo>
                    <a:pt x="212515" y="22989"/>
                  </a:lnTo>
                  <a:lnTo>
                    <a:pt x="218755" y="32199"/>
                  </a:lnTo>
                  <a:lnTo>
                    <a:pt x="211694" y="54157"/>
                  </a:lnTo>
                  <a:lnTo>
                    <a:pt x="215529" y="73563"/>
                  </a:lnTo>
                  <a:lnTo>
                    <a:pt x="210157" y="83951"/>
                  </a:lnTo>
                  <a:lnTo>
                    <a:pt x="207109" y="143565"/>
                  </a:lnTo>
                  <a:lnTo>
                    <a:pt x="196594" y="184916"/>
                  </a:lnTo>
                  <a:lnTo>
                    <a:pt x="157960" y="207014"/>
                  </a:lnTo>
                  <a:lnTo>
                    <a:pt x="111008" y="219536"/>
                  </a:lnTo>
                  <a:lnTo>
                    <a:pt x="89141" y="223330"/>
                  </a:lnTo>
                  <a:lnTo>
                    <a:pt x="69768" y="231108"/>
                  </a:lnTo>
                  <a:lnTo>
                    <a:pt x="54344" y="246070"/>
                  </a:lnTo>
                  <a:lnTo>
                    <a:pt x="44321" y="271416"/>
                  </a:lnTo>
                  <a:lnTo>
                    <a:pt x="36625" y="292561"/>
                  </a:lnTo>
                  <a:lnTo>
                    <a:pt x="30350" y="303272"/>
                  </a:lnTo>
                  <a:lnTo>
                    <a:pt x="3513" y="359539"/>
                  </a:lnTo>
                  <a:lnTo>
                    <a:pt x="0" y="381405"/>
                  </a:lnTo>
                  <a:lnTo>
                    <a:pt x="1065" y="388675"/>
                  </a:lnTo>
                  <a:lnTo>
                    <a:pt x="38542" y="429048"/>
                  </a:lnTo>
                  <a:lnTo>
                    <a:pt x="57714" y="432668"/>
                  </a:lnTo>
                  <a:lnTo>
                    <a:pt x="71845" y="430813"/>
                  </a:lnTo>
                  <a:lnTo>
                    <a:pt x="96213" y="426153"/>
                  </a:lnTo>
                  <a:lnTo>
                    <a:pt x="122172" y="423283"/>
                  </a:lnTo>
                  <a:lnTo>
                    <a:pt x="413073" y="423283"/>
                  </a:lnTo>
                  <a:lnTo>
                    <a:pt x="415627" y="421849"/>
                  </a:lnTo>
                  <a:lnTo>
                    <a:pt x="445107" y="397324"/>
                  </a:lnTo>
                  <a:lnTo>
                    <a:pt x="456009" y="384260"/>
                  </a:lnTo>
                  <a:lnTo>
                    <a:pt x="463849" y="371376"/>
                  </a:lnTo>
                  <a:lnTo>
                    <a:pt x="470246" y="359214"/>
                  </a:lnTo>
                  <a:lnTo>
                    <a:pt x="476819" y="348314"/>
                  </a:lnTo>
                  <a:lnTo>
                    <a:pt x="482104" y="334842"/>
                  </a:lnTo>
                  <a:lnTo>
                    <a:pt x="484663" y="317679"/>
                  </a:lnTo>
                  <a:lnTo>
                    <a:pt x="486186" y="301416"/>
                  </a:lnTo>
                  <a:lnTo>
                    <a:pt x="488364" y="290644"/>
                  </a:lnTo>
                  <a:lnTo>
                    <a:pt x="482215" y="245933"/>
                  </a:lnTo>
                  <a:lnTo>
                    <a:pt x="443358" y="216220"/>
                  </a:lnTo>
                  <a:lnTo>
                    <a:pt x="400162" y="211345"/>
                  </a:lnTo>
                  <a:lnTo>
                    <a:pt x="374458" y="206963"/>
                  </a:lnTo>
                  <a:lnTo>
                    <a:pt x="352499" y="199513"/>
                  </a:lnTo>
                  <a:lnTo>
                    <a:pt x="336350" y="191851"/>
                  </a:lnTo>
                  <a:lnTo>
                    <a:pt x="328077" y="186834"/>
                  </a:lnTo>
                  <a:lnTo>
                    <a:pt x="325194" y="183951"/>
                  </a:lnTo>
                  <a:lnTo>
                    <a:pt x="313662" y="173385"/>
                  </a:lnTo>
                  <a:lnTo>
                    <a:pt x="308430" y="123702"/>
                  </a:lnTo>
                  <a:lnTo>
                    <a:pt x="318107" y="118749"/>
                  </a:lnTo>
                  <a:lnTo>
                    <a:pt x="319745" y="116311"/>
                  </a:lnTo>
                  <a:lnTo>
                    <a:pt x="323114" y="110266"/>
                  </a:lnTo>
                  <a:lnTo>
                    <a:pt x="325898" y="102515"/>
                  </a:lnTo>
                  <a:lnTo>
                    <a:pt x="325778" y="94962"/>
                  </a:lnTo>
                  <a:lnTo>
                    <a:pt x="325033" y="92803"/>
                  </a:lnTo>
                  <a:lnTo>
                    <a:pt x="312837" y="92803"/>
                  </a:lnTo>
                  <a:lnTo>
                    <a:pt x="312688" y="83951"/>
                  </a:lnTo>
                  <a:lnTo>
                    <a:pt x="310652" y="41622"/>
                  </a:lnTo>
                  <a:lnTo>
                    <a:pt x="250086" y="3929"/>
                  </a:lnTo>
                  <a:lnTo>
                    <a:pt x="239983" y="324"/>
                  </a:lnTo>
                  <a:lnTo>
                    <a:pt x="232420" y="0"/>
                  </a:lnTo>
                  <a:close/>
                </a:path>
                <a:path w="488950" h="1160145">
                  <a:moveTo>
                    <a:pt x="322641" y="85869"/>
                  </a:moveTo>
                  <a:lnTo>
                    <a:pt x="312837" y="92803"/>
                  </a:lnTo>
                  <a:lnTo>
                    <a:pt x="325033" y="92803"/>
                  </a:lnTo>
                  <a:lnTo>
                    <a:pt x="322641" y="85869"/>
                  </a:lnTo>
                  <a:close/>
                </a:path>
              </a:pathLst>
            </a:custGeom>
            <a:solidFill>
              <a:srgbClr val="DA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2" name="object 64"/>
            <xdr:cNvSpPr>
              <a:spLocks/>
            </xdr:cNvSpPr>
          </xdr:nvSpPr>
          <xdr:spPr bwMode="auto">
            <a:xfrm>
              <a:off x="15180529" y="3266069"/>
              <a:ext cx="945690" cy="282018"/>
            </a:xfrm>
            <a:custGeom>
              <a:avLst/>
              <a:gdLst>
                <a:gd name="T0" fmla="*/ 340952 w 391795"/>
                <a:gd name="T1" fmla="*/ 38505 h 116839"/>
                <a:gd name="T2" fmla="*/ 320623 w 391795"/>
                <a:gd name="T3" fmla="*/ 38505 h 116839"/>
                <a:gd name="T4" fmla="*/ 338415 w 391795"/>
                <a:gd name="T5" fmla="*/ 41281 h 116839"/>
                <a:gd name="T6" fmla="*/ 359034 w 391795"/>
                <a:gd name="T7" fmla="*/ 65143 h 116839"/>
                <a:gd name="T8" fmla="*/ 391344 w 391795"/>
                <a:gd name="T9" fmla="*/ 116238 h 116839"/>
                <a:gd name="T10" fmla="*/ 353456 w 391795"/>
                <a:gd name="T11" fmla="*/ 51595 h 116839"/>
                <a:gd name="T12" fmla="*/ 340952 w 391795"/>
                <a:gd name="T13" fmla="*/ 38505 h 116839"/>
                <a:gd name="T14" fmla="*/ 123217 w 391795"/>
                <a:gd name="T15" fmla="*/ 34061 h 116839"/>
                <a:gd name="T16" fmla="*/ 92527 w 391795"/>
                <a:gd name="T17" fmla="*/ 34061 h 116839"/>
                <a:gd name="T18" fmla="*/ 103017 w 391795"/>
                <a:gd name="T19" fmla="*/ 38823 h 116839"/>
                <a:gd name="T20" fmla="*/ 113506 w 391795"/>
                <a:gd name="T21" fmla="*/ 50668 h 116839"/>
                <a:gd name="T22" fmla="*/ 144558 w 391795"/>
                <a:gd name="T23" fmla="*/ 79975 h 116839"/>
                <a:gd name="T24" fmla="*/ 198973 w 391795"/>
                <a:gd name="T25" fmla="*/ 95723 h 116839"/>
                <a:gd name="T26" fmla="*/ 232476 w 391795"/>
                <a:gd name="T27" fmla="*/ 86158 h 116839"/>
                <a:gd name="T28" fmla="*/ 265565 w 391795"/>
                <a:gd name="T29" fmla="*/ 69268 h 116839"/>
                <a:gd name="T30" fmla="*/ 285745 w 391795"/>
                <a:gd name="T31" fmla="*/ 57248 h 116839"/>
                <a:gd name="T32" fmla="*/ 190767 w 391795"/>
                <a:gd name="T33" fmla="*/ 57248 h 116839"/>
                <a:gd name="T34" fmla="*/ 156646 w 391795"/>
                <a:gd name="T35" fmla="*/ 56102 h 116839"/>
                <a:gd name="T36" fmla="*/ 131220 w 391795"/>
                <a:gd name="T37" fmla="*/ 43238 h 116839"/>
                <a:gd name="T38" fmla="*/ 123217 w 391795"/>
                <a:gd name="T39" fmla="*/ 34061 h 116839"/>
                <a:gd name="T40" fmla="*/ 297634 w 391795"/>
                <a:gd name="T41" fmla="*/ 14677 h 116839"/>
                <a:gd name="T42" fmla="*/ 269662 w 391795"/>
                <a:gd name="T43" fmla="*/ 24984 h 116839"/>
                <a:gd name="T44" fmla="*/ 234956 w 391795"/>
                <a:gd name="T45" fmla="*/ 42857 h 116839"/>
                <a:gd name="T46" fmla="*/ 190767 w 391795"/>
                <a:gd name="T47" fmla="*/ 57248 h 116839"/>
                <a:gd name="T48" fmla="*/ 285745 w 391795"/>
                <a:gd name="T49" fmla="*/ 57248 h 116839"/>
                <a:gd name="T50" fmla="*/ 296792 w 391795"/>
                <a:gd name="T51" fmla="*/ 50668 h 116839"/>
                <a:gd name="T52" fmla="*/ 320623 w 391795"/>
                <a:gd name="T53" fmla="*/ 38505 h 116839"/>
                <a:gd name="T54" fmla="*/ 340952 w 391795"/>
                <a:gd name="T55" fmla="*/ 38505 h 116839"/>
                <a:gd name="T56" fmla="*/ 323892 w 391795"/>
                <a:gd name="T57" fmla="*/ 20645 h 116839"/>
                <a:gd name="T58" fmla="*/ 297634 w 391795"/>
                <a:gd name="T59" fmla="*/ 14677 h 116839"/>
                <a:gd name="T60" fmla="*/ 84958 w 391795"/>
                <a:gd name="T61" fmla="*/ 0 h 116839"/>
                <a:gd name="T62" fmla="*/ 7131 w 391795"/>
                <a:gd name="T63" fmla="*/ 30284 h 116839"/>
                <a:gd name="T64" fmla="*/ 0 w 391795"/>
                <a:gd name="T65" fmla="*/ 43089 h 116839"/>
                <a:gd name="T66" fmla="*/ 5302 w 391795"/>
                <a:gd name="T67" fmla="*/ 48064 h 116839"/>
                <a:gd name="T68" fmla="*/ 14513 w 391795"/>
                <a:gd name="T69" fmla="*/ 51278 h 116839"/>
                <a:gd name="T70" fmla="*/ 24347 w 391795"/>
                <a:gd name="T71" fmla="*/ 52295 h 116839"/>
                <a:gd name="T72" fmla="*/ 37908 w 391795"/>
                <a:gd name="T73" fmla="*/ 49895 h 116839"/>
                <a:gd name="T74" fmla="*/ 78725 w 391795"/>
                <a:gd name="T75" fmla="*/ 35650 h 116839"/>
                <a:gd name="T76" fmla="*/ 92527 w 391795"/>
                <a:gd name="T77" fmla="*/ 34061 h 116839"/>
                <a:gd name="T78" fmla="*/ 123217 w 391795"/>
                <a:gd name="T79" fmla="*/ 34061 h 116839"/>
                <a:gd name="T80" fmla="*/ 113112 w 391795"/>
                <a:gd name="T81" fmla="*/ 22474 h 116839"/>
                <a:gd name="T82" fmla="*/ 100276 w 391795"/>
                <a:gd name="T83" fmla="*/ 5008 h 116839"/>
                <a:gd name="T84" fmla="*/ 84958 w 391795"/>
                <a:gd name="T85" fmla="*/ 0 h 11683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</a:cxnLst>
              <a:rect l="0" t="0" r="r" b="b"/>
              <a:pathLst>
                <a:path w="391795" h="116839">
                  <a:moveTo>
                    <a:pt x="340952" y="38505"/>
                  </a:moveTo>
                  <a:lnTo>
                    <a:pt x="320623" y="38505"/>
                  </a:lnTo>
                  <a:lnTo>
                    <a:pt x="338415" y="41281"/>
                  </a:lnTo>
                  <a:lnTo>
                    <a:pt x="359034" y="65143"/>
                  </a:lnTo>
                  <a:lnTo>
                    <a:pt x="391344" y="116238"/>
                  </a:lnTo>
                  <a:lnTo>
                    <a:pt x="353456" y="51595"/>
                  </a:lnTo>
                  <a:lnTo>
                    <a:pt x="340952" y="38505"/>
                  </a:lnTo>
                  <a:close/>
                </a:path>
                <a:path w="391795" h="116839">
                  <a:moveTo>
                    <a:pt x="123217" y="34061"/>
                  </a:moveTo>
                  <a:lnTo>
                    <a:pt x="92527" y="34061"/>
                  </a:lnTo>
                  <a:lnTo>
                    <a:pt x="103017" y="38823"/>
                  </a:lnTo>
                  <a:lnTo>
                    <a:pt x="113506" y="50668"/>
                  </a:lnTo>
                  <a:lnTo>
                    <a:pt x="144558" y="79975"/>
                  </a:lnTo>
                  <a:lnTo>
                    <a:pt x="198973" y="95723"/>
                  </a:lnTo>
                  <a:lnTo>
                    <a:pt x="232476" y="86158"/>
                  </a:lnTo>
                  <a:lnTo>
                    <a:pt x="265565" y="69268"/>
                  </a:lnTo>
                  <a:lnTo>
                    <a:pt x="285745" y="57248"/>
                  </a:lnTo>
                  <a:lnTo>
                    <a:pt x="190767" y="57248"/>
                  </a:lnTo>
                  <a:lnTo>
                    <a:pt x="156646" y="56102"/>
                  </a:lnTo>
                  <a:lnTo>
                    <a:pt x="131220" y="43238"/>
                  </a:lnTo>
                  <a:lnTo>
                    <a:pt x="123217" y="34061"/>
                  </a:lnTo>
                  <a:close/>
                </a:path>
                <a:path w="391795" h="116839">
                  <a:moveTo>
                    <a:pt x="297634" y="14677"/>
                  </a:moveTo>
                  <a:lnTo>
                    <a:pt x="269662" y="24984"/>
                  </a:lnTo>
                  <a:lnTo>
                    <a:pt x="234956" y="42857"/>
                  </a:lnTo>
                  <a:lnTo>
                    <a:pt x="190767" y="57248"/>
                  </a:lnTo>
                  <a:lnTo>
                    <a:pt x="285745" y="57248"/>
                  </a:lnTo>
                  <a:lnTo>
                    <a:pt x="296792" y="50668"/>
                  </a:lnTo>
                  <a:lnTo>
                    <a:pt x="320623" y="38505"/>
                  </a:lnTo>
                  <a:lnTo>
                    <a:pt x="340952" y="38505"/>
                  </a:lnTo>
                  <a:lnTo>
                    <a:pt x="323892" y="20645"/>
                  </a:lnTo>
                  <a:lnTo>
                    <a:pt x="297634" y="14677"/>
                  </a:lnTo>
                  <a:close/>
                </a:path>
                <a:path w="391795" h="116839">
                  <a:moveTo>
                    <a:pt x="84958" y="0"/>
                  </a:moveTo>
                  <a:lnTo>
                    <a:pt x="7131" y="30284"/>
                  </a:lnTo>
                  <a:lnTo>
                    <a:pt x="0" y="43089"/>
                  </a:lnTo>
                  <a:lnTo>
                    <a:pt x="5302" y="48064"/>
                  </a:lnTo>
                  <a:lnTo>
                    <a:pt x="14513" y="51278"/>
                  </a:lnTo>
                  <a:lnTo>
                    <a:pt x="24347" y="52295"/>
                  </a:lnTo>
                  <a:lnTo>
                    <a:pt x="37908" y="49895"/>
                  </a:lnTo>
                  <a:lnTo>
                    <a:pt x="78725" y="35650"/>
                  </a:lnTo>
                  <a:lnTo>
                    <a:pt x="92527" y="34061"/>
                  </a:lnTo>
                  <a:lnTo>
                    <a:pt x="123217" y="34061"/>
                  </a:lnTo>
                  <a:lnTo>
                    <a:pt x="113112" y="22474"/>
                  </a:lnTo>
                  <a:lnTo>
                    <a:pt x="100276" y="5008"/>
                  </a:lnTo>
                  <a:lnTo>
                    <a:pt x="84958" y="0"/>
                  </a:lnTo>
                  <a:close/>
                </a:path>
              </a:pathLst>
            </a:custGeom>
            <a:solidFill>
              <a:srgbClr val="FF5D5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3" name="object 65"/>
            <xdr:cNvSpPr>
              <a:spLocks/>
            </xdr:cNvSpPr>
          </xdr:nvSpPr>
          <xdr:spPr bwMode="auto">
            <a:xfrm>
              <a:off x="13982179" y="3310320"/>
              <a:ext cx="816941" cy="400040"/>
            </a:xfrm>
            <a:custGeom>
              <a:avLst/>
              <a:gdLst>
                <a:gd name="T0" fmla="*/ 37377 w 338454"/>
                <a:gd name="T1" fmla="*/ 79464 h 165735"/>
                <a:gd name="T2" fmla="*/ 21962 w 338454"/>
                <a:gd name="T3" fmla="*/ 101922 h 165735"/>
                <a:gd name="T4" fmla="*/ 0 w 338454"/>
                <a:gd name="T5" fmla="*/ 165190 h 165735"/>
                <a:gd name="T6" fmla="*/ 25917 w 338454"/>
                <a:gd name="T7" fmla="*/ 99212 h 165735"/>
                <a:gd name="T8" fmla="*/ 37377 w 338454"/>
                <a:gd name="T9" fmla="*/ 79464 h 165735"/>
                <a:gd name="T10" fmla="*/ 206838 w 338454"/>
                <a:gd name="T11" fmla="*/ 60052 h 165735"/>
                <a:gd name="T12" fmla="*/ 64725 w 338454"/>
                <a:gd name="T13" fmla="*/ 60052 h 165735"/>
                <a:gd name="T14" fmla="*/ 95529 w 338454"/>
                <a:gd name="T15" fmla="*/ 68797 h 165735"/>
                <a:gd name="T16" fmla="*/ 148462 w 338454"/>
                <a:gd name="T17" fmla="*/ 89315 h 165735"/>
                <a:gd name="T18" fmla="*/ 164237 w 338454"/>
                <a:gd name="T19" fmla="*/ 91148 h 165735"/>
                <a:gd name="T20" fmla="*/ 180212 w 338454"/>
                <a:gd name="T21" fmla="*/ 84431 h 165735"/>
                <a:gd name="T22" fmla="*/ 197484 w 338454"/>
                <a:gd name="T23" fmla="*/ 69695 h 165735"/>
                <a:gd name="T24" fmla="*/ 206838 w 338454"/>
                <a:gd name="T25" fmla="*/ 60052 h 165735"/>
                <a:gd name="T26" fmla="*/ 46225 w 338454"/>
                <a:gd name="T27" fmla="*/ 66572 h 165735"/>
                <a:gd name="T28" fmla="*/ 44507 w 338454"/>
                <a:gd name="T29" fmla="*/ 67178 h 165735"/>
                <a:gd name="T30" fmla="*/ 37377 w 338454"/>
                <a:gd name="T31" fmla="*/ 79464 h 165735"/>
                <a:gd name="T32" fmla="*/ 46225 w 338454"/>
                <a:gd name="T33" fmla="*/ 66572 h 165735"/>
                <a:gd name="T34" fmla="*/ 102938 w 338454"/>
                <a:gd name="T35" fmla="*/ 44392 h 165735"/>
                <a:gd name="T36" fmla="*/ 75182 w 338454"/>
                <a:gd name="T37" fmla="*/ 47312 h 165735"/>
                <a:gd name="T38" fmla="*/ 47607 w 338454"/>
                <a:gd name="T39" fmla="*/ 64559 h 165735"/>
                <a:gd name="T40" fmla="*/ 46225 w 338454"/>
                <a:gd name="T41" fmla="*/ 66572 h 165735"/>
                <a:gd name="T42" fmla="*/ 64725 w 338454"/>
                <a:gd name="T43" fmla="*/ 60052 h 165735"/>
                <a:gd name="T44" fmla="*/ 206838 w 338454"/>
                <a:gd name="T45" fmla="*/ 60052 h 165735"/>
                <a:gd name="T46" fmla="*/ 207785 w 338454"/>
                <a:gd name="T47" fmla="*/ 59076 h 165735"/>
                <a:gd name="T48" fmla="*/ 179946 w 338454"/>
                <a:gd name="T49" fmla="*/ 59076 h 165735"/>
                <a:gd name="T50" fmla="*/ 151993 w 338454"/>
                <a:gd name="T51" fmla="*/ 58383 h 165735"/>
                <a:gd name="T52" fmla="*/ 129125 w 338454"/>
                <a:gd name="T53" fmla="*/ 50012 h 165735"/>
                <a:gd name="T54" fmla="*/ 102938 w 338454"/>
                <a:gd name="T55" fmla="*/ 44392 h 165735"/>
                <a:gd name="T56" fmla="*/ 267579 w 338454"/>
                <a:gd name="T57" fmla="*/ 0 h 165735"/>
                <a:gd name="T58" fmla="*/ 255532 w 338454"/>
                <a:gd name="T59" fmla="*/ 1672 h 165735"/>
                <a:gd name="T60" fmla="*/ 241020 w 338454"/>
                <a:gd name="T61" fmla="*/ 8891 h 165735"/>
                <a:gd name="T62" fmla="*/ 222832 w 338454"/>
                <a:gd name="T63" fmla="*/ 24314 h 165735"/>
                <a:gd name="T64" fmla="*/ 203000 w 338454"/>
                <a:gd name="T65" fmla="*/ 44392 h 165735"/>
                <a:gd name="T66" fmla="*/ 179946 w 338454"/>
                <a:gd name="T67" fmla="*/ 59076 h 165735"/>
                <a:gd name="T68" fmla="*/ 207785 w 338454"/>
                <a:gd name="T69" fmla="*/ 59076 h 165735"/>
                <a:gd name="T70" fmla="*/ 214144 w 338454"/>
                <a:gd name="T71" fmla="*/ 52520 h 165735"/>
                <a:gd name="T72" fmla="*/ 231208 w 338454"/>
                <a:gd name="T73" fmla="*/ 38277 h 165735"/>
                <a:gd name="T74" fmla="*/ 249694 w 338454"/>
                <a:gd name="T75" fmla="*/ 32335 h 165735"/>
                <a:gd name="T76" fmla="*/ 332549 w 338454"/>
                <a:gd name="T77" fmla="*/ 32335 h 165735"/>
                <a:gd name="T78" fmla="*/ 310235 w 338454"/>
                <a:gd name="T79" fmla="*/ 15940 h 165735"/>
                <a:gd name="T80" fmla="*/ 283650 w 338454"/>
                <a:gd name="T81" fmla="*/ 4535 h 165735"/>
                <a:gd name="T82" fmla="*/ 267579 w 338454"/>
                <a:gd name="T83" fmla="*/ 0 h 165735"/>
                <a:gd name="T84" fmla="*/ 332549 w 338454"/>
                <a:gd name="T85" fmla="*/ 32335 h 165735"/>
                <a:gd name="T86" fmla="*/ 249694 w 338454"/>
                <a:gd name="T87" fmla="*/ 32335 h 165735"/>
                <a:gd name="T88" fmla="*/ 273893 w 338454"/>
                <a:gd name="T89" fmla="*/ 35308 h 165735"/>
                <a:gd name="T90" fmla="*/ 305949 w 338454"/>
                <a:gd name="T91" fmla="*/ 40598 h 165735"/>
                <a:gd name="T92" fmla="*/ 331960 w 338454"/>
                <a:gd name="T93" fmla="*/ 42762 h 165735"/>
                <a:gd name="T94" fmla="*/ 338023 w 338454"/>
                <a:gd name="T95" fmla="*/ 36357 h 165735"/>
                <a:gd name="T96" fmla="*/ 332549 w 338454"/>
                <a:gd name="T97" fmla="*/ 32335 h 16573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</a:cxnLst>
              <a:rect l="0" t="0" r="r" b="b"/>
              <a:pathLst>
                <a:path w="338454" h="165735">
                  <a:moveTo>
                    <a:pt x="37377" y="79464"/>
                  </a:moveTo>
                  <a:lnTo>
                    <a:pt x="21962" y="101922"/>
                  </a:lnTo>
                  <a:lnTo>
                    <a:pt x="0" y="165190"/>
                  </a:lnTo>
                  <a:lnTo>
                    <a:pt x="25917" y="99212"/>
                  </a:lnTo>
                  <a:lnTo>
                    <a:pt x="37377" y="79464"/>
                  </a:lnTo>
                  <a:close/>
                </a:path>
                <a:path w="338454" h="165735">
                  <a:moveTo>
                    <a:pt x="206838" y="60052"/>
                  </a:moveTo>
                  <a:lnTo>
                    <a:pt x="64725" y="60052"/>
                  </a:lnTo>
                  <a:lnTo>
                    <a:pt x="95529" y="68797"/>
                  </a:lnTo>
                  <a:lnTo>
                    <a:pt x="148462" y="89315"/>
                  </a:lnTo>
                  <a:lnTo>
                    <a:pt x="164237" y="91148"/>
                  </a:lnTo>
                  <a:lnTo>
                    <a:pt x="180212" y="84431"/>
                  </a:lnTo>
                  <a:lnTo>
                    <a:pt x="197484" y="69695"/>
                  </a:lnTo>
                  <a:lnTo>
                    <a:pt x="206838" y="60052"/>
                  </a:lnTo>
                  <a:close/>
                </a:path>
                <a:path w="338454" h="165735">
                  <a:moveTo>
                    <a:pt x="46225" y="66572"/>
                  </a:moveTo>
                  <a:lnTo>
                    <a:pt x="44507" y="67178"/>
                  </a:lnTo>
                  <a:lnTo>
                    <a:pt x="37377" y="79464"/>
                  </a:lnTo>
                  <a:lnTo>
                    <a:pt x="46225" y="66572"/>
                  </a:lnTo>
                  <a:close/>
                </a:path>
                <a:path w="338454" h="165735">
                  <a:moveTo>
                    <a:pt x="102938" y="44392"/>
                  </a:moveTo>
                  <a:lnTo>
                    <a:pt x="75182" y="47312"/>
                  </a:lnTo>
                  <a:lnTo>
                    <a:pt x="47607" y="64559"/>
                  </a:lnTo>
                  <a:lnTo>
                    <a:pt x="46225" y="66572"/>
                  </a:lnTo>
                  <a:lnTo>
                    <a:pt x="64725" y="60052"/>
                  </a:lnTo>
                  <a:lnTo>
                    <a:pt x="206838" y="60052"/>
                  </a:lnTo>
                  <a:lnTo>
                    <a:pt x="207785" y="59076"/>
                  </a:lnTo>
                  <a:lnTo>
                    <a:pt x="179946" y="59076"/>
                  </a:lnTo>
                  <a:lnTo>
                    <a:pt x="151993" y="58383"/>
                  </a:lnTo>
                  <a:lnTo>
                    <a:pt x="129125" y="50012"/>
                  </a:lnTo>
                  <a:lnTo>
                    <a:pt x="102938" y="44392"/>
                  </a:lnTo>
                  <a:close/>
                </a:path>
                <a:path w="338454" h="165735">
                  <a:moveTo>
                    <a:pt x="267579" y="0"/>
                  </a:moveTo>
                  <a:lnTo>
                    <a:pt x="255532" y="1672"/>
                  </a:lnTo>
                  <a:lnTo>
                    <a:pt x="241020" y="8891"/>
                  </a:lnTo>
                  <a:lnTo>
                    <a:pt x="222832" y="24314"/>
                  </a:lnTo>
                  <a:lnTo>
                    <a:pt x="203000" y="44392"/>
                  </a:lnTo>
                  <a:lnTo>
                    <a:pt x="179946" y="59076"/>
                  </a:lnTo>
                  <a:lnTo>
                    <a:pt x="207785" y="59076"/>
                  </a:lnTo>
                  <a:lnTo>
                    <a:pt x="214144" y="52520"/>
                  </a:lnTo>
                  <a:lnTo>
                    <a:pt x="231208" y="38277"/>
                  </a:lnTo>
                  <a:lnTo>
                    <a:pt x="249694" y="32335"/>
                  </a:lnTo>
                  <a:lnTo>
                    <a:pt x="332549" y="32335"/>
                  </a:lnTo>
                  <a:lnTo>
                    <a:pt x="310235" y="15940"/>
                  </a:lnTo>
                  <a:lnTo>
                    <a:pt x="283650" y="4535"/>
                  </a:lnTo>
                  <a:lnTo>
                    <a:pt x="267579" y="0"/>
                  </a:lnTo>
                  <a:close/>
                </a:path>
                <a:path w="338454" h="165735">
                  <a:moveTo>
                    <a:pt x="332549" y="32335"/>
                  </a:moveTo>
                  <a:lnTo>
                    <a:pt x="249694" y="32335"/>
                  </a:lnTo>
                  <a:lnTo>
                    <a:pt x="273893" y="35308"/>
                  </a:lnTo>
                  <a:lnTo>
                    <a:pt x="305949" y="40598"/>
                  </a:lnTo>
                  <a:lnTo>
                    <a:pt x="331960" y="42762"/>
                  </a:lnTo>
                  <a:lnTo>
                    <a:pt x="338023" y="36357"/>
                  </a:lnTo>
                  <a:lnTo>
                    <a:pt x="332549" y="32335"/>
                  </a:lnTo>
                  <a:close/>
                </a:path>
              </a:pathLst>
            </a:custGeom>
            <a:solidFill>
              <a:srgbClr val="FF5D5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4" name="object 66"/>
            <xdr:cNvSpPr>
              <a:spLocks/>
            </xdr:cNvSpPr>
          </xdr:nvSpPr>
          <xdr:spPr bwMode="auto">
            <a:xfrm>
              <a:off x="15095073" y="3306618"/>
              <a:ext cx="301946" cy="113421"/>
            </a:xfrm>
            <a:custGeom>
              <a:avLst/>
              <a:gdLst>
                <a:gd name="T0" fmla="*/ 80759 w 125095"/>
                <a:gd name="T1" fmla="*/ 0 h 46989"/>
                <a:gd name="T2" fmla="*/ 67774 w 125095"/>
                <a:gd name="T3" fmla="*/ 3580 h 46989"/>
                <a:gd name="T4" fmla="*/ 55033 w 125095"/>
                <a:gd name="T5" fmla="*/ 9115 h 46989"/>
                <a:gd name="T6" fmla="*/ 34966 w 125095"/>
                <a:gd name="T7" fmla="*/ 20513 h 46989"/>
                <a:gd name="T8" fmla="*/ 0 w 125095"/>
                <a:gd name="T9" fmla="*/ 41681 h 46989"/>
                <a:gd name="T10" fmla="*/ 75552 w 125095"/>
                <a:gd name="T11" fmla="*/ 46888 h 46989"/>
                <a:gd name="T12" fmla="*/ 80719 w 125095"/>
                <a:gd name="T13" fmla="*/ 39118 h 46989"/>
                <a:gd name="T14" fmla="*/ 87596 w 125095"/>
                <a:gd name="T15" fmla="*/ 33543 h 46989"/>
                <a:gd name="T16" fmla="*/ 100825 w 125095"/>
                <a:gd name="T17" fmla="*/ 27478 h 46989"/>
                <a:gd name="T18" fmla="*/ 125044 w 125095"/>
                <a:gd name="T19" fmla="*/ 18237 h 46989"/>
                <a:gd name="T20" fmla="*/ 121055 w 125095"/>
                <a:gd name="T21" fmla="*/ 14655 h 46989"/>
                <a:gd name="T22" fmla="*/ 110717 w 125095"/>
                <a:gd name="T23" fmla="*/ 7165 h 46989"/>
                <a:gd name="T24" fmla="*/ 96470 w 125095"/>
                <a:gd name="T25" fmla="*/ 652 h 46989"/>
                <a:gd name="T26" fmla="*/ 80759 w 125095"/>
                <a:gd name="T27" fmla="*/ 0 h 469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</a:cxnLst>
              <a:rect l="0" t="0" r="r" b="b"/>
              <a:pathLst>
                <a:path w="125095" h="46989">
                  <a:moveTo>
                    <a:pt x="80759" y="0"/>
                  </a:moveTo>
                  <a:lnTo>
                    <a:pt x="67774" y="3580"/>
                  </a:lnTo>
                  <a:lnTo>
                    <a:pt x="55033" y="9115"/>
                  </a:lnTo>
                  <a:lnTo>
                    <a:pt x="34966" y="20513"/>
                  </a:lnTo>
                  <a:lnTo>
                    <a:pt x="0" y="41681"/>
                  </a:lnTo>
                  <a:lnTo>
                    <a:pt x="75552" y="46888"/>
                  </a:lnTo>
                  <a:lnTo>
                    <a:pt x="80719" y="39118"/>
                  </a:lnTo>
                  <a:lnTo>
                    <a:pt x="87596" y="33543"/>
                  </a:lnTo>
                  <a:lnTo>
                    <a:pt x="100825" y="27478"/>
                  </a:lnTo>
                  <a:lnTo>
                    <a:pt x="125044" y="18237"/>
                  </a:lnTo>
                  <a:lnTo>
                    <a:pt x="121055" y="14655"/>
                  </a:lnTo>
                  <a:lnTo>
                    <a:pt x="110717" y="7165"/>
                  </a:lnTo>
                  <a:lnTo>
                    <a:pt x="96470" y="652"/>
                  </a:lnTo>
                  <a:lnTo>
                    <a:pt x="80759" y="0"/>
                  </a:lnTo>
                  <a:close/>
                </a:path>
              </a:pathLst>
            </a:custGeom>
            <a:solidFill>
              <a:srgbClr val="FF5D5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5" name="object 67"/>
            <xdr:cNvSpPr>
              <a:spLocks/>
            </xdr:cNvSpPr>
          </xdr:nvSpPr>
          <xdr:spPr bwMode="auto">
            <a:xfrm>
              <a:off x="14522911" y="3325483"/>
              <a:ext cx="295815" cy="113421"/>
            </a:xfrm>
            <a:custGeom>
              <a:avLst/>
              <a:gdLst>
                <a:gd name="T0" fmla="*/ 44284 w 122554"/>
                <a:gd name="T1" fmla="*/ 0 h 46989"/>
                <a:gd name="T2" fmla="*/ 28573 w 122554"/>
                <a:gd name="T3" fmla="*/ 652 h 46989"/>
                <a:gd name="T4" fmla="*/ 14327 w 122554"/>
                <a:gd name="T5" fmla="*/ 7165 h 46989"/>
                <a:gd name="T6" fmla="*/ 3988 w 122554"/>
                <a:gd name="T7" fmla="*/ 14655 h 46989"/>
                <a:gd name="T8" fmla="*/ 0 w 122554"/>
                <a:gd name="T9" fmla="*/ 18237 h 46989"/>
                <a:gd name="T10" fmla="*/ 28734 w 122554"/>
                <a:gd name="T11" fmla="*/ 27478 h 46989"/>
                <a:gd name="T12" fmla="*/ 44283 w 122554"/>
                <a:gd name="T13" fmla="*/ 33543 h 46989"/>
                <a:gd name="T14" fmla="*/ 52019 w 122554"/>
                <a:gd name="T15" fmla="*/ 39118 h 46989"/>
                <a:gd name="T16" fmla="*/ 57315 w 122554"/>
                <a:gd name="T17" fmla="*/ 46888 h 46989"/>
                <a:gd name="T18" fmla="*/ 122428 w 122554"/>
                <a:gd name="T19" fmla="*/ 41681 h 46989"/>
                <a:gd name="T20" fmla="*/ 88974 w 122554"/>
                <a:gd name="T21" fmla="*/ 20513 h 46989"/>
                <a:gd name="T22" fmla="*/ 69683 w 122554"/>
                <a:gd name="T23" fmla="*/ 9115 h 46989"/>
                <a:gd name="T24" fmla="*/ 57228 w 122554"/>
                <a:gd name="T25" fmla="*/ 3580 h 46989"/>
                <a:gd name="T26" fmla="*/ 44284 w 122554"/>
                <a:gd name="T27" fmla="*/ 0 h 469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</a:cxnLst>
              <a:rect l="0" t="0" r="r" b="b"/>
              <a:pathLst>
                <a:path w="122554" h="46989">
                  <a:moveTo>
                    <a:pt x="44284" y="0"/>
                  </a:moveTo>
                  <a:lnTo>
                    <a:pt x="28573" y="652"/>
                  </a:lnTo>
                  <a:lnTo>
                    <a:pt x="14327" y="7165"/>
                  </a:lnTo>
                  <a:lnTo>
                    <a:pt x="3988" y="14655"/>
                  </a:lnTo>
                  <a:lnTo>
                    <a:pt x="0" y="18237"/>
                  </a:lnTo>
                  <a:lnTo>
                    <a:pt x="28734" y="27478"/>
                  </a:lnTo>
                  <a:lnTo>
                    <a:pt x="44283" y="33543"/>
                  </a:lnTo>
                  <a:lnTo>
                    <a:pt x="52019" y="39118"/>
                  </a:lnTo>
                  <a:lnTo>
                    <a:pt x="57315" y="46888"/>
                  </a:lnTo>
                  <a:lnTo>
                    <a:pt x="122428" y="41681"/>
                  </a:lnTo>
                  <a:lnTo>
                    <a:pt x="88974" y="20513"/>
                  </a:lnTo>
                  <a:lnTo>
                    <a:pt x="69683" y="9115"/>
                  </a:lnTo>
                  <a:lnTo>
                    <a:pt x="57228" y="3580"/>
                  </a:lnTo>
                  <a:lnTo>
                    <a:pt x="44284" y="0"/>
                  </a:lnTo>
                  <a:close/>
                </a:path>
              </a:pathLst>
            </a:custGeom>
            <a:solidFill>
              <a:srgbClr val="FF5D5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</xdr:grpSp>
    </xdr:grpSp>
    <xdr:clientData/>
  </xdr:twoCellAnchor>
  <xdr:twoCellAnchor>
    <xdr:from>
      <xdr:col>2</xdr:col>
      <xdr:colOff>60550</xdr:colOff>
      <xdr:row>6</xdr:row>
      <xdr:rowOff>140156</xdr:rowOff>
    </xdr:from>
    <xdr:to>
      <xdr:col>5</xdr:col>
      <xdr:colOff>203424</xdr:colOff>
      <xdr:row>8</xdr:row>
      <xdr:rowOff>36295</xdr:rowOff>
    </xdr:to>
    <xdr:sp macro="" textlink="">
      <xdr:nvSpPr>
        <xdr:cNvPr id="71" name="Rectangle 70"/>
        <xdr:cNvSpPr/>
      </xdr:nvSpPr>
      <xdr:spPr>
        <a:xfrm>
          <a:off x="717775" y="1740356"/>
          <a:ext cx="1952624" cy="277139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ATTEINTE OBJECTIF ANNUEL</a:t>
          </a:r>
        </a:p>
      </xdr:txBody>
    </xdr:sp>
    <xdr:clientData/>
  </xdr:twoCellAnchor>
  <xdr:twoCellAnchor>
    <xdr:from>
      <xdr:col>1</xdr:col>
      <xdr:colOff>114300</xdr:colOff>
      <xdr:row>24</xdr:row>
      <xdr:rowOff>0</xdr:rowOff>
    </xdr:from>
    <xdr:to>
      <xdr:col>5</xdr:col>
      <xdr:colOff>361950</xdr:colOff>
      <xdr:row>33</xdr:row>
      <xdr:rowOff>200026</xdr:rowOff>
    </xdr:to>
    <xdr:graphicFrame macro="">
      <xdr:nvGraphicFramePr>
        <xdr:cNvPr id="42" name="Graphique 4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60550</xdr:colOff>
      <xdr:row>24</xdr:row>
      <xdr:rowOff>152401</xdr:rowOff>
    </xdr:from>
    <xdr:to>
      <xdr:col>5</xdr:col>
      <xdr:colOff>203424</xdr:colOff>
      <xdr:row>26</xdr:row>
      <xdr:rowOff>48540</xdr:rowOff>
    </xdr:to>
    <xdr:sp macro="" textlink="">
      <xdr:nvSpPr>
        <xdr:cNvPr id="43" name="Rectangle 42"/>
        <xdr:cNvSpPr/>
      </xdr:nvSpPr>
      <xdr:spPr>
        <a:xfrm>
          <a:off x="717775" y="5648326"/>
          <a:ext cx="1952624" cy="277139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ATTEINTE OBJECTIF ANNUEL</a:t>
          </a:r>
        </a:p>
      </xdr:txBody>
    </xdr:sp>
    <xdr:clientData/>
  </xdr:twoCellAnchor>
  <xdr:twoCellAnchor>
    <xdr:from>
      <xdr:col>1</xdr:col>
      <xdr:colOff>114300</xdr:colOff>
      <xdr:row>42</xdr:row>
      <xdr:rowOff>0</xdr:rowOff>
    </xdr:from>
    <xdr:to>
      <xdr:col>5</xdr:col>
      <xdr:colOff>361950</xdr:colOff>
      <xdr:row>52</xdr:row>
      <xdr:rowOff>19051</xdr:rowOff>
    </xdr:to>
    <xdr:graphicFrame macro="">
      <xdr:nvGraphicFramePr>
        <xdr:cNvPr id="44" name="Graphique 4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60550</xdr:colOff>
      <xdr:row>42</xdr:row>
      <xdr:rowOff>152401</xdr:rowOff>
    </xdr:from>
    <xdr:to>
      <xdr:col>5</xdr:col>
      <xdr:colOff>203424</xdr:colOff>
      <xdr:row>44</xdr:row>
      <xdr:rowOff>48540</xdr:rowOff>
    </xdr:to>
    <xdr:sp macro="" textlink="">
      <xdr:nvSpPr>
        <xdr:cNvPr id="52" name="Rectangle 51"/>
        <xdr:cNvSpPr/>
      </xdr:nvSpPr>
      <xdr:spPr>
        <a:xfrm>
          <a:off x="717775" y="9477376"/>
          <a:ext cx="1952624" cy="277139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ATTEINTE OBJECTIF ANNUEL</a:t>
          </a:r>
        </a:p>
      </xdr:txBody>
    </xdr:sp>
    <xdr:clientData/>
  </xdr:twoCellAnchor>
  <xdr:twoCellAnchor>
    <xdr:from>
      <xdr:col>2</xdr:col>
      <xdr:colOff>104775</xdr:colOff>
      <xdr:row>41</xdr:row>
      <xdr:rowOff>85725</xdr:rowOff>
    </xdr:from>
    <xdr:to>
      <xdr:col>3</xdr:col>
      <xdr:colOff>419100</xdr:colOff>
      <xdr:row>42</xdr:row>
      <xdr:rowOff>43933</xdr:rowOff>
    </xdr:to>
    <xdr:sp macro="" textlink="">
      <xdr:nvSpPr>
        <xdr:cNvPr id="66" name="Espace réservé du texte 10"/>
        <xdr:cNvSpPr txBox="1">
          <a:spLocks/>
        </xdr:cNvSpPr>
      </xdr:nvSpPr>
      <xdr:spPr>
        <a:xfrm>
          <a:off x="762000" y="9191625"/>
          <a:ext cx="1028700" cy="148708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FORFAITS</a:t>
          </a:r>
        </a:p>
      </xdr:txBody>
    </xdr:sp>
    <xdr:clientData/>
  </xdr:twoCellAnchor>
  <xdr:twoCellAnchor>
    <xdr:from>
      <xdr:col>16</xdr:col>
      <xdr:colOff>76200</xdr:colOff>
      <xdr:row>3</xdr:row>
      <xdr:rowOff>66675</xdr:rowOff>
    </xdr:from>
    <xdr:to>
      <xdr:col>17</xdr:col>
      <xdr:colOff>447675</xdr:colOff>
      <xdr:row>3</xdr:row>
      <xdr:rowOff>276225</xdr:rowOff>
    </xdr:to>
    <xdr:sp macro="" textlink="">
      <xdr:nvSpPr>
        <xdr:cNvPr id="2" name="Rectangle à coins arrondis 1">
          <a:hlinkClick xmlns:r="http://schemas.openxmlformats.org/officeDocument/2006/relationships" r:id="rId8"/>
        </xdr:cNvPr>
        <xdr:cNvSpPr/>
      </xdr:nvSpPr>
      <xdr:spPr>
        <a:xfrm>
          <a:off x="7829550" y="800100"/>
          <a:ext cx="971550" cy="209550"/>
        </a:xfrm>
        <a:prstGeom prst="roundRect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LEXIQUE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ISTO%20BAROMETRE/20201123_Jeu%20de%20Donn&#233;es%20Barom&#232;t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 UC"/>
      <sheetName val="IARD"/>
      <sheetName val="FORFAITS"/>
      <sheetName val="IZICARTES DEBIT DIFFERES"/>
      <sheetName val="HDG DEBIT DIFFERES"/>
      <sheetName val="CONSO"/>
    </sheetNames>
    <sheetDataSet>
      <sheetData sheetId="0">
        <row r="2">
          <cell r="O2">
            <v>47</v>
          </cell>
        </row>
        <row r="3">
          <cell r="O3">
            <v>3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ables/table1.xml><?xml version="1.0" encoding="utf-8"?>
<table xmlns="http://schemas.openxmlformats.org/spreadsheetml/2006/main" id="1" name="Tableau1" displayName="Tableau1" ref="A2:A10" totalsRowShown="0" headerRowDxfId="4" dataDxfId="2" headerRowBorderDxfId="3" tableBorderDxfId="1">
  <tableColumns count="1">
    <tableColumn id="1" name="REGION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commerciaux.celca.caisse-epargne.fr/global-bdd/pilotage/la-production-commerciale/barometre-pnb-qualite-2020/" TargetMode="External"/><Relationship Id="rId1" Type="http://schemas.openxmlformats.org/officeDocument/2006/relationships/hyperlink" Target="http://bi4-prod.sigce.caisse-epargne.fr/BOE/OpenDocument/opendoc/openDocument.jsp?sIDType=CUID&amp;iDocID=M144KqQACOAdACkD1gAARUn.An71mMoAAAA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2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1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5" Type="http://schemas.openxmlformats.org/officeDocument/2006/relationships/printerSettings" Target="../printerSettings/printerSettings8.bin"/><Relationship Id="rId4" Type="http://schemas.openxmlformats.org/officeDocument/2006/relationships/hyperlink" Target="http://commerciaux.celca.caisse-epargne.fr/download/171/tempo-2020/16352/lexique-du-suivi-quotidien-de-la-part-variable-sur-objectifs-2020.docx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2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1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5" Type="http://schemas.openxmlformats.org/officeDocument/2006/relationships/printerSettings" Target="../printerSettings/printerSettings9.bin"/><Relationship Id="rId4" Type="http://schemas.openxmlformats.org/officeDocument/2006/relationships/hyperlink" Target="http://commerciaux.celca.caisse-epargne.fr/download/171/tempo-2020/16352/lexique-du-suivi-quotidien-de-la-part-variable-sur-objectifs-2020.docx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2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1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5" Type="http://schemas.openxmlformats.org/officeDocument/2006/relationships/printerSettings" Target="../printerSettings/printerSettings10.bin"/><Relationship Id="rId4" Type="http://schemas.openxmlformats.org/officeDocument/2006/relationships/hyperlink" Target="http://commerciaux.celca.caisse-epargne.fr/download/171/tempo-2020/16352/lexique-du-suivi-quotidien-de-la-part-variable-sur-objectifs-2020.docx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2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1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5" Type="http://schemas.openxmlformats.org/officeDocument/2006/relationships/printerSettings" Target="../printerSettings/printerSettings14.bin"/><Relationship Id="rId4" Type="http://schemas.openxmlformats.org/officeDocument/2006/relationships/hyperlink" Target="http://commerciaux.celca.caisse-epargne.fr/download/171/tempo-2020/16352/lexique-du-suivi-quotidien-de-la-part-variable-sur-objectifs-2020.docx" TargetMode="Externa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2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1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5" Type="http://schemas.openxmlformats.org/officeDocument/2006/relationships/printerSettings" Target="../printerSettings/printerSettings15.bin"/><Relationship Id="rId4" Type="http://schemas.openxmlformats.org/officeDocument/2006/relationships/hyperlink" Target="http://commerciaux.celca.caisse-epargne.fr/download/171/tempo-2020/16352/lexique-du-suivi-quotidien-de-la-part-variable-sur-objectifs-2020.docx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92"/>
  <sheetViews>
    <sheetView showGridLines="0" workbookViewId="0">
      <selection activeCell="C34" sqref="C34"/>
    </sheetView>
  </sheetViews>
  <sheetFormatPr baseColWidth="10" defaultRowHeight="15" x14ac:dyDescent="0.25"/>
  <cols>
    <col min="1" max="1" width="0.7109375" customWidth="1"/>
    <col min="2" max="2" width="3.5703125" customWidth="1"/>
    <col min="3" max="3" width="10.85546875" customWidth="1"/>
    <col min="4" max="14" width="8.85546875" customWidth="1"/>
    <col min="15" max="15" width="5.140625" customWidth="1"/>
    <col min="16" max="16" width="2.5703125" style="143" customWidth="1"/>
    <col min="17" max="19" width="11.42578125" style="143"/>
  </cols>
  <sheetData>
    <row r="1" spans="2:20" ht="28.5" customHeight="1" x14ac:dyDescent="0.25">
      <c r="B1" s="217" t="s">
        <v>640</v>
      </c>
      <c r="C1" s="217"/>
      <c r="D1" s="217"/>
      <c r="E1" s="217"/>
      <c r="F1" s="217"/>
      <c r="G1" s="217"/>
      <c r="H1" s="217"/>
      <c r="I1" s="217"/>
      <c r="J1" s="217"/>
      <c r="K1" s="217"/>
      <c r="L1" s="217"/>
      <c r="M1" s="217"/>
      <c r="N1" s="217"/>
      <c r="O1" s="217"/>
      <c r="P1" s="142"/>
      <c r="Q1" s="142"/>
      <c r="R1" s="144"/>
      <c r="S1" s="144"/>
      <c r="T1" s="145"/>
    </row>
    <row r="2" spans="2:20" s="143" customFormat="1" ht="14.25" customHeight="1" x14ac:dyDescent="0.25"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4"/>
      <c r="Q2" s="144"/>
      <c r="R2" s="144"/>
      <c r="S2" s="144"/>
      <c r="T2" s="145"/>
    </row>
    <row r="3" spans="2:20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20" ht="9" customHeight="1" x14ac:dyDescent="0.25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2:20" ht="40.5" customHeight="1" x14ac:dyDescent="0.25">
      <c r="B5" s="1"/>
      <c r="C5" s="216" t="s">
        <v>641</v>
      </c>
      <c r="D5" s="216"/>
      <c r="E5" s="216"/>
      <c r="F5" s="216"/>
      <c r="G5" s="216"/>
      <c r="H5" s="216"/>
      <c r="I5" s="216"/>
      <c r="J5" s="216"/>
      <c r="K5" s="216"/>
      <c r="L5" s="216"/>
      <c r="M5" s="216"/>
      <c r="N5" s="216"/>
      <c r="O5" s="216"/>
    </row>
    <row r="6" spans="2:20" ht="9.9499999999999993" customHeight="1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2:20" ht="32.25" customHeight="1" x14ac:dyDescent="0.25">
      <c r="B7" s="1"/>
      <c r="C7" s="216" t="s">
        <v>642</v>
      </c>
      <c r="D7" s="216"/>
      <c r="E7" s="216"/>
      <c r="F7" s="216"/>
      <c r="G7" s="216"/>
      <c r="H7" s="216"/>
      <c r="I7" s="216"/>
      <c r="J7" s="216"/>
      <c r="K7" s="216"/>
      <c r="L7" s="216"/>
      <c r="M7" s="216"/>
      <c r="N7" s="216"/>
      <c r="O7" s="216"/>
    </row>
    <row r="8" spans="2:20" ht="9.9499999999999993" customHeight="1" x14ac:dyDescent="0.25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2:20" ht="30.75" customHeight="1" x14ac:dyDescent="0.25">
      <c r="B9" s="1"/>
      <c r="C9" s="218" t="s">
        <v>643</v>
      </c>
      <c r="D9" s="218"/>
      <c r="E9" s="218"/>
      <c r="F9" s="218"/>
      <c r="G9" s="218"/>
      <c r="H9" s="218"/>
      <c r="I9" s="218"/>
      <c r="J9" s="218"/>
      <c r="K9" s="218"/>
      <c r="L9" s="218"/>
      <c r="M9" s="218"/>
      <c r="N9" s="218"/>
      <c r="O9" s="218"/>
    </row>
    <row r="10" spans="2:20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2:20" x14ac:dyDescent="0.25">
      <c r="B11" s="1"/>
      <c r="C11" s="219" t="s">
        <v>647</v>
      </c>
      <c r="D11" s="219"/>
      <c r="E11" s="219"/>
      <c r="F11" s="219"/>
      <c r="G11" s="219"/>
      <c r="H11" s="1"/>
      <c r="I11" s="219" t="s">
        <v>650</v>
      </c>
      <c r="J11" s="219"/>
      <c r="K11" s="219"/>
      <c r="L11" s="219"/>
      <c r="M11" s="219"/>
      <c r="N11" s="219"/>
      <c r="O11" s="1"/>
    </row>
    <row r="12" spans="2:20" x14ac:dyDescent="0.25">
      <c r="B12" s="1"/>
      <c r="C12" s="220" t="s">
        <v>648</v>
      </c>
      <c r="D12" s="220"/>
      <c r="E12" s="220"/>
      <c r="F12" s="220"/>
      <c r="G12" s="220"/>
      <c r="H12" s="1"/>
      <c r="I12" s="220" t="s">
        <v>649</v>
      </c>
      <c r="J12" s="220"/>
      <c r="K12" s="220"/>
      <c r="L12" s="220"/>
      <c r="M12" s="220"/>
      <c r="N12" s="220"/>
      <c r="O12" s="1"/>
    </row>
    <row r="13" spans="2:20" x14ac:dyDescent="0.25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2:20" ht="5.25" customHeight="1" x14ac:dyDescent="0.25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2:20" x14ac:dyDescent="0.25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2:20" ht="4.5" customHeight="1" x14ac:dyDescent="0.25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2:15" x14ac:dyDescent="0.25">
      <c r="B17" s="1"/>
      <c r="C17" s="149" t="s">
        <v>644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2:15" ht="9.9499999999999993" customHeight="1" x14ac:dyDescent="0.25">
      <c r="B18" s="1"/>
      <c r="C18" s="149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2:15" x14ac:dyDescent="0.25">
      <c r="B19" s="1"/>
      <c r="C19" s="215" t="s">
        <v>671</v>
      </c>
      <c r="D19" s="215"/>
      <c r="E19" s="215"/>
      <c r="F19" s="215"/>
      <c r="G19" s="215"/>
      <c r="H19" s="215"/>
      <c r="I19" s="215"/>
      <c r="J19" s="215"/>
      <c r="K19" s="215"/>
      <c r="L19" s="215"/>
      <c r="M19" s="215"/>
      <c r="N19" s="215"/>
      <c r="O19" s="215"/>
    </row>
    <row r="20" spans="2:15" x14ac:dyDescent="0.25">
      <c r="B20" s="1"/>
      <c r="C20" s="1"/>
      <c r="D20" s="150"/>
      <c r="E20" s="151"/>
      <c r="F20" s="215" t="s">
        <v>672</v>
      </c>
      <c r="G20" s="215"/>
      <c r="H20" s="215"/>
      <c r="I20" s="215"/>
      <c r="J20" s="215"/>
      <c r="K20" s="215"/>
      <c r="L20" s="215"/>
      <c r="M20" s="215"/>
      <c r="N20" s="215"/>
      <c r="O20" s="150"/>
    </row>
    <row r="21" spans="2:15" ht="9.9499999999999993" customHeight="1" x14ac:dyDescent="0.25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2:15" x14ac:dyDescent="0.25">
      <c r="B22" s="1"/>
      <c r="C22" s="149" t="s">
        <v>659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2:15" x14ac:dyDescent="0.25">
      <c r="B23" s="1"/>
      <c r="C23" s="1" t="s">
        <v>673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2:15" x14ac:dyDescent="0.25">
      <c r="B24" s="1"/>
      <c r="C24" s="152" t="s">
        <v>646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2:15" x14ac:dyDescent="0.25">
      <c r="B25" s="1"/>
      <c r="C25" s="152" t="s">
        <v>674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2:15" ht="9.9499999999999993" customHeight="1" x14ac:dyDescent="0.25">
      <c r="B26" s="1"/>
      <c r="C26" s="1"/>
      <c r="D26" s="1"/>
      <c r="E26" s="1"/>
      <c r="F26" s="1"/>
      <c r="G26" s="152"/>
      <c r="H26" s="1"/>
      <c r="I26" s="1"/>
      <c r="J26" s="1"/>
      <c r="K26" s="1"/>
      <c r="L26" s="1"/>
      <c r="M26" s="1"/>
      <c r="N26" s="1"/>
      <c r="O26" s="1"/>
    </row>
    <row r="27" spans="2:15" x14ac:dyDescent="0.25">
      <c r="B27" s="1"/>
      <c r="C27" s="153" t="s">
        <v>675</v>
      </c>
      <c r="D27" s="1"/>
      <c r="E27" s="1"/>
      <c r="F27" s="1"/>
      <c r="G27" s="152"/>
      <c r="H27" s="1"/>
      <c r="I27" s="1"/>
      <c r="J27" s="1"/>
      <c r="K27" s="1"/>
      <c r="L27" s="1"/>
      <c r="M27" s="1"/>
      <c r="N27" s="1"/>
      <c r="O27" s="1"/>
    </row>
    <row r="28" spans="2:15" x14ac:dyDescent="0.25">
      <c r="B28" s="1"/>
      <c r="C28" s="1" t="s">
        <v>660</v>
      </c>
      <c r="D28" s="152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2:15" ht="9.9499999999999993" customHeight="1" x14ac:dyDescent="0.25">
      <c r="B29" s="1"/>
      <c r="C29" s="1"/>
      <c r="D29" s="152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2:15" x14ac:dyDescent="0.25">
      <c r="B30" s="1"/>
      <c r="C30" s="149" t="s">
        <v>676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2:15" ht="9.9499999999999993" customHeight="1" x14ac:dyDescent="0.25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2:15" x14ac:dyDescent="0.25">
      <c r="B32" s="1"/>
      <c r="C32" s="149" t="s">
        <v>677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2:19" ht="9.9499999999999993" customHeight="1" x14ac:dyDescent="0.25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2:19" x14ac:dyDescent="0.25">
      <c r="B34" s="1"/>
      <c r="C34" s="149" t="s">
        <v>661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2:19" x14ac:dyDescent="0.25">
      <c r="B35" s="1"/>
      <c r="C35" s="149" t="s">
        <v>662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2:19" x14ac:dyDescent="0.25">
      <c r="B36" s="1"/>
      <c r="C36" s="1" t="s">
        <v>663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2:19" ht="4.5" customHeight="1" x14ac:dyDescent="0.25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2:19" x14ac:dyDescent="0.25">
      <c r="B38" s="1"/>
      <c r="C38" s="147" t="s">
        <v>651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2:19" ht="36" customHeight="1" x14ac:dyDescent="0.25">
      <c r="B39" s="1"/>
      <c r="C39" s="216" t="s">
        <v>664</v>
      </c>
      <c r="D39" s="216"/>
      <c r="E39" s="216"/>
      <c r="F39" s="216"/>
      <c r="G39" s="216"/>
      <c r="H39" s="216"/>
      <c r="I39" s="216"/>
      <c r="J39" s="216"/>
      <c r="K39" s="216"/>
      <c r="L39" s="216"/>
      <c r="M39" s="216"/>
      <c r="N39" s="216"/>
      <c r="O39" s="216"/>
    </row>
    <row r="40" spans="2:19" s="4" customFormat="1" x14ac:dyDescent="0.25">
      <c r="B40" s="15"/>
      <c r="C40" s="15" t="s">
        <v>652</v>
      </c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48"/>
      <c r="Q40" s="148"/>
      <c r="R40" s="148"/>
      <c r="S40" s="148"/>
    </row>
    <row r="41" spans="2:19" ht="31.5" customHeight="1" x14ac:dyDescent="0.25">
      <c r="B41" s="1"/>
      <c r="C41" s="216" t="s">
        <v>666</v>
      </c>
      <c r="D41" s="216"/>
      <c r="E41" s="216"/>
      <c r="F41" s="216"/>
      <c r="G41" s="216"/>
      <c r="H41" s="216"/>
      <c r="I41" s="216"/>
      <c r="J41" s="216"/>
      <c r="K41" s="216"/>
      <c r="L41" s="216"/>
      <c r="M41" s="216"/>
      <c r="N41" s="216"/>
      <c r="O41" s="216"/>
    </row>
    <row r="42" spans="2:19" x14ac:dyDescent="0.25">
      <c r="B42" s="1"/>
      <c r="C42" s="1" t="s">
        <v>665</v>
      </c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2:19" x14ac:dyDescent="0.25">
      <c r="B43" s="1"/>
      <c r="C43" s="154" t="s">
        <v>669</v>
      </c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2:19" x14ac:dyDescent="0.25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2:19" ht="6.75" customHeight="1" x14ac:dyDescent="0.2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2:19" ht="9" customHeight="1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2:19" ht="12" customHeight="1" x14ac:dyDescent="0.2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2:19" ht="30" customHeight="1" x14ac:dyDescent="0.25">
      <c r="B48" s="1"/>
      <c r="C48" s="213" t="s">
        <v>645</v>
      </c>
      <c r="D48" s="213"/>
      <c r="E48" s="213"/>
      <c r="F48" s="213"/>
      <c r="G48" s="213"/>
      <c r="H48" s="213"/>
      <c r="I48" s="213"/>
      <c r="J48" s="213"/>
      <c r="K48" s="213"/>
      <c r="L48" s="213"/>
      <c r="M48" s="213"/>
      <c r="N48" s="213"/>
      <c r="O48" s="213"/>
    </row>
    <row r="49" spans="2:15" ht="27.75" customHeight="1" x14ac:dyDescent="0.25">
      <c r="B49" s="1"/>
      <c r="C49" s="214" t="s">
        <v>653</v>
      </c>
      <c r="D49" s="214"/>
      <c r="E49" s="214"/>
      <c r="F49" s="214"/>
      <c r="G49" s="214"/>
      <c r="H49" s="214"/>
      <c r="I49" s="214"/>
      <c r="J49" s="214"/>
      <c r="K49" s="214"/>
      <c r="L49" s="214"/>
      <c r="M49" s="214"/>
      <c r="N49" s="214"/>
      <c r="O49" s="214"/>
    </row>
    <row r="50" spans="2:15" ht="7.5" customHeight="1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2:15" ht="30" customHeight="1" x14ac:dyDescent="0.25">
      <c r="B51" s="1"/>
      <c r="C51" s="213" t="s">
        <v>654</v>
      </c>
      <c r="D51" s="213"/>
      <c r="E51" s="213"/>
      <c r="F51" s="213"/>
      <c r="G51" s="213"/>
      <c r="H51" s="213"/>
      <c r="I51" s="213"/>
      <c r="J51" s="213"/>
      <c r="K51" s="213"/>
      <c r="L51" s="213"/>
      <c r="M51" s="213"/>
      <c r="N51" s="213"/>
      <c r="O51" s="213"/>
    </row>
    <row r="52" spans="2:15" ht="37.5" customHeight="1" x14ac:dyDescent="0.25">
      <c r="B52" s="1"/>
      <c r="C52" s="214" t="s">
        <v>655</v>
      </c>
      <c r="D52" s="214"/>
      <c r="E52" s="214"/>
      <c r="F52" s="214"/>
      <c r="G52" s="214"/>
      <c r="H52" s="214"/>
      <c r="I52" s="214"/>
      <c r="J52" s="214"/>
      <c r="K52" s="214"/>
      <c r="L52" s="214"/>
      <c r="M52" s="214"/>
      <c r="N52" s="214"/>
      <c r="O52" s="214"/>
    </row>
    <row r="53" spans="2:15" ht="29.25" customHeight="1" x14ac:dyDescent="0.25">
      <c r="B53" s="1"/>
      <c r="C53" s="214" t="s">
        <v>656</v>
      </c>
      <c r="D53" s="214"/>
      <c r="E53" s="214"/>
      <c r="F53" s="214"/>
      <c r="G53" s="214"/>
      <c r="H53" s="214"/>
      <c r="I53" s="214"/>
      <c r="J53" s="214"/>
      <c r="K53" s="214"/>
      <c r="L53" s="214"/>
      <c r="M53" s="214"/>
      <c r="N53" s="214"/>
      <c r="O53" s="214"/>
    </row>
    <row r="54" spans="2:15" ht="7.5" customHeight="1" x14ac:dyDescent="0.25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2:15" ht="30" customHeight="1" x14ac:dyDescent="0.25">
      <c r="B55" s="1"/>
      <c r="C55" s="213" t="s">
        <v>657</v>
      </c>
      <c r="D55" s="213"/>
      <c r="E55" s="213"/>
      <c r="F55" s="213"/>
      <c r="G55" s="213"/>
      <c r="H55" s="213"/>
      <c r="I55" s="213"/>
      <c r="J55" s="213"/>
      <c r="K55" s="213"/>
      <c r="L55" s="213"/>
      <c r="M55" s="213"/>
      <c r="N55" s="213"/>
      <c r="O55" s="213"/>
    </row>
    <row r="56" spans="2:15" x14ac:dyDescent="0.25">
      <c r="B56" s="1"/>
      <c r="C56" s="155" t="s">
        <v>658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2:15" x14ac:dyDescent="0.25">
      <c r="B57" s="1"/>
      <c r="C57" s="147" t="s">
        <v>678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2:15" x14ac:dyDescent="0.25">
      <c r="B58" s="1"/>
      <c r="C58" s="147" t="s">
        <v>679</v>
      </c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2:15" ht="6" customHeight="1" x14ac:dyDescent="0.25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2:15" x14ac:dyDescent="0.25">
      <c r="B60" s="1"/>
      <c r="C60" s="213" t="s">
        <v>667</v>
      </c>
      <c r="D60" s="213"/>
      <c r="E60" s="213"/>
      <c r="F60" s="213"/>
      <c r="G60" s="213"/>
      <c r="H60" s="213"/>
      <c r="I60" s="213"/>
      <c r="J60" s="213"/>
      <c r="K60" s="213"/>
      <c r="L60" s="213"/>
      <c r="M60" s="213"/>
      <c r="N60" s="213"/>
      <c r="O60" s="213"/>
    </row>
    <row r="61" spans="2:15" x14ac:dyDescent="0.25">
      <c r="B61" s="1"/>
      <c r="C61" s="214" t="s">
        <v>668</v>
      </c>
      <c r="D61" s="214"/>
      <c r="E61" s="214"/>
      <c r="F61" s="214"/>
      <c r="G61" s="214"/>
      <c r="H61" s="214"/>
      <c r="I61" s="214"/>
      <c r="J61" s="214"/>
      <c r="K61" s="214"/>
      <c r="L61" s="214"/>
      <c r="M61" s="214"/>
      <c r="N61" s="214"/>
      <c r="O61" s="214"/>
    </row>
    <row r="62" spans="2:15" x14ac:dyDescent="0.25"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2:15" x14ac:dyDescent="0.25"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2:15" x14ac:dyDescent="0.25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2:15" x14ac:dyDescent="0.25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2:15" x14ac:dyDescent="0.25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2:15" x14ac:dyDescent="0.25"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2:15" x14ac:dyDescent="0.25"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2:15" x14ac:dyDescent="0.25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2:15" x14ac:dyDescent="0.25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2:15" x14ac:dyDescent="0.25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spans="2:15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</row>
    <row r="73" spans="2:15" x14ac:dyDescent="0.25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</row>
    <row r="74" spans="2:15" x14ac:dyDescent="0.25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</row>
    <row r="75" spans="2:15" x14ac:dyDescent="0.25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</row>
    <row r="76" spans="2:15" x14ac:dyDescent="0.25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</row>
    <row r="77" spans="2:15" x14ac:dyDescent="0.25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</row>
    <row r="78" spans="2:15" x14ac:dyDescent="0.25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</row>
    <row r="79" spans="2:15" x14ac:dyDescent="0.25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</row>
    <row r="80" spans="2:15" x14ac:dyDescent="0.25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</row>
    <row r="81" spans="2:15" x14ac:dyDescent="0.25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spans="2:15" x14ac:dyDescent="0.25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2:15" x14ac:dyDescent="0.25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2:15" x14ac:dyDescent="0.25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2:15" x14ac:dyDescent="0.25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spans="2:15" x14ac:dyDescent="0.25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2:15" x14ac:dyDescent="0.25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2:15" x14ac:dyDescent="0.25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2:15" x14ac:dyDescent="0.25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2:15" x14ac:dyDescent="0.25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2:15" x14ac:dyDescent="0.25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2:15" x14ac:dyDescent="0.25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</sheetData>
  <mergeCells count="20">
    <mergeCell ref="F20:N20"/>
    <mergeCell ref="C39:O39"/>
    <mergeCell ref="C41:O41"/>
    <mergeCell ref="C48:O48"/>
    <mergeCell ref="B1:O1"/>
    <mergeCell ref="C5:O5"/>
    <mergeCell ref="C19:O19"/>
    <mergeCell ref="C7:O7"/>
    <mergeCell ref="C9:O9"/>
    <mergeCell ref="C11:G11"/>
    <mergeCell ref="C12:G12"/>
    <mergeCell ref="I11:N11"/>
    <mergeCell ref="I12:N12"/>
    <mergeCell ref="C60:O60"/>
    <mergeCell ref="C61:O61"/>
    <mergeCell ref="C49:O49"/>
    <mergeCell ref="C51:O51"/>
    <mergeCell ref="C52:O52"/>
    <mergeCell ref="C53:O53"/>
    <mergeCell ref="C55:O55"/>
  </mergeCells>
  <hyperlinks>
    <hyperlink ref="C12" r:id="rId1"/>
    <hyperlink ref="I12" r:id="rId2"/>
  </hyperlinks>
  <printOptions horizontalCentered="1"/>
  <pageMargins left="7.874015748031496E-2" right="7.874015748031496E-2" top="0.19685039370078741" bottom="0.19685039370078741" header="0.31496062992125984" footer="0.31496062992125984"/>
  <pageSetup paperSize="9" scale="80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D59"/>
  <sheetViews>
    <sheetView showGridLines="0" tabSelected="1" zoomScale="90" zoomScaleNormal="90" workbookViewId="0">
      <selection activeCell="N19" sqref="N19"/>
    </sheetView>
  </sheetViews>
  <sheetFormatPr baseColWidth="10" defaultRowHeight="15" x14ac:dyDescent="0.25"/>
  <cols>
    <col min="1" max="1" width="5.140625" customWidth="1"/>
    <col min="2" max="2" width="4.7109375" customWidth="1"/>
    <col min="3" max="3" width="11.7109375" bestFit="1" customWidth="1"/>
    <col min="4" max="9" width="7.7109375" customWidth="1"/>
    <col min="10" max="10" width="3.5703125" customWidth="1"/>
    <col min="11" max="11" width="10.7109375" customWidth="1"/>
    <col min="12" max="12" width="9.28515625" customWidth="1"/>
    <col min="13" max="13" width="1.85546875" customWidth="1"/>
    <col min="14" max="14" width="7.7109375" customWidth="1"/>
    <col min="15" max="15" width="1.7109375" customWidth="1"/>
    <col min="16" max="16" width="13.5703125" customWidth="1"/>
    <col min="17" max="17" width="9" customWidth="1"/>
    <col min="18" max="18" width="7.140625" customWidth="1"/>
    <col min="19" max="19" width="3" customWidth="1"/>
    <col min="23" max="23" width="11.42578125" hidden="1" customWidth="1"/>
    <col min="24" max="24" width="21.42578125" hidden="1" customWidth="1"/>
    <col min="25" max="25" width="12.85546875" hidden="1" customWidth="1"/>
    <col min="26" max="26" width="22.5703125" hidden="1" customWidth="1"/>
    <col min="27" max="27" width="11.42578125" hidden="1" customWidth="1"/>
    <col min="28" max="30" width="11.42578125" customWidth="1"/>
  </cols>
  <sheetData>
    <row r="1" spans="2:27" s="4" customFormat="1" ht="27.75" customHeight="1" x14ac:dyDescent="0.25">
      <c r="B1" s="2"/>
      <c r="C1" s="260" t="s">
        <v>1</v>
      </c>
      <c r="D1" s="260"/>
      <c r="E1" s="260"/>
      <c r="F1" s="260"/>
      <c r="G1" s="3"/>
      <c r="H1" s="260" t="s">
        <v>2</v>
      </c>
      <c r="I1" s="260"/>
      <c r="J1" s="260"/>
      <c r="K1" s="260"/>
      <c r="L1" s="260"/>
      <c r="M1" s="3"/>
      <c r="N1" s="260" t="s">
        <v>3</v>
      </c>
      <c r="O1" s="260"/>
      <c r="P1" s="260"/>
      <c r="Q1" s="260"/>
      <c r="R1" s="260"/>
      <c r="S1" s="2"/>
    </row>
    <row r="2" spans="2:27" s="4" customFormat="1" x14ac:dyDescent="0.25">
      <c r="B2" s="2"/>
      <c r="C2" s="261" t="s">
        <v>437</v>
      </c>
      <c r="D2" s="261"/>
      <c r="E2" s="261"/>
      <c r="F2" s="261"/>
      <c r="G2" s="2"/>
      <c r="H2" s="261" t="s">
        <v>201</v>
      </c>
      <c r="I2" s="261"/>
      <c r="J2" s="261"/>
      <c r="K2" s="261"/>
      <c r="L2" s="261"/>
      <c r="M2" s="2"/>
      <c r="N2" s="261" t="s">
        <v>207</v>
      </c>
      <c r="O2" s="261"/>
      <c r="P2" s="261"/>
      <c r="Q2" s="261"/>
      <c r="R2" s="261"/>
      <c r="S2" s="2"/>
      <c r="X2" s="77" t="s">
        <v>559</v>
      </c>
      <c r="Y2" s="287">
        <v>48</v>
      </c>
      <c r="Z2" s="212" t="s">
        <v>704</v>
      </c>
      <c r="AA2" s="137"/>
    </row>
    <row r="3" spans="2:27" s="4" customFormat="1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U3" s="15"/>
      <c r="X3" s="77" t="s">
        <v>558</v>
      </c>
      <c r="Y3" s="141">
        <f>50-Y2+1</f>
        <v>3</v>
      </c>
      <c r="Z3" s="118"/>
    </row>
    <row r="4" spans="2:27" ht="26.25" customHeight="1" x14ac:dyDescent="0.25">
      <c r="B4" s="257" t="s">
        <v>696</v>
      </c>
      <c r="C4" s="258"/>
      <c r="D4" s="258"/>
      <c r="E4" s="258"/>
      <c r="F4" s="258"/>
      <c r="G4" s="258"/>
      <c r="H4" s="258"/>
      <c r="I4" s="258"/>
      <c r="J4" s="258"/>
      <c r="K4" s="258"/>
      <c r="L4" s="258"/>
      <c r="M4" s="258"/>
      <c r="N4" s="258"/>
      <c r="O4" s="258"/>
      <c r="P4" s="258"/>
      <c r="Q4" s="258"/>
      <c r="R4" s="258"/>
      <c r="S4" s="259"/>
      <c r="X4" s="117" t="s">
        <v>553</v>
      </c>
      <c r="Y4" s="124">
        <f>VLOOKUP(N2,'ETP Challenge'!D:F,3,0)</f>
        <v>551314</v>
      </c>
      <c r="Z4" s="78"/>
      <c r="AA4" s="77"/>
    </row>
    <row r="5" spans="2:27" ht="26.25" customHeight="1" thickBot="1" x14ac:dyDescent="0.35">
      <c r="B5" s="40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2"/>
    </row>
    <row r="6" spans="2:27" ht="15.75" customHeight="1" x14ac:dyDescent="0.25">
      <c r="B6" s="26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27"/>
      <c r="X6" s="44" t="s">
        <v>377</v>
      </c>
      <c r="Y6" s="45"/>
      <c r="Z6" s="45"/>
    </row>
    <row r="7" spans="2:27" x14ac:dyDescent="0.25">
      <c r="B7" s="26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27"/>
      <c r="X7" s="46" t="s">
        <v>371</v>
      </c>
      <c r="Y7" s="47"/>
      <c r="Z7" s="47">
        <v>80</v>
      </c>
    </row>
    <row r="8" spans="2:27" ht="15" customHeight="1" x14ac:dyDescent="0.25">
      <c r="B8" s="26"/>
      <c r="C8" s="1"/>
      <c r="D8" s="1"/>
      <c r="E8" s="1"/>
      <c r="F8" s="1"/>
      <c r="G8" s="221" t="s">
        <v>670</v>
      </c>
      <c r="H8" s="222"/>
      <c r="I8" s="223"/>
      <c r="J8" s="1"/>
      <c r="K8" s="1"/>
      <c r="L8" s="17"/>
      <c r="M8" s="17"/>
      <c r="N8" s="17"/>
      <c r="O8" s="17"/>
      <c r="P8" s="17"/>
      <c r="Q8" s="17"/>
      <c r="R8" s="17"/>
      <c r="S8" s="27"/>
      <c r="X8" s="46" t="s">
        <v>372</v>
      </c>
      <c r="Y8" s="47"/>
      <c r="Z8" s="47">
        <v>20</v>
      </c>
    </row>
    <row r="9" spans="2:27" ht="15" customHeight="1" x14ac:dyDescent="0.25">
      <c r="B9" s="26"/>
      <c r="C9" s="1"/>
      <c r="D9" s="1"/>
      <c r="E9" s="1"/>
      <c r="F9" s="1"/>
      <c r="G9" s="224"/>
      <c r="H9" s="225"/>
      <c r="I9" s="226"/>
      <c r="J9" s="1"/>
      <c r="K9" s="264" t="s">
        <v>17</v>
      </c>
      <c r="L9" s="264"/>
      <c r="M9" s="43"/>
      <c r="N9" s="236" t="str">
        <f>"2 MRH4 par ETP par semaine, soit "&amp;ROUND(2*SUMIF('ETP Challenge'!$D:$D,$N$2,'ETP Challenge'!$E:$E),0)*6 &amp; " contrats pour mon agence entre le 4 novembre et le 15 décembre"</f>
        <v>2 MRH4 par ETP par semaine, soit 36 contrats pour mon agence entre le 4 novembre et le 15 décembre</v>
      </c>
      <c r="O9" s="236"/>
      <c r="P9" s="236"/>
      <c r="Q9" s="236"/>
      <c r="R9" s="43"/>
      <c r="S9" s="27"/>
      <c r="X9" s="46" t="s">
        <v>373</v>
      </c>
      <c r="Y9" s="47"/>
      <c r="Z9" s="47">
        <v>20</v>
      </c>
    </row>
    <row r="10" spans="2:27" ht="15" customHeight="1" x14ac:dyDescent="0.25">
      <c r="B10" s="26"/>
      <c r="C10" s="1"/>
      <c r="D10" s="1"/>
      <c r="E10" s="1"/>
      <c r="F10" s="1"/>
      <c r="G10" s="224"/>
      <c r="H10" s="225"/>
      <c r="I10" s="226"/>
      <c r="J10" s="1"/>
      <c r="K10" s="264"/>
      <c r="L10" s="264"/>
      <c r="M10" s="43"/>
      <c r="N10" s="236"/>
      <c r="O10" s="236"/>
      <c r="P10" s="236"/>
      <c r="Q10" s="236"/>
      <c r="R10" s="43"/>
      <c r="S10" s="27"/>
      <c r="X10" s="46"/>
      <c r="Y10" s="48"/>
      <c r="Z10" s="48">
        <f>SUM(Z7:Z9)</f>
        <v>120</v>
      </c>
    </row>
    <row r="11" spans="2:27" ht="15" customHeight="1" x14ac:dyDescent="0.25">
      <c r="B11" s="26"/>
      <c r="C11" s="1"/>
      <c r="D11" s="1"/>
      <c r="E11" s="1"/>
      <c r="F11" s="1"/>
      <c r="G11" s="229" t="str">
        <f>ROUND(VLOOKUP(N2,'Meilleures perf'!C:G,3,0),1) &amp; " contrats par ETP"</f>
        <v>5,7 contrats par ETP</v>
      </c>
      <c r="H11" s="230"/>
      <c r="I11" s="231"/>
      <c r="J11" s="1"/>
      <c r="K11" s="264"/>
      <c r="L11" s="264"/>
      <c r="N11" s="236"/>
      <c r="O11" s="236"/>
      <c r="P11" s="236"/>
      <c r="Q11" s="236"/>
      <c r="R11" s="43"/>
      <c r="S11" s="27"/>
      <c r="X11" s="46"/>
      <c r="Y11" s="47"/>
      <c r="Z11" s="47"/>
    </row>
    <row r="12" spans="2:27" ht="15.75" customHeight="1" x14ac:dyDescent="0.25">
      <c r="B12" s="26"/>
      <c r="C12" s="1"/>
      <c r="D12" s="1"/>
      <c r="E12" s="1"/>
      <c r="F12" s="1"/>
      <c r="G12" s="229"/>
      <c r="H12" s="230"/>
      <c r="I12" s="231"/>
      <c r="J12" s="1"/>
      <c r="K12" s="264"/>
      <c r="L12" s="264"/>
      <c r="N12" s="236"/>
      <c r="O12" s="236"/>
      <c r="P12" s="236"/>
      <c r="Q12" s="236"/>
      <c r="R12" s="43"/>
      <c r="S12" s="27"/>
      <c r="X12" s="49" t="s">
        <v>378</v>
      </c>
      <c r="Y12" s="52">
        <f>ROUND(VLOOKUP(N2,'Coller ici dernier suivi PV'!C:BR,35,0)*100,1)</f>
        <v>95.3</v>
      </c>
      <c r="Z12" s="52">
        <f>IF(Y12&gt;=120,120,Y12)</f>
        <v>95.3</v>
      </c>
    </row>
    <row r="13" spans="2:27" ht="15" customHeight="1" x14ac:dyDescent="0.25">
      <c r="B13" s="26"/>
      <c r="C13" s="227" t="str">
        <f>Y12 &amp; "%"</f>
        <v>95,3%</v>
      </c>
      <c r="D13" s="228"/>
      <c r="E13" s="228"/>
      <c r="F13" s="1"/>
      <c r="G13" s="232"/>
      <c r="H13" s="233"/>
      <c r="I13" s="234"/>
      <c r="J13" s="1"/>
      <c r="K13" s="225"/>
      <c r="L13" s="225"/>
      <c r="M13" s="1"/>
      <c r="N13" s="236"/>
      <c r="O13" s="236"/>
      <c r="P13" s="236"/>
      <c r="Q13" s="236"/>
      <c r="R13" s="18"/>
      <c r="S13" s="27"/>
      <c r="X13" s="46" t="s">
        <v>374</v>
      </c>
      <c r="Y13" s="53"/>
      <c r="Z13" s="47">
        <v>1</v>
      </c>
    </row>
    <row r="14" spans="2:27" ht="15.75" thickBot="1" x14ac:dyDescent="0.3">
      <c r="B14" s="26"/>
      <c r="C14" s="1"/>
      <c r="E14" s="1"/>
      <c r="F14" s="1"/>
      <c r="G14" s="1"/>
      <c r="H14" s="1"/>
      <c r="I14" s="1"/>
      <c r="J14" s="1"/>
      <c r="K14" s="18"/>
      <c r="L14" s="18"/>
      <c r="M14" s="5"/>
      <c r="N14" s="23"/>
      <c r="O14" s="24"/>
      <c r="P14" s="17"/>
      <c r="Q14" s="17"/>
      <c r="R14" s="18"/>
      <c r="S14" s="27"/>
      <c r="X14" s="50" t="s">
        <v>375</v>
      </c>
      <c r="Y14" s="54"/>
      <c r="Z14" s="51">
        <f>SUM($Z$7:$Z$10)-(Z13+Z12)</f>
        <v>143.69999999999999</v>
      </c>
    </row>
    <row r="15" spans="2:27" x14ac:dyDescent="0.25">
      <c r="B15" s="26"/>
      <c r="C15" s="1"/>
      <c r="D15" s="1"/>
      <c r="E15" s="1"/>
      <c r="F15" s="1"/>
      <c r="G15" s="1"/>
      <c r="H15" s="1"/>
      <c r="I15" s="1"/>
      <c r="J15" s="1"/>
      <c r="K15" s="1"/>
      <c r="L15" s="1"/>
      <c r="M15" s="5"/>
      <c r="N15" s="139"/>
      <c r="O15" s="24"/>
      <c r="P15" s="17"/>
      <c r="Q15" s="17"/>
      <c r="R15" s="22"/>
      <c r="S15" s="27"/>
      <c r="X15" s="49" t="s">
        <v>379</v>
      </c>
      <c r="Y15" s="52">
        <f>ROUND(VLOOKUP(N2,'Coller ici dernier suivi PV'!C:BR,25,0)*100,1)</f>
        <v>115.1</v>
      </c>
      <c r="Z15" s="52">
        <f>IF(Y15&gt;=120,120,Y15)</f>
        <v>115.1</v>
      </c>
    </row>
    <row r="16" spans="2:27" ht="30" customHeight="1" x14ac:dyDescent="0.25">
      <c r="B16" s="26"/>
      <c r="C16" s="1"/>
      <c r="D16" s="247" t="s">
        <v>443</v>
      </c>
      <c r="E16" s="247"/>
      <c r="F16" s="247"/>
      <c r="G16" s="247"/>
      <c r="H16" s="247"/>
      <c r="I16" s="247"/>
      <c r="J16" s="1"/>
      <c r="K16" s="254" t="s">
        <v>611</v>
      </c>
      <c r="L16" s="255"/>
      <c r="M16" s="5"/>
      <c r="N16" s="252" t="s">
        <v>639</v>
      </c>
      <c r="O16" s="17"/>
      <c r="P16" s="254" t="s">
        <v>617</v>
      </c>
      <c r="Q16" s="262"/>
      <c r="R16" s="255"/>
      <c r="S16" s="27"/>
      <c r="X16" s="46" t="s">
        <v>374</v>
      </c>
      <c r="Y16" s="53"/>
      <c r="Z16" s="47">
        <v>1</v>
      </c>
    </row>
    <row r="17" spans="2:26" ht="18.95" customHeight="1" thickBot="1" x14ac:dyDescent="0.3">
      <c r="B17" s="26"/>
      <c r="C17" s="1"/>
      <c r="D17" s="72" t="s">
        <v>6</v>
      </c>
      <c r="E17" s="72" t="s">
        <v>7</v>
      </c>
      <c r="F17" s="72" t="s">
        <v>8</v>
      </c>
      <c r="G17" s="72" t="s">
        <v>9</v>
      </c>
      <c r="H17" s="72" t="s">
        <v>10</v>
      </c>
      <c r="I17" s="72" t="s">
        <v>11</v>
      </c>
      <c r="J17" s="1"/>
      <c r="K17" s="256"/>
      <c r="L17" s="241"/>
      <c r="M17" s="1"/>
      <c r="N17" s="253"/>
      <c r="O17" s="23"/>
      <c r="P17" s="256"/>
      <c r="Q17" s="263"/>
      <c r="R17" s="241"/>
      <c r="S17" s="27"/>
      <c r="U17" s="1"/>
      <c r="X17" s="50" t="s">
        <v>375</v>
      </c>
      <c r="Y17" s="54"/>
      <c r="Z17" s="51">
        <f>SUM($Z$7:$Z$10)-(Z16+Z15)</f>
        <v>123.9</v>
      </c>
    </row>
    <row r="18" spans="2:26" s="4" customFormat="1" ht="18.95" customHeight="1" x14ac:dyDescent="0.25">
      <c r="B18" s="31"/>
      <c r="C18" s="76" t="s">
        <v>12</v>
      </c>
      <c r="D18" s="71">
        <f>(VLOOKUP($N$2,'CUMUL résultats semaine'!$A:$BL,3,0)/SUMIF('ETP Challenge'!$D:$D,$N$2,'ETP Challenge'!$E:$E))/6</f>
        <v>0.52264808362369342</v>
      </c>
      <c r="E18" s="71">
        <f>IF(ISNUMBER(D$20),(VLOOKUP($N$2,'CUMUL résultats semaine'!$A:$BL,12,0)/SUMIF('ETP Challenge'!$D:$D,$N$2,'ETP Challenge'!$E:$E))/5,D18)</f>
        <v>0.69686411149825778</v>
      </c>
      <c r="F18" s="71">
        <f>IF(ISNUMBER(E$20),(VLOOKUP($N$2,'CUMUL résultats semaine'!$A:$BL,21,0)/SUMIF('ETP Challenge'!$D:$D,$N$2,'ETP Challenge'!$E:$E))/4,E18)</f>
        <v>0.95818815331010454</v>
      </c>
      <c r="G18" s="71">
        <f>IF(ISNUMBER(F$20),(VLOOKUP($N$2,'CUMUL résultats semaine'!$A:$BL,30,0)/SUMIF('ETP Challenge'!$D:$D,$N$2,'ETP Challenge'!$E:$E))/3,F18)</f>
        <v>0.81300813008130079</v>
      </c>
      <c r="H18" s="71">
        <f>IF(ISNUMBER(G$20),(VLOOKUP($N$2,'CUMUL résultats semaine'!$A:$BL,39,0)/SUMIF('ETP Challenge'!$D:$D,$N$2,'ETP Challenge'!$E:$E))/2,G18)</f>
        <v>0.81300813008130079</v>
      </c>
      <c r="I18" s="71">
        <f>IF(ISNUMBER(H$20),(VLOOKUP($N$2,'CUMUL résultats semaine'!$A:$BL,48,0)/SUMIF('ETP Challenge'!$D:$D,$N$2,'ETP Challenge'!$E:$E)),H18)</f>
        <v>0.81300813008130079</v>
      </c>
      <c r="J18" s="15"/>
      <c r="K18" s="32" t="s">
        <v>3</v>
      </c>
      <c r="L18" s="33" t="s">
        <v>18</v>
      </c>
      <c r="M18" s="21"/>
      <c r="N18" s="253"/>
      <c r="O18" s="23"/>
      <c r="P18" s="32" t="s">
        <v>3</v>
      </c>
      <c r="Q18" s="241" t="s">
        <v>18</v>
      </c>
      <c r="R18" s="241"/>
      <c r="S18" s="34"/>
      <c r="X18" s="49" t="s">
        <v>380</v>
      </c>
      <c r="Y18" s="52">
        <f>ROUND(VLOOKUP(N2,'Coller ici dernier suivi PV'!C:BR,55,0)*100,1)</f>
        <v>210</v>
      </c>
      <c r="Z18" s="52">
        <f>IF(Y18&gt;=120,120,Y18)</f>
        <v>120</v>
      </c>
    </row>
    <row r="19" spans="2:26" s="4" customFormat="1" ht="18.95" customHeight="1" x14ac:dyDescent="0.25">
      <c r="B19" s="31"/>
      <c r="C19" s="76" t="s">
        <v>13</v>
      </c>
      <c r="D19" s="71">
        <f>(VLOOKUP($N$2,'CUMUL résultats semaine'!$A:$BL,4,0)/SUMIF('ETP Challenge'!$D:$D,$N$2,'ETP Challenge'!$E:$E))/6</f>
        <v>2.264808362369338</v>
      </c>
      <c r="E19" s="71">
        <f>IF(ISNUMBER(D$20),(VLOOKUP($N$2,'CUMUL résultats semaine'!$A:$BL,13,0)/SUMIF('ETP Challenge'!$D:$D,$N$2,'ETP Challenge'!$E:$E))/5,D19)</f>
        <v>2.7874564459930311</v>
      </c>
      <c r="F19" s="71">
        <f>IF(ISNUMBER(E$20),(VLOOKUP($N$2,'CUMUL résultats semaine'!$A:$BL,22,0)/SUMIF('ETP Challenge'!$D:$D,$N$2,'ETP Challenge'!$E:$E))/4,E19)</f>
        <v>3.5714285714285712</v>
      </c>
      <c r="G19" s="71">
        <f>IF(ISNUMBER(F$20),(VLOOKUP($N$2,'CUMUL résultats semaine'!$A:$BL,31,0)/SUMIF('ETP Challenge'!$D:$D,$N$2,'ETP Challenge'!$E:$E))/3,F19)</f>
        <v>4.2973286875725902</v>
      </c>
      <c r="H19" s="71">
        <f>IF(ISNUMBER(G$20),(VLOOKUP($N$2,'CUMUL résultats semaine'!$A:$BL,40,0)/SUMIF('ETP Challenge'!$D:$D,$N$2,'ETP Challenge'!$E:$E))/2,G19)</f>
        <v>4.2973286875725902</v>
      </c>
      <c r="I19" s="71">
        <f>IF(ISNUMBER(H$20),(VLOOKUP($N$2,'CUMUL résultats semaine'!$A:$BL,49,0)/SUMIF('ETP Challenge'!$D:$D,$N$2,'ETP Challenge'!$E:$E)),H19)</f>
        <v>4.2973286875725902</v>
      </c>
      <c r="J19" s="15"/>
      <c r="K19" s="25">
        <f>IF(ISNUMBER(VLOOKUP(N2,'PROD MRH4'!D:E,2,0)),VLOOKUP(N2,'PROD MRH4'!D:E,2,0),0)</f>
        <v>4</v>
      </c>
      <c r="L19" s="134">
        <f>K19/SUMIF('ETP Challenge'!$D:$D,$N$2,'ETP Challenge'!$E:$E)</f>
        <v>1.3937282229965156</v>
      </c>
      <c r="M19" s="21"/>
      <c r="N19" s="140">
        <f>IF(Y3=6,0,L19/(2*(6-Y3)))</f>
        <v>0.23228803716608593</v>
      </c>
      <c r="O19" s="23"/>
      <c r="P19" s="135">
        <f>(ROUND(2*SUMIF('ETP Challenge'!$D:$D,$N$2,'ETP Challenge'!$E:$E),1)*6 - K19)/Y3</f>
        <v>10.066666666666668</v>
      </c>
      <c r="Q19" s="242">
        <f>P19/SUMIF('ETP Challenge'!$D:$D,$N$2,'ETP Challenge'!$E:$E)</f>
        <v>3.5075493612078983</v>
      </c>
      <c r="R19" s="243"/>
      <c r="S19" s="34"/>
      <c r="X19" s="46" t="s">
        <v>374</v>
      </c>
      <c r="Y19" s="53"/>
      <c r="Z19" s="47">
        <v>1</v>
      </c>
    </row>
    <row r="20" spans="2:26" s="4" customFormat="1" ht="18.95" customHeight="1" thickBot="1" x14ac:dyDescent="0.3">
      <c r="B20" s="31"/>
      <c r="C20" s="76" t="s">
        <v>442</v>
      </c>
      <c r="D20" s="71">
        <f>IF(ISNUMBER(VLOOKUP($N$2,'CUMUL résultats semaine'!A:BL,11,0)),(VLOOKUP($N$2,'CUMUL résultats semaine'!A:BL,11,0)-VLOOKUP($N$2,'CUMUL résultats semaine'!A:BL,2,0))/SUMIF('ETP Challenge'!$D:$D,$N$2,'ETP Challenge'!$E:$E),"-")</f>
        <v>-0.34843205574912889</v>
      </c>
      <c r="E20" s="71">
        <f>IF(ISNUMBER(VLOOKUP($N$2,'CUMUL résultats semaine'!A:BL,20,0)),(VLOOKUP($N$2,'CUMUL résultats semaine'!A:BL,20,0)-VLOOKUP($N$2,'CUMUL résultats semaine'!A:BL,11,0))/SUMIF('ETP Challenge'!$D:$D,$N$2,'ETP Challenge'!$E:$E),"-")</f>
        <v>-0.34843205574912889</v>
      </c>
      <c r="F20" s="71">
        <f>IF(ISNUMBER(VLOOKUP($N$2,'CUMUL résultats semaine'!A:BL,29,0)),(VLOOKUP($N$2,'CUMUL résultats semaine'!A:BL,29,0)-VLOOKUP($N$2,'CUMUL résultats semaine'!A:BL,20,0))/SUMIF('ETP Challenge'!$D:$D,$N$2,'ETP Challenge'!$E:$E),"-")</f>
        <v>1.2195121951219512</v>
      </c>
      <c r="G20" s="71" t="str">
        <f>IF(ISNUMBER(VLOOKUP($N$2,'CUMUL résultats semaine'!A:BL,38,0)),(VLOOKUP($N$2,'CUMUL résultats semaine'!A:BL,38,0)-VLOOKUP($N$2,'CUMUL résultats semaine'!A:BL,29,0))/SUMIF('ETP Challenge'!$D:$D,$N$2,'ETP Challenge'!$E:$E),"-")</f>
        <v>-</v>
      </c>
      <c r="H20" s="71" t="str">
        <f>IF(ISNUMBER(VLOOKUP($N$2,'CUMUL résultats semaine'!A:BL,47,0)),(VLOOKUP($N$2,'CUMUL résultats semaine'!A:BL,47,0)-VLOOKUP($N$2,'CUMUL résultats semaine'!A:BL,38,0))/SUMIF('ETP Challenge'!$D:$D,$N$2,'ETP Challenge'!$E:$E),"-")</f>
        <v>-</v>
      </c>
      <c r="I20" s="71" t="str">
        <f>IF(ISNUMBER(VLOOKUP($N$2,'CUMUL résultats semaine'!A:BL,56,0)),(VLOOKUP($N$2,'CUMUL résultats semaine'!A:BL,56,0)-VLOOKUP($N$2,'CUMUL résultats semaine'!A:BL,47,0))/SUMIF('ETP Challenge'!$D:$D,$N$2,'ETP Challenge'!$E:$E),"-")</f>
        <v>-</v>
      </c>
      <c r="J20" s="15"/>
      <c r="K20" s="35"/>
      <c r="L20" s="36"/>
      <c r="M20" s="21"/>
      <c r="N20" s="138"/>
      <c r="O20" s="23"/>
      <c r="P20" s="37"/>
      <c r="Q20" s="38"/>
      <c r="R20" s="39"/>
      <c r="S20" s="34"/>
      <c r="X20" s="50" t="s">
        <v>375</v>
      </c>
      <c r="Y20" s="51"/>
      <c r="Z20" s="51">
        <f>SUM($Z$7:$Z$10)-(Z19+Z18)</f>
        <v>119</v>
      </c>
    </row>
    <row r="21" spans="2:26" x14ac:dyDescent="0.25">
      <c r="B21" s="26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27"/>
    </row>
    <row r="22" spans="2:26" ht="15.75" thickBot="1" x14ac:dyDescent="0.3">
      <c r="B22" s="26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27"/>
    </row>
    <row r="23" spans="2:26" ht="19.5" customHeight="1" x14ac:dyDescent="0.25">
      <c r="B23" s="26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27"/>
      <c r="X23" s="44" t="s">
        <v>554</v>
      </c>
      <c r="Y23" s="45" t="s">
        <v>555</v>
      </c>
      <c r="Z23" s="45" t="s">
        <v>560</v>
      </c>
    </row>
    <row r="24" spans="2:26" x14ac:dyDescent="0.25">
      <c r="B24" s="26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27"/>
      <c r="X24" s="46" t="str">
        <f>IF($N$27&gt;100,"TOP 100","TOP 50")</f>
        <v>TOP 100</v>
      </c>
      <c r="Y24" s="115">
        <f>IF(X24="TOP 100",VLOOKUP($Y$4,'BAROM CA UC'!$E:$Z,21,0),VLOOKUP($Y$4,'BAROM CA UC'!$E:$Z,20,0))</f>
        <v>966347.19985693414</v>
      </c>
      <c r="Z24" s="114">
        <f>IF(Y24&lt;=0,0,Y24/SUMIF('ETP Challenge'!$D:$D,$N$2,'ETP Challenge'!$E:$E)/1000)/$Y$3</f>
        <v>112.2354471378553</v>
      </c>
    </row>
    <row r="25" spans="2:26" x14ac:dyDescent="0.25">
      <c r="B25" s="26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27"/>
      <c r="X25" s="46" t="str">
        <f>IF($N$27&gt;100,"TOP 50","TOP 30")</f>
        <v>TOP 50</v>
      </c>
      <c r="Y25" s="115">
        <f>IF(X25="TOP 50",VLOOKUP($Y$4,'BAROM CA UC'!$E:$Z,20,0),VLOOKUP($Y$4,'BAROM CA UC'!$E:$Z,19,0))</f>
        <v>1331683.2737014543</v>
      </c>
      <c r="Z25" s="114">
        <f>IF(Y25&lt;=0,0,Y25/SUMIF('ETP Challenge'!$D:$D,$N$2,'ETP Challenge'!$E:$E)/1000)/$Y$3</f>
        <v>154.6670468875092</v>
      </c>
    </row>
    <row r="26" spans="2:26" ht="15" customHeight="1" x14ac:dyDescent="0.25">
      <c r="B26" s="26"/>
      <c r="C26" s="1"/>
      <c r="D26" s="1"/>
      <c r="E26" s="1"/>
      <c r="F26" s="1"/>
      <c r="G26" s="221" t="s">
        <v>670</v>
      </c>
      <c r="H26" s="222"/>
      <c r="I26" s="223"/>
      <c r="J26" s="1"/>
      <c r="K26" s="1"/>
      <c r="L26" s="1"/>
      <c r="M26" s="1"/>
      <c r="N26" s="1"/>
      <c r="O26" s="1"/>
      <c r="P26" s="1"/>
      <c r="Q26" s="1"/>
      <c r="R26" s="1"/>
      <c r="S26" s="27"/>
      <c r="X26" s="46" t="str">
        <f>IF(N27&lt;10,"TOP 1",IF($N$27&gt;100,"TOP 30","TOP 10"))</f>
        <v>TOP 30</v>
      </c>
      <c r="Y26" s="115">
        <f>IF(X26="TOP 1",VLOOKUP($Y$4,'BAROM CA UC'!$E:$Z,17,0),IF(X26="TOP 10",VLOOKUP($Y$4,'BAROM CA UC'!$E:$Z,18,0),VLOOKUP($Y$4,'BAROM CA UC'!$E:$Z,19,0)))</f>
        <v>1599340.4042956976</v>
      </c>
      <c r="Z26" s="114">
        <f>IF(Y26&lt;=0,0,Y26/SUMIF('ETP Challenge'!$D:$D,$N$2,'ETP Challenge'!$E:$E)/1000)/$Y$3</f>
        <v>185.75382163713095</v>
      </c>
    </row>
    <row r="27" spans="2:26" ht="15.75" thickBot="1" x14ac:dyDescent="0.3">
      <c r="B27" s="26"/>
      <c r="C27" s="1"/>
      <c r="D27" s="1"/>
      <c r="E27" s="1"/>
      <c r="F27" s="1"/>
      <c r="G27" s="224"/>
      <c r="H27" s="225"/>
      <c r="I27" s="226"/>
      <c r="J27" s="1"/>
      <c r="K27" s="246" t="s">
        <v>15</v>
      </c>
      <c r="L27" s="246"/>
      <c r="M27" s="246"/>
      <c r="N27" s="19">
        <f>VLOOKUP($Y$4,'BAROM CA UC'!$E:$Z,7,0)</f>
        <v>289</v>
      </c>
      <c r="O27" s="246" t="s">
        <v>16</v>
      </c>
      <c r="P27" s="246"/>
      <c r="Q27" s="246"/>
      <c r="R27" s="20">
        <f>VLOOKUP($Y$4,'BAROM CA UC'!$E:$Z,6,0)</f>
        <v>0.98541236644168939</v>
      </c>
      <c r="S27" s="27"/>
      <c r="X27" s="46"/>
      <c r="Y27" s="115"/>
      <c r="Z27" s="115"/>
    </row>
    <row r="28" spans="2:26" x14ac:dyDescent="0.25">
      <c r="B28" s="26"/>
      <c r="C28" s="1"/>
      <c r="D28" s="1"/>
      <c r="E28" s="1"/>
      <c r="F28" s="1"/>
      <c r="G28" s="224"/>
      <c r="H28" s="225"/>
      <c r="I28" s="226"/>
      <c r="J28" s="1"/>
      <c r="K28" s="1"/>
      <c r="L28" s="1"/>
      <c r="M28" s="1"/>
      <c r="N28" s="1"/>
      <c r="O28" s="1"/>
      <c r="P28" s="1"/>
      <c r="Q28" s="1"/>
      <c r="R28" s="16"/>
      <c r="S28" s="27"/>
      <c r="X28" s="44" t="s">
        <v>556</v>
      </c>
      <c r="Y28" s="45" t="s">
        <v>555</v>
      </c>
      <c r="Z28" s="45" t="s">
        <v>560</v>
      </c>
    </row>
    <row r="29" spans="2:26" x14ac:dyDescent="0.25">
      <c r="B29" s="26"/>
      <c r="C29" s="1"/>
      <c r="D29" s="1"/>
      <c r="E29" s="1"/>
      <c r="F29" s="1"/>
      <c r="G29" s="235" t="str">
        <f>ROUND(VLOOKUP(N2,'Meilleures perf'!C:G,4,0)/1000,1) &amp; "K€ d'engagements par ETP"</f>
        <v>34,7K€ d'engagements par ETP</v>
      </c>
      <c r="H29" s="236"/>
      <c r="I29" s="237"/>
      <c r="J29" s="1"/>
      <c r="K29" s="1"/>
      <c r="L29" s="1"/>
      <c r="M29" s="1"/>
      <c r="N29" s="1"/>
      <c r="O29" s="1"/>
      <c r="P29" s="1"/>
      <c r="Q29" s="1"/>
      <c r="R29" s="1"/>
      <c r="S29" s="27"/>
      <c r="X29" s="46" t="str">
        <f>IF($M$45&gt;100,"TOP 100","TOP 50")</f>
        <v>TOP 100</v>
      </c>
      <c r="Y29" s="116">
        <f>IF(X29="TOP 100",VLOOKUP($Y$4,'BAROM IZICARTES'!$E:$Z,22,0),VLOOKUP($Y$4,'BAROM IZICARTES'!$E:$Z,21,0))</f>
        <v>14.091479965611018</v>
      </c>
      <c r="Z29" s="116">
        <f>IF(Y29&lt;=0,0,Y29/SUMIF('ETP Challenge'!$D:$D,$N$2,'ETP Challenge'!$E:$E))/$Y$3</f>
        <v>1.6366411109885037</v>
      </c>
    </row>
    <row r="30" spans="2:26" ht="15" customHeight="1" x14ac:dyDescent="0.25">
      <c r="B30" s="26"/>
      <c r="C30" s="1"/>
      <c r="D30" s="1"/>
      <c r="E30" s="1"/>
      <c r="F30" s="1"/>
      <c r="G30" s="235"/>
      <c r="H30" s="236"/>
      <c r="I30" s="237"/>
      <c r="J30" s="1"/>
      <c r="K30" s="1"/>
      <c r="L30" s="1"/>
      <c r="M30" s="1"/>
      <c r="N30" s="1"/>
      <c r="O30" s="1"/>
      <c r="P30" s="1"/>
      <c r="Q30" s="1"/>
      <c r="R30" s="1"/>
      <c r="S30" s="27"/>
      <c r="X30" s="46" t="str">
        <f>IF($M$45&gt;100,"TOP 50","TOP 30")</f>
        <v>TOP 50</v>
      </c>
      <c r="Y30" s="116">
        <f>IF(X30="TOP 50",VLOOKUP($Y$4,'BAROM IZICARTES'!$E:$Z,21,0),VLOOKUP($Y$4,'BAROM IZICARTES'!$E:$Z,20,0))</f>
        <v>21.516436019807955</v>
      </c>
      <c r="Z30" s="116">
        <f>IF(Y30&lt;=0,0,Y30/SUMIF('ETP Challenge'!$D:$D,$N$2,'ETP Challenge'!$E:$E))/$Y$3</f>
        <v>2.4990053449254304</v>
      </c>
    </row>
    <row r="31" spans="2:26" ht="15" customHeight="1" x14ac:dyDescent="0.25">
      <c r="B31" s="26"/>
      <c r="C31" s="227" t="str">
        <f>Y15&amp; "%"</f>
        <v>115,1%</v>
      </c>
      <c r="D31" s="228"/>
      <c r="E31" s="228"/>
      <c r="F31" s="1"/>
      <c r="G31" s="238"/>
      <c r="H31" s="239"/>
      <c r="I31" s="240"/>
      <c r="J31" s="1"/>
      <c r="K31" s="1"/>
      <c r="L31" s="1"/>
      <c r="M31" s="1"/>
      <c r="N31" s="1"/>
      <c r="O31" s="1"/>
      <c r="P31" s="1"/>
      <c r="Q31" s="1"/>
      <c r="R31" s="1"/>
      <c r="S31" s="27"/>
      <c r="X31" s="46" t="str">
        <f>IF($M$45&lt;10,"TOP1",IF($M$45&gt;100,"TOP 30","TOP 10"))</f>
        <v>TOP 30</v>
      </c>
      <c r="Y31" s="116">
        <f>IF(X31="TOP 1",VLOOKUP($Y$4,'BAROM IZICARTES'!$E:$Z,18,0),IF(X31="TOP 10",VLOOKUP($Y$4,'BAROM IZICARTES'!$E:$Z,19,0),VLOOKUP($Y$4,'BAROM IZICARTES'!$E:$Z,20,0)))</f>
        <v>24.808642364246232</v>
      </c>
      <c r="Z31" s="116">
        <f>IF(Y31&lt;=0,0,Y31/SUMIF('ETP Challenge'!$D:$D,$N$2,'ETP Challenge'!$E:$E))/$Y$3</f>
        <v>2.8813754197730819</v>
      </c>
    </row>
    <row r="32" spans="2:26" ht="15.75" thickBot="1" x14ac:dyDescent="0.3">
      <c r="B32" s="26"/>
      <c r="C32" s="1"/>
      <c r="D32" s="6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27"/>
      <c r="X32" s="46"/>
      <c r="Y32" s="115"/>
      <c r="Z32" s="115"/>
    </row>
    <row r="33" spans="2:26" x14ac:dyDescent="0.25">
      <c r="B33" s="26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27"/>
      <c r="X33" s="44" t="s">
        <v>557</v>
      </c>
      <c r="Y33" s="45" t="s">
        <v>555</v>
      </c>
      <c r="Z33" s="45" t="s">
        <v>560</v>
      </c>
    </row>
    <row r="34" spans="2:26" ht="30" customHeight="1" x14ac:dyDescent="0.25">
      <c r="B34" s="26"/>
      <c r="C34" s="1"/>
      <c r="D34" s="247" t="s">
        <v>444</v>
      </c>
      <c r="E34" s="247"/>
      <c r="F34" s="247"/>
      <c r="G34" s="247"/>
      <c r="H34" s="247"/>
      <c r="I34" s="247"/>
      <c r="J34" s="1"/>
      <c r="K34" s="1"/>
      <c r="L34" s="1"/>
      <c r="M34" s="1"/>
      <c r="N34" s="1"/>
      <c r="O34" s="1"/>
      <c r="P34" s="1"/>
      <c r="Q34" s="1"/>
      <c r="R34" s="1"/>
      <c r="S34" s="27"/>
      <c r="X34" s="46" t="str">
        <f>IF($R$45&gt;100,"TOP 100","TOP 50")</f>
        <v>TOP 100</v>
      </c>
      <c r="Y34" s="116">
        <f>IF(X34="TOP 100",VLOOKUP($Y$4,'BAROM CARTES HDG'!$E:$Z,22,0),VLOOKUP($Y$4,'BAROM CARTES HDG'!$E:$Z,21,0))</f>
        <v>11.601417449002911</v>
      </c>
      <c r="Z34" s="116">
        <f>IF(Y34&lt;=0,0,Y34/SUMIF('ETP Challenge'!$D:$D,$N$2,'ETP Challenge'!$E:$E))/$Y$3</f>
        <v>1.3474352437866333</v>
      </c>
    </row>
    <row r="35" spans="2:26" ht="18.95" customHeight="1" x14ac:dyDescent="0.25">
      <c r="B35" s="26"/>
      <c r="C35" s="15"/>
      <c r="D35" s="72" t="s">
        <v>6</v>
      </c>
      <c r="E35" s="72" t="s">
        <v>7</v>
      </c>
      <c r="F35" s="72" t="s">
        <v>8</v>
      </c>
      <c r="G35" s="72" t="s">
        <v>9</v>
      </c>
      <c r="H35" s="72" t="s">
        <v>10</v>
      </c>
      <c r="I35" s="72" t="s">
        <v>11</v>
      </c>
      <c r="J35" s="1"/>
      <c r="K35" s="1"/>
      <c r="L35" s="1"/>
      <c r="M35" s="1"/>
      <c r="N35" s="1"/>
      <c r="O35" s="1"/>
      <c r="P35" s="1"/>
      <c r="Q35" s="1"/>
      <c r="R35" s="1"/>
      <c r="S35" s="27"/>
      <c r="X35" s="46" t="str">
        <f>IF($R$45&gt;100,"TOP 50","TOP 30")</f>
        <v>TOP 50</v>
      </c>
      <c r="Y35" s="116">
        <f>IF(X35="TOP 50",VLOOKUP($Y$4,'BAROM CARTES HDG'!$E:$Z,21,0),VLOOKUP($Y$4,'BAROM CARTES HDG'!$E:$Z,20,0))</f>
        <v>26.716603375970717</v>
      </c>
      <c r="Z35" s="116">
        <f>IF(Y35&lt;=0,0,Y35/SUMIF('ETP Challenge'!$D:$D,$N$2,'ETP Challenge'!$E:$E))/$Y$3</f>
        <v>3.1029736789745317</v>
      </c>
    </row>
    <row r="36" spans="2:26" ht="18.95" customHeight="1" x14ac:dyDescent="0.25">
      <c r="B36" s="26"/>
      <c r="C36" s="76" t="s">
        <v>12</v>
      </c>
      <c r="D36" s="71">
        <f>(VLOOKUP($N$2,'CUMUL résultats semaine'!$A:$BL,6,0)/SUMIF('ETP Challenge'!$D:$D,$N$2,'ETP Challenge'!$E:$E))/6</f>
        <v>0</v>
      </c>
      <c r="E36" s="71">
        <f>IF(ISNUMBER(D$38),(VLOOKUP($N$2,'CUMUL résultats semaine'!$A:$BL,15,0)/SUMIF('ETP Challenge'!$D:$D,$N$2,'ETP Challenge'!$E:$E))/5,D36)</f>
        <v>0</v>
      </c>
      <c r="F36" s="71">
        <f>IF(ISNUMBER(E$20),(VLOOKUP($N$2,'CUMUL résultats semaine'!$A:$BL,24,0)/SUMIF('ETP Challenge'!$D:$D,$N$2,'ETP Challenge'!$E:$E))/4,E36)</f>
        <v>0</v>
      </c>
      <c r="G36" s="71">
        <f>IF(ISNUMBER(F$20),(VLOOKUP($N$2,'CUMUL résultats semaine'!$A:$BL,33,0)/SUMIF('ETP Challenge'!$D:$D,$N$2,'ETP Challenge'!$E:$E))/3,F36)</f>
        <v>0</v>
      </c>
      <c r="H36" s="71">
        <f>IF(ISNUMBER(G$20),(VLOOKUP($N$2,'CUMUL résultats semaine'!$A:$BL,42,0)/SUMIF('ETP Challenge'!$D:$D,$N$2,'ETP Challenge'!$E:$E))/2,G36)</f>
        <v>0</v>
      </c>
      <c r="I36" s="71">
        <f>IF(ISNUMBER(H$20),(VLOOKUP($N$2,'CUMUL résultats semaine'!$A:$BL,51,0)/SUMIF('ETP Challenge'!$D:$D,$N$2,'ETP Challenge'!$E:$E)),H36)</f>
        <v>0</v>
      </c>
      <c r="J36" s="1"/>
      <c r="K36" s="1"/>
      <c r="L36" s="1"/>
      <c r="M36" s="1"/>
      <c r="N36" s="1"/>
      <c r="O36" s="1"/>
      <c r="P36" s="1"/>
      <c r="Q36" s="1"/>
      <c r="R36" s="1"/>
      <c r="S36" s="27"/>
      <c r="X36" s="46" t="str">
        <f>IF($R$45&lt;10,"TOP1",IF($R$45&gt;100,"TOP 30","TOP 10"))</f>
        <v>TOP 30</v>
      </c>
      <c r="Y36" s="116">
        <f>IF(X36="TOP 1",VLOOKUP($Y$4,'BAROM CARTES HDG'!$E:$Z,18,0),IF(X36="TOP 10",VLOOKUP($Y$4,'BAROM CARTES HDG'!$E:$Z,19,0),VLOOKUP($Y$4,'BAROM CARTES HDG'!$E:$Z,20,0)))</f>
        <v>36.256925479954589</v>
      </c>
      <c r="Z36" s="116">
        <f>IF(Y36&lt;=0,0,Y36/SUMIF('ETP Challenge'!$D:$D,$N$2,'ETP Challenge'!$E:$E))/$Y$3</f>
        <v>4.2110250267078504</v>
      </c>
    </row>
    <row r="37" spans="2:26" ht="18.95" customHeight="1" x14ac:dyDescent="0.25">
      <c r="B37" s="26"/>
      <c r="C37" s="76" t="s">
        <v>13</v>
      </c>
      <c r="D37" s="71">
        <f>(VLOOKUP($N$2,'CUMUL résultats semaine'!$A:$BL,7,0)/SUMIF('ETP Challenge'!$D:$D,$N$2,'ETP Challenge'!$E:$E))/6</f>
        <v>6.2137049941927991</v>
      </c>
      <c r="E37" s="71">
        <f>IF(ISNUMBER(D$38),(VLOOKUP($N$2,'CUMUL résultats semaine'!$A:$BL,16,0)/SUMIF('ETP Challenge'!$D:$D,$N$2,'ETP Challenge'!$E:$E))/5,D37)</f>
        <v>5.9233449477351909</v>
      </c>
      <c r="F37" s="71">
        <f>IF(ISNUMBER(E$20),(VLOOKUP($N$2,'CUMUL résultats semaine'!$A:$BL,25,0)/SUMIF('ETP Challenge'!$D:$D,$N$2,'ETP Challenge'!$E:$E))/4,E37)</f>
        <v>7.3170731707317067</v>
      </c>
      <c r="G37" s="71">
        <f>IF(ISNUMBER(F$20),(VLOOKUP($N$2,'CUMUL résultats semaine'!$A:$BL,34,0)/SUMIF('ETP Challenge'!$D:$D,$N$2,'ETP Challenge'!$E:$E))/3,F37)</f>
        <v>7.7816492450638783</v>
      </c>
      <c r="H37" s="71">
        <f>IF(ISNUMBER(G$20),(VLOOKUP($N$2,'CUMUL résultats semaine'!$A:$BL,43,0)/SUMIF('ETP Challenge'!$D:$D,$N$2,'ETP Challenge'!$E:$E))/2,G37)</f>
        <v>7.7816492450638783</v>
      </c>
      <c r="I37" s="71">
        <f>IF(ISNUMBER(H$20),(VLOOKUP($N$2,'CUMUL résultats semaine'!$A:$BL,52,0)/SUMIF('ETP Challenge'!$D:$D,$N$2,'ETP Challenge'!$E:$E)),H37)</f>
        <v>7.7816492450638783</v>
      </c>
      <c r="J37" s="1"/>
      <c r="K37" s="1"/>
      <c r="L37" s="1"/>
      <c r="M37" s="1"/>
      <c r="N37" s="1"/>
      <c r="O37" s="1"/>
      <c r="P37" s="1"/>
      <c r="Q37" s="1"/>
      <c r="R37" s="1"/>
      <c r="S37" s="27"/>
    </row>
    <row r="38" spans="2:26" ht="18.95" customHeight="1" x14ac:dyDescent="0.25">
      <c r="B38" s="26"/>
      <c r="C38" s="76" t="s">
        <v>442</v>
      </c>
      <c r="D38" s="136">
        <f>IF(ISNUMBER(VLOOKUP($N$2,'CUMUL résultats semaine'!A:BL,14,0)),(VLOOKUP($N$2,'CUMUL résultats semaine'!A:BL,14,0)-VLOOKUP($N$2,'CUMUL résultats semaine'!A:BL,5,0))/SUMIF('ETP Challenge'!$D:$D,$N$2,'ETP Challenge'!$E:$E),"-")</f>
        <v>7.4192264808362784</v>
      </c>
      <c r="E38" s="136">
        <f>IF(ISNUMBER(VLOOKUP($N$2,'CUMUL résultats semaine'!A:BL,23,0)),(VLOOKUP($N$2,'CUMUL résultats semaine'!A:BL,23,0)-VLOOKUP($N$2,'CUMUL résultats semaine'!A:BL,14,0))/SUMIF('ETP Challenge'!$D:$D,$N$2,'ETP Challenge'!$E:$E),"-")</f>
        <v>0.47003484320555144</v>
      </c>
      <c r="F38" s="136">
        <f>IF(ISNUMBER(VLOOKUP($N$2,'CUMUL résultats semaine'!A:BL,32,0)),(VLOOKUP($N$2,'CUMUL résultats semaine'!A:BL,32,0)-VLOOKUP($N$2,'CUMUL résultats semaine'!A:BL,23,0))/SUMIF('ETP Challenge'!$D:$D,$N$2,'ETP Challenge'!$E:$E),"-")</f>
        <v>5.7501742160278493</v>
      </c>
      <c r="G38" s="136" t="str">
        <f>IF(ISNUMBER(VLOOKUP($N$2,'CUMUL résultats semaine'!A:BL,41,0)),(VLOOKUP($N$2,'CUMUL résultats semaine'!A:BL,41,0)-VLOOKUP($N$2,'CUMUL résultats semaine'!A:BL,32,0))/SUMIF('ETP Challenge'!$D:$D,$N$2,'ETP Challenge'!$E:$E),"-")</f>
        <v>-</v>
      </c>
      <c r="H38" s="136" t="str">
        <f>IF(ISNUMBER(VLOOKUP($N$2,'CUMUL résultats semaine'!A:BL,50,0)),(VLOOKUP($N$2,'CUMUL résultats semaine'!A:BL,50,0)-VLOOKUP($N$2,'CUMUL résultats semaine'!A:BL,41,0))/SUMIF('ETP Challenge'!$D:$D,$N$2,'ETP Challenge'!$E:$E),"-")</f>
        <v>-</v>
      </c>
      <c r="I38" s="136" t="str">
        <f>IF(ISNUMBER(VLOOKUP($N$2,'CUMUL résultats semaine'!A:BL,59,0)),(VLOOKUP($N$2,'CUMUL résultats semaine'!A:BL,59,0)-VLOOKUP($N$2,'CUMUL résultats semaine'!A:BL,50,0))/SUMIF('ETP Challenge'!$D:$D,$N$2,'ETP Challenge'!$E:$E),"-")</f>
        <v>-</v>
      </c>
      <c r="J38" s="1"/>
      <c r="K38" s="1"/>
      <c r="L38" s="1"/>
      <c r="M38" s="1"/>
      <c r="N38" s="1"/>
      <c r="O38" s="1"/>
      <c r="P38" s="1"/>
      <c r="Q38" s="1"/>
      <c r="R38" s="1"/>
      <c r="S38" s="27"/>
    </row>
    <row r="39" spans="2:26" x14ac:dyDescent="0.25">
      <c r="B39" s="26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27"/>
    </row>
    <row r="40" spans="2:26" x14ac:dyDescent="0.25">
      <c r="B40" s="26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27"/>
    </row>
    <row r="41" spans="2:26" x14ac:dyDescent="0.25">
      <c r="B41" s="26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27"/>
    </row>
    <row r="42" spans="2:26" x14ac:dyDescent="0.25">
      <c r="B42" s="26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27"/>
    </row>
    <row r="43" spans="2:26" x14ac:dyDescent="0.25">
      <c r="B43" s="26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27"/>
    </row>
    <row r="44" spans="2:26" ht="15" customHeight="1" x14ac:dyDescent="0.25">
      <c r="B44" s="26"/>
      <c r="C44" s="1"/>
      <c r="D44" s="1"/>
      <c r="E44" s="1"/>
      <c r="F44" s="1"/>
      <c r="G44" s="221" t="s">
        <v>670</v>
      </c>
      <c r="H44" s="222"/>
      <c r="I44" s="223"/>
      <c r="J44" s="1"/>
      <c r="K44" s="7"/>
      <c r="L44" s="8"/>
      <c r="M44" s="8"/>
      <c r="N44" s="9"/>
      <c r="O44" s="1"/>
      <c r="P44" s="7"/>
      <c r="Q44" s="8"/>
      <c r="R44" s="9"/>
      <c r="S44" s="27"/>
    </row>
    <row r="45" spans="2:26" x14ac:dyDescent="0.25">
      <c r="B45" s="26"/>
      <c r="C45" s="1"/>
      <c r="D45" s="1"/>
      <c r="E45" s="1"/>
      <c r="F45" s="1"/>
      <c r="G45" s="224"/>
      <c r="H45" s="225"/>
      <c r="I45" s="226"/>
      <c r="J45" s="1"/>
      <c r="K45" s="248" t="s">
        <v>15</v>
      </c>
      <c r="L45" s="249"/>
      <c r="M45" s="244">
        <f>VLOOKUP($Y$4,'BAROM IZICARTES'!$E:$Z,7,0)</f>
        <v>254</v>
      </c>
      <c r="N45" s="245"/>
      <c r="O45" s="1"/>
      <c r="P45" s="248" t="s">
        <v>15</v>
      </c>
      <c r="Q45" s="249"/>
      <c r="R45" s="112">
        <f>VLOOKUP($Y$4,'BAROM CARTES HDG'!$E:$Z,7,0)</f>
        <v>169</v>
      </c>
      <c r="S45" s="27"/>
    </row>
    <row r="46" spans="2:26" x14ac:dyDescent="0.25">
      <c r="B46" s="26"/>
      <c r="C46" s="1"/>
      <c r="D46" s="1"/>
      <c r="E46" s="1"/>
      <c r="F46" s="1"/>
      <c r="G46" s="224"/>
      <c r="H46" s="225"/>
      <c r="I46" s="226"/>
      <c r="J46" s="1"/>
      <c r="K46" s="248" t="s">
        <v>16</v>
      </c>
      <c r="L46" s="249"/>
      <c r="M46" s="250">
        <f>VLOOKUP($Y$4,'BAROM IZICARTES'!$E:$Z,6,0)</f>
        <v>0.96208607403938173</v>
      </c>
      <c r="N46" s="251"/>
      <c r="O46" s="1"/>
      <c r="P46" s="248" t="s">
        <v>16</v>
      </c>
      <c r="Q46" s="249"/>
      <c r="R46" s="113">
        <f>VLOOKUP($Y$4,'BAROM CARTES HDG'!$E:$Z,6,0)</f>
        <v>0.83725132434226379</v>
      </c>
      <c r="S46" s="27"/>
    </row>
    <row r="47" spans="2:26" x14ac:dyDescent="0.25">
      <c r="B47" s="26"/>
      <c r="C47" s="1"/>
      <c r="D47" s="1"/>
      <c r="E47" s="1"/>
      <c r="F47" s="1"/>
      <c r="G47" s="229" t="str">
        <f>ROUND(VLOOKUP(N2,'Meilleures perf'!C:G,5,0),1) &amp; " contrats par ETP"</f>
        <v>5,1 contrats par ETP</v>
      </c>
      <c r="H47" s="230"/>
      <c r="I47" s="231"/>
      <c r="J47" s="1"/>
      <c r="K47" s="10"/>
      <c r="L47" s="1"/>
      <c r="M47" s="1"/>
      <c r="N47" s="11"/>
      <c r="O47" s="1"/>
      <c r="P47" s="10"/>
      <c r="Q47" s="1"/>
      <c r="R47" s="11"/>
      <c r="S47" s="27"/>
    </row>
    <row r="48" spans="2:26" ht="15" customHeight="1" x14ac:dyDescent="0.25">
      <c r="B48" s="26"/>
      <c r="C48" s="1"/>
      <c r="D48" s="1"/>
      <c r="E48" s="1"/>
      <c r="F48" s="1"/>
      <c r="G48" s="229"/>
      <c r="H48" s="230"/>
      <c r="I48" s="231"/>
      <c r="J48" s="1"/>
      <c r="K48" s="10"/>
      <c r="L48" s="1"/>
      <c r="M48" s="1"/>
      <c r="N48" s="11"/>
      <c r="O48" s="1"/>
      <c r="P48" s="10"/>
      <c r="Q48" s="1"/>
      <c r="R48" s="11"/>
      <c r="S48" s="27"/>
    </row>
    <row r="49" spans="2:19" ht="15" customHeight="1" x14ac:dyDescent="0.25">
      <c r="B49" s="26"/>
      <c r="C49" s="227" t="str">
        <f>Y18&amp; "%"</f>
        <v>210%</v>
      </c>
      <c r="D49" s="228"/>
      <c r="E49" s="228"/>
      <c r="F49" s="1"/>
      <c r="G49" s="232"/>
      <c r="H49" s="233"/>
      <c r="I49" s="234"/>
      <c r="J49" s="1"/>
      <c r="K49" s="10"/>
      <c r="L49" s="1"/>
      <c r="M49" s="1"/>
      <c r="N49" s="11"/>
      <c r="O49" s="1"/>
      <c r="P49" s="10"/>
      <c r="Q49" s="1"/>
      <c r="R49" s="11"/>
      <c r="S49" s="27"/>
    </row>
    <row r="50" spans="2:19" ht="9.75" customHeight="1" x14ac:dyDescent="0.25">
      <c r="B50" s="26"/>
      <c r="C50" s="1"/>
      <c r="E50" s="1"/>
      <c r="F50" s="1"/>
      <c r="G50" s="1"/>
      <c r="H50" s="1"/>
      <c r="I50" s="1"/>
      <c r="J50" s="1"/>
      <c r="K50" s="10"/>
      <c r="L50" s="1"/>
      <c r="M50" s="1"/>
      <c r="N50" s="11"/>
      <c r="O50" s="1"/>
      <c r="P50" s="10"/>
      <c r="Q50" s="1"/>
      <c r="R50" s="11"/>
      <c r="S50" s="27"/>
    </row>
    <row r="51" spans="2:19" ht="4.5" customHeight="1" x14ac:dyDescent="0.25">
      <c r="B51" s="26"/>
      <c r="C51" s="1"/>
      <c r="D51" s="1"/>
      <c r="E51" s="1"/>
      <c r="F51" s="1"/>
      <c r="G51" s="1"/>
      <c r="H51" s="1"/>
      <c r="I51" s="1"/>
      <c r="J51" s="1"/>
      <c r="K51" s="10"/>
      <c r="L51" s="1"/>
      <c r="M51" s="1"/>
      <c r="N51" s="11"/>
      <c r="O51" s="1"/>
      <c r="P51" s="10"/>
      <c r="Q51" s="1"/>
      <c r="R51" s="11"/>
      <c r="S51" s="27"/>
    </row>
    <row r="52" spans="2:19" ht="30" customHeight="1" x14ac:dyDescent="0.25">
      <c r="B52" s="26"/>
      <c r="C52" s="1"/>
      <c r="D52" s="247" t="s">
        <v>14</v>
      </c>
      <c r="E52" s="247"/>
      <c r="F52" s="247"/>
      <c r="G52" s="247"/>
      <c r="H52" s="247"/>
      <c r="I52" s="247"/>
      <c r="J52" s="1"/>
      <c r="K52" s="10"/>
      <c r="L52" s="1"/>
      <c r="M52" s="1"/>
      <c r="N52" s="11"/>
      <c r="O52" s="1"/>
      <c r="P52" s="10"/>
      <c r="Q52" s="1"/>
      <c r="R52" s="11"/>
      <c r="S52" s="27"/>
    </row>
    <row r="53" spans="2:19" ht="18.95" customHeight="1" x14ac:dyDescent="0.25">
      <c r="B53" s="26"/>
      <c r="C53" s="15"/>
      <c r="D53" s="72" t="s">
        <v>6</v>
      </c>
      <c r="E53" s="72" t="s">
        <v>7</v>
      </c>
      <c r="F53" s="72" t="s">
        <v>8</v>
      </c>
      <c r="G53" s="72" t="s">
        <v>9</v>
      </c>
      <c r="H53" s="72" t="s">
        <v>10</v>
      </c>
      <c r="I53" s="72" t="s">
        <v>11</v>
      </c>
      <c r="J53" s="1"/>
      <c r="K53" s="10"/>
      <c r="L53" s="1"/>
      <c r="M53" s="1"/>
      <c r="N53" s="11"/>
      <c r="O53" s="1"/>
      <c r="P53" s="10"/>
      <c r="Q53" s="1"/>
      <c r="R53" s="11"/>
      <c r="S53" s="27"/>
    </row>
    <row r="54" spans="2:19" ht="18.95" customHeight="1" x14ac:dyDescent="0.25">
      <c r="B54" s="26"/>
      <c r="C54" s="76" t="s">
        <v>12</v>
      </c>
      <c r="D54" s="71">
        <f>(VLOOKUP($N$2,'CUMUL résultats semaine'!$A:$BL,9,0)/SUMIF('ETP Challenge'!$D:$D,$N$2,'ETP Challenge'!$E:$E))/6</f>
        <v>0</v>
      </c>
      <c r="E54" s="71">
        <f>IF(ISNUMBER(D$56),(VLOOKUP($N$2,'CUMUL résultats semaine'!$A:$BL,18,0)/SUMIF('ETP Challenge'!$D:$D,$N$2,'ETP Challenge'!$E:$E))/5,D54)</f>
        <v>0</v>
      </c>
      <c r="F54" s="71">
        <f>IF(ISNUMBER(E$56),(VLOOKUP($N$2,'CUMUL résultats semaine'!$A:$BL,27,0)/SUMIF('ETP Challenge'!$D:$D,$N$2,'ETP Challenge'!$E:$E))/4,E54)</f>
        <v>0</v>
      </c>
      <c r="G54" s="71">
        <f>IF(ISNUMBER(F$56),(VLOOKUP($N$2,'CUMUL résultats semaine'!$A:$BL,36,0)/SUMIF('ETP Challenge'!$D:$D,$N$2,'ETP Challenge'!$E:$E))/3,F54)</f>
        <v>0</v>
      </c>
      <c r="H54" s="71">
        <f>IF(ISNUMBER(G$56),(VLOOKUP($N$2,'CUMUL résultats semaine'!$A:$BL,45,0)/SUMIF('ETP Challenge'!$D:$D,$N$2,'ETP Challenge'!$E:$E))/2,G54)</f>
        <v>0</v>
      </c>
      <c r="I54" s="71">
        <f>IF(ISNUMBER(H$56),(VLOOKUP($N$2,'CUMUL résultats semaine'!$A:$BL,54,0)/SUMIF('ETP Challenge'!$D:$D,$N$2,'ETP Challenge'!$E:$E)),H54)</f>
        <v>0</v>
      </c>
      <c r="J54" s="1"/>
      <c r="K54" s="10"/>
      <c r="L54" s="1"/>
      <c r="M54" s="1"/>
      <c r="N54" s="11"/>
      <c r="O54" s="1"/>
      <c r="P54" s="10"/>
      <c r="Q54" s="1"/>
      <c r="R54" s="11"/>
      <c r="S54" s="27"/>
    </row>
    <row r="55" spans="2:19" ht="18.95" customHeight="1" x14ac:dyDescent="0.25">
      <c r="B55" s="26"/>
      <c r="C55" s="76" t="s">
        <v>13</v>
      </c>
      <c r="D55" s="71">
        <f>(VLOOKUP($N$2,'CUMUL résultats semaine'!$A:$BL,10,0)/SUMIF('ETP Challenge'!$D:$D,$N$2,'ETP Challenge'!$E:$E))/6</f>
        <v>0</v>
      </c>
      <c r="E55" s="71">
        <f>IF(ISNUMBER(D$56),(VLOOKUP($N$2,'CUMUL résultats semaine'!$A:$BL,19,0)/SUMIF('ETP Challenge'!$D:$D,$N$2,'ETP Challenge'!$E:$E))/5,D55)</f>
        <v>0</v>
      </c>
      <c r="F55" s="71">
        <f>IF(ISNUMBER(E$56),(VLOOKUP($N$2,'CUMUL résultats semaine'!$A:$BL,28,0)/SUMIF('ETP Challenge'!$D:$D,$N$2,'ETP Challenge'!$E:$E))/4,E55)</f>
        <v>0</v>
      </c>
      <c r="G55" s="71">
        <f>IF(ISNUMBER(F$56),(VLOOKUP($N$2,'CUMUL résultats semaine'!$A:$BL,37,0)/SUMIF('ETP Challenge'!$D:$D,$N$2,'ETP Challenge'!$E:$E))/3,F55)</f>
        <v>0</v>
      </c>
      <c r="H55" s="71">
        <f>IF(ISNUMBER(G$56),(VLOOKUP($N$2,'CUMUL résultats semaine'!$A:$BL,46,0)/SUMIF('ETP Challenge'!$D:$D,$N$2,'ETP Challenge'!$E:$E))/2,G55)</f>
        <v>0</v>
      </c>
      <c r="I55" s="71">
        <f>IF(ISNUMBER(H$56),(VLOOKUP($N$2,'CUMUL résultats semaine'!$A:$BL,55,0)/SUMIF('ETP Challenge'!$D:$D,$N$2,'ETP Challenge'!$E:$E)),H55)</f>
        <v>0</v>
      </c>
      <c r="J55" s="1"/>
      <c r="K55" s="10"/>
      <c r="L55" s="1"/>
      <c r="M55" s="1"/>
      <c r="N55" s="11"/>
      <c r="O55" s="1"/>
      <c r="P55" s="10"/>
      <c r="Q55" s="1"/>
      <c r="R55" s="11"/>
      <c r="S55" s="27"/>
    </row>
    <row r="56" spans="2:19" ht="18.95" customHeight="1" x14ac:dyDescent="0.25">
      <c r="B56" s="26"/>
      <c r="C56" s="76" t="s">
        <v>442</v>
      </c>
      <c r="D56" s="136">
        <f>IF(ISNUMBER(VLOOKUP($N$2,'CUMUL résultats semaine'!A:BL,17,0)),(VLOOKUP($N$2,'CUMUL résultats semaine'!A:BL,17,0)-VLOOKUP($N$2,'CUMUL résultats semaine'!A:BL,8,0))/SUMIF('ETP Challenge'!$D:$D,$N$2,'ETP Challenge'!$E:$E),"-")</f>
        <v>1.0452961672473868</v>
      </c>
      <c r="E56" s="136">
        <f>IF(ISNUMBER(VLOOKUP($N$2,'CUMUL résultats semaine'!A:BL,26,0)),(VLOOKUP($N$2,'CUMUL résultats semaine'!A:BL,26,0)-VLOOKUP($N$2,'CUMUL résultats semaine'!A:BL,17,0))/SUMIF('ETP Challenge'!$D:$D,$N$2,'ETP Challenge'!$E:$E),"-")</f>
        <v>0</v>
      </c>
      <c r="F56" s="136">
        <f>IF(ISNUMBER(VLOOKUP($N$2,'CUMUL résultats semaine'!A:BL,35,0)),(VLOOKUP($N$2,'CUMUL résultats semaine'!A:BL,35,0)-VLOOKUP($N$2,'CUMUL résultats semaine'!A:BL,26,0))/SUMIF('ETP Challenge'!$D:$D,$N$2,'ETP Challenge'!$E:$E),"-")</f>
        <v>0.34843205574912889</v>
      </c>
      <c r="G56" s="136" t="str">
        <f>IF(ISNUMBER(VLOOKUP($N$2,'CUMUL résultats semaine'!A:BL,44,0)),(VLOOKUP($N$2,'CUMUL résultats semaine'!A:BL,44,0)-VLOOKUP($N$2,'CUMUL résultats semaine'!A:BL,35,0))/SUMIF('ETP Challenge'!$D:$D,$N$2,'ETP Challenge'!$E:$E),"-")</f>
        <v>-</v>
      </c>
      <c r="H56" s="136" t="str">
        <f>IF(ISNUMBER(VLOOKUP($N$2,'CUMUL résultats semaine'!A:BL,53,0)),(VLOOKUP($N$2,'CUMUL résultats semaine'!A:BL,53,0)-VLOOKUP($N$2,'CUMUL résultats semaine'!A:BL,44,0))/SUMIF('ETP Challenge'!$D:$D,$N$2,'ETP Challenge'!$E:$E),"-")</f>
        <v>-</v>
      </c>
      <c r="I56" s="136" t="str">
        <f>IF(ISNUMBER(VLOOKUP($N$2,'CUMUL résultats semaine'!A:BL,62,0)),(VLOOKUP($N$2,'CUMUL résultats semaine'!A:BL,62,0)-VLOOKUP($N$2,'CUMUL résultats semaine'!A:BL,53,0))/SUMIF('ETP Challenge'!$D:$D,$N$2,'ETP Challenge'!$E:$E),"-")</f>
        <v>-</v>
      </c>
      <c r="J56" s="1"/>
      <c r="K56" s="10"/>
      <c r="L56" s="1"/>
      <c r="M56" s="1"/>
      <c r="N56" s="11"/>
      <c r="O56" s="1"/>
      <c r="P56" s="10"/>
      <c r="Q56" s="1"/>
      <c r="R56" s="11"/>
      <c r="S56" s="27"/>
    </row>
    <row r="57" spans="2:19" x14ac:dyDescent="0.25">
      <c r="B57" s="26"/>
      <c r="C57" s="1"/>
      <c r="D57" s="1"/>
      <c r="E57" s="1"/>
      <c r="F57" s="1"/>
      <c r="G57" s="1"/>
      <c r="H57" s="1"/>
      <c r="I57" s="1"/>
      <c r="J57" s="1"/>
      <c r="K57" s="12"/>
      <c r="L57" s="13"/>
      <c r="M57" s="13"/>
      <c r="N57" s="14"/>
      <c r="O57" s="1"/>
      <c r="P57" s="12"/>
      <c r="Q57" s="13"/>
      <c r="R57" s="14"/>
      <c r="S57" s="27"/>
    </row>
    <row r="58" spans="2:19" x14ac:dyDescent="0.25">
      <c r="B58" s="26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27"/>
    </row>
    <row r="59" spans="2:19" x14ac:dyDescent="0.25">
      <c r="B59" s="28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30"/>
    </row>
  </sheetData>
  <mergeCells count="35">
    <mergeCell ref="B4:S4"/>
    <mergeCell ref="D16:I16"/>
    <mergeCell ref="C1:F1"/>
    <mergeCell ref="H1:L1"/>
    <mergeCell ref="N1:R1"/>
    <mergeCell ref="C2:F2"/>
    <mergeCell ref="N2:R2"/>
    <mergeCell ref="H2:L2"/>
    <mergeCell ref="P16:R17"/>
    <mergeCell ref="N9:Q13"/>
    <mergeCell ref="K13:L13"/>
    <mergeCell ref="K9:L12"/>
    <mergeCell ref="C13:E13"/>
    <mergeCell ref="Q18:R18"/>
    <mergeCell ref="Q19:R19"/>
    <mergeCell ref="M45:N45"/>
    <mergeCell ref="O27:Q27"/>
    <mergeCell ref="D52:I52"/>
    <mergeCell ref="D34:I34"/>
    <mergeCell ref="P45:Q45"/>
    <mergeCell ref="P46:Q46"/>
    <mergeCell ref="M46:N46"/>
    <mergeCell ref="K27:M27"/>
    <mergeCell ref="C49:E49"/>
    <mergeCell ref="N16:N18"/>
    <mergeCell ref="K16:L17"/>
    <mergeCell ref="K46:L46"/>
    <mergeCell ref="K45:L45"/>
    <mergeCell ref="G47:I49"/>
    <mergeCell ref="G44:I46"/>
    <mergeCell ref="C31:E31"/>
    <mergeCell ref="G8:I10"/>
    <mergeCell ref="G11:I13"/>
    <mergeCell ref="G26:I28"/>
    <mergeCell ref="G29:I31"/>
  </mergeCells>
  <conditionalFormatting sqref="D54:I55 D36:I37 D18:I19">
    <cfRule type="cellIs" dxfId="5" priority="1" operator="equal">
      <formula>0</formula>
    </cfRule>
  </conditionalFormatting>
  <dataValidations count="2">
    <dataValidation type="list" allowBlank="1" showInputMessage="1" showErrorMessage="1" sqref="H2:L2">
      <formula1>INDIRECT($C$2)</formula1>
    </dataValidation>
    <dataValidation type="list" allowBlank="1" showInputMessage="1" showErrorMessage="1" sqref="N2:R2">
      <formula1>INDIRECT($H$2)</formula1>
    </dataValidation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75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'Structures EDS'!$A$3:$A$9</xm:f>
          </x14:formula1>
          <xm:sqref>C2:F2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W296"/>
  <sheetViews>
    <sheetView workbookViewId="0">
      <selection activeCell="B3" sqref="B3"/>
    </sheetView>
  </sheetViews>
  <sheetFormatPr baseColWidth="10" defaultRowHeight="12.75" x14ac:dyDescent="0.2"/>
  <cols>
    <col min="1" max="1" width="27.42578125" style="68" bestFit="1" customWidth="1"/>
    <col min="2" max="64" width="10.5703125" style="67" customWidth="1"/>
    <col min="65" max="72" width="9.7109375" style="67" customWidth="1"/>
    <col min="73" max="127" width="11.42578125" style="67"/>
    <col min="128" max="16384" width="11.42578125" style="68"/>
  </cols>
  <sheetData>
    <row r="1" spans="1:127" x14ac:dyDescent="0.2">
      <c r="A1" s="68">
        <v>1</v>
      </c>
      <c r="B1" s="68">
        <v>2</v>
      </c>
      <c r="C1" s="68">
        <v>3</v>
      </c>
      <c r="D1" s="68">
        <v>4</v>
      </c>
      <c r="E1" s="68">
        <v>5</v>
      </c>
      <c r="F1" s="68">
        <v>6</v>
      </c>
      <c r="G1" s="68">
        <v>7</v>
      </c>
      <c r="H1" s="68">
        <v>8</v>
      </c>
      <c r="I1" s="68">
        <v>9</v>
      </c>
      <c r="J1" s="68">
        <v>10</v>
      </c>
      <c r="K1" s="68">
        <v>11</v>
      </c>
      <c r="L1" s="68">
        <v>12</v>
      </c>
      <c r="M1" s="68">
        <v>13</v>
      </c>
      <c r="N1" s="68">
        <v>14</v>
      </c>
      <c r="O1" s="68">
        <v>15</v>
      </c>
      <c r="P1" s="68">
        <v>16</v>
      </c>
      <c r="Q1" s="68">
        <v>17</v>
      </c>
      <c r="R1" s="68">
        <v>18</v>
      </c>
      <c r="S1" s="68">
        <v>19</v>
      </c>
      <c r="T1" s="68">
        <v>20</v>
      </c>
      <c r="U1" s="68">
        <v>21</v>
      </c>
      <c r="V1" s="68">
        <v>22</v>
      </c>
      <c r="W1" s="68">
        <v>23</v>
      </c>
      <c r="X1" s="68">
        <v>24</v>
      </c>
      <c r="Y1" s="68">
        <v>25</v>
      </c>
      <c r="Z1" s="68">
        <v>26</v>
      </c>
      <c r="AA1" s="68">
        <v>27</v>
      </c>
      <c r="AB1" s="68">
        <v>28</v>
      </c>
      <c r="AC1" s="68">
        <v>29</v>
      </c>
      <c r="AD1" s="68">
        <v>30</v>
      </c>
      <c r="AE1" s="68">
        <v>31</v>
      </c>
      <c r="AF1" s="68">
        <v>32</v>
      </c>
      <c r="AG1" s="68">
        <v>33</v>
      </c>
      <c r="AH1" s="68">
        <v>34</v>
      </c>
      <c r="AI1" s="68">
        <v>35</v>
      </c>
      <c r="AJ1" s="68">
        <v>36</v>
      </c>
      <c r="AK1" s="68">
        <v>37</v>
      </c>
      <c r="AL1" s="68">
        <v>38</v>
      </c>
      <c r="AM1" s="68">
        <v>39</v>
      </c>
      <c r="AN1" s="68">
        <v>40</v>
      </c>
      <c r="AO1" s="68">
        <v>41</v>
      </c>
      <c r="AP1" s="68">
        <v>42</v>
      </c>
      <c r="AQ1" s="68">
        <v>43</v>
      </c>
      <c r="AR1" s="68">
        <v>44</v>
      </c>
      <c r="AS1" s="68">
        <v>45</v>
      </c>
      <c r="AT1" s="68">
        <v>46</v>
      </c>
      <c r="AU1" s="68">
        <v>47</v>
      </c>
      <c r="AV1" s="68">
        <v>48</v>
      </c>
      <c r="AW1" s="68">
        <v>49</v>
      </c>
      <c r="AX1" s="68">
        <v>50</v>
      </c>
      <c r="AY1" s="68">
        <v>51</v>
      </c>
      <c r="AZ1" s="68">
        <v>52</v>
      </c>
      <c r="BA1" s="68">
        <v>53</v>
      </c>
      <c r="BB1" s="68">
        <v>54</v>
      </c>
      <c r="BC1" s="68">
        <v>55</v>
      </c>
      <c r="BD1" s="68">
        <v>56</v>
      </c>
      <c r="BE1" s="68">
        <v>57</v>
      </c>
      <c r="BF1" s="68">
        <v>58</v>
      </c>
      <c r="BG1" s="68">
        <v>59</v>
      </c>
      <c r="BH1" s="68">
        <v>60</v>
      </c>
      <c r="BI1" s="68">
        <v>61</v>
      </c>
      <c r="BJ1" s="68">
        <v>62</v>
      </c>
      <c r="BK1" s="68">
        <v>63</v>
      </c>
      <c r="BL1" s="68">
        <v>64</v>
      </c>
    </row>
    <row r="2" spans="1:127" s="65" customFormat="1" ht="47.25" customHeight="1" x14ac:dyDescent="0.2">
      <c r="A2" s="59" t="s">
        <v>21</v>
      </c>
      <c r="B2" s="60" t="s">
        <v>618</v>
      </c>
      <c r="C2" s="60" t="s">
        <v>381</v>
      </c>
      <c r="D2" s="60" t="s">
        <v>382</v>
      </c>
      <c r="E2" s="61" t="s">
        <v>619</v>
      </c>
      <c r="F2" s="61" t="s">
        <v>383</v>
      </c>
      <c r="G2" s="61" t="s">
        <v>384</v>
      </c>
      <c r="H2" s="62" t="s">
        <v>620</v>
      </c>
      <c r="I2" s="62" t="s">
        <v>385</v>
      </c>
      <c r="J2" s="62" t="s">
        <v>386</v>
      </c>
      <c r="K2" s="60" t="s">
        <v>621</v>
      </c>
      <c r="L2" s="60" t="s">
        <v>387</v>
      </c>
      <c r="M2" s="60" t="s">
        <v>388</v>
      </c>
      <c r="N2" s="61" t="s">
        <v>622</v>
      </c>
      <c r="O2" s="61" t="s">
        <v>389</v>
      </c>
      <c r="P2" s="61" t="s">
        <v>390</v>
      </c>
      <c r="Q2" s="62" t="s">
        <v>623</v>
      </c>
      <c r="R2" s="62" t="s">
        <v>391</v>
      </c>
      <c r="S2" s="62" t="s">
        <v>392</v>
      </c>
      <c r="T2" s="60" t="s">
        <v>624</v>
      </c>
      <c r="U2" s="60" t="s">
        <v>393</v>
      </c>
      <c r="V2" s="60" t="s">
        <v>394</v>
      </c>
      <c r="W2" s="61" t="s">
        <v>625</v>
      </c>
      <c r="X2" s="61" t="s">
        <v>395</v>
      </c>
      <c r="Y2" s="61" t="s">
        <v>396</v>
      </c>
      <c r="Z2" s="62" t="s">
        <v>626</v>
      </c>
      <c r="AA2" s="62" t="s">
        <v>397</v>
      </c>
      <c r="AB2" s="62" t="s">
        <v>398</v>
      </c>
      <c r="AC2" s="60" t="s">
        <v>627</v>
      </c>
      <c r="AD2" s="60" t="s">
        <v>399</v>
      </c>
      <c r="AE2" s="60" t="s">
        <v>400</v>
      </c>
      <c r="AF2" s="61" t="s">
        <v>628</v>
      </c>
      <c r="AG2" s="61" t="s">
        <v>401</v>
      </c>
      <c r="AH2" s="61" t="s">
        <v>402</v>
      </c>
      <c r="AI2" s="62" t="s">
        <v>629</v>
      </c>
      <c r="AJ2" s="62" t="s">
        <v>403</v>
      </c>
      <c r="AK2" s="62" t="s">
        <v>404</v>
      </c>
      <c r="AL2" s="60" t="s">
        <v>630</v>
      </c>
      <c r="AM2" s="60" t="s">
        <v>405</v>
      </c>
      <c r="AN2" s="60" t="s">
        <v>406</v>
      </c>
      <c r="AO2" s="61" t="s">
        <v>631</v>
      </c>
      <c r="AP2" s="61" t="s">
        <v>407</v>
      </c>
      <c r="AQ2" s="61" t="s">
        <v>408</v>
      </c>
      <c r="AR2" s="62" t="s">
        <v>632</v>
      </c>
      <c r="AS2" s="62" t="s">
        <v>409</v>
      </c>
      <c r="AT2" s="62" t="s">
        <v>410</v>
      </c>
      <c r="AU2" s="60" t="s">
        <v>633</v>
      </c>
      <c r="AV2" s="60" t="s">
        <v>411</v>
      </c>
      <c r="AW2" s="60" t="s">
        <v>412</v>
      </c>
      <c r="AX2" s="61" t="s">
        <v>634</v>
      </c>
      <c r="AY2" s="61" t="s">
        <v>413</v>
      </c>
      <c r="AZ2" s="61" t="s">
        <v>414</v>
      </c>
      <c r="BA2" s="62" t="s">
        <v>635</v>
      </c>
      <c r="BB2" s="62" t="s">
        <v>415</v>
      </c>
      <c r="BC2" s="62" t="s">
        <v>416</v>
      </c>
      <c r="BD2" s="60" t="s">
        <v>636</v>
      </c>
      <c r="BE2" s="60" t="s">
        <v>417</v>
      </c>
      <c r="BF2" s="60" t="s">
        <v>418</v>
      </c>
      <c r="BG2" s="61" t="s">
        <v>637</v>
      </c>
      <c r="BH2" s="61" t="s">
        <v>419</v>
      </c>
      <c r="BI2" s="61" t="s">
        <v>420</v>
      </c>
      <c r="BJ2" s="62" t="s">
        <v>638</v>
      </c>
      <c r="BK2" s="62" t="s">
        <v>421</v>
      </c>
      <c r="BL2" s="62" t="s">
        <v>422</v>
      </c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64"/>
      <c r="BY2" s="64"/>
      <c r="BZ2" s="64"/>
      <c r="CA2" s="64"/>
      <c r="CB2" s="64"/>
      <c r="CC2" s="64"/>
      <c r="CD2" s="64"/>
      <c r="CE2" s="64"/>
      <c r="CF2" s="64"/>
      <c r="CG2" s="64"/>
      <c r="CH2" s="64"/>
      <c r="CI2" s="64"/>
      <c r="CJ2" s="64"/>
      <c r="CK2" s="64"/>
      <c r="CL2" s="64"/>
      <c r="CM2" s="64"/>
      <c r="CN2" s="64"/>
      <c r="CO2" s="64"/>
      <c r="CP2" s="64"/>
      <c r="CQ2" s="64"/>
      <c r="CR2" s="64"/>
      <c r="CS2" s="64"/>
      <c r="CT2" s="64"/>
      <c r="CU2" s="64"/>
      <c r="CV2" s="64"/>
      <c r="CW2" s="64"/>
      <c r="CX2" s="64"/>
      <c r="CY2" s="64"/>
      <c r="CZ2" s="64"/>
      <c r="DA2" s="64"/>
      <c r="DB2" s="64"/>
      <c r="DC2" s="64"/>
      <c r="DD2" s="64"/>
      <c r="DE2" s="64"/>
      <c r="DF2" s="64"/>
      <c r="DG2" s="64"/>
      <c r="DH2" s="64"/>
      <c r="DI2" s="64"/>
      <c r="DJ2" s="64"/>
      <c r="DK2" s="64"/>
      <c r="DL2" s="64"/>
      <c r="DM2" s="64"/>
      <c r="DN2" s="64"/>
      <c r="DO2" s="64"/>
      <c r="DP2" s="64"/>
      <c r="DQ2" s="64"/>
      <c r="DR2" s="64"/>
      <c r="DS2" s="64"/>
      <c r="DT2" s="64"/>
      <c r="DU2" s="64"/>
      <c r="DV2" s="64"/>
      <c r="DW2" s="64"/>
    </row>
    <row r="3" spans="1:127" x14ac:dyDescent="0.2">
      <c r="A3" s="57" t="s">
        <v>5</v>
      </c>
      <c r="B3" s="58">
        <f>VLOOKUP($A3,'S0 remplacer avec S44'!$C:$BQ,32,0)</f>
        <v>116.1</v>
      </c>
      <c r="C3" s="58">
        <f>VLOOKUP($A3,'S0 remplacer avec S44'!$C:$BQ,39,0)</f>
        <v>4</v>
      </c>
      <c r="D3" s="58">
        <f>VLOOKUP($A3,'S0 remplacer avec S44'!$C:$BQ,40,0)</f>
        <v>28</v>
      </c>
      <c r="E3" s="58">
        <f>VLOOKUP($A3,'S0 remplacer avec S44'!$C:$BQ,22,0)</f>
        <v>1524.2224349999999</v>
      </c>
      <c r="F3" s="66">
        <f>VLOOKUP($A3,'S0 remplacer avec S44'!$C:$BQ,29,0)</f>
        <v>0</v>
      </c>
      <c r="G3" s="66">
        <f>VLOOKUP($A3,'S0 remplacer avec S44'!$C:$BQ,30,0)</f>
        <v>0</v>
      </c>
      <c r="H3" s="66">
        <f>VLOOKUP($A3,'S0 remplacer avec S44'!$C:$BQ,52,0)</f>
        <v>65.400000000000006</v>
      </c>
      <c r="I3" s="66">
        <f>VLOOKUP($A3,'S0 remplacer avec S44'!$C:$BQ,59,0)</f>
        <v>0</v>
      </c>
      <c r="J3" s="66">
        <f>VLOOKUP($A3,'S0 remplacer avec S44'!$C:$BQ,60,0)</f>
        <v>8</v>
      </c>
      <c r="K3" s="58">
        <f>VLOOKUP($A3,'S45'!$C:$BQ,32,0)</f>
        <v>122.1</v>
      </c>
      <c r="L3" s="58">
        <f>VLOOKUP($A3,'S45'!$C:$BQ,39,0)</f>
        <v>0</v>
      </c>
      <c r="M3" s="58">
        <f>VLOOKUP($A3,'S45'!$C:$BQ,40,0)</f>
        <v>22</v>
      </c>
      <c r="N3" s="58">
        <f>VLOOKUP($A3,'S45'!$C:$BQ,22,0)</f>
        <v>1525.370435</v>
      </c>
      <c r="O3" s="66">
        <f>VLOOKUP($A3,'S45'!$C:$BQ,29,0)</f>
        <v>0</v>
      </c>
      <c r="P3" s="66">
        <f>VLOOKUP($A3,'S45'!$C:$BQ,30,0)</f>
        <v>0</v>
      </c>
      <c r="Q3" s="66">
        <f>VLOOKUP($A3,'S45'!$C:$BQ,52,0)</f>
        <v>67.400000000000006</v>
      </c>
      <c r="R3" s="66">
        <f>VLOOKUP($A3,'S45'!$C:$BQ,59,0)</f>
        <v>0</v>
      </c>
      <c r="S3" s="66">
        <f>VLOOKUP($A3,'S45'!$C:$BQ,60,0)</f>
        <v>6</v>
      </c>
      <c r="T3" s="58">
        <f>VLOOKUP($A3,'S46'!$C:$BQ,32,0)</f>
        <v>123.1</v>
      </c>
      <c r="U3" s="58">
        <f>VLOOKUP($A3,'S46'!$C:$BQ,39,0)</f>
        <v>0</v>
      </c>
      <c r="V3" s="58">
        <f>VLOOKUP($A3,'S46'!$C:$BQ,40,0)</f>
        <v>21</v>
      </c>
      <c r="W3" s="58">
        <f>VLOOKUP($A3,'S46'!$C:$BQ,22,0)</f>
        <v>1546.044455</v>
      </c>
      <c r="X3" s="66">
        <f>VLOOKUP($A3,'S46'!$C:$BQ,29,0)</f>
        <v>0</v>
      </c>
      <c r="Y3" s="66">
        <f>VLOOKUP($A3,'S46'!$C:$BQ,30,0)</f>
        <v>0</v>
      </c>
      <c r="Z3" s="66">
        <f>VLOOKUP($A3,'S46'!$C:$BQ,52,0)</f>
        <v>67.400000000000006</v>
      </c>
      <c r="AA3" s="66">
        <f>VLOOKUP($A3,'S46'!$C:$BQ,59,0)</f>
        <v>0</v>
      </c>
      <c r="AB3" s="66">
        <f>VLOOKUP($A3,'S46'!$C:$BQ,60,0)</f>
        <v>6</v>
      </c>
      <c r="AC3" s="58">
        <f>VLOOKUP($A3,'S47'!$C:$BQ,32,0)</f>
        <v>127.1</v>
      </c>
      <c r="AD3" s="58">
        <f>VLOOKUP($A3,'S47'!$C:$BQ,39,0)</f>
        <v>0</v>
      </c>
      <c r="AE3" s="58">
        <f>VLOOKUP($A3,'S47'!$C:$BQ,40,0)</f>
        <v>17</v>
      </c>
      <c r="AF3" s="58">
        <f>VLOOKUP($A3,'S47'!$C:$BQ,22,0)</f>
        <v>1551.5223149999999</v>
      </c>
      <c r="AG3" s="66">
        <f>VLOOKUP($A3,'S47'!$C:$BQ,29,0)</f>
        <v>0</v>
      </c>
      <c r="AH3" s="66">
        <f>VLOOKUP($A3,'S47'!$C:$BQ,30,0)</f>
        <v>0</v>
      </c>
      <c r="AI3" s="66">
        <f>VLOOKUP($A3,'S47'!$C:$BQ,52,0)</f>
        <v>67.400000000000006</v>
      </c>
      <c r="AJ3" s="66">
        <f>VLOOKUP($A3,'S47'!$C:$BQ,59,0)</f>
        <v>0</v>
      </c>
      <c r="AK3" s="66">
        <f>VLOOKUP($A3,'S47'!$C:$BQ,60,0)</f>
        <v>6</v>
      </c>
      <c r="AL3" s="58" t="e">
        <f>VLOOKUP($A3,'S48'!$C:$BQ,32,0)</f>
        <v>#N/A</v>
      </c>
      <c r="AM3" s="58" t="e">
        <f>VLOOKUP($A3,'S48'!$C:$BQ,39,0)</f>
        <v>#N/A</v>
      </c>
      <c r="AN3" s="58" t="e">
        <f>VLOOKUP($A3,'S48'!$C:$BQ,40,0)</f>
        <v>#N/A</v>
      </c>
      <c r="AO3" s="58" t="e">
        <f>VLOOKUP($A3,'S48'!$C:$BQ,22,0)</f>
        <v>#N/A</v>
      </c>
      <c r="AP3" s="66" t="e">
        <f>VLOOKUP($A3,'S48'!$C:$BQ,29,0)</f>
        <v>#N/A</v>
      </c>
      <c r="AQ3" s="66" t="e">
        <f>VLOOKUP($A3,'S48'!$C:$BQ,30,0)</f>
        <v>#N/A</v>
      </c>
      <c r="AR3" s="66" t="e">
        <f>VLOOKUP($A3,'S48'!$C:$BQ,52,0)</f>
        <v>#N/A</v>
      </c>
      <c r="AS3" s="66" t="e">
        <f>VLOOKUP($A3,'S48'!$C:$BQ,59,0)</f>
        <v>#N/A</v>
      </c>
      <c r="AT3" s="66" t="e">
        <f>VLOOKUP($A3,'S48'!$C:$BQ,60,0)</f>
        <v>#N/A</v>
      </c>
      <c r="AU3" s="58" t="e">
        <f>VLOOKUP($A3,'S49'!$C:$BQ,32,0)</f>
        <v>#N/A</v>
      </c>
      <c r="AV3" s="58" t="e">
        <f>VLOOKUP($A3,'S49'!$C:$BQ,39,0)</f>
        <v>#N/A</v>
      </c>
      <c r="AW3" s="58" t="e">
        <f>VLOOKUP($A3,'S49'!$C:$BQ,40,0)</f>
        <v>#N/A</v>
      </c>
      <c r="AX3" s="58" t="e">
        <f>VLOOKUP($A3,'S49'!$C:$BQ,22,0)</f>
        <v>#N/A</v>
      </c>
      <c r="AY3" s="66" t="e">
        <f>VLOOKUP($A3,'S49'!$C:$BQ,29,0)</f>
        <v>#N/A</v>
      </c>
      <c r="AZ3" s="66" t="e">
        <f>VLOOKUP($A3,'S49'!$C:$BQ,30,0)</f>
        <v>#N/A</v>
      </c>
      <c r="BA3" s="66" t="e">
        <f>VLOOKUP($A3,'S49'!$C:$BQ,52,0)</f>
        <v>#N/A</v>
      </c>
      <c r="BB3" s="66" t="e">
        <f>VLOOKUP($A3,'S49'!$C:$BQ,59,0)</f>
        <v>#N/A</v>
      </c>
      <c r="BC3" s="66" t="e">
        <f>VLOOKUP($A3,'S49'!$C:$BQ,60,0)</f>
        <v>#N/A</v>
      </c>
      <c r="BD3" s="58" t="e">
        <f>VLOOKUP($A3,'S50'!$C:$BQ,32,0)</f>
        <v>#N/A</v>
      </c>
      <c r="BE3" s="58" t="e">
        <f>VLOOKUP($A3,'S50'!$C:$BQ,39,0)</f>
        <v>#N/A</v>
      </c>
      <c r="BF3" s="58" t="e">
        <f>VLOOKUP($A3,'S50'!$C:$BQ,40,0)</f>
        <v>#N/A</v>
      </c>
      <c r="BG3" s="58" t="e">
        <f>VLOOKUP($A3,'S50'!$C:$BQ,22,0)</f>
        <v>#N/A</v>
      </c>
      <c r="BH3" s="66" t="e">
        <f>VLOOKUP($A3,'S50'!$C:$BQ,29,0)</f>
        <v>#N/A</v>
      </c>
      <c r="BI3" s="66" t="e">
        <f>VLOOKUP($A3,'S50'!$C:$BQ,30,0)</f>
        <v>#N/A</v>
      </c>
      <c r="BJ3" s="66" t="e">
        <f>VLOOKUP($A3,'S50'!$C:$BQ,52,0)</f>
        <v>#N/A</v>
      </c>
      <c r="BK3" s="66" t="e">
        <f>VLOOKUP($A3,'S50'!$C:$BQ,59,0)</f>
        <v>#N/A</v>
      </c>
      <c r="BL3" s="66" t="e">
        <f>VLOOKUP($A3,'S50'!$C:$BQ,60,0)</f>
        <v>#N/A</v>
      </c>
    </row>
    <row r="4" spans="1:127" x14ac:dyDescent="0.2">
      <c r="A4" s="57" t="s">
        <v>56</v>
      </c>
      <c r="B4" s="58">
        <f>VLOOKUP($A4,'S0 remplacer avec S44'!$C:$BQ,32,0)</f>
        <v>462.15</v>
      </c>
      <c r="C4" s="58">
        <f>VLOOKUP($A4,'S0 remplacer avec S44'!$C:$BQ,39,0)</f>
        <v>117</v>
      </c>
      <c r="D4" s="58">
        <f>VLOOKUP($A4,'S0 remplacer avec S44'!$C:$BQ,40,0)</f>
        <v>233</v>
      </c>
      <c r="E4" s="58">
        <f>VLOOKUP($A4,'S0 remplacer avec S44'!$C:$BQ,22,0)</f>
        <v>5969.496365</v>
      </c>
      <c r="F4" s="66">
        <f>VLOOKUP($A4,'S0 remplacer avec S44'!$C:$BQ,29,0)</f>
        <v>0</v>
      </c>
      <c r="G4" s="66">
        <f>VLOOKUP($A4,'S0 remplacer avec S44'!$C:$BQ,30,0)</f>
        <v>351</v>
      </c>
      <c r="H4" s="66">
        <f>VLOOKUP($A4,'S0 remplacer avec S44'!$C:$BQ,52,0)</f>
        <v>382</v>
      </c>
      <c r="I4" s="66">
        <f>VLOOKUP($A4,'S0 remplacer avec S44'!$C:$BQ,59,0)</f>
        <v>0</v>
      </c>
      <c r="J4" s="66">
        <f>VLOOKUP($A4,'S0 remplacer avec S44'!$C:$BQ,60,0)</f>
        <v>0</v>
      </c>
      <c r="K4" s="58">
        <f>VLOOKUP($A4,'S45'!$C:$BQ,32,0)</f>
        <v>474.35</v>
      </c>
      <c r="L4" s="58">
        <f>VLOOKUP($A4,'S45'!$C:$BQ,39,0)</f>
        <v>105</v>
      </c>
      <c r="M4" s="58">
        <f>VLOOKUP($A4,'S45'!$C:$BQ,40,0)</f>
        <v>221</v>
      </c>
      <c r="N4" s="58">
        <f>VLOOKUP($A4,'S45'!$C:$BQ,22,0)</f>
        <v>5974.2011249999996</v>
      </c>
      <c r="O4" s="66">
        <f>VLOOKUP($A4,'S45'!$C:$BQ,29,0)</f>
        <v>0</v>
      </c>
      <c r="P4" s="66">
        <f>VLOOKUP($A4,'S45'!$C:$BQ,30,0)</f>
        <v>346</v>
      </c>
      <c r="Q4" s="66">
        <f>VLOOKUP($A4,'S45'!$C:$BQ,52,0)</f>
        <v>383</v>
      </c>
      <c r="R4" s="66">
        <f>VLOOKUP($A4,'S45'!$C:$BQ,59,0)</f>
        <v>0</v>
      </c>
      <c r="S4" s="66">
        <f>VLOOKUP($A4,'S45'!$C:$BQ,60,0)</f>
        <v>0</v>
      </c>
      <c r="T4" s="58">
        <f>VLOOKUP($A4,'S46'!$C:$BQ,32,0)</f>
        <v>477.35</v>
      </c>
      <c r="U4" s="58">
        <f>VLOOKUP($A4,'S46'!$C:$BQ,39,0)</f>
        <v>102</v>
      </c>
      <c r="V4" s="58">
        <f>VLOOKUP($A4,'S46'!$C:$BQ,40,0)</f>
        <v>218</v>
      </c>
      <c r="W4" s="58">
        <f>VLOOKUP($A4,'S46'!$C:$BQ,22,0)</f>
        <v>5980.6178550000004</v>
      </c>
      <c r="X4" s="66">
        <f>VLOOKUP($A4,'S46'!$C:$BQ,29,0)</f>
        <v>0</v>
      </c>
      <c r="Y4" s="66">
        <f>VLOOKUP($A4,'S46'!$C:$BQ,30,0)</f>
        <v>340</v>
      </c>
      <c r="Z4" s="66">
        <f>VLOOKUP($A4,'S46'!$C:$BQ,52,0)</f>
        <v>385</v>
      </c>
      <c r="AA4" s="66">
        <f>VLOOKUP($A4,'S46'!$C:$BQ,59,0)</f>
        <v>0</v>
      </c>
      <c r="AB4" s="66">
        <f>VLOOKUP($A4,'S46'!$C:$BQ,60,0)</f>
        <v>0</v>
      </c>
      <c r="AC4" s="58">
        <f>VLOOKUP($A4,'S47'!$C:$BQ,32,0)</f>
        <v>488.35</v>
      </c>
      <c r="AD4" s="58">
        <f>VLOOKUP($A4,'S47'!$C:$BQ,39,0)</f>
        <v>91</v>
      </c>
      <c r="AE4" s="58">
        <f>VLOOKUP($A4,'S47'!$C:$BQ,40,0)</f>
        <v>207</v>
      </c>
      <c r="AF4" s="58">
        <f>VLOOKUP($A4,'S47'!$C:$BQ,22,0)</f>
        <v>6079.8051349999996</v>
      </c>
      <c r="AG4" s="66">
        <f>VLOOKUP($A4,'S47'!$C:$BQ,29,0)</f>
        <v>0</v>
      </c>
      <c r="AH4" s="66">
        <f>VLOOKUP($A4,'S47'!$C:$BQ,30,0)</f>
        <v>241</v>
      </c>
      <c r="AI4" s="66">
        <f>VLOOKUP($A4,'S47'!$C:$BQ,52,0)</f>
        <v>389</v>
      </c>
      <c r="AJ4" s="66">
        <f>VLOOKUP($A4,'S47'!$C:$BQ,59,0)</f>
        <v>0</v>
      </c>
      <c r="AK4" s="66">
        <f>VLOOKUP($A4,'S47'!$C:$BQ,60,0)</f>
        <v>0</v>
      </c>
      <c r="AL4" s="58" t="e">
        <f>VLOOKUP($A4,'S48'!$C:$BQ,32,0)</f>
        <v>#N/A</v>
      </c>
      <c r="AM4" s="58" t="e">
        <f>VLOOKUP($A4,'S48'!$C:$BQ,39,0)</f>
        <v>#N/A</v>
      </c>
      <c r="AN4" s="58" t="e">
        <f>VLOOKUP($A4,'S48'!$C:$BQ,40,0)</f>
        <v>#N/A</v>
      </c>
      <c r="AO4" s="58" t="e">
        <f>VLOOKUP($A4,'S48'!$C:$BQ,22,0)</f>
        <v>#N/A</v>
      </c>
      <c r="AP4" s="66" t="e">
        <f>VLOOKUP($A4,'S48'!$C:$BQ,29,0)</f>
        <v>#N/A</v>
      </c>
      <c r="AQ4" s="66" t="e">
        <f>VLOOKUP($A4,'S48'!$C:$BQ,30,0)</f>
        <v>#N/A</v>
      </c>
      <c r="AR4" s="66" t="e">
        <f>VLOOKUP($A4,'S48'!$C:$BQ,52,0)</f>
        <v>#N/A</v>
      </c>
      <c r="AS4" s="66" t="e">
        <f>VLOOKUP($A4,'S48'!$C:$BQ,59,0)</f>
        <v>#N/A</v>
      </c>
      <c r="AT4" s="66" t="e">
        <f>VLOOKUP($A4,'S48'!$C:$BQ,60,0)</f>
        <v>#N/A</v>
      </c>
      <c r="AU4" s="58" t="e">
        <f>VLOOKUP($A4,'S49'!$C:$BQ,32,0)</f>
        <v>#N/A</v>
      </c>
      <c r="AV4" s="58" t="e">
        <f>VLOOKUP($A4,'S49'!$C:$BQ,39,0)</f>
        <v>#N/A</v>
      </c>
      <c r="AW4" s="58" t="e">
        <f>VLOOKUP($A4,'S49'!$C:$BQ,40,0)</f>
        <v>#N/A</v>
      </c>
      <c r="AX4" s="58" t="e">
        <f>VLOOKUP($A4,'S49'!$C:$BQ,22,0)</f>
        <v>#N/A</v>
      </c>
      <c r="AY4" s="66" t="e">
        <f>VLOOKUP($A4,'S49'!$C:$BQ,29,0)</f>
        <v>#N/A</v>
      </c>
      <c r="AZ4" s="66" t="e">
        <f>VLOOKUP($A4,'S49'!$C:$BQ,30,0)</f>
        <v>#N/A</v>
      </c>
      <c r="BA4" s="66" t="e">
        <f>VLOOKUP($A4,'S49'!$C:$BQ,52,0)</f>
        <v>#N/A</v>
      </c>
      <c r="BB4" s="66" t="e">
        <f>VLOOKUP($A4,'S49'!$C:$BQ,59,0)</f>
        <v>#N/A</v>
      </c>
      <c r="BC4" s="66" t="e">
        <f>VLOOKUP($A4,'S49'!$C:$BQ,60,0)</f>
        <v>#N/A</v>
      </c>
      <c r="BD4" s="58" t="e">
        <f>VLOOKUP($A4,'S50'!$C:$BQ,32,0)</f>
        <v>#N/A</v>
      </c>
      <c r="BE4" s="58" t="e">
        <f>VLOOKUP($A4,'S50'!$C:$BQ,39,0)</f>
        <v>#N/A</v>
      </c>
      <c r="BF4" s="58" t="e">
        <f>VLOOKUP($A4,'S50'!$C:$BQ,40,0)</f>
        <v>#N/A</v>
      </c>
      <c r="BG4" s="58" t="e">
        <f>VLOOKUP($A4,'S50'!$C:$BQ,22,0)</f>
        <v>#N/A</v>
      </c>
      <c r="BH4" s="66" t="e">
        <f>VLOOKUP($A4,'S50'!$C:$BQ,29,0)</f>
        <v>#N/A</v>
      </c>
      <c r="BI4" s="66" t="e">
        <f>VLOOKUP($A4,'S50'!$C:$BQ,30,0)</f>
        <v>#N/A</v>
      </c>
      <c r="BJ4" s="66" t="e">
        <f>VLOOKUP($A4,'S50'!$C:$BQ,52,0)</f>
        <v>#N/A</v>
      </c>
      <c r="BK4" s="66" t="e">
        <f>VLOOKUP($A4,'S50'!$C:$BQ,59,0)</f>
        <v>#N/A</v>
      </c>
      <c r="BL4" s="66" t="e">
        <f>VLOOKUP($A4,'S50'!$C:$BQ,60,0)</f>
        <v>#N/A</v>
      </c>
    </row>
    <row r="5" spans="1:127" x14ac:dyDescent="0.2">
      <c r="A5" s="57" t="s">
        <v>57</v>
      </c>
      <c r="B5" s="58">
        <f>VLOOKUP($A5,'S0 remplacer avec S44'!$C:$BQ,32,0)</f>
        <v>105.85</v>
      </c>
      <c r="C5" s="58">
        <f>VLOOKUP($A5,'S0 remplacer avec S44'!$C:$BQ,39,0)</f>
        <v>47</v>
      </c>
      <c r="D5" s="58">
        <f>VLOOKUP($A5,'S0 remplacer avec S44'!$C:$BQ,40,0)</f>
        <v>77</v>
      </c>
      <c r="E5" s="58">
        <f>VLOOKUP($A5,'S0 remplacer avec S44'!$C:$BQ,22,0)</f>
        <v>2180.3409649999999</v>
      </c>
      <c r="F5" s="66">
        <f>VLOOKUP($A5,'S0 remplacer avec S44'!$C:$BQ,29,0)</f>
        <v>0</v>
      </c>
      <c r="G5" s="66">
        <f>VLOOKUP($A5,'S0 remplacer avec S44'!$C:$BQ,30,0)</f>
        <v>0</v>
      </c>
      <c r="H5" s="66">
        <f>VLOOKUP($A5,'S0 remplacer avec S44'!$C:$BQ,52,0)</f>
        <v>105.8</v>
      </c>
      <c r="I5" s="66">
        <f>VLOOKUP($A5,'S0 remplacer avec S44'!$C:$BQ,59,0)</f>
        <v>0</v>
      </c>
      <c r="J5" s="66">
        <f>VLOOKUP($A5,'S0 remplacer avec S44'!$C:$BQ,60,0)</f>
        <v>0</v>
      </c>
      <c r="K5" s="58">
        <f>VLOOKUP($A5,'S45'!$C:$BQ,32,0)</f>
        <v>112.85</v>
      </c>
      <c r="L5" s="58">
        <f>VLOOKUP($A5,'S45'!$C:$BQ,39,0)</f>
        <v>40</v>
      </c>
      <c r="M5" s="58">
        <f>VLOOKUP($A5,'S45'!$C:$BQ,40,0)</f>
        <v>70</v>
      </c>
      <c r="N5" s="58">
        <f>VLOOKUP($A5,'S45'!$C:$BQ,22,0)</f>
        <v>2252.5861249999998</v>
      </c>
      <c r="O5" s="66">
        <f>VLOOKUP($A5,'S45'!$C:$BQ,29,0)</f>
        <v>0</v>
      </c>
      <c r="P5" s="66">
        <f>VLOOKUP($A5,'S45'!$C:$BQ,30,0)</f>
        <v>0</v>
      </c>
      <c r="Q5" s="66">
        <f>VLOOKUP($A5,'S45'!$C:$BQ,52,0)</f>
        <v>113.8</v>
      </c>
      <c r="R5" s="66">
        <f>VLOOKUP($A5,'S45'!$C:$BQ,59,0)</f>
        <v>0</v>
      </c>
      <c r="S5" s="66">
        <f>VLOOKUP($A5,'S45'!$C:$BQ,60,0)</f>
        <v>0</v>
      </c>
      <c r="T5" s="58">
        <f>VLOOKUP($A5,'S46'!$C:$BQ,32,0)</f>
        <v>113.35</v>
      </c>
      <c r="U5" s="58">
        <f>VLOOKUP($A5,'S46'!$C:$BQ,39,0)</f>
        <v>39</v>
      </c>
      <c r="V5" s="58">
        <f>VLOOKUP($A5,'S46'!$C:$BQ,40,0)</f>
        <v>70</v>
      </c>
      <c r="W5" s="58">
        <f>VLOOKUP($A5,'S46'!$C:$BQ,22,0)</f>
        <v>2253.0179450000001</v>
      </c>
      <c r="X5" s="66">
        <f>VLOOKUP($A5,'S46'!$C:$BQ,29,0)</f>
        <v>0</v>
      </c>
      <c r="Y5" s="66">
        <f>VLOOKUP($A5,'S46'!$C:$BQ,30,0)</f>
        <v>0</v>
      </c>
      <c r="Z5" s="66">
        <f>VLOOKUP($A5,'S46'!$C:$BQ,52,0)</f>
        <v>114.8</v>
      </c>
      <c r="AA5" s="66">
        <f>VLOOKUP($A5,'S46'!$C:$BQ,59,0)</f>
        <v>0</v>
      </c>
      <c r="AB5" s="66">
        <f>VLOOKUP($A5,'S46'!$C:$BQ,60,0)</f>
        <v>0</v>
      </c>
      <c r="AC5" s="58">
        <f>VLOOKUP($A5,'S47'!$C:$BQ,32,0)</f>
        <v>114.85</v>
      </c>
      <c r="AD5" s="58">
        <f>VLOOKUP($A5,'S47'!$C:$BQ,39,0)</f>
        <v>38</v>
      </c>
      <c r="AE5" s="58">
        <f>VLOOKUP($A5,'S47'!$C:$BQ,40,0)</f>
        <v>68</v>
      </c>
      <c r="AF5" s="58">
        <f>VLOOKUP($A5,'S47'!$C:$BQ,22,0)</f>
        <v>2262.6126450000002</v>
      </c>
      <c r="AG5" s="66">
        <f>VLOOKUP($A5,'S47'!$C:$BQ,29,0)</f>
        <v>0</v>
      </c>
      <c r="AH5" s="66">
        <f>VLOOKUP($A5,'S47'!$C:$BQ,30,0)</f>
        <v>0</v>
      </c>
      <c r="AI5" s="66">
        <f>VLOOKUP($A5,'S47'!$C:$BQ,52,0)</f>
        <v>117.8</v>
      </c>
      <c r="AJ5" s="66">
        <f>VLOOKUP($A5,'S47'!$C:$BQ,59,0)</f>
        <v>0</v>
      </c>
      <c r="AK5" s="66">
        <f>VLOOKUP($A5,'S47'!$C:$BQ,60,0)</f>
        <v>0</v>
      </c>
      <c r="AL5" s="58" t="e">
        <f>VLOOKUP($A5,'S48'!$C:$BQ,32,0)</f>
        <v>#N/A</v>
      </c>
      <c r="AM5" s="58" t="e">
        <f>VLOOKUP($A5,'S48'!$C:$BQ,39,0)</f>
        <v>#N/A</v>
      </c>
      <c r="AN5" s="58" t="e">
        <f>VLOOKUP($A5,'S48'!$C:$BQ,40,0)</f>
        <v>#N/A</v>
      </c>
      <c r="AO5" s="58" t="e">
        <f>VLOOKUP($A5,'S48'!$C:$BQ,22,0)</f>
        <v>#N/A</v>
      </c>
      <c r="AP5" s="66" t="e">
        <f>VLOOKUP($A5,'S48'!$C:$BQ,29,0)</f>
        <v>#N/A</v>
      </c>
      <c r="AQ5" s="66" t="e">
        <f>VLOOKUP($A5,'S48'!$C:$BQ,30,0)</f>
        <v>#N/A</v>
      </c>
      <c r="AR5" s="66" t="e">
        <f>VLOOKUP($A5,'S48'!$C:$BQ,52,0)</f>
        <v>#N/A</v>
      </c>
      <c r="AS5" s="66" t="e">
        <f>VLOOKUP($A5,'S48'!$C:$BQ,59,0)</f>
        <v>#N/A</v>
      </c>
      <c r="AT5" s="66" t="e">
        <f>VLOOKUP($A5,'S48'!$C:$BQ,60,0)</f>
        <v>#N/A</v>
      </c>
      <c r="AU5" s="58" t="e">
        <f>VLOOKUP($A5,'S49'!$C:$BQ,32,0)</f>
        <v>#N/A</v>
      </c>
      <c r="AV5" s="58" t="e">
        <f>VLOOKUP($A5,'S49'!$C:$BQ,39,0)</f>
        <v>#N/A</v>
      </c>
      <c r="AW5" s="58" t="e">
        <f>VLOOKUP($A5,'S49'!$C:$BQ,40,0)</f>
        <v>#N/A</v>
      </c>
      <c r="AX5" s="58" t="e">
        <f>VLOOKUP($A5,'S49'!$C:$BQ,22,0)</f>
        <v>#N/A</v>
      </c>
      <c r="AY5" s="66" t="e">
        <f>VLOOKUP($A5,'S49'!$C:$BQ,29,0)</f>
        <v>#N/A</v>
      </c>
      <c r="AZ5" s="66" t="e">
        <f>VLOOKUP($A5,'S49'!$C:$BQ,30,0)</f>
        <v>#N/A</v>
      </c>
      <c r="BA5" s="66" t="e">
        <f>VLOOKUP($A5,'S49'!$C:$BQ,52,0)</f>
        <v>#N/A</v>
      </c>
      <c r="BB5" s="66" t="e">
        <f>VLOOKUP($A5,'S49'!$C:$BQ,59,0)</f>
        <v>#N/A</v>
      </c>
      <c r="BC5" s="66" t="e">
        <f>VLOOKUP($A5,'S49'!$C:$BQ,60,0)</f>
        <v>#N/A</v>
      </c>
      <c r="BD5" s="58" t="e">
        <f>VLOOKUP($A5,'S50'!$C:$BQ,32,0)</f>
        <v>#N/A</v>
      </c>
      <c r="BE5" s="58" t="e">
        <f>VLOOKUP($A5,'S50'!$C:$BQ,39,0)</f>
        <v>#N/A</v>
      </c>
      <c r="BF5" s="58" t="e">
        <f>VLOOKUP($A5,'S50'!$C:$BQ,40,0)</f>
        <v>#N/A</v>
      </c>
      <c r="BG5" s="58" t="e">
        <f>VLOOKUP($A5,'S50'!$C:$BQ,22,0)</f>
        <v>#N/A</v>
      </c>
      <c r="BH5" s="66" t="e">
        <f>VLOOKUP($A5,'S50'!$C:$BQ,29,0)</f>
        <v>#N/A</v>
      </c>
      <c r="BI5" s="66" t="e">
        <f>VLOOKUP($A5,'S50'!$C:$BQ,30,0)</f>
        <v>#N/A</v>
      </c>
      <c r="BJ5" s="66" t="e">
        <f>VLOOKUP($A5,'S50'!$C:$BQ,52,0)</f>
        <v>#N/A</v>
      </c>
      <c r="BK5" s="66" t="e">
        <f>VLOOKUP($A5,'S50'!$C:$BQ,59,0)</f>
        <v>#N/A</v>
      </c>
      <c r="BL5" s="66" t="e">
        <f>VLOOKUP($A5,'S50'!$C:$BQ,60,0)</f>
        <v>#N/A</v>
      </c>
    </row>
    <row r="6" spans="1:127" x14ac:dyDescent="0.2">
      <c r="A6" s="57" t="s">
        <v>58</v>
      </c>
      <c r="B6" s="58">
        <f>VLOOKUP($A6,'S0 remplacer avec S44'!$C:$BQ,32,0)</f>
        <v>97</v>
      </c>
      <c r="C6" s="58">
        <f>VLOOKUP($A6,'S0 remplacer avec S44'!$C:$BQ,39,0)</f>
        <v>81</v>
      </c>
      <c r="D6" s="58">
        <f>VLOOKUP($A6,'S0 remplacer avec S44'!$C:$BQ,40,0)</f>
        <v>116</v>
      </c>
      <c r="E6" s="58">
        <f>VLOOKUP($A6,'S0 remplacer avec S44'!$C:$BQ,22,0)</f>
        <v>1494.4233899999999</v>
      </c>
      <c r="F6" s="66">
        <f>VLOOKUP($A6,'S0 remplacer avec S44'!$C:$BQ,29,0)</f>
        <v>119</v>
      </c>
      <c r="G6" s="66">
        <f>VLOOKUP($A6,'S0 remplacer avec S44'!$C:$BQ,30,0)</f>
        <v>442</v>
      </c>
      <c r="H6" s="66">
        <f>VLOOKUP($A6,'S0 remplacer avec S44'!$C:$BQ,52,0)</f>
        <v>81</v>
      </c>
      <c r="I6" s="66">
        <f>VLOOKUP($A6,'S0 remplacer avec S44'!$C:$BQ,59,0)</f>
        <v>10</v>
      </c>
      <c r="J6" s="66">
        <f>VLOOKUP($A6,'S0 remplacer avec S44'!$C:$BQ,60,0)</f>
        <v>28</v>
      </c>
      <c r="K6" s="58">
        <f>VLOOKUP($A6,'S45'!$C:$BQ,32,0)</f>
        <v>100</v>
      </c>
      <c r="L6" s="58">
        <f>VLOOKUP($A6,'S45'!$C:$BQ,39,0)</f>
        <v>78</v>
      </c>
      <c r="M6" s="58">
        <f>VLOOKUP($A6,'S45'!$C:$BQ,40,0)</f>
        <v>113</v>
      </c>
      <c r="N6" s="58">
        <f>VLOOKUP($A6,'S45'!$C:$BQ,22,0)</f>
        <v>1515.4833900000001</v>
      </c>
      <c r="O6" s="66">
        <f>VLOOKUP($A6,'S45'!$C:$BQ,29,0)</f>
        <v>98</v>
      </c>
      <c r="P6" s="66">
        <f>VLOOKUP($A6,'S45'!$C:$BQ,30,0)</f>
        <v>421</v>
      </c>
      <c r="Q6" s="66">
        <f>VLOOKUP($A6,'S45'!$C:$BQ,52,0)</f>
        <v>83</v>
      </c>
      <c r="R6" s="66">
        <f>VLOOKUP($A6,'S45'!$C:$BQ,59,0)</f>
        <v>8</v>
      </c>
      <c r="S6" s="66">
        <f>VLOOKUP($A6,'S45'!$C:$BQ,60,0)</f>
        <v>26</v>
      </c>
      <c r="T6" s="58">
        <f>VLOOKUP($A6,'S46'!$C:$BQ,32,0)</f>
        <v>100.5</v>
      </c>
      <c r="U6" s="58">
        <f>VLOOKUP($A6,'S46'!$C:$BQ,39,0)</f>
        <v>77</v>
      </c>
      <c r="V6" s="58">
        <f>VLOOKUP($A6,'S46'!$C:$BQ,40,0)</f>
        <v>113</v>
      </c>
      <c r="W6" s="58">
        <f>VLOOKUP($A6,'S46'!$C:$BQ,22,0)</f>
        <v>1516.0708999999999</v>
      </c>
      <c r="X6" s="66">
        <f>VLOOKUP($A6,'S46'!$C:$BQ,29,0)</f>
        <v>98</v>
      </c>
      <c r="Y6" s="66">
        <f>VLOOKUP($A6,'S46'!$C:$BQ,30,0)</f>
        <v>420</v>
      </c>
      <c r="Z6" s="66">
        <f>VLOOKUP($A6,'S46'!$C:$BQ,52,0)</f>
        <v>83</v>
      </c>
      <c r="AA6" s="66">
        <f>VLOOKUP($A6,'S46'!$C:$BQ,59,0)</f>
        <v>8</v>
      </c>
      <c r="AB6" s="66">
        <f>VLOOKUP($A6,'S46'!$C:$BQ,60,0)</f>
        <v>26</v>
      </c>
      <c r="AC6" s="58">
        <f>VLOOKUP($A6,'S47'!$C:$BQ,32,0)</f>
        <v>102</v>
      </c>
      <c r="AD6" s="58">
        <f>VLOOKUP($A6,'S47'!$C:$BQ,39,0)</f>
        <v>76</v>
      </c>
      <c r="AE6" s="58">
        <f>VLOOKUP($A6,'S47'!$C:$BQ,40,0)</f>
        <v>111</v>
      </c>
      <c r="AF6" s="58">
        <f>VLOOKUP($A6,'S47'!$C:$BQ,22,0)</f>
        <v>1542.0214900000001</v>
      </c>
      <c r="AG6" s="66">
        <f>VLOOKUP($A6,'S47'!$C:$BQ,29,0)</f>
        <v>72</v>
      </c>
      <c r="AH6" s="66">
        <f>VLOOKUP($A6,'S47'!$C:$BQ,30,0)</f>
        <v>394</v>
      </c>
      <c r="AI6" s="66">
        <f>VLOOKUP($A6,'S47'!$C:$BQ,52,0)</f>
        <v>84</v>
      </c>
      <c r="AJ6" s="66">
        <f>VLOOKUP($A6,'S47'!$C:$BQ,59,0)</f>
        <v>7</v>
      </c>
      <c r="AK6" s="66">
        <f>VLOOKUP($A6,'S47'!$C:$BQ,60,0)</f>
        <v>25</v>
      </c>
      <c r="AL6" s="58" t="e">
        <f>VLOOKUP($A6,'S48'!$C:$BQ,32,0)</f>
        <v>#N/A</v>
      </c>
      <c r="AM6" s="58" t="e">
        <f>VLOOKUP($A6,'S48'!$C:$BQ,39,0)</f>
        <v>#N/A</v>
      </c>
      <c r="AN6" s="58" t="e">
        <f>VLOOKUP($A6,'S48'!$C:$BQ,40,0)</f>
        <v>#N/A</v>
      </c>
      <c r="AO6" s="58" t="e">
        <f>VLOOKUP($A6,'S48'!$C:$BQ,22,0)</f>
        <v>#N/A</v>
      </c>
      <c r="AP6" s="66" t="e">
        <f>VLOOKUP($A6,'S48'!$C:$BQ,29,0)</f>
        <v>#N/A</v>
      </c>
      <c r="AQ6" s="66" t="e">
        <f>VLOOKUP($A6,'S48'!$C:$BQ,30,0)</f>
        <v>#N/A</v>
      </c>
      <c r="AR6" s="66" t="e">
        <f>VLOOKUP($A6,'S48'!$C:$BQ,52,0)</f>
        <v>#N/A</v>
      </c>
      <c r="AS6" s="66" t="e">
        <f>VLOOKUP($A6,'S48'!$C:$BQ,59,0)</f>
        <v>#N/A</v>
      </c>
      <c r="AT6" s="66" t="e">
        <f>VLOOKUP($A6,'S48'!$C:$BQ,60,0)</f>
        <v>#N/A</v>
      </c>
      <c r="AU6" s="58" t="e">
        <f>VLOOKUP($A6,'S49'!$C:$BQ,32,0)</f>
        <v>#N/A</v>
      </c>
      <c r="AV6" s="58" t="e">
        <f>VLOOKUP($A6,'S49'!$C:$BQ,39,0)</f>
        <v>#N/A</v>
      </c>
      <c r="AW6" s="58" t="e">
        <f>VLOOKUP($A6,'S49'!$C:$BQ,40,0)</f>
        <v>#N/A</v>
      </c>
      <c r="AX6" s="58" t="e">
        <f>VLOOKUP($A6,'S49'!$C:$BQ,22,0)</f>
        <v>#N/A</v>
      </c>
      <c r="AY6" s="66" t="e">
        <f>VLOOKUP($A6,'S49'!$C:$BQ,29,0)</f>
        <v>#N/A</v>
      </c>
      <c r="AZ6" s="66" t="e">
        <f>VLOOKUP($A6,'S49'!$C:$BQ,30,0)</f>
        <v>#N/A</v>
      </c>
      <c r="BA6" s="66" t="e">
        <f>VLOOKUP($A6,'S49'!$C:$BQ,52,0)</f>
        <v>#N/A</v>
      </c>
      <c r="BB6" s="66" t="e">
        <f>VLOOKUP($A6,'S49'!$C:$BQ,59,0)</f>
        <v>#N/A</v>
      </c>
      <c r="BC6" s="66" t="e">
        <f>VLOOKUP($A6,'S49'!$C:$BQ,60,0)</f>
        <v>#N/A</v>
      </c>
      <c r="BD6" s="58" t="e">
        <f>VLOOKUP($A6,'S50'!$C:$BQ,32,0)</f>
        <v>#N/A</v>
      </c>
      <c r="BE6" s="58" t="e">
        <f>VLOOKUP($A6,'S50'!$C:$BQ,39,0)</f>
        <v>#N/A</v>
      </c>
      <c r="BF6" s="58" t="e">
        <f>VLOOKUP($A6,'S50'!$C:$BQ,40,0)</f>
        <v>#N/A</v>
      </c>
      <c r="BG6" s="58" t="e">
        <f>VLOOKUP($A6,'S50'!$C:$BQ,22,0)</f>
        <v>#N/A</v>
      </c>
      <c r="BH6" s="66" t="e">
        <f>VLOOKUP($A6,'S50'!$C:$BQ,29,0)</f>
        <v>#N/A</v>
      </c>
      <c r="BI6" s="66" t="e">
        <f>VLOOKUP($A6,'S50'!$C:$BQ,30,0)</f>
        <v>#N/A</v>
      </c>
      <c r="BJ6" s="66" t="e">
        <f>VLOOKUP($A6,'S50'!$C:$BQ,52,0)</f>
        <v>#N/A</v>
      </c>
      <c r="BK6" s="66" t="e">
        <f>VLOOKUP($A6,'S50'!$C:$BQ,59,0)</f>
        <v>#N/A</v>
      </c>
      <c r="BL6" s="66" t="e">
        <f>VLOOKUP($A6,'S50'!$C:$BQ,60,0)</f>
        <v>#N/A</v>
      </c>
    </row>
    <row r="7" spans="1:127" x14ac:dyDescent="0.2">
      <c r="A7" s="57" t="s">
        <v>59</v>
      </c>
      <c r="B7" s="58">
        <f>VLOOKUP($A7,'S0 remplacer avec S44'!$C:$BQ,32,0)</f>
        <v>409.2</v>
      </c>
      <c r="C7" s="58">
        <f>VLOOKUP($A7,'S0 remplacer avec S44'!$C:$BQ,39,0)</f>
        <v>12</v>
      </c>
      <c r="D7" s="58">
        <f>VLOOKUP($A7,'S0 remplacer avec S44'!$C:$BQ,40,0)</f>
        <v>96</v>
      </c>
      <c r="E7" s="58">
        <f>VLOOKUP($A7,'S0 remplacer avec S44'!$C:$BQ,22,0)</f>
        <v>4900.5916100000004</v>
      </c>
      <c r="F7" s="66">
        <f>VLOOKUP($A7,'S0 remplacer avec S44'!$C:$BQ,29,0)</f>
        <v>0</v>
      </c>
      <c r="G7" s="66">
        <f>VLOOKUP($A7,'S0 remplacer avec S44'!$C:$BQ,30,0)</f>
        <v>0</v>
      </c>
      <c r="H7" s="66">
        <f>VLOOKUP($A7,'S0 remplacer avec S44'!$C:$BQ,52,0)</f>
        <v>235.8</v>
      </c>
      <c r="I7" s="66">
        <f>VLOOKUP($A7,'S0 remplacer avec S44'!$C:$BQ,59,0)</f>
        <v>0</v>
      </c>
      <c r="J7" s="66">
        <f>VLOOKUP($A7,'S0 remplacer avec S44'!$C:$BQ,60,0)</f>
        <v>21</v>
      </c>
      <c r="K7" s="58">
        <f>VLOOKUP($A7,'S45'!$C:$BQ,32,0)</f>
        <v>421.3</v>
      </c>
      <c r="L7" s="58">
        <f>VLOOKUP($A7,'S45'!$C:$BQ,39,0)</f>
        <v>0</v>
      </c>
      <c r="M7" s="58">
        <f>VLOOKUP($A7,'S45'!$C:$BQ,40,0)</f>
        <v>84</v>
      </c>
      <c r="N7" s="58">
        <f>VLOOKUP($A7,'S45'!$C:$BQ,22,0)</f>
        <v>4923.2164300000004</v>
      </c>
      <c r="O7" s="66">
        <f>VLOOKUP($A7,'S45'!$C:$BQ,29,0)</f>
        <v>0</v>
      </c>
      <c r="P7" s="66">
        <f>VLOOKUP($A7,'S45'!$C:$BQ,30,0)</f>
        <v>0</v>
      </c>
      <c r="Q7" s="66">
        <f>VLOOKUP($A7,'S45'!$C:$BQ,52,0)</f>
        <v>237.8</v>
      </c>
      <c r="R7" s="66">
        <f>VLOOKUP($A7,'S45'!$C:$BQ,59,0)</f>
        <v>0</v>
      </c>
      <c r="S7" s="66">
        <f>VLOOKUP($A7,'S45'!$C:$BQ,60,0)</f>
        <v>19</v>
      </c>
      <c r="T7" s="58">
        <f>VLOOKUP($A7,'S46'!$C:$BQ,32,0)</f>
        <v>420.8</v>
      </c>
      <c r="U7" s="58">
        <f>VLOOKUP($A7,'S46'!$C:$BQ,39,0)</f>
        <v>0</v>
      </c>
      <c r="V7" s="58">
        <f>VLOOKUP($A7,'S46'!$C:$BQ,40,0)</f>
        <v>85</v>
      </c>
      <c r="W7" s="58">
        <f>VLOOKUP($A7,'S46'!$C:$BQ,22,0)</f>
        <v>4929.0041300000003</v>
      </c>
      <c r="X7" s="66">
        <f>VLOOKUP($A7,'S46'!$C:$BQ,29,0)</f>
        <v>0</v>
      </c>
      <c r="Y7" s="66">
        <f>VLOOKUP($A7,'S46'!$C:$BQ,30,0)</f>
        <v>0</v>
      </c>
      <c r="Z7" s="66">
        <f>VLOOKUP($A7,'S46'!$C:$BQ,52,0)</f>
        <v>237.8</v>
      </c>
      <c r="AA7" s="66">
        <f>VLOOKUP($A7,'S46'!$C:$BQ,59,0)</f>
        <v>0</v>
      </c>
      <c r="AB7" s="66">
        <f>VLOOKUP($A7,'S46'!$C:$BQ,60,0)</f>
        <v>19</v>
      </c>
      <c r="AC7" s="58">
        <f>VLOOKUP($A7,'S47'!$C:$BQ,32,0)</f>
        <v>448.1</v>
      </c>
      <c r="AD7" s="58">
        <f>VLOOKUP($A7,'S47'!$C:$BQ,39,0)</f>
        <v>0</v>
      </c>
      <c r="AE7" s="58">
        <f>VLOOKUP($A7,'S47'!$C:$BQ,40,0)</f>
        <v>57</v>
      </c>
      <c r="AF7" s="58">
        <f>VLOOKUP($A7,'S47'!$C:$BQ,22,0)</f>
        <v>4972.1401400000004</v>
      </c>
      <c r="AG7" s="66">
        <f>VLOOKUP($A7,'S47'!$C:$BQ,29,0)</f>
        <v>0</v>
      </c>
      <c r="AH7" s="66">
        <f>VLOOKUP($A7,'S47'!$C:$BQ,30,0)</f>
        <v>0</v>
      </c>
      <c r="AI7" s="66">
        <f>VLOOKUP($A7,'S47'!$C:$BQ,52,0)</f>
        <v>246.8</v>
      </c>
      <c r="AJ7" s="66">
        <f>VLOOKUP($A7,'S47'!$C:$BQ,59,0)</f>
        <v>0</v>
      </c>
      <c r="AK7" s="66">
        <f>VLOOKUP($A7,'S47'!$C:$BQ,60,0)</f>
        <v>10</v>
      </c>
      <c r="AL7" s="58" t="e">
        <f>VLOOKUP($A7,'S48'!$C:$BQ,32,0)</f>
        <v>#N/A</v>
      </c>
      <c r="AM7" s="58" t="e">
        <f>VLOOKUP($A7,'S48'!$C:$BQ,39,0)</f>
        <v>#N/A</v>
      </c>
      <c r="AN7" s="58" t="e">
        <f>VLOOKUP($A7,'S48'!$C:$BQ,40,0)</f>
        <v>#N/A</v>
      </c>
      <c r="AO7" s="58" t="e">
        <f>VLOOKUP($A7,'S48'!$C:$BQ,22,0)</f>
        <v>#N/A</v>
      </c>
      <c r="AP7" s="66" t="e">
        <f>VLOOKUP($A7,'S48'!$C:$BQ,29,0)</f>
        <v>#N/A</v>
      </c>
      <c r="AQ7" s="66" t="e">
        <f>VLOOKUP($A7,'S48'!$C:$BQ,30,0)</f>
        <v>#N/A</v>
      </c>
      <c r="AR7" s="66" t="e">
        <f>VLOOKUP($A7,'S48'!$C:$BQ,52,0)</f>
        <v>#N/A</v>
      </c>
      <c r="AS7" s="66" t="e">
        <f>VLOOKUP($A7,'S48'!$C:$BQ,59,0)</f>
        <v>#N/A</v>
      </c>
      <c r="AT7" s="66" t="e">
        <f>VLOOKUP($A7,'S48'!$C:$BQ,60,0)</f>
        <v>#N/A</v>
      </c>
      <c r="AU7" s="58" t="e">
        <f>VLOOKUP($A7,'S49'!$C:$BQ,32,0)</f>
        <v>#N/A</v>
      </c>
      <c r="AV7" s="58" t="e">
        <f>VLOOKUP($A7,'S49'!$C:$BQ,39,0)</f>
        <v>#N/A</v>
      </c>
      <c r="AW7" s="58" t="e">
        <f>VLOOKUP($A7,'S49'!$C:$BQ,40,0)</f>
        <v>#N/A</v>
      </c>
      <c r="AX7" s="58" t="e">
        <f>VLOOKUP($A7,'S49'!$C:$BQ,22,0)</f>
        <v>#N/A</v>
      </c>
      <c r="AY7" s="66" t="e">
        <f>VLOOKUP($A7,'S49'!$C:$BQ,29,0)</f>
        <v>#N/A</v>
      </c>
      <c r="AZ7" s="66" t="e">
        <f>VLOOKUP($A7,'S49'!$C:$BQ,30,0)</f>
        <v>#N/A</v>
      </c>
      <c r="BA7" s="66" t="e">
        <f>VLOOKUP($A7,'S49'!$C:$BQ,52,0)</f>
        <v>#N/A</v>
      </c>
      <c r="BB7" s="66" t="e">
        <f>VLOOKUP($A7,'S49'!$C:$BQ,59,0)</f>
        <v>#N/A</v>
      </c>
      <c r="BC7" s="66" t="e">
        <f>VLOOKUP($A7,'S49'!$C:$BQ,60,0)</f>
        <v>#N/A</v>
      </c>
      <c r="BD7" s="58" t="e">
        <f>VLOOKUP($A7,'S50'!$C:$BQ,32,0)</f>
        <v>#N/A</v>
      </c>
      <c r="BE7" s="58" t="e">
        <f>VLOOKUP($A7,'S50'!$C:$BQ,39,0)</f>
        <v>#N/A</v>
      </c>
      <c r="BF7" s="58" t="e">
        <f>VLOOKUP($A7,'S50'!$C:$BQ,40,0)</f>
        <v>#N/A</v>
      </c>
      <c r="BG7" s="58" t="e">
        <f>VLOOKUP($A7,'S50'!$C:$BQ,22,0)</f>
        <v>#N/A</v>
      </c>
      <c r="BH7" s="66" t="e">
        <f>VLOOKUP($A7,'S50'!$C:$BQ,29,0)</f>
        <v>#N/A</v>
      </c>
      <c r="BI7" s="66" t="e">
        <f>VLOOKUP($A7,'S50'!$C:$BQ,30,0)</f>
        <v>#N/A</v>
      </c>
      <c r="BJ7" s="66" t="e">
        <f>VLOOKUP($A7,'S50'!$C:$BQ,52,0)</f>
        <v>#N/A</v>
      </c>
      <c r="BK7" s="66" t="e">
        <f>VLOOKUP($A7,'S50'!$C:$BQ,59,0)</f>
        <v>#N/A</v>
      </c>
      <c r="BL7" s="66" t="e">
        <f>VLOOKUP($A7,'S50'!$C:$BQ,60,0)</f>
        <v>#N/A</v>
      </c>
    </row>
    <row r="8" spans="1:127" x14ac:dyDescent="0.2">
      <c r="A8" s="57" t="s">
        <v>60</v>
      </c>
      <c r="B8" s="58">
        <f>VLOOKUP($A8,'S0 remplacer avec S44'!$C:$BQ,32,0)</f>
        <v>128.5</v>
      </c>
      <c r="C8" s="58">
        <f>VLOOKUP($A8,'S0 remplacer avec S44'!$C:$BQ,39,0)</f>
        <v>3</v>
      </c>
      <c r="D8" s="58">
        <f>VLOOKUP($A8,'S0 remplacer avec S44'!$C:$BQ,40,0)</f>
        <v>29</v>
      </c>
      <c r="E8" s="58">
        <f>VLOOKUP($A8,'S0 remplacer avec S44'!$C:$BQ,22,0)</f>
        <v>1241.1084499999999</v>
      </c>
      <c r="F8" s="66">
        <f>VLOOKUP($A8,'S0 remplacer avec S44'!$C:$BQ,29,0)</f>
        <v>0</v>
      </c>
      <c r="G8" s="66">
        <f>VLOOKUP($A8,'S0 remplacer avec S44'!$C:$BQ,30,0)</f>
        <v>189</v>
      </c>
      <c r="H8" s="66">
        <f>VLOOKUP($A8,'S0 remplacer avec S44'!$C:$BQ,52,0)</f>
        <v>81.8</v>
      </c>
      <c r="I8" s="66">
        <f>VLOOKUP($A8,'S0 remplacer avec S44'!$C:$BQ,59,0)</f>
        <v>0</v>
      </c>
      <c r="J8" s="66">
        <f>VLOOKUP($A8,'S0 remplacer avec S44'!$C:$BQ,60,0)</f>
        <v>0</v>
      </c>
      <c r="K8" s="58">
        <f>VLOOKUP($A8,'S45'!$C:$BQ,32,0)</f>
        <v>131.5</v>
      </c>
      <c r="L8" s="58">
        <f>VLOOKUP($A8,'S45'!$C:$BQ,39,0)</f>
        <v>0</v>
      </c>
      <c r="M8" s="58">
        <f>VLOOKUP($A8,'S45'!$C:$BQ,40,0)</f>
        <v>26</v>
      </c>
      <c r="N8" s="58">
        <f>VLOOKUP($A8,'S45'!$C:$BQ,22,0)</f>
        <v>1242.1526100000001</v>
      </c>
      <c r="O8" s="66">
        <f>VLOOKUP($A8,'S45'!$C:$BQ,29,0)</f>
        <v>0</v>
      </c>
      <c r="P8" s="66">
        <f>VLOOKUP($A8,'S45'!$C:$BQ,30,0)</f>
        <v>188</v>
      </c>
      <c r="Q8" s="66">
        <f>VLOOKUP($A8,'S45'!$C:$BQ,52,0)</f>
        <v>81.8</v>
      </c>
      <c r="R8" s="66">
        <f>VLOOKUP($A8,'S45'!$C:$BQ,59,0)</f>
        <v>0</v>
      </c>
      <c r="S8" s="66">
        <f>VLOOKUP($A8,'S45'!$C:$BQ,60,0)</f>
        <v>0</v>
      </c>
      <c r="T8" s="58">
        <f>VLOOKUP($A8,'S46'!$C:$BQ,32,0)</f>
        <v>131.5</v>
      </c>
      <c r="U8" s="58">
        <f>VLOOKUP($A8,'S46'!$C:$BQ,39,0)</f>
        <v>0</v>
      </c>
      <c r="V8" s="58">
        <f>VLOOKUP($A8,'S46'!$C:$BQ,40,0)</f>
        <v>26</v>
      </c>
      <c r="W8" s="58">
        <f>VLOOKUP($A8,'S46'!$C:$BQ,22,0)</f>
        <v>1245.6219699999999</v>
      </c>
      <c r="X8" s="66">
        <f>VLOOKUP($A8,'S46'!$C:$BQ,29,0)</f>
        <v>0</v>
      </c>
      <c r="Y8" s="66">
        <f>VLOOKUP($A8,'S46'!$C:$BQ,30,0)</f>
        <v>184</v>
      </c>
      <c r="Z8" s="66">
        <f>VLOOKUP($A8,'S46'!$C:$BQ,52,0)</f>
        <v>81.8</v>
      </c>
      <c r="AA8" s="66">
        <f>VLOOKUP($A8,'S46'!$C:$BQ,59,0)</f>
        <v>0</v>
      </c>
      <c r="AB8" s="66">
        <f>VLOOKUP($A8,'S46'!$C:$BQ,60,0)</f>
        <v>0</v>
      </c>
      <c r="AC8" s="58">
        <f>VLOOKUP($A8,'S47'!$C:$BQ,32,0)</f>
        <v>134</v>
      </c>
      <c r="AD8" s="58">
        <f>VLOOKUP($A8,'S47'!$C:$BQ,39,0)</f>
        <v>0</v>
      </c>
      <c r="AE8" s="58">
        <f>VLOOKUP($A8,'S47'!$C:$BQ,40,0)</f>
        <v>24</v>
      </c>
      <c r="AF8" s="58">
        <f>VLOOKUP($A8,'S47'!$C:$BQ,22,0)</f>
        <v>1277.92544</v>
      </c>
      <c r="AG8" s="66">
        <f>VLOOKUP($A8,'S47'!$C:$BQ,29,0)</f>
        <v>0</v>
      </c>
      <c r="AH8" s="66">
        <f>VLOOKUP($A8,'S47'!$C:$BQ,30,0)</f>
        <v>152</v>
      </c>
      <c r="AI8" s="66">
        <f>VLOOKUP($A8,'S47'!$C:$BQ,52,0)</f>
        <v>81.8</v>
      </c>
      <c r="AJ8" s="66">
        <f>VLOOKUP($A8,'S47'!$C:$BQ,59,0)</f>
        <v>0</v>
      </c>
      <c r="AK8" s="66">
        <f>VLOOKUP($A8,'S47'!$C:$BQ,60,0)</f>
        <v>0</v>
      </c>
      <c r="AL8" s="58" t="e">
        <f>VLOOKUP($A8,'S48'!$C:$BQ,32,0)</f>
        <v>#N/A</v>
      </c>
      <c r="AM8" s="58" t="e">
        <f>VLOOKUP($A8,'S48'!$C:$BQ,39,0)</f>
        <v>#N/A</v>
      </c>
      <c r="AN8" s="58" t="e">
        <f>VLOOKUP($A8,'S48'!$C:$BQ,40,0)</f>
        <v>#N/A</v>
      </c>
      <c r="AO8" s="58" t="e">
        <f>VLOOKUP($A8,'S48'!$C:$BQ,22,0)</f>
        <v>#N/A</v>
      </c>
      <c r="AP8" s="66" t="e">
        <f>VLOOKUP($A8,'S48'!$C:$BQ,29,0)</f>
        <v>#N/A</v>
      </c>
      <c r="AQ8" s="66" t="e">
        <f>VLOOKUP($A8,'S48'!$C:$BQ,30,0)</f>
        <v>#N/A</v>
      </c>
      <c r="AR8" s="66" t="e">
        <f>VLOOKUP($A8,'S48'!$C:$BQ,52,0)</f>
        <v>#N/A</v>
      </c>
      <c r="AS8" s="66" t="e">
        <f>VLOOKUP($A8,'S48'!$C:$BQ,59,0)</f>
        <v>#N/A</v>
      </c>
      <c r="AT8" s="66" t="e">
        <f>VLOOKUP($A8,'S48'!$C:$BQ,60,0)</f>
        <v>#N/A</v>
      </c>
      <c r="AU8" s="58" t="e">
        <f>VLOOKUP($A8,'S49'!$C:$BQ,32,0)</f>
        <v>#N/A</v>
      </c>
      <c r="AV8" s="58" t="e">
        <f>VLOOKUP($A8,'S49'!$C:$BQ,39,0)</f>
        <v>#N/A</v>
      </c>
      <c r="AW8" s="58" t="e">
        <f>VLOOKUP($A8,'S49'!$C:$BQ,40,0)</f>
        <v>#N/A</v>
      </c>
      <c r="AX8" s="58" t="e">
        <f>VLOOKUP($A8,'S49'!$C:$BQ,22,0)</f>
        <v>#N/A</v>
      </c>
      <c r="AY8" s="66" t="e">
        <f>VLOOKUP($A8,'S49'!$C:$BQ,29,0)</f>
        <v>#N/A</v>
      </c>
      <c r="AZ8" s="66" t="e">
        <f>VLOOKUP($A8,'S49'!$C:$BQ,30,0)</f>
        <v>#N/A</v>
      </c>
      <c r="BA8" s="66" t="e">
        <f>VLOOKUP($A8,'S49'!$C:$BQ,52,0)</f>
        <v>#N/A</v>
      </c>
      <c r="BB8" s="66" t="e">
        <f>VLOOKUP($A8,'S49'!$C:$BQ,59,0)</f>
        <v>#N/A</v>
      </c>
      <c r="BC8" s="66" t="e">
        <f>VLOOKUP($A8,'S49'!$C:$BQ,60,0)</f>
        <v>#N/A</v>
      </c>
      <c r="BD8" s="58" t="e">
        <f>VLOOKUP($A8,'S50'!$C:$BQ,32,0)</f>
        <v>#N/A</v>
      </c>
      <c r="BE8" s="58" t="e">
        <f>VLOOKUP($A8,'S50'!$C:$BQ,39,0)</f>
        <v>#N/A</v>
      </c>
      <c r="BF8" s="58" t="e">
        <f>VLOOKUP($A8,'S50'!$C:$BQ,40,0)</f>
        <v>#N/A</v>
      </c>
      <c r="BG8" s="58" t="e">
        <f>VLOOKUP($A8,'S50'!$C:$BQ,22,0)</f>
        <v>#N/A</v>
      </c>
      <c r="BH8" s="66" t="e">
        <f>VLOOKUP($A8,'S50'!$C:$BQ,29,0)</f>
        <v>#N/A</v>
      </c>
      <c r="BI8" s="66" t="e">
        <f>VLOOKUP($A8,'S50'!$C:$BQ,30,0)</f>
        <v>#N/A</v>
      </c>
      <c r="BJ8" s="66" t="e">
        <f>VLOOKUP($A8,'S50'!$C:$BQ,52,0)</f>
        <v>#N/A</v>
      </c>
      <c r="BK8" s="66" t="e">
        <f>VLOOKUP($A8,'S50'!$C:$BQ,59,0)</f>
        <v>#N/A</v>
      </c>
      <c r="BL8" s="66" t="e">
        <f>VLOOKUP($A8,'S50'!$C:$BQ,60,0)</f>
        <v>#N/A</v>
      </c>
    </row>
    <row r="9" spans="1:127" x14ac:dyDescent="0.2">
      <c r="A9" s="57" t="s">
        <v>61</v>
      </c>
      <c r="B9" s="58">
        <f>VLOOKUP($A9,'S0 remplacer avec S44'!$C:$BQ,32,0)</f>
        <v>307.39999999999998</v>
      </c>
      <c r="C9" s="58">
        <f>VLOOKUP($A9,'S0 remplacer avec S44'!$C:$BQ,39,0)</f>
        <v>34</v>
      </c>
      <c r="D9" s="58">
        <f>VLOOKUP($A9,'S0 remplacer avec S44'!$C:$BQ,40,0)</f>
        <v>103</v>
      </c>
      <c r="E9" s="58">
        <f>VLOOKUP($A9,'S0 remplacer avec S44'!$C:$BQ,22,0)</f>
        <v>3204.6095999999998</v>
      </c>
      <c r="F9" s="66">
        <f>VLOOKUP($A9,'S0 remplacer avec S44'!$C:$BQ,29,0)</f>
        <v>0</v>
      </c>
      <c r="G9" s="66">
        <f>VLOOKUP($A9,'S0 remplacer avec S44'!$C:$BQ,30,0)</f>
        <v>520</v>
      </c>
      <c r="H9" s="66">
        <f>VLOOKUP($A9,'S0 remplacer avec S44'!$C:$BQ,52,0)</f>
        <v>202.2</v>
      </c>
      <c r="I9" s="66">
        <f>VLOOKUP($A9,'S0 remplacer avec S44'!$C:$BQ,59,0)</f>
        <v>0</v>
      </c>
      <c r="J9" s="66">
        <f>VLOOKUP($A9,'S0 remplacer avec S44'!$C:$BQ,60,0)</f>
        <v>6</v>
      </c>
      <c r="K9" s="58">
        <f>VLOOKUP($A9,'S45'!$C:$BQ,32,0)</f>
        <v>326.89999999999998</v>
      </c>
      <c r="L9" s="58">
        <f>VLOOKUP($A9,'S45'!$C:$BQ,39,0)</f>
        <v>15</v>
      </c>
      <c r="M9" s="58">
        <f>VLOOKUP($A9,'S45'!$C:$BQ,40,0)</f>
        <v>83</v>
      </c>
      <c r="N9" s="58">
        <f>VLOOKUP($A9,'S45'!$C:$BQ,22,0)</f>
        <v>3189.5224699999999</v>
      </c>
      <c r="O9" s="66">
        <f>VLOOKUP($A9,'S45'!$C:$BQ,29,0)</f>
        <v>0</v>
      </c>
      <c r="P9" s="66">
        <f>VLOOKUP($A9,'S45'!$C:$BQ,30,0)</f>
        <v>535</v>
      </c>
      <c r="Q9" s="66">
        <f>VLOOKUP($A9,'S45'!$C:$BQ,52,0)</f>
        <v>206.2</v>
      </c>
      <c r="R9" s="66">
        <f>VLOOKUP($A9,'S45'!$C:$BQ,59,0)</f>
        <v>0</v>
      </c>
      <c r="S9" s="66">
        <f>VLOOKUP($A9,'S45'!$C:$BQ,60,0)</f>
        <v>2</v>
      </c>
      <c r="T9" s="58">
        <f>VLOOKUP($A9,'S46'!$C:$BQ,32,0)</f>
        <v>324.10000000000002</v>
      </c>
      <c r="U9" s="58">
        <f>VLOOKUP($A9,'S46'!$C:$BQ,39,0)</f>
        <v>18</v>
      </c>
      <c r="V9" s="58">
        <f>VLOOKUP($A9,'S46'!$C:$BQ,40,0)</f>
        <v>86</v>
      </c>
      <c r="W9" s="58">
        <f>VLOOKUP($A9,'S46'!$C:$BQ,22,0)</f>
        <v>3205.5743200000002</v>
      </c>
      <c r="X9" s="66">
        <f>VLOOKUP($A9,'S46'!$C:$BQ,29,0)</f>
        <v>0</v>
      </c>
      <c r="Y9" s="66">
        <f>VLOOKUP($A9,'S46'!$C:$BQ,30,0)</f>
        <v>519</v>
      </c>
      <c r="Z9" s="66">
        <f>VLOOKUP($A9,'S46'!$C:$BQ,52,0)</f>
        <v>210.2</v>
      </c>
      <c r="AA9" s="66">
        <f>VLOOKUP($A9,'S46'!$C:$BQ,59,0)</f>
        <v>0</v>
      </c>
      <c r="AB9" s="66">
        <f>VLOOKUP($A9,'S46'!$C:$BQ,60,0)</f>
        <v>0</v>
      </c>
      <c r="AC9" s="58">
        <f>VLOOKUP($A9,'S47'!$C:$BQ,32,0)</f>
        <v>332.6</v>
      </c>
      <c r="AD9" s="58">
        <f>VLOOKUP($A9,'S47'!$C:$BQ,39,0)</f>
        <v>9</v>
      </c>
      <c r="AE9" s="58">
        <f>VLOOKUP($A9,'S47'!$C:$BQ,40,0)</f>
        <v>77</v>
      </c>
      <c r="AF9" s="58">
        <f>VLOOKUP($A9,'S47'!$C:$BQ,22,0)</f>
        <v>3256.31673</v>
      </c>
      <c r="AG9" s="66">
        <f>VLOOKUP($A9,'S47'!$C:$BQ,29,0)</f>
        <v>0</v>
      </c>
      <c r="AH9" s="66">
        <f>VLOOKUP($A9,'S47'!$C:$BQ,30,0)</f>
        <v>468</v>
      </c>
      <c r="AI9" s="66">
        <f>VLOOKUP($A9,'S47'!$C:$BQ,52,0)</f>
        <v>213.2</v>
      </c>
      <c r="AJ9" s="66">
        <f>VLOOKUP($A9,'S47'!$C:$BQ,59,0)</f>
        <v>0</v>
      </c>
      <c r="AK9" s="66">
        <f>VLOOKUP($A9,'S47'!$C:$BQ,60,0)</f>
        <v>0</v>
      </c>
      <c r="AL9" s="58" t="e">
        <f>VLOOKUP($A9,'S48'!$C:$BQ,32,0)</f>
        <v>#N/A</v>
      </c>
      <c r="AM9" s="58" t="e">
        <f>VLOOKUP($A9,'S48'!$C:$BQ,39,0)</f>
        <v>#N/A</v>
      </c>
      <c r="AN9" s="58" t="e">
        <f>VLOOKUP($A9,'S48'!$C:$BQ,40,0)</f>
        <v>#N/A</v>
      </c>
      <c r="AO9" s="58" t="e">
        <f>VLOOKUP($A9,'S48'!$C:$BQ,22,0)</f>
        <v>#N/A</v>
      </c>
      <c r="AP9" s="66" t="e">
        <f>VLOOKUP($A9,'S48'!$C:$BQ,29,0)</f>
        <v>#N/A</v>
      </c>
      <c r="AQ9" s="66" t="e">
        <f>VLOOKUP($A9,'S48'!$C:$BQ,30,0)</f>
        <v>#N/A</v>
      </c>
      <c r="AR9" s="66" t="e">
        <f>VLOOKUP($A9,'S48'!$C:$BQ,52,0)</f>
        <v>#N/A</v>
      </c>
      <c r="AS9" s="66" t="e">
        <f>VLOOKUP($A9,'S48'!$C:$BQ,59,0)</f>
        <v>#N/A</v>
      </c>
      <c r="AT9" s="66" t="e">
        <f>VLOOKUP($A9,'S48'!$C:$BQ,60,0)</f>
        <v>#N/A</v>
      </c>
      <c r="AU9" s="58" t="e">
        <f>VLOOKUP($A9,'S49'!$C:$BQ,32,0)</f>
        <v>#N/A</v>
      </c>
      <c r="AV9" s="58" t="e">
        <f>VLOOKUP($A9,'S49'!$C:$BQ,39,0)</f>
        <v>#N/A</v>
      </c>
      <c r="AW9" s="58" t="e">
        <f>VLOOKUP($A9,'S49'!$C:$BQ,40,0)</f>
        <v>#N/A</v>
      </c>
      <c r="AX9" s="58" t="e">
        <f>VLOOKUP($A9,'S49'!$C:$BQ,22,0)</f>
        <v>#N/A</v>
      </c>
      <c r="AY9" s="66" t="e">
        <f>VLOOKUP($A9,'S49'!$C:$BQ,29,0)</f>
        <v>#N/A</v>
      </c>
      <c r="AZ9" s="66" t="e">
        <f>VLOOKUP($A9,'S49'!$C:$BQ,30,0)</f>
        <v>#N/A</v>
      </c>
      <c r="BA9" s="66" t="e">
        <f>VLOOKUP($A9,'S49'!$C:$BQ,52,0)</f>
        <v>#N/A</v>
      </c>
      <c r="BB9" s="66" t="e">
        <f>VLOOKUP($A9,'S49'!$C:$BQ,59,0)</f>
        <v>#N/A</v>
      </c>
      <c r="BC9" s="66" t="e">
        <f>VLOOKUP($A9,'S49'!$C:$BQ,60,0)</f>
        <v>#N/A</v>
      </c>
      <c r="BD9" s="58" t="e">
        <f>VLOOKUP($A9,'S50'!$C:$BQ,32,0)</f>
        <v>#N/A</v>
      </c>
      <c r="BE9" s="58" t="e">
        <f>VLOOKUP($A9,'S50'!$C:$BQ,39,0)</f>
        <v>#N/A</v>
      </c>
      <c r="BF9" s="58" t="e">
        <f>VLOOKUP($A9,'S50'!$C:$BQ,40,0)</f>
        <v>#N/A</v>
      </c>
      <c r="BG9" s="58" t="e">
        <f>VLOOKUP($A9,'S50'!$C:$BQ,22,0)</f>
        <v>#N/A</v>
      </c>
      <c r="BH9" s="66" t="e">
        <f>VLOOKUP($A9,'S50'!$C:$BQ,29,0)</f>
        <v>#N/A</v>
      </c>
      <c r="BI9" s="66" t="e">
        <f>VLOOKUP($A9,'S50'!$C:$BQ,30,0)</f>
        <v>#N/A</v>
      </c>
      <c r="BJ9" s="66" t="e">
        <f>VLOOKUP($A9,'S50'!$C:$BQ,52,0)</f>
        <v>#N/A</v>
      </c>
      <c r="BK9" s="66" t="e">
        <f>VLOOKUP($A9,'S50'!$C:$BQ,59,0)</f>
        <v>#N/A</v>
      </c>
      <c r="BL9" s="66" t="e">
        <f>VLOOKUP($A9,'S50'!$C:$BQ,60,0)</f>
        <v>#N/A</v>
      </c>
    </row>
    <row r="10" spans="1:127" x14ac:dyDescent="0.2">
      <c r="A10" s="57" t="s">
        <v>62</v>
      </c>
      <c r="B10" s="58">
        <f>VLOOKUP($A10,'S0 remplacer avec S44'!$C:$BQ,32,0)</f>
        <v>171.85</v>
      </c>
      <c r="C10" s="58">
        <f>VLOOKUP($A10,'S0 remplacer avec S44'!$C:$BQ,39,0)</f>
        <v>0</v>
      </c>
      <c r="D10" s="58">
        <f>VLOOKUP($A10,'S0 remplacer avec S44'!$C:$BQ,40,0)</f>
        <v>20</v>
      </c>
      <c r="E10" s="58">
        <f>VLOOKUP($A10,'S0 remplacer avec S44'!$C:$BQ,22,0)</f>
        <v>2263.8560600000001</v>
      </c>
      <c r="F10" s="66">
        <f>VLOOKUP($A10,'S0 remplacer avec S44'!$C:$BQ,29,0)</f>
        <v>0</v>
      </c>
      <c r="G10" s="66">
        <f>VLOOKUP($A10,'S0 remplacer avec S44'!$C:$BQ,30,0)</f>
        <v>0</v>
      </c>
      <c r="H10" s="66">
        <f>VLOOKUP($A10,'S0 remplacer avec S44'!$C:$BQ,52,0)</f>
        <v>146.80000000000001</v>
      </c>
      <c r="I10" s="66">
        <f>VLOOKUP($A10,'S0 remplacer avec S44'!$C:$BQ,59,0)</f>
        <v>0</v>
      </c>
      <c r="J10" s="66">
        <f>VLOOKUP($A10,'S0 remplacer avec S44'!$C:$BQ,60,0)</f>
        <v>0</v>
      </c>
      <c r="K10" s="58">
        <f>VLOOKUP($A10,'S45'!$C:$BQ,32,0)</f>
        <v>173.45</v>
      </c>
      <c r="L10" s="58">
        <f>VLOOKUP($A10,'S45'!$C:$BQ,39,0)</f>
        <v>0</v>
      </c>
      <c r="M10" s="58">
        <f>VLOOKUP($A10,'S45'!$C:$BQ,40,0)</f>
        <v>19</v>
      </c>
      <c r="N10" s="58">
        <f>VLOOKUP($A10,'S45'!$C:$BQ,22,0)</f>
        <v>2315.2052100000001</v>
      </c>
      <c r="O10" s="66">
        <f>VLOOKUP($A10,'S45'!$C:$BQ,29,0)</f>
        <v>0</v>
      </c>
      <c r="P10" s="66">
        <f>VLOOKUP($A10,'S45'!$C:$BQ,30,0)</f>
        <v>0</v>
      </c>
      <c r="Q10" s="66">
        <f>VLOOKUP($A10,'S45'!$C:$BQ,52,0)</f>
        <v>146.80000000000001</v>
      </c>
      <c r="R10" s="66">
        <f>VLOOKUP($A10,'S45'!$C:$BQ,59,0)</f>
        <v>0</v>
      </c>
      <c r="S10" s="66">
        <f>VLOOKUP($A10,'S45'!$C:$BQ,60,0)</f>
        <v>0</v>
      </c>
      <c r="T10" s="58">
        <f>VLOOKUP($A10,'S46'!$C:$BQ,32,0)</f>
        <v>175.45</v>
      </c>
      <c r="U10" s="58">
        <f>VLOOKUP($A10,'S46'!$C:$BQ,39,0)</f>
        <v>0</v>
      </c>
      <c r="V10" s="58">
        <f>VLOOKUP($A10,'S46'!$C:$BQ,40,0)</f>
        <v>17</v>
      </c>
      <c r="W10" s="58">
        <f>VLOOKUP($A10,'S46'!$C:$BQ,22,0)</f>
        <v>2256.3822700000001</v>
      </c>
      <c r="X10" s="66">
        <f>VLOOKUP($A10,'S46'!$C:$BQ,29,0)</f>
        <v>0</v>
      </c>
      <c r="Y10" s="66">
        <f>VLOOKUP($A10,'S46'!$C:$BQ,30,0)</f>
        <v>0</v>
      </c>
      <c r="Z10" s="66">
        <f>VLOOKUP($A10,'S46'!$C:$BQ,52,0)</f>
        <v>147.80000000000001</v>
      </c>
      <c r="AA10" s="66">
        <f>VLOOKUP($A10,'S46'!$C:$BQ,59,0)</f>
        <v>0</v>
      </c>
      <c r="AB10" s="66">
        <f>VLOOKUP($A10,'S46'!$C:$BQ,60,0)</f>
        <v>0</v>
      </c>
      <c r="AC10" s="58">
        <f>VLOOKUP($A10,'S47'!$C:$BQ,32,0)</f>
        <v>182.45</v>
      </c>
      <c r="AD10" s="58">
        <f>VLOOKUP($A10,'S47'!$C:$BQ,39,0)</f>
        <v>0</v>
      </c>
      <c r="AE10" s="58">
        <f>VLOOKUP($A10,'S47'!$C:$BQ,40,0)</f>
        <v>10</v>
      </c>
      <c r="AF10" s="58">
        <f>VLOOKUP($A10,'S47'!$C:$BQ,22,0)</f>
        <v>2294.2151699999999</v>
      </c>
      <c r="AG10" s="66">
        <f>VLOOKUP($A10,'S47'!$C:$BQ,29,0)</f>
        <v>0</v>
      </c>
      <c r="AH10" s="66">
        <f>VLOOKUP($A10,'S47'!$C:$BQ,30,0)</f>
        <v>0</v>
      </c>
      <c r="AI10" s="66">
        <f>VLOOKUP($A10,'S47'!$C:$BQ,52,0)</f>
        <v>149.80000000000001</v>
      </c>
      <c r="AJ10" s="66">
        <f>VLOOKUP($A10,'S47'!$C:$BQ,59,0)</f>
        <v>0</v>
      </c>
      <c r="AK10" s="66">
        <f>VLOOKUP($A10,'S47'!$C:$BQ,60,0)</f>
        <v>0</v>
      </c>
      <c r="AL10" s="58" t="e">
        <f>VLOOKUP($A10,'S48'!$C:$BQ,32,0)</f>
        <v>#N/A</v>
      </c>
      <c r="AM10" s="58" t="e">
        <f>VLOOKUP($A10,'S48'!$C:$BQ,39,0)</f>
        <v>#N/A</v>
      </c>
      <c r="AN10" s="58" t="e">
        <f>VLOOKUP($A10,'S48'!$C:$BQ,40,0)</f>
        <v>#N/A</v>
      </c>
      <c r="AO10" s="58" t="e">
        <f>VLOOKUP($A10,'S48'!$C:$BQ,22,0)</f>
        <v>#N/A</v>
      </c>
      <c r="AP10" s="66" t="e">
        <f>VLOOKUP($A10,'S48'!$C:$BQ,29,0)</f>
        <v>#N/A</v>
      </c>
      <c r="AQ10" s="66" t="e">
        <f>VLOOKUP($A10,'S48'!$C:$BQ,30,0)</f>
        <v>#N/A</v>
      </c>
      <c r="AR10" s="66" t="e">
        <f>VLOOKUP($A10,'S48'!$C:$BQ,52,0)</f>
        <v>#N/A</v>
      </c>
      <c r="AS10" s="66" t="e">
        <f>VLOOKUP($A10,'S48'!$C:$BQ,59,0)</f>
        <v>#N/A</v>
      </c>
      <c r="AT10" s="66" t="e">
        <f>VLOOKUP($A10,'S48'!$C:$BQ,60,0)</f>
        <v>#N/A</v>
      </c>
      <c r="AU10" s="58" t="e">
        <f>VLOOKUP($A10,'S49'!$C:$BQ,32,0)</f>
        <v>#N/A</v>
      </c>
      <c r="AV10" s="58" t="e">
        <f>VLOOKUP($A10,'S49'!$C:$BQ,39,0)</f>
        <v>#N/A</v>
      </c>
      <c r="AW10" s="58" t="e">
        <f>VLOOKUP($A10,'S49'!$C:$BQ,40,0)</f>
        <v>#N/A</v>
      </c>
      <c r="AX10" s="58" t="e">
        <f>VLOOKUP($A10,'S49'!$C:$BQ,22,0)</f>
        <v>#N/A</v>
      </c>
      <c r="AY10" s="66" t="e">
        <f>VLOOKUP($A10,'S49'!$C:$BQ,29,0)</f>
        <v>#N/A</v>
      </c>
      <c r="AZ10" s="66" t="e">
        <f>VLOOKUP($A10,'S49'!$C:$BQ,30,0)</f>
        <v>#N/A</v>
      </c>
      <c r="BA10" s="66" t="e">
        <f>VLOOKUP($A10,'S49'!$C:$BQ,52,0)</f>
        <v>#N/A</v>
      </c>
      <c r="BB10" s="66" t="e">
        <f>VLOOKUP($A10,'S49'!$C:$BQ,59,0)</f>
        <v>#N/A</v>
      </c>
      <c r="BC10" s="66" t="e">
        <f>VLOOKUP($A10,'S49'!$C:$BQ,60,0)</f>
        <v>#N/A</v>
      </c>
      <c r="BD10" s="58" t="e">
        <f>VLOOKUP($A10,'S50'!$C:$BQ,32,0)</f>
        <v>#N/A</v>
      </c>
      <c r="BE10" s="58" t="e">
        <f>VLOOKUP($A10,'S50'!$C:$BQ,39,0)</f>
        <v>#N/A</v>
      </c>
      <c r="BF10" s="58" t="e">
        <f>VLOOKUP($A10,'S50'!$C:$BQ,40,0)</f>
        <v>#N/A</v>
      </c>
      <c r="BG10" s="58" t="e">
        <f>VLOOKUP($A10,'S50'!$C:$BQ,22,0)</f>
        <v>#N/A</v>
      </c>
      <c r="BH10" s="66" t="e">
        <f>VLOOKUP($A10,'S50'!$C:$BQ,29,0)</f>
        <v>#N/A</v>
      </c>
      <c r="BI10" s="66" t="e">
        <f>VLOOKUP($A10,'S50'!$C:$BQ,30,0)</f>
        <v>#N/A</v>
      </c>
      <c r="BJ10" s="66" t="e">
        <f>VLOOKUP($A10,'S50'!$C:$BQ,52,0)</f>
        <v>#N/A</v>
      </c>
      <c r="BK10" s="66" t="e">
        <f>VLOOKUP($A10,'S50'!$C:$BQ,59,0)</f>
        <v>#N/A</v>
      </c>
      <c r="BL10" s="66" t="e">
        <f>VLOOKUP($A10,'S50'!$C:$BQ,60,0)</f>
        <v>#N/A</v>
      </c>
    </row>
    <row r="11" spans="1:127" x14ac:dyDescent="0.2">
      <c r="A11" s="57" t="s">
        <v>63</v>
      </c>
      <c r="B11" s="58">
        <f>VLOOKUP($A11,'S0 remplacer avec S44'!$C:$BQ,32,0)</f>
        <v>147.19999999999999</v>
      </c>
      <c r="C11" s="58">
        <f>VLOOKUP($A11,'S0 remplacer avec S44'!$C:$BQ,39,0)</f>
        <v>31</v>
      </c>
      <c r="D11" s="58">
        <f>VLOOKUP($A11,'S0 remplacer avec S44'!$C:$BQ,40,0)</f>
        <v>66</v>
      </c>
      <c r="E11" s="58">
        <f>VLOOKUP($A11,'S0 remplacer avec S44'!$C:$BQ,22,0)</f>
        <v>2082.6028849999998</v>
      </c>
      <c r="F11" s="66">
        <f>VLOOKUP($A11,'S0 remplacer avec S44'!$C:$BQ,29,0)</f>
        <v>0</v>
      </c>
      <c r="G11" s="66">
        <f>VLOOKUP($A11,'S0 remplacer avec S44'!$C:$BQ,30,0)</f>
        <v>0</v>
      </c>
      <c r="H11" s="66">
        <f>VLOOKUP($A11,'S0 remplacer avec S44'!$C:$BQ,52,0)</f>
        <v>64.400000000000006</v>
      </c>
      <c r="I11" s="66">
        <f>VLOOKUP($A11,'S0 remplacer avec S44'!$C:$BQ,59,0)</f>
        <v>26</v>
      </c>
      <c r="J11" s="66">
        <f>VLOOKUP($A11,'S0 remplacer avec S44'!$C:$BQ,60,0)</f>
        <v>44</v>
      </c>
      <c r="K11" s="58">
        <f>VLOOKUP($A11,'S45'!$C:$BQ,32,0)</f>
        <v>150.19999999999999</v>
      </c>
      <c r="L11" s="58">
        <f>VLOOKUP($A11,'S45'!$C:$BQ,39,0)</f>
        <v>28</v>
      </c>
      <c r="M11" s="58">
        <f>VLOOKUP($A11,'S45'!$C:$BQ,40,0)</f>
        <v>63</v>
      </c>
      <c r="N11" s="58">
        <f>VLOOKUP($A11,'S45'!$C:$BQ,22,0)</f>
        <v>2117.6069950000001</v>
      </c>
      <c r="O11" s="66">
        <f>VLOOKUP($A11,'S45'!$C:$BQ,29,0)</f>
        <v>0</v>
      </c>
      <c r="P11" s="66">
        <f>VLOOKUP($A11,'S45'!$C:$BQ,30,0)</f>
        <v>0</v>
      </c>
      <c r="Q11" s="66">
        <f>VLOOKUP($A11,'S45'!$C:$BQ,52,0)</f>
        <v>67.400000000000006</v>
      </c>
      <c r="R11" s="66">
        <f>VLOOKUP($A11,'S45'!$C:$BQ,59,0)</f>
        <v>23</v>
      </c>
      <c r="S11" s="66">
        <f>VLOOKUP($A11,'S45'!$C:$BQ,60,0)</f>
        <v>41</v>
      </c>
      <c r="T11" s="58">
        <f>VLOOKUP($A11,'S46'!$C:$BQ,32,0)</f>
        <v>152.69999999999999</v>
      </c>
      <c r="U11" s="58">
        <f>VLOOKUP($A11,'S46'!$C:$BQ,39,0)</f>
        <v>25</v>
      </c>
      <c r="V11" s="58">
        <f>VLOOKUP($A11,'S46'!$C:$BQ,40,0)</f>
        <v>61</v>
      </c>
      <c r="W11" s="58">
        <f>VLOOKUP($A11,'S46'!$C:$BQ,22,0)</f>
        <v>2124.2642850000002</v>
      </c>
      <c r="X11" s="66">
        <f>VLOOKUP($A11,'S46'!$C:$BQ,29,0)</f>
        <v>0</v>
      </c>
      <c r="Y11" s="66">
        <f>VLOOKUP($A11,'S46'!$C:$BQ,30,0)</f>
        <v>0</v>
      </c>
      <c r="Z11" s="66">
        <f>VLOOKUP($A11,'S46'!$C:$BQ,52,0)</f>
        <v>67.400000000000006</v>
      </c>
      <c r="AA11" s="66">
        <f>VLOOKUP($A11,'S46'!$C:$BQ,59,0)</f>
        <v>23</v>
      </c>
      <c r="AB11" s="66">
        <f>VLOOKUP($A11,'S46'!$C:$BQ,60,0)</f>
        <v>41</v>
      </c>
      <c r="AC11" s="58">
        <f>VLOOKUP($A11,'S47'!$C:$BQ,32,0)</f>
        <v>162.69999999999999</v>
      </c>
      <c r="AD11" s="58">
        <f>VLOOKUP($A11,'S47'!$C:$BQ,39,0)</f>
        <v>15</v>
      </c>
      <c r="AE11" s="58">
        <f>VLOOKUP($A11,'S47'!$C:$BQ,40,0)</f>
        <v>51</v>
      </c>
      <c r="AF11" s="58">
        <f>VLOOKUP($A11,'S47'!$C:$BQ,22,0)</f>
        <v>2095.3765549999998</v>
      </c>
      <c r="AG11" s="66">
        <f>VLOOKUP($A11,'S47'!$C:$BQ,29,0)</f>
        <v>0</v>
      </c>
      <c r="AH11" s="66">
        <f>VLOOKUP($A11,'S47'!$C:$BQ,30,0)</f>
        <v>0</v>
      </c>
      <c r="AI11" s="66">
        <f>VLOOKUP($A11,'S47'!$C:$BQ,52,0)</f>
        <v>67.400000000000006</v>
      </c>
      <c r="AJ11" s="66">
        <f>VLOOKUP($A11,'S47'!$C:$BQ,59,0)</f>
        <v>23</v>
      </c>
      <c r="AK11" s="66">
        <f>VLOOKUP($A11,'S47'!$C:$BQ,60,0)</f>
        <v>41</v>
      </c>
      <c r="AL11" s="58" t="e">
        <f>VLOOKUP($A11,'S48'!$C:$BQ,32,0)</f>
        <v>#N/A</v>
      </c>
      <c r="AM11" s="58" t="e">
        <f>VLOOKUP($A11,'S48'!$C:$BQ,39,0)</f>
        <v>#N/A</v>
      </c>
      <c r="AN11" s="58" t="e">
        <f>VLOOKUP($A11,'S48'!$C:$BQ,40,0)</f>
        <v>#N/A</v>
      </c>
      <c r="AO11" s="58" t="e">
        <f>VLOOKUP($A11,'S48'!$C:$BQ,22,0)</f>
        <v>#N/A</v>
      </c>
      <c r="AP11" s="66" t="e">
        <f>VLOOKUP($A11,'S48'!$C:$BQ,29,0)</f>
        <v>#N/A</v>
      </c>
      <c r="AQ11" s="66" t="e">
        <f>VLOOKUP($A11,'S48'!$C:$BQ,30,0)</f>
        <v>#N/A</v>
      </c>
      <c r="AR11" s="66" t="e">
        <f>VLOOKUP($A11,'S48'!$C:$BQ,52,0)</f>
        <v>#N/A</v>
      </c>
      <c r="AS11" s="66" t="e">
        <f>VLOOKUP($A11,'S48'!$C:$BQ,59,0)</f>
        <v>#N/A</v>
      </c>
      <c r="AT11" s="66" t="e">
        <f>VLOOKUP($A11,'S48'!$C:$BQ,60,0)</f>
        <v>#N/A</v>
      </c>
      <c r="AU11" s="58" t="e">
        <f>VLOOKUP($A11,'S49'!$C:$BQ,32,0)</f>
        <v>#N/A</v>
      </c>
      <c r="AV11" s="58" t="e">
        <f>VLOOKUP($A11,'S49'!$C:$BQ,39,0)</f>
        <v>#N/A</v>
      </c>
      <c r="AW11" s="58" t="e">
        <f>VLOOKUP($A11,'S49'!$C:$BQ,40,0)</f>
        <v>#N/A</v>
      </c>
      <c r="AX11" s="58" t="e">
        <f>VLOOKUP($A11,'S49'!$C:$BQ,22,0)</f>
        <v>#N/A</v>
      </c>
      <c r="AY11" s="66" t="e">
        <f>VLOOKUP($A11,'S49'!$C:$BQ,29,0)</f>
        <v>#N/A</v>
      </c>
      <c r="AZ11" s="66" t="e">
        <f>VLOOKUP($A11,'S49'!$C:$BQ,30,0)</f>
        <v>#N/A</v>
      </c>
      <c r="BA11" s="66" t="e">
        <f>VLOOKUP($A11,'S49'!$C:$BQ,52,0)</f>
        <v>#N/A</v>
      </c>
      <c r="BB11" s="66" t="e">
        <f>VLOOKUP($A11,'S49'!$C:$BQ,59,0)</f>
        <v>#N/A</v>
      </c>
      <c r="BC11" s="66" t="e">
        <f>VLOOKUP($A11,'S49'!$C:$BQ,60,0)</f>
        <v>#N/A</v>
      </c>
      <c r="BD11" s="58" t="e">
        <f>VLOOKUP($A11,'S50'!$C:$BQ,32,0)</f>
        <v>#N/A</v>
      </c>
      <c r="BE11" s="58" t="e">
        <f>VLOOKUP($A11,'S50'!$C:$BQ,39,0)</f>
        <v>#N/A</v>
      </c>
      <c r="BF11" s="58" t="e">
        <f>VLOOKUP($A11,'S50'!$C:$BQ,40,0)</f>
        <v>#N/A</v>
      </c>
      <c r="BG11" s="58" t="e">
        <f>VLOOKUP($A11,'S50'!$C:$BQ,22,0)</f>
        <v>#N/A</v>
      </c>
      <c r="BH11" s="66" t="e">
        <f>VLOOKUP($A11,'S50'!$C:$BQ,29,0)</f>
        <v>#N/A</v>
      </c>
      <c r="BI11" s="66" t="e">
        <f>VLOOKUP($A11,'S50'!$C:$BQ,30,0)</f>
        <v>#N/A</v>
      </c>
      <c r="BJ11" s="66" t="e">
        <f>VLOOKUP($A11,'S50'!$C:$BQ,52,0)</f>
        <v>#N/A</v>
      </c>
      <c r="BK11" s="66" t="e">
        <f>VLOOKUP($A11,'S50'!$C:$BQ,59,0)</f>
        <v>#N/A</v>
      </c>
      <c r="BL11" s="66" t="e">
        <f>VLOOKUP($A11,'S50'!$C:$BQ,60,0)</f>
        <v>#N/A</v>
      </c>
    </row>
    <row r="12" spans="1:127" x14ac:dyDescent="0.2">
      <c r="A12" s="57" t="s">
        <v>65</v>
      </c>
      <c r="B12" s="58">
        <f>VLOOKUP($A12,'S0 remplacer avec S44'!$C:$BQ,32,0)</f>
        <v>172.5</v>
      </c>
      <c r="C12" s="58">
        <f>VLOOKUP($A12,'S0 remplacer avec S44'!$C:$BQ,39,0)</f>
        <v>60</v>
      </c>
      <c r="D12" s="58">
        <f>VLOOKUP($A12,'S0 remplacer avec S44'!$C:$BQ,40,0)</f>
        <v>107</v>
      </c>
      <c r="E12" s="58">
        <f>VLOOKUP($A12,'S0 remplacer avec S44'!$C:$BQ,22,0)</f>
        <v>1991.613245</v>
      </c>
      <c r="F12" s="66">
        <f>VLOOKUP($A12,'S0 remplacer avec S44'!$C:$BQ,29,0)</f>
        <v>120</v>
      </c>
      <c r="G12" s="66">
        <f>VLOOKUP($A12,'S0 remplacer avec S44'!$C:$BQ,30,0)</f>
        <v>543</v>
      </c>
      <c r="H12" s="66">
        <f>VLOOKUP($A12,'S0 remplacer avec S44'!$C:$BQ,52,0)</f>
        <v>97.4</v>
      </c>
      <c r="I12" s="66">
        <f>VLOOKUP($A12,'S0 remplacer avec S44'!$C:$BQ,59,0)</f>
        <v>21</v>
      </c>
      <c r="J12" s="66">
        <f>VLOOKUP($A12,'S0 remplacer avec S44'!$C:$BQ,60,0)</f>
        <v>45</v>
      </c>
      <c r="K12" s="58">
        <f>VLOOKUP($A12,'S45'!$C:$BQ,32,0)</f>
        <v>174.5</v>
      </c>
      <c r="L12" s="58">
        <f>VLOOKUP($A12,'S45'!$C:$BQ,39,0)</f>
        <v>58</v>
      </c>
      <c r="M12" s="58">
        <f>VLOOKUP($A12,'S45'!$C:$BQ,40,0)</f>
        <v>105</v>
      </c>
      <c r="N12" s="58">
        <f>VLOOKUP($A12,'S45'!$C:$BQ,22,0)</f>
        <v>2022.3134050000001</v>
      </c>
      <c r="O12" s="66">
        <f>VLOOKUP($A12,'S45'!$C:$BQ,29,0)</f>
        <v>90</v>
      </c>
      <c r="P12" s="66">
        <f>VLOOKUP($A12,'S45'!$C:$BQ,30,0)</f>
        <v>512</v>
      </c>
      <c r="Q12" s="66">
        <f>VLOOKUP($A12,'S45'!$C:$BQ,52,0)</f>
        <v>98.4</v>
      </c>
      <c r="R12" s="66">
        <f>VLOOKUP($A12,'S45'!$C:$BQ,59,0)</f>
        <v>20</v>
      </c>
      <c r="S12" s="66">
        <f>VLOOKUP($A12,'S45'!$C:$BQ,60,0)</f>
        <v>44</v>
      </c>
      <c r="T12" s="58">
        <f>VLOOKUP($A12,'S46'!$C:$BQ,32,0)</f>
        <v>175.5</v>
      </c>
      <c r="U12" s="58">
        <f>VLOOKUP($A12,'S46'!$C:$BQ,39,0)</f>
        <v>57</v>
      </c>
      <c r="V12" s="58">
        <f>VLOOKUP($A12,'S46'!$C:$BQ,40,0)</f>
        <v>104</v>
      </c>
      <c r="W12" s="58">
        <f>VLOOKUP($A12,'S46'!$C:$BQ,22,0)</f>
        <v>2023.9562550000001</v>
      </c>
      <c r="X12" s="66">
        <f>VLOOKUP($A12,'S46'!$C:$BQ,29,0)</f>
        <v>88</v>
      </c>
      <c r="Y12" s="66">
        <f>VLOOKUP($A12,'S46'!$C:$BQ,30,0)</f>
        <v>510</v>
      </c>
      <c r="Z12" s="66">
        <f>VLOOKUP($A12,'S46'!$C:$BQ,52,0)</f>
        <v>99.4</v>
      </c>
      <c r="AA12" s="66">
        <f>VLOOKUP($A12,'S46'!$C:$BQ,59,0)</f>
        <v>19</v>
      </c>
      <c r="AB12" s="66">
        <f>VLOOKUP($A12,'S46'!$C:$BQ,60,0)</f>
        <v>43</v>
      </c>
      <c r="AC12" s="58">
        <f>VLOOKUP($A12,'S47'!$C:$BQ,32,0)</f>
        <v>181.5</v>
      </c>
      <c r="AD12" s="58">
        <f>VLOOKUP($A12,'S47'!$C:$BQ,39,0)</f>
        <v>51</v>
      </c>
      <c r="AE12" s="58">
        <f>VLOOKUP($A12,'S47'!$C:$BQ,40,0)</f>
        <v>98</v>
      </c>
      <c r="AF12" s="58">
        <f>VLOOKUP($A12,'S47'!$C:$BQ,22,0)</f>
        <v>2084.5724850000001</v>
      </c>
      <c r="AG12" s="66">
        <f>VLOOKUP($A12,'S47'!$C:$BQ,29,0)</f>
        <v>27</v>
      </c>
      <c r="AH12" s="66">
        <f>VLOOKUP($A12,'S47'!$C:$BQ,30,0)</f>
        <v>450</v>
      </c>
      <c r="AI12" s="66">
        <f>VLOOKUP($A12,'S47'!$C:$BQ,52,0)</f>
        <v>103.4</v>
      </c>
      <c r="AJ12" s="66">
        <f>VLOOKUP($A12,'S47'!$C:$BQ,59,0)</f>
        <v>15</v>
      </c>
      <c r="AK12" s="66">
        <f>VLOOKUP($A12,'S47'!$C:$BQ,60,0)</f>
        <v>39</v>
      </c>
      <c r="AL12" s="58" t="e">
        <f>VLOOKUP($A12,'S48'!$C:$BQ,32,0)</f>
        <v>#N/A</v>
      </c>
      <c r="AM12" s="58" t="e">
        <f>VLOOKUP($A12,'S48'!$C:$BQ,39,0)</f>
        <v>#N/A</v>
      </c>
      <c r="AN12" s="58" t="e">
        <f>VLOOKUP($A12,'S48'!$C:$BQ,40,0)</f>
        <v>#N/A</v>
      </c>
      <c r="AO12" s="58" t="e">
        <f>VLOOKUP($A12,'S48'!$C:$BQ,22,0)</f>
        <v>#N/A</v>
      </c>
      <c r="AP12" s="66" t="e">
        <f>VLOOKUP($A12,'S48'!$C:$BQ,29,0)</f>
        <v>#N/A</v>
      </c>
      <c r="AQ12" s="66" t="e">
        <f>VLOOKUP($A12,'S48'!$C:$BQ,30,0)</f>
        <v>#N/A</v>
      </c>
      <c r="AR12" s="66" t="e">
        <f>VLOOKUP($A12,'S48'!$C:$BQ,52,0)</f>
        <v>#N/A</v>
      </c>
      <c r="AS12" s="66" t="e">
        <f>VLOOKUP($A12,'S48'!$C:$BQ,59,0)</f>
        <v>#N/A</v>
      </c>
      <c r="AT12" s="66" t="e">
        <f>VLOOKUP($A12,'S48'!$C:$BQ,60,0)</f>
        <v>#N/A</v>
      </c>
      <c r="AU12" s="58" t="e">
        <f>VLOOKUP($A12,'S49'!$C:$BQ,32,0)</f>
        <v>#N/A</v>
      </c>
      <c r="AV12" s="58" t="e">
        <f>VLOOKUP($A12,'S49'!$C:$BQ,39,0)</f>
        <v>#N/A</v>
      </c>
      <c r="AW12" s="58" t="e">
        <f>VLOOKUP($A12,'S49'!$C:$BQ,40,0)</f>
        <v>#N/A</v>
      </c>
      <c r="AX12" s="58" t="e">
        <f>VLOOKUP($A12,'S49'!$C:$BQ,22,0)</f>
        <v>#N/A</v>
      </c>
      <c r="AY12" s="66" t="e">
        <f>VLOOKUP($A12,'S49'!$C:$BQ,29,0)</f>
        <v>#N/A</v>
      </c>
      <c r="AZ12" s="66" t="e">
        <f>VLOOKUP($A12,'S49'!$C:$BQ,30,0)</f>
        <v>#N/A</v>
      </c>
      <c r="BA12" s="66" t="e">
        <f>VLOOKUP($A12,'S49'!$C:$BQ,52,0)</f>
        <v>#N/A</v>
      </c>
      <c r="BB12" s="66" t="e">
        <f>VLOOKUP($A12,'S49'!$C:$BQ,59,0)</f>
        <v>#N/A</v>
      </c>
      <c r="BC12" s="66" t="e">
        <f>VLOOKUP($A12,'S49'!$C:$BQ,60,0)</f>
        <v>#N/A</v>
      </c>
      <c r="BD12" s="58" t="e">
        <f>VLOOKUP($A12,'S50'!$C:$BQ,32,0)</f>
        <v>#N/A</v>
      </c>
      <c r="BE12" s="58" t="e">
        <f>VLOOKUP($A12,'S50'!$C:$BQ,39,0)</f>
        <v>#N/A</v>
      </c>
      <c r="BF12" s="58" t="e">
        <f>VLOOKUP($A12,'S50'!$C:$BQ,40,0)</f>
        <v>#N/A</v>
      </c>
      <c r="BG12" s="58" t="e">
        <f>VLOOKUP($A12,'S50'!$C:$BQ,22,0)</f>
        <v>#N/A</v>
      </c>
      <c r="BH12" s="66" t="e">
        <f>VLOOKUP($A12,'S50'!$C:$BQ,29,0)</f>
        <v>#N/A</v>
      </c>
      <c r="BI12" s="66" t="e">
        <f>VLOOKUP($A12,'S50'!$C:$BQ,30,0)</f>
        <v>#N/A</v>
      </c>
      <c r="BJ12" s="66" t="e">
        <f>VLOOKUP($A12,'S50'!$C:$BQ,52,0)</f>
        <v>#N/A</v>
      </c>
      <c r="BK12" s="66" t="e">
        <f>VLOOKUP($A12,'S50'!$C:$BQ,59,0)</f>
        <v>#N/A</v>
      </c>
      <c r="BL12" s="66" t="e">
        <f>VLOOKUP($A12,'S50'!$C:$BQ,60,0)</f>
        <v>#N/A</v>
      </c>
    </row>
    <row r="13" spans="1:127" x14ac:dyDescent="0.2">
      <c r="A13" s="57" t="s">
        <v>66</v>
      </c>
      <c r="B13" s="58">
        <f>VLOOKUP($A13,'S0 remplacer avec S44'!$C:$BQ,32,0)</f>
        <v>171.3</v>
      </c>
      <c r="C13" s="58">
        <f>VLOOKUP($A13,'S0 remplacer avec S44'!$C:$BQ,39,0)</f>
        <v>17</v>
      </c>
      <c r="D13" s="58">
        <f>VLOOKUP($A13,'S0 remplacer avec S44'!$C:$BQ,40,0)</f>
        <v>55</v>
      </c>
      <c r="E13" s="58">
        <f>VLOOKUP($A13,'S0 remplacer avec S44'!$C:$BQ,22,0)</f>
        <v>2154.3145450000002</v>
      </c>
      <c r="F13" s="66">
        <f>VLOOKUP($A13,'S0 remplacer avec S44'!$C:$BQ,29,0)</f>
        <v>0</v>
      </c>
      <c r="G13" s="66">
        <f>VLOOKUP($A13,'S0 remplacer avec S44'!$C:$BQ,30,0)</f>
        <v>0</v>
      </c>
      <c r="H13" s="66">
        <f>VLOOKUP($A13,'S0 remplacer avec S44'!$C:$BQ,52,0)</f>
        <v>105.8</v>
      </c>
      <c r="I13" s="66">
        <f>VLOOKUP($A13,'S0 remplacer avec S44'!$C:$BQ,59,0)</f>
        <v>0</v>
      </c>
      <c r="J13" s="66">
        <f>VLOOKUP($A13,'S0 remplacer avec S44'!$C:$BQ,60,0)</f>
        <v>9</v>
      </c>
      <c r="K13" s="58">
        <f>VLOOKUP($A13,'S45'!$C:$BQ,32,0)</f>
        <v>180.8</v>
      </c>
      <c r="L13" s="58">
        <f>VLOOKUP($A13,'S45'!$C:$BQ,39,0)</f>
        <v>8</v>
      </c>
      <c r="M13" s="58">
        <f>VLOOKUP($A13,'S45'!$C:$BQ,40,0)</f>
        <v>46</v>
      </c>
      <c r="N13" s="58">
        <f>VLOOKUP($A13,'S45'!$C:$BQ,22,0)</f>
        <v>2154.5627049999998</v>
      </c>
      <c r="O13" s="66">
        <f>VLOOKUP($A13,'S45'!$C:$BQ,29,0)</f>
        <v>0</v>
      </c>
      <c r="P13" s="66">
        <f>VLOOKUP($A13,'S45'!$C:$BQ,30,0)</f>
        <v>0</v>
      </c>
      <c r="Q13" s="66">
        <f>VLOOKUP($A13,'S45'!$C:$BQ,52,0)</f>
        <v>109.8</v>
      </c>
      <c r="R13" s="66">
        <f>VLOOKUP($A13,'S45'!$C:$BQ,59,0)</f>
        <v>0</v>
      </c>
      <c r="S13" s="66">
        <f>VLOOKUP($A13,'S45'!$C:$BQ,60,0)</f>
        <v>5</v>
      </c>
      <c r="T13" s="58">
        <f>VLOOKUP($A13,'S46'!$C:$BQ,32,0)</f>
        <v>181.3</v>
      </c>
      <c r="U13" s="58">
        <f>VLOOKUP($A13,'S46'!$C:$BQ,39,0)</f>
        <v>7</v>
      </c>
      <c r="V13" s="58">
        <f>VLOOKUP($A13,'S46'!$C:$BQ,40,0)</f>
        <v>45</v>
      </c>
      <c r="W13" s="58">
        <f>VLOOKUP($A13,'S46'!$C:$BQ,22,0)</f>
        <v>2159.895845</v>
      </c>
      <c r="X13" s="66">
        <f>VLOOKUP($A13,'S46'!$C:$BQ,29,0)</f>
        <v>0</v>
      </c>
      <c r="Y13" s="66">
        <f>VLOOKUP($A13,'S46'!$C:$BQ,30,0)</f>
        <v>0</v>
      </c>
      <c r="Z13" s="66">
        <f>VLOOKUP($A13,'S46'!$C:$BQ,52,0)</f>
        <v>110.8</v>
      </c>
      <c r="AA13" s="66">
        <f>VLOOKUP($A13,'S46'!$C:$BQ,59,0)</f>
        <v>0</v>
      </c>
      <c r="AB13" s="66">
        <f>VLOOKUP($A13,'S46'!$C:$BQ,60,0)</f>
        <v>4</v>
      </c>
      <c r="AC13" s="58">
        <f>VLOOKUP($A13,'S47'!$C:$BQ,32,0)</f>
        <v>185.3</v>
      </c>
      <c r="AD13" s="58">
        <f>VLOOKUP($A13,'S47'!$C:$BQ,39,0)</f>
        <v>3</v>
      </c>
      <c r="AE13" s="58">
        <f>VLOOKUP($A13,'S47'!$C:$BQ,40,0)</f>
        <v>41</v>
      </c>
      <c r="AF13" s="58">
        <f>VLOOKUP($A13,'S47'!$C:$BQ,22,0)</f>
        <v>2215.2446150000001</v>
      </c>
      <c r="AG13" s="66">
        <f>VLOOKUP($A13,'S47'!$C:$BQ,29,0)</f>
        <v>0</v>
      </c>
      <c r="AH13" s="66">
        <f>VLOOKUP($A13,'S47'!$C:$BQ,30,0)</f>
        <v>0</v>
      </c>
      <c r="AI13" s="66">
        <f>VLOOKUP($A13,'S47'!$C:$BQ,52,0)</f>
        <v>112.8</v>
      </c>
      <c r="AJ13" s="66">
        <f>VLOOKUP($A13,'S47'!$C:$BQ,59,0)</f>
        <v>0</v>
      </c>
      <c r="AK13" s="66">
        <f>VLOOKUP($A13,'S47'!$C:$BQ,60,0)</f>
        <v>2</v>
      </c>
      <c r="AL13" s="58" t="e">
        <f>VLOOKUP($A13,'S48'!$C:$BQ,32,0)</f>
        <v>#N/A</v>
      </c>
      <c r="AM13" s="58" t="e">
        <f>VLOOKUP($A13,'S48'!$C:$BQ,39,0)</f>
        <v>#N/A</v>
      </c>
      <c r="AN13" s="58" t="e">
        <f>VLOOKUP($A13,'S48'!$C:$BQ,40,0)</f>
        <v>#N/A</v>
      </c>
      <c r="AO13" s="58" t="e">
        <f>VLOOKUP($A13,'S48'!$C:$BQ,22,0)</f>
        <v>#N/A</v>
      </c>
      <c r="AP13" s="66" t="e">
        <f>VLOOKUP($A13,'S48'!$C:$BQ,29,0)</f>
        <v>#N/A</v>
      </c>
      <c r="AQ13" s="66" t="e">
        <f>VLOOKUP($A13,'S48'!$C:$BQ,30,0)</f>
        <v>#N/A</v>
      </c>
      <c r="AR13" s="66" t="e">
        <f>VLOOKUP($A13,'S48'!$C:$BQ,52,0)</f>
        <v>#N/A</v>
      </c>
      <c r="AS13" s="66" t="e">
        <f>VLOOKUP($A13,'S48'!$C:$BQ,59,0)</f>
        <v>#N/A</v>
      </c>
      <c r="AT13" s="66" t="e">
        <f>VLOOKUP($A13,'S48'!$C:$BQ,60,0)</f>
        <v>#N/A</v>
      </c>
      <c r="AU13" s="58" t="e">
        <f>VLOOKUP($A13,'S49'!$C:$BQ,32,0)</f>
        <v>#N/A</v>
      </c>
      <c r="AV13" s="58" t="e">
        <f>VLOOKUP($A13,'S49'!$C:$BQ,39,0)</f>
        <v>#N/A</v>
      </c>
      <c r="AW13" s="58" t="e">
        <f>VLOOKUP($A13,'S49'!$C:$BQ,40,0)</f>
        <v>#N/A</v>
      </c>
      <c r="AX13" s="58" t="e">
        <f>VLOOKUP($A13,'S49'!$C:$BQ,22,0)</f>
        <v>#N/A</v>
      </c>
      <c r="AY13" s="66" t="e">
        <f>VLOOKUP($A13,'S49'!$C:$BQ,29,0)</f>
        <v>#N/A</v>
      </c>
      <c r="AZ13" s="66" t="e">
        <f>VLOOKUP($A13,'S49'!$C:$BQ,30,0)</f>
        <v>#N/A</v>
      </c>
      <c r="BA13" s="66" t="e">
        <f>VLOOKUP($A13,'S49'!$C:$BQ,52,0)</f>
        <v>#N/A</v>
      </c>
      <c r="BB13" s="66" t="e">
        <f>VLOOKUP($A13,'S49'!$C:$BQ,59,0)</f>
        <v>#N/A</v>
      </c>
      <c r="BC13" s="66" t="e">
        <f>VLOOKUP($A13,'S49'!$C:$BQ,60,0)</f>
        <v>#N/A</v>
      </c>
      <c r="BD13" s="58" t="e">
        <f>VLOOKUP($A13,'S50'!$C:$BQ,32,0)</f>
        <v>#N/A</v>
      </c>
      <c r="BE13" s="58" t="e">
        <f>VLOOKUP($A13,'S50'!$C:$BQ,39,0)</f>
        <v>#N/A</v>
      </c>
      <c r="BF13" s="58" t="e">
        <f>VLOOKUP($A13,'S50'!$C:$BQ,40,0)</f>
        <v>#N/A</v>
      </c>
      <c r="BG13" s="58" t="e">
        <f>VLOOKUP($A13,'S50'!$C:$BQ,22,0)</f>
        <v>#N/A</v>
      </c>
      <c r="BH13" s="66" t="e">
        <f>VLOOKUP($A13,'S50'!$C:$BQ,29,0)</f>
        <v>#N/A</v>
      </c>
      <c r="BI13" s="66" t="e">
        <f>VLOOKUP($A13,'S50'!$C:$BQ,30,0)</f>
        <v>#N/A</v>
      </c>
      <c r="BJ13" s="66" t="e">
        <f>VLOOKUP($A13,'S50'!$C:$BQ,52,0)</f>
        <v>#N/A</v>
      </c>
      <c r="BK13" s="66" t="e">
        <f>VLOOKUP($A13,'S50'!$C:$BQ,59,0)</f>
        <v>#N/A</v>
      </c>
      <c r="BL13" s="66" t="e">
        <f>VLOOKUP($A13,'S50'!$C:$BQ,60,0)</f>
        <v>#N/A</v>
      </c>
    </row>
    <row r="14" spans="1:127" x14ac:dyDescent="0.2">
      <c r="A14" s="57" t="s">
        <v>67</v>
      </c>
      <c r="B14" s="58">
        <f>VLOOKUP($A14,'S0 remplacer avec S44'!$C:$BQ,32,0)</f>
        <v>147.1</v>
      </c>
      <c r="C14" s="58">
        <f>VLOOKUP($A14,'S0 remplacer avec S44'!$C:$BQ,39,0)</f>
        <v>89</v>
      </c>
      <c r="D14" s="58">
        <f>VLOOKUP($A14,'S0 remplacer avec S44'!$C:$BQ,40,0)</f>
        <v>136</v>
      </c>
      <c r="E14" s="58">
        <f>VLOOKUP($A14,'S0 remplacer avec S44'!$C:$BQ,22,0)</f>
        <v>2740.45471</v>
      </c>
      <c r="F14" s="66">
        <f>VLOOKUP($A14,'S0 remplacer avec S44'!$C:$BQ,29,0)</f>
        <v>0</v>
      </c>
      <c r="G14" s="66">
        <f>VLOOKUP($A14,'S0 remplacer avec S44'!$C:$BQ,30,0)</f>
        <v>0</v>
      </c>
      <c r="H14" s="66">
        <f>VLOOKUP($A14,'S0 remplacer avec S44'!$C:$BQ,52,0)</f>
        <v>131.19999999999999</v>
      </c>
      <c r="I14" s="66">
        <f>VLOOKUP($A14,'S0 remplacer avec S44'!$C:$BQ,59,0)</f>
        <v>0</v>
      </c>
      <c r="J14" s="66">
        <f>VLOOKUP($A14,'S0 remplacer avec S44'!$C:$BQ,60,0)</f>
        <v>13</v>
      </c>
      <c r="K14" s="58">
        <f>VLOOKUP($A14,'S45'!$C:$BQ,32,0)</f>
        <v>148.1</v>
      </c>
      <c r="L14" s="58">
        <f>VLOOKUP($A14,'S45'!$C:$BQ,39,0)</f>
        <v>88</v>
      </c>
      <c r="M14" s="58">
        <f>VLOOKUP($A14,'S45'!$C:$BQ,40,0)</f>
        <v>135</v>
      </c>
      <c r="N14" s="58">
        <f>VLOOKUP($A14,'S45'!$C:$BQ,22,0)</f>
        <v>2753.3357599999999</v>
      </c>
      <c r="O14" s="66">
        <f>VLOOKUP($A14,'S45'!$C:$BQ,29,0)</f>
        <v>0</v>
      </c>
      <c r="P14" s="66">
        <f>VLOOKUP($A14,'S45'!$C:$BQ,30,0)</f>
        <v>0</v>
      </c>
      <c r="Q14" s="66">
        <f>VLOOKUP($A14,'S45'!$C:$BQ,52,0)</f>
        <v>132.19999999999999</v>
      </c>
      <c r="R14" s="66">
        <f>VLOOKUP($A14,'S45'!$C:$BQ,59,0)</f>
        <v>0</v>
      </c>
      <c r="S14" s="66">
        <f>VLOOKUP($A14,'S45'!$C:$BQ,60,0)</f>
        <v>12</v>
      </c>
      <c r="T14" s="58">
        <f>VLOOKUP($A14,'S46'!$C:$BQ,32,0)</f>
        <v>146.6</v>
      </c>
      <c r="U14" s="58">
        <f>VLOOKUP($A14,'S46'!$C:$BQ,39,0)</f>
        <v>89</v>
      </c>
      <c r="V14" s="58">
        <f>VLOOKUP($A14,'S46'!$C:$BQ,40,0)</f>
        <v>136</v>
      </c>
      <c r="W14" s="58">
        <f>VLOOKUP($A14,'S46'!$C:$BQ,22,0)</f>
        <v>2738.2055</v>
      </c>
      <c r="X14" s="66">
        <f>VLOOKUP($A14,'S46'!$C:$BQ,29,0)</f>
        <v>0</v>
      </c>
      <c r="Y14" s="66">
        <f>VLOOKUP($A14,'S46'!$C:$BQ,30,0)</f>
        <v>0</v>
      </c>
      <c r="Z14" s="66">
        <f>VLOOKUP($A14,'S46'!$C:$BQ,52,0)</f>
        <v>132.19999999999999</v>
      </c>
      <c r="AA14" s="66">
        <f>VLOOKUP($A14,'S46'!$C:$BQ,59,0)</f>
        <v>0</v>
      </c>
      <c r="AB14" s="66">
        <f>VLOOKUP($A14,'S46'!$C:$BQ,60,0)</f>
        <v>12</v>
      </c>
      <c r="AC14" s="58">
        <f>VLOOKUP($A14,'S47'!$C:$BQ,32,0)</f>
        <v>149.6</v>
      </c>
      <c r="AD14" s="58">
        <f>VLOOKUP($A14,'S47'!$C:$BQ,39,0)</f>
        <v>86</v>
      </c>
      <c r="AE14" s="58">
        <f>VLOOKUP($A14,'S47'!$C:$BQ,40,0)</f>
        <v>133</v>
      </c>
      <c r="AF14" s="58">
        <f>VLOOKUP($A14,'S47'!$C:$BQ,22,0)</f>
        <v>2770.3138100000001</v>
      </c>
      <c r="AG14" s="66">
        <f>VLOOKUP($A14,'S47'!$C:$BQ,29,0)</f>
        <v>0</v>
      </c>
      <c r="AH14" s="66">
        <f>VLOOKUP($A14,'S47'!$C:$BQ,30,0)</f>
        <v>0</v>
      </c>
      <c r="AI14" s="66">
        <f>VLOOKUP($A14,'S47'!$C:$BQ,52,0)</f>
        <v>134.19999999999999</v>
      </c>
      <c r="AJ14" s="66">
        <f>VLOOKUP($A14,'S47'!$C:$BQ,59,0)</f>
        <v>0</v>
      </c>
      <c r="AK14" s="66">
        <f>VLOOKUP($A14,'S47'!$C:$BQ,60,0)</f>
        <v>10</v>
      </c>
      <c r="AL14" s="58" t="e">
        <f>VLOOKUP($A14,'S48'!$C:$BQ,32,0)</f>
        <v>#N/A</v>
      </c>
      <c r="AM14" s="58" t="e">
        <f>VLOOKUP($A14,'S48'!$C:$BQ,39,0)</f>
        <v>#N/A</v>
      </c>
      <c r="AN14" s="58" t="e">
        <f>VLOOKUP($A14,'S48'!$C:$BQ,40,0)</f>
        <v>#N/A</v>
      </c>
      <c r="AO14" s="58" t="e">
        <f>VLOOKUP($A14,'S48'!$C:$BQ,22,0)</f>
        <v>#N/A</v>
      </c>
      <c r="AP14" s="66" t="e">
        <f>VLOOKUP($A14,'S48'!$C:$BQ,29,0)</f>
        <v>#N/A</v>
      </c>
      <c r="AQ14" s="66" t="e">
        <f>VLOOKUP($A14,'S48'!$C:$BQ,30,0)</f>
        <v>#N/A</v>
      </c>
      <c r="AR14" s="66" t="e">
        <f>VLOOKUP($A14,'S48'!$C:$BQ,52,0)</f>
        <v>#N/A</v>
      </c>
      <c r="AS14" s="66" t="e">
        <f>VLOOKUP($A14,'S48'!$C:$BQ,59,0)</f>
        <v>#N/A</v>
      </c>
      <c r="AT14" s="66" t="e">
        <f>VLOOKUP($A14,'S48'!$C:$BQ,60,0)</f>
        <v>#N/A</v>
      </c>
      <c r="AU14" s="58" t="e">
        <f>VLOOKUP($A14,'S49'!$C:$BQ,32,0)</f>
        <v>#N/A</v>
      </c>
      <c r="AV14" s="58" t="e">
        <f>VLOOKUP($A14,'S49'!$C:$BQ,39,0)</f>
        <v>#N/A</v>
      </c>
      <c r="AW14" s="58" t="e">
        <f>VLOOKUP($A14,'S49'!$C:$BQ,40,0)</f>
        <v>#N/A</v>
      </c>
      <c r="AX14" s="58" t="e">
        <f>VLOOKUP($A14,'S49'!$C:$BQ,22,0)</f>
        <v>#N/A</v>
      </c>
      <c r="AY14" s="66" t="e">
        <f>VLOOKUP($A14,'S49'!$C:$BQ,29,0)</f>
        <v>#N/A</v>
      </c>
      <c r="AZ14" s="66" t="e">
        <f>VLOOKUP($A14,'S49'!$C:$BQ,30,0)</f>
        <v>#N/A</v>
      </c>
      <c r="BA14" s="66" t="e">
        <f>VLOOKUP($A14,'S49'!$C:$BQ,52,0)</f>
        <v>#N/A</v>
      </c>
      <c r="BB14" s="66" t="e">
        <f>VLOOKUP($A14,'S49'!$C:$BQ,59,0)</f>
        <v>#N/A</v>
      </c>
      <c r="BC14" s="66" t="e">
        <f>VLOOKUP($A14,'S49'!$C:$BQ,60,0)</f>
        <v>#N/A</v>
      </c>
      <c r="BD14" s="58" t="e">
        <f>VLOOKUP($A14,'S50'!$C:$BQ,32,0)</f>
        <v>#N/A</v>
      </c>
      <c r="BE14" s="58" t="e">
        <f>VLOOKUP($A14,'S50'!$C:$BQ,39,0)</f>
        <v>#N/A</v>
      </c>
      <c r="BF14" s="58" t="e">
        <f>VLOOKUP($A14,'S50'!$C:$BQ,40,0)</f>
        <v>#N/A</v>
      </c>
      <c r="BG14" s="58" t="e">
        <f>VLOOKUP($A14,'S50'!$C:$BQ,22,0)</f>
        <v>#N/A</v>
      </c>
      <c r="BH14" s="66" t="e">
        <f>VLOOKUP($A14,'S50'!$C:$BQ,29,0)</f>
        <v>#N/A</v>
      </c>
      <c r="BI14" s="66" t="e">
        <f>VLOOKUP($A14,'S50'!$C:$BQ,30,0)</f>
        <v>#N/A</v>
      </c>
      <c r="BJ14" s="66" t="e">
        <f>VLOOKUP($A14,'S50'!$C:$BQ,52,0)</f>
        <v>#N/A</v>
      </c>
      <c r="BK14" s="66" t="e">
        <f>VLOOKUP($A14,'S50'!$C:$BQ,59,0)</f>
        <v>#N/A</v>
      </c>
      <c r="BL14" s="66" t="e">
        <f>VLOOKUP($A14,'S50'!$C:$BQ,60,0)</f>
        <v>#N/A</v>
      </c>
    </row>
    <row r="15" spans="1:127" x14ac:dyDescent="0.2">
      <c r="A15" s="57" t="s">
        <v>68</v>
      </c>
      <c r="B15" s="58">
        <f>VLOOKUP($A15,'S0 remplacer avec S44'!$C:$BQ,32,0)</f>
        <v>184.1</v>
      </c>
      <c r="C15" s="58">
        <f>VLOOKUP($A15,'S0 remplacer avec S44'!$C:$BQ,39,0)</f>
        <v>0</v>
      </c>
      <c r="D15" s="58">
        <f>VLOOKUP($A15,'S0 remplacer avec S44'!$C:$BQ,40,0)</f>
        <v>0</v>
      </c>
      <c r="E15" s="58">
        <f>VLOOKUP($A15,'S0 remplacer avec S44'!$C:$BQ,22,0)</f>
        <v>1717.4284299999999</v>
      </c>
      <c r="F15" s="66">
        <f>VLOOKUP($A15,'S0 remplacer avec S44'!$C:$BQ,29,0)</f>
        <v>0</v>
      </c>
      <c r="G15" s="66">
        <f>VLOOKUP($A15,'S0 remplacer avec S44'!$C:$BQ,30,0)</f>
        <v>0</v>
      </c>
      <c r="H15" s="66">
        <f>VLOOKUP($A15,'S0 remplacer avec S44'!$C:$BQ,52,0)</f>
        <v>90</v>
      </c>
      <c r="I15" s="66">
        <f>VLOOKUP($A15,'S0 remplacer avec S44'!$C:$BQ,59,0)</f>
        <v>0</v>
      </c>
      <c r="J15" s="66">
        <f>VLOOKUP($A15,'S0 remplacer avec S44'!$C:$BQ,60,0)</f>
        <v>3</v>
      </c>
      <c r="K15" s="58">
        <f>VLOOKUP($A15,'S45'!$C:$BQ,32,0)</f>
        <v>187.1</v>
      </c>
      <c r="L15" s="58">
        <f>VLOOKUP($A15,'S45'!$C:$BQ,39,0)</f>
        <v>0</v>
      </c>
      <c r="M15" s="58">
        <f>VLOOKUP($A15,'S45'!$C:$BQ,40,0)</f>
        <v>0</v>
      </c>
      <c r="N15" s="58">
        <f>VLOOKUP($A15,'S45'!$C:$BQ,22,0)</f>
        <v>1722.85068</v>
      </c>
      <c r="O15" s="66">
        <f>VLOOKUP($A15,'S45'!$C:$BQ,29,0)</f>
        <v>0</v>
      </c>
      <c r="P15" s="66">
        <f>VLOOKUP($A15,'S45'!$C:$BQ,30,0)</f>
        <v>0</v>
      </c>
      <c r="Q15" s="66">
        <f>VLOOKUP($A15,'S45'!$C:$BQ,52,0)</f>
        <v>90</v>
      </c>
      <c r="R15" s="66">
        <f>VLOOKUP($A15,'S45'!$C:$BQ,59,0)</f>
        <v>0</v>
      </c>
      <c r="S15" s="66">
        <f>VLOOKUP($A15,'S45'!$C:$BQ,60,0)</f>
        <v>3</v>
      </c>
      <c r="T15" s="58">
        <f>VLOOKUP($A15,'S46'!$C:$BQ,32,0)</f>
        <v>187.1</v>
      </c>
      <c r="U15" s="58">
        <f>VLOOKUP($A15,'S46'!$C:$BQ,39,0)</f>
        <v>0</v>
      </c>
      <c r="V15" s="58">
        <f>VLOOKUP($A15,'S46'!$C:$BQ,40,0)</f>
        <v>0</v>
      </c>
      <c r="W15" s="58">
        <f>VLOOKUP($A15,'S46'!$C:$BQ,22,0)</f>
        <v>1726.1867199999999</v>
      </c>
      <c r="X15" s="66">
        <f>VLOOKUP($A15,'S46'!$C:$BQ,29,0)</f>
        <v>0</v>
      </c>
      <c r="Y15" s="66">
        <f>VLOOKUP($A15,'S46'!$C:$BQ,30,0)</f>
        <v>0</v>
      </c>
      <c r="Z15" s="66">
        <f>VLOOKUP($A15,'S46'!$C:$BQ,52,0)</f>
        <v>90</v>
      </c>
      <c r="AA15" s="66">
        <f>VLOOKUP($A15,'S46'!$C:$BQ,59,0)</f>
        <v>0</v>
      </c>
      <c r="AB15" s="66">
        <f>VLOOKUP($A15,'S46'!$C:$BQ,60,0)</f>
        <v>3</v>
      </c>
      <c r="AC15" s="58">
        <f>VLOOKUP($A15,'S47'!$C:$BQ,32,0)</f>
        <v>189.1</v>
      </c>
      <c r="AD15" s="58">
        <f>VLOOKUP($A15,'S47'!$C:$BQ,39,0)</f>
        <v>0</v>
      </c>
      <c r="AE15" s="58">
        <f>VLOOKUP($A15,'S47'!$C:$BQ,40,0)</f>
        <v>0</v>
      </c>
      <c r="AF15" s="58">
        <f>VLOOKUP($A15,'S47'!$C:$BQ,22,0)</f>
        <v>1738.16885</v>
      </c>
      <c r="AG15" s="66">
        <f>VLOOKUP($A15,'S47'!$C:$BQ,29,0)</f>
        <v>0</v>
      </c>
      <c r="AH15" s="66">
        <f>VLOOKUP($A15,'S47'!$C:$BQ,30,0)</f>
        <v>0</v>
      </c>
      <c r="AI15" s="66">
        <f>VLOOKUP($A15,'S47'!$C:$BQ,52,0)</f>
        <v>91</v>
      </c>
      <c r="AJ15" s="66">
        <f>VLOOKUP($A15,'S47'!$C:$BQ,59,0)</f>
        <v>0</v>
      </c>
      <c r="AK15" s="66">
        <f>VLOOKUP($A15,'S47'!$C:$BQ,60,0)</f>
        <v>2</v>
      </c>
      <c r="AL15" s="58" t="e">
        <f>VLOOKUP($A15,'S48'!$C:$BQ,32,0)</f>
        <v>#N/A</v>
      </c>
      <c r="AM15" s="58" t="e">
        <f>VLOOKUP($A15,'S48'!$C:$BQ,39,0)</f>
        <v>#N/A</v>
      </c>
      <c r="AN15" s="58" t="e">
        <f>VLOOKUP($A15,'S48'!$C:$BQ,40,0)</f>
        <v>#N/A</v>
      </c>
      <c r="AO15" s="58" t="e">
        <f>VLOOKUP($A15,'S48'!$C:$BQ,22,0)</f>
        <v>#N/A</v>
      </c>
      <c r="AP15" s="66" t="e">
        <f>VLOOKUP($A15,'S48'!$C:$BQ,29,0)</f>
        <v>#N/A</v>
      </c>
      <c r="AQ15" s="66" t="e">
        <f>VLOOKUP($A15,'S48'!$C:$BQ,30,0)</f>
        <v>#N/A</v>
      </c>
      <c r="AR15" s="66" t="e">
        <f>VLOOKUP($A15,'S48'!$C:$BQ,52,0)</f>
        <v>#N/A</v>
      </c>
      <c r="AS15" s="66" t="e">
        <f>VLOOKUP($A15,'S48'!$C:$BQ,59,0)</f>
        <v>#N/A</v>
      </c>
      <c r="AT15" s="66" t="e">
        <f>VLOOKUP($A15,'S48'!$C:$BQ,60,0)</f>
        <v>#N/A</v>
      </c>
      <c r="AU15" s="58" t="e">
        <f>VLOOKUP($A15,'S49'!$C:$BQ,32,0)</f>
        <v>#N/A</v>
      </c>
      <c r="AV15" s="58" t="e">
        <f>VLOOKUP($A15,'S49'!$C:$BQ,39,0)</f>
        <v>#N/A</v>
      </c>
      <c r="AW15" s="58" t="e">
        <f>VLOOKUP($A15,'S49'!$C:$BQ,40,0)</f>
        <v>#N/A</v>
      </c>
      <c r="AX15" s="58" t="e">
        <f>VLOOKUP($A15,'S49'!$C:$BQ,22,0)</f>
        <v>#N/A</v>
      </c>
      <c r="AY15" s="66" t="e">
        <f>VLOOKUP($A15,'S49'!$C:$BQ,29,0)</f>
        <v>#N/A</v>
      </c>
      <c r="AZ15" s="66" t="e">
        <f>VLOOKUP($A15,'S49'!$C:$BQ,30,0)</f>
        <v>#N/A</v>
      </c>
      <c r="BA15" s="66" t="e">
        <f>VLOOKUP($A15,'S49'!$C:$BQ,52,0)</f>
        <v>#N/A</v>
      </c>
      <c r="BB15" s="66" t="e">
        <f>VLOOKUP($A15,'S49'!$C:$BQ,59,0)</f>
        <v>#N/A</v>
      </c>
      <c r="BC15" s="66" t="e">
        <f>VLOOKUP($A15,'S49'!$C:$BQ,60,0)</f>
        <v>#N/A</v>
      </c>
      <c r="BD15" s="58" t="e">
        <f>VLOOKUP($A15,'S50'!$C:$BQ,32,0)</f>
        <v>#N/A</v>
      </c>
      <c r="BE15" s="58" t="e">
        <f>VLOOKUP($A15,'S50'!$C:$BQ,39,0)</f>
        <v>#N/A</v>
      </c>
      <c r="BF15" s="58" t="e">
        <f>VLOOKUP($A15,'S50'!$C:$BQ,40,0)</f>
        <v>#N/A</v>
      </c>
      <c r="BG15" s="58" t="e">
        <f>VLOOKUP($A15,'S50'!$C:$BQ,22,0)</f>
        <v>#N/A</v>
      </c>
      <c r="BH15" s="66" t="e">
        <f>VLOOKUP($A15,'S50'!$C:$BQ,29,0)</f>
        <v>#N/A</v>
      </c>
      <c r="BI15" s="66" t="e">
        <f>VLOOKUP($A15,'S50'!$C:$BQ,30,0)</f>
        <v>#N/A</v>
      </c>
      <c r="BJ15" s="66" t="e">
        <f>VLOOKUP($A15,'S50'!$C:$BQ,52,0)</f>
        <v>#N/A</v>
      </c>
      <c r="BK15" s="66" t="e">
        <f>VLOOKUP($A15,'S50'!$C:$BQ,59,0)</f>
        <v>#N/A</v>
      </c>
      <c r="BL15" s="66" t="e">
        <f>VLOOKUP($A15,'S50'!$C:$BQ,60,0)</f>
        <v>#N/A</v>
      </c>
    </row>
    <row r="16" spans="1:127" x14ac:dyDescent="0.2">
      <c r="A16" s="57" t="s">
        <v>69</v>
      </c>
      <c r="B16" s="58">
        <f>VLOOKUP($A16,'S0 remplacer avec S44'!$C:$BQ,32,0)</f>
        <v>285.89999999999998</v>
      </c>
      <c r="C16" s="58">
        <f>VLOOKUP($A16,'S0 remplacer avec S44'!$C:$BQ,39,0)</f>
        <v>77</v>
      </c>
      <c r="D16" s="58">
        <f>VLOOKUP($A16,'S0 remplacer avec S44'!$C:$BQ,40,0)</f>
        <v>149</v>
      </c>
      <c r="E16" s="58">
        <f>VLOOKUP($A16,'S0 remplacer avec S44'!$C:$BQ,22,0)</f>
        <v>2728.077655</v>
      </c>
      <c r="F16" s="66">
        <f>VLOOKUP($A16,'S0 remplacer avec S44'!$C:$BQ,29,0)</f>
        <v>568</v>
      </c>
      <c r="G16" s="66">
        <f>VLOOKUP($A16,'S0 remplacer avec S44'!$C:$BQ,30,0)</f>
        <v>1228</v>
      </c>
      <c r="H16" s="66">
        <f>VLOOKUP($A16,'S0 remplacer avec S44'!$C:$BQ,52,0)</f>
        <v>147.4</v>
      </c>
      <c r="I16" s="66">
        <f>VLOOKUP($A16,'S0 remplacer avec S44'!$C:$BQ,59,0)</f>
        <v>37</v>
      </c>
      <c r="J16" s="66">
        <f>VLOOKUP($A16,'S0 remplacer avec S44'!$C:$BQ,60,0)</f>
        <v>74</v>
      </c>
      <c r="K16" s="58">
        <f>VLOOKUP($A16,'S45'!$C:$BQ,32,0)</f>
        <v>299.89999999999998</v>
      </c>
      <c r="L16" s="58">
        <f>VLOOKUP($A16,'S45'!$C:$BQ,39,0)</f>
        <v>63</v>
      </c>
      <c r="M16" s="58">
        <f>VLOOKUP($A16,'S45'!$C:$BQ,40,0)</f>
        <v>135</v>
      </c>
      <c r="N16" s="58">
        <f>VLOOKUP($A16,'S45'!$C:$BQ,22,0)</f>
        <v>2747.0752950000001</v>
      </c>
      <c r="O16" s="66">
        <f>VLOOKUP($A16,'S45'!$C:$BQ,29,0)</f>
        <v>549</v>
      </c>
      <c r="P16" s="66">
        <f>VLOOKUP($A16,'S45'!$C:$BQ,30,0)</f>
        <v>1209</v>
      </c>
      <c r="Q16" s="66">
        <f>VLOOKUP($A16,'S45'!$C:$BQ,52,0)</f>
        <v>150.4</v>
      </c>
      <c r="R16" s="66">
        <f>VLOOKUP($A16,'S45'!$C:$BQ,59,0)</f>
        <v>34</v>
      </c>
      <c r="S16" s="66">
        <f>VLOOKUP($A16,'S45'!$C:$BQ,60,0)</f>
        <v>71</v>
      </c>
      <c r="T16" s="58">
        <f>VLOOKUP($A16,'S46'!$C:$BQ,32,0)</f>
        <v>299.39999999999998</v>
      </c>
      <c r="U16" s="58">
        <f>VLOOKUP($A16,'S46'!$C:$BQ,39,0)</f>
        <v>63</v>
      </c>
      <c r="V16" s="58">
        <f>VLOOKUP($A16,'S46'!$C:$BQ,40,0)</f>
        <v>136</v>
      </c>
      <c r="W16" s="58">
        <f>VLOOKUP($A16,'S46'!$C:$BQ,22,0)</f>
        <v>2748.7173349999998</v>
      </c>
      <c r="X16" s="66">
        <f>VLOOKUP($A16,'S46'!$C:$BQ,29,0)</f>
        <v>548</v>
      </c>
      <c r="Y16" s="66">
        <f>VLOOKUP($A16,'S46'!$C:$BQ,30,0)</f>
        <v>1207</v>
      </c>
      <c r="Z16" s="66">
        <f>VLOOKUP($A16,'S46'!$C:$BQ,52,0)</f>
        <v>151.4</v>
      </c>
      <c r="AA16" s="66">
        <f>VLOOKUP($A16,'S46'!$C:$BQ,59,0)</f>
        <v>33</v>
      </c>
      <c r="AB16" s="66">
        <f>VLOOKUP($A16,'S46'!$C:$BQ,60,0)</f>
        <v>70</v>
      </c>
      <c r="AC16" s="58">
        <f>VLOOKUP($A16,'S47'!$C:$BQ,32,0)</f>
        <v>314.89999999999998</v>
      </c>
      <c r="AD16" s="58">
        <f>VLOOKUP($A16,'S47'!$C:$BQ,39,0)</f>
        <v>48</v>
      </c>
      <c r="AE16" s="58">
        <f>VLOOKUP($A16,'S47'!$C:$BQ,40,0)</f>
        <v>120</v>
      </c>
      <c r="AF16" s="58">
        <f>VLOOKUP($A16,'S47'!$C:$BQ,22,0)</f>
        <v>2753.1622750000001</v>
      </c>
      <c r="AG16" s="66">
        <f>VLOOKUP($A16,'S47'!$C:$BQ,29,0)</f>
        <v>543</v>
      </c>
      <c r="AH16" s="66">
        <f>VLOOKUP($A16,'S47'!$C:$BQ,30,0)</f>
        <v>1202</v>
      </c>
      <c r="AI16" s="66">
        <f>VLOOKUP($A16,'S47'!$C:$BQ,52,0)</f>
        <v>164.4</v>
      </c>
      <c r="AJ16" s="66">
        <f>VLOOKUP($A16,'S47'!$C:$BQ,59,0)</f>
        <v>20</v>
      </c>
      <c r="AK16" s="66">
        <f>VLOOKUP($A16,'S47'!$C:$BQ,60,0)</f>
        <v>57</v>
      </c>
      <c r="AL16" s="58" t="e">
        <f>VLOOKUP($A16,'S48'!$C:$BQ,32,0)</f>
        <v>#N/A</v>
      </c>
      <c r="AM16" s="58" t="e">
        <f>VLOOKUP($A16,'S48'!$C:$BQ,39,0)</f>
        <v>#N/A</v>
      </c>
      <c r="AN16" s="58" t="e">
        <f>VLOOKUP($A16,'S48'!$C:$BQ,40,0)</f>
        <v>#N/A</v>
      </c>
      <c r="AO16" s="58" t="e">
        <f>VLOOKUP($A16,'S48'!$C:$BQ,22,0)</f>
        <v>#N/A</v>
      </c>
      <c r="AP16" s="66" t="e">
        <f>VLOOKUP($A16,'S48'!$C:$BQ,29,0)</f>
        <v>#N/A</v>
      </c>
      <c r="AQ16" s="66" t="e">
        <f>VLOOKUP($A16,'S48'!$C:$BQ,30,0)</f>
        <v>#N/A</v>
      </c>
      <c r="AR16" s="66" t="e">
        <f>VLOOKUP($A16,'S48'!$C:$BQ,52,0)</f>
        <v>#N/A</v>
      </c>
      <c r="AS16" s="66" t="e">
        <f>VLOOKUP($A16,'S48'!$C:$BQ,59,0)</f>
        <v>#N/A</v>
      </c>
      <c r="AT16" s="66" t="e">
        <f>VLOOKUP($A16,'S48'!$C:$BQ,60,0)</f>
        <v>#N/A</v>
      </c>
      <c r="AU16" s="58" t="e">
        <f>VLOOKUP($A16,'S49'!$C:$BQ,32,0)</f>
        <v>#N/A</v>
      </c>
      <c r="AV16" s="58" t="e">
        <f>VLOOKUP($A16,'S49'!$C:$BQ,39,0)</f>
        <v>#N/A</v>
      </c>
      <c r="AW16" s="58" t="e">
        <f>VLOOKUP($A16,'S49'!$C:$BQ,40,0)</f>
        <v>#N/A</v>
      </c>
      <c r="AX16" s="58" t="e">
        <f>VLOOKUP($A16,'S49'!$C:$BQ,22,0)</f>
        <v>#N/A</v>
      </c>
      <c r="AY16" s="66" t="e">
        <f>VLOOKUP($A16,'S49'!$C:$BQ,29,0)</f>
        <v>#N/A</v>
      </c>
      <c r="AZ16" s="66" t="e">
        <f>VLOOKUP($A16,'S49'!$C:$BQ,30,0)</f>
        <v>#N/A</v>
      </c>
      <c r="BA16" s="66" t="e">
        <f>VLOOKUP($A16,'S49'!$C:$BQ,52,0)</f>
        <v>#N/A</v>
      </c>
      <c r="BB16" s="66" t="e">
        <f>VLOOKUP($A16,'S49'!$C:$BQ,59,0)</f>
        <v>#N/A</v>
      </c>
      <c r="BC16" s="66" t="e">
        <f>VLOOKUP($A16,'S49'!$C:$BQ,60,0)</f>
        <v>#N/A</v>
      </c>
      <c r="BD16" s="58" t="e">
        <f>VLOOKUP($A16,'S50'!$C:$BQ,32,0)</f>
        <v>#N/A</v>
      </c>
      <c r="BE16" s="58" t="e">
        <f>VLOOKUP($A16,'S50'!$C:$BQ,39,0)</f>
        <v>#N/A</v>
      </c>
      <c r="BF16" s="58" t="e">
        <f>VLOOKUP($A16,'S50'!$C:$BQ,40,0)</f>
        <v>#N/A</v>
      </c>
      <c r="BG16" s="58" t="e">
        <f>VLOOKUP($A16,'S50'!$C:$BQ,22,0)</f>
        <v>#N/A</v>
      </c>
      <c r="BH16" s="66" t="e">
        <f>VLOOKUP($A16,'S50'!$C:$BQ,29,0)</f>
        <v>#N/A</v>
      </c>
      <c r="BI16" s="66" t="e">
        <f>VLOOKUP($A16,'S50'!$C:$BQ,30,0)</f>
        <v>#N/A</v>
      </c>
      <c r="BJ16" s="66" t="e">
        <f>VLOOKUP($A16,'S50'!$C:$BQ,52,0)</f>
        <v>#N/A</v>
      </c>
      <c r="BK16" s="66" t="e">
        <f>VLOOKUP($A16,'S50'!$C:$BQ,59,0)</f>
        <v>#N/A</v>
      </c>
      <c r="BL16" s="66" t="e">
        <f>VLOOKUP($A16,'S50'!$C:$BQ,60,0)</f>
        <v>#N/A</v>
      </c>
    </row>
    <row r="17" spans="1:64" x14ac:dyDescent="0.2">
      <c r="A17" s="57" t="s">
        <v>70</v>
      </c>
      <c r="B17" s="58">
        <f>VLOOKUP($A17,'S0 remplacer avec S44'!$C:$BQ,32,0)</f>
        <v>130.19999999999999</v>
      </c>
      <c r="C17" s="58">
        <f>VLOOKUP($A17,'S0 remplacer avec S44'!$C:$BQ,39,0)</f>
        <v>104</v>
      </c>
      <c r="D17" s="58">
        <f>VLOOKUP($A17,'S0 remplacer avec S44'!$C:$BQ,40,0)</f>
        <v>151</v>
      </c>
      <c r="E17" s="58">
        <f>VLOOKUP($A17,'S0 remplacer avec S44'!$C:$BQ,22,0)</f>
        <v>2179.3162149999998</v>
      </c>
      <c r="F17" s="66">
        <f>VLOOKUP($A17,'S0 remplacer avec S44'!$C:$BQ,29,0)</f>
        <v>0</v>
      </c>
      <c r="G17" s="66">
        <f>VLOOKUP($A17,'S0 remplacer avec S44'!$C:$BQ,30,0)</f>
        <v>375</v>
      </c>
      <c r="H17" s="66">
        <f>VLOOKUP($A17,'S0 remplacer avec S44'!$C:$BQ,52,0)</f>
        <v>154.19999999999999</v>
      </c>
      <c r="I17" s="66">
        <f>VLOOKUP($A17,'S0 remplacer avec S44'!$C:$BQ,59,0)</f>
        <v>0</v>
      </c>
      <c r="J17" s="66">
        <f>VLOOKUP($A17,'S0 remplacer avec S44'!$C:$BQ,60,0)</f>
        <v>0</v>
      </c>
      <c r="K17" s="58">
        <f>VLOOKUP($A17,'S45'!$C:$BQ,32,0)</f>
        <v>135.19999999999999</v>
      </c>
      <c r="L17" s="58">
        <f>VLOOKUP($A17,'S45'!$C:$BQ,39,0)</f>
        <v>99</v>
      </c>
      <c r="M17" s="58">
        <f>VLOOKUP($A17,'S45'!$C:$BQ,40,0)</f>
        <v>146</v>
      </c>
      <c r="N17" s="58">
        <f>VLOOKUP($A17,'S45'!$C:$BQ,22,0)</f>
        <v>2215.9263150000002</v>
      </c>
      <c r="O17" s="66">
        <f>VLOOKUP($A17,'S45'!$C:$BQ,29,0)</f>
        <v>0</v>
      </c>
      <c r="P17" s="66">
        <f>VLOOKUP($A17,'S45'!$C:$BQ,30,0)</f>
        <v>339</v>
      </c>
      <c r="Q17" s="66">
        <f>VLOOKUP($A17,'S45'!$C:$BQ,52,0)</f>
        <v>154.19999999999999</v>
      </c>
      <c r="R17" s="66">
        <f>VLOOKUP($A17,'S45'!$C:$BQ,59,0)</f>
        <v>0</v>
      </c>
      <c r="S17" s="66">
        <f>VLOOKUP($A17,'S45'!$C:$BQ,60,0)</f>
        <v>0</v>
      </c>
      <c r="T17" s="58">
        <f>VLOOKUP($A17,'S46'!$C:$BQ,32,0)</f>
        <v>136.19999999999999</v>
      </c>
      <c r="U17" s="58">
        <f>VLOOKUP($A17,'S46'!$C:$BQ,39,0)</f>
        <v>98</v>
      </c>
      <c r="V17" s="58">
        <f>VLOOKUP($A17,'S46'!$C:$BQ,40,0)</f>
        <v>145</v>
      </c>
      <c r="W17" s="58">
        <f>VLOOKUP($A17,'S46'!$C:$BQ,22,0)</f>
        <v>2218.1865349999998</v>
      </c>
      <c r="X17" s="66">
        <f>VLOOKUP($A17,'S46'!$C:$BQ,29,0)</f>
        <v>0</v>
      </c>
      <c r="Y17" s="66">
        <f>VLOOKUP($A17,'S46'!$C:$BQ,30,0)</f>
        <v>336</v>
      </c>
      <c r="Z17" s="66">
        <f>VLOOKUP($A17,'S46'!$C:$BQ,52,0)</f>
        <v>154.19999999999999</v>
      </c>
      <c r="AA17" s="66">
        <f>VLOOKUP($A17,'S46'!$C:$BQ,59,0)</f>
        <v>0</v>
      </c>
      <c r="AB17" s="66">
        <f>VLOOKUP($A17,'S46'!$C:$BQ,60,0)</f>
        <v>0</v>
      </c>
      <c r="AC17" s="58">
        <f>VLOOKUP($A17,'S47'!$C:$BQ,32,0)</f>
        <v>135.69999999999999</v>
      </c>
      <c r="AD17" s="58">
        <f>VLOOKUP($A17,'S47'!$C:$BQ,39,0)</f>
        <v>99</v>
      </c>
      <c r="AE17" s="58">
        <f>VLOOKUP($A17,'S47'!$C:$BQ,40,0)</f>
        <v>146</v>
      </c>
      <c r="AF17" s="58">
        <f>VLOOKUP($A17,'S47'!$C:$BQ,22,0)</f>
        <v>2270.525885</v>
      </c>
      <c r="AG17" s="66">
        <f>VLOOKUP($A17,'S47'!$C:$BQ,29,0)</f>
        <v>0</v>
      </c>
      <c r="AH17" s="66">
        <f>VLOOKUP($A17,'S47'!$C:$BQ,30,0)</f>
        <v>284</v>
      </c>
      <c r="AI17" s="66">
        <f>VLOOKUP($A17,'S47'!$C:$BQ,52,0)</f>
        <v>156.19999999999999</v>
      </c>
      <c r="AJ17" s="66">
        <f>VLOOKUP($A17,'S47'!$C:$BQ,59,0)</f>
        <v>0</v>
      </c>
      <c r="AK17" s="66">
        <f>VLOOKUP($A17,'S47'!$C:$BQ,60,0)</f>
        <v>0</v>
      </c>
      <c r="AL17" s="58" t="e">
        <f>VLOOKUP($A17,'S48'!$C:$BQ,32,0)</f>
        <v>#N/A</v>
      </c>
      <c r="AM17" s="58" t="e">
        <f>VLOOKUP($A17,'S48'!$C:$BQ,39,0)</f>
        <v>#N/A</v>
      </c>
      <c r="AN17" s="58" t="e">
        <f>VLOOKUP($A17,'S48'!$C:$BQ,40,0)</f>
        <v>#N/A</v>
      </c>
      <c r="AO17" s="58" t="e">
        <f>VLOOKUP($A17,'S48'!$C:$BQ,22,0)</f>
        <v>#N/A</v>
      </c>
      <c r="AP17" s="66" t="e">
        <f>VLOOKUP($A17,'S48'!$C:$BQ,29,0)</f>
        <v>#N/A</v>
      </c>
      <c r="AQ17" s="66" t="e">
        <f>VLOOKUP($A17,'S48'!$C:$BQ,30,0)</f>
        <v>#N/A</v>
      </c>
      <c r="AR17" s="66" t="e">
        <f>VLOOKUP($A17,'S48'!$C:$BQ,52,0)</f>
        <v>#N/A</v>
      </c>
      <c r="AS17" s="66" t="e">
        <f>VLOOKUP($A17,'S48'!$C:$BQ,59,0)</f>
        <v>#N/A</v>
      </c>
      <c r="AT17" s="66" t="e">
        <f>VLOOKUP($A17,'S48'!$C:$BQ,60,0)</f>
        <v>#N/A</v>
      </c>
      <c r="AU17" s="58" t="e">
        <f>VLOOKUP($A17,'S49'!$C:$BQ,32,0)</f>
        <v>#N/A</v>
      </c>
      <c r="AV17" s="58" t="e">
        <f>VLOOKUP($A17,'S49'!$C:$BQ,39,0)</f>
        <v>#N/A</v>
      </c>
      <c r="AW17" s="58" t="e">
        <f>VLOOKUP($A17,'S49'!$C:$BQ,40,0)</f>
        <v>#N/A</v>
      </c>
      <c r="AX17" s="58" t="e">
        <f>VLOOKUP($A17,'S49'!$C:$BQ,22,0)</f>
        <v>#N/A</v>
      </c>
      <c r="AY17" s="66" t="e">
        <f>VLOOKUP($A17,'S49'!$C:$BQ,29,0)</f>
        <v>#N/A</v>
      </c>
      <c r="AZ17" s="66" t="e">
        <f>VLOOKUP($A17,'S49'!$C:$BQ,30,0)</f>
        <v>#N/A</v>
      </c>
      <c r="BA17" s="66" t="e">
        <f>VLOOKUP($A17,'S49'!$C:$BQ,52,0)</f>
        <v>#N/A</v>
      </c>
      <c r="BB17" s="66" t="e">
        <f>VLOOKUP($A17,'S49'!$C:$BQ,59,0)</f>
        <v>#N/A</v>
      </c>
      <c r="BC17" s="66" t="e">
        <f>VLOOKUP($A17,'S49'!$C:$BQ,60,0)</f>
        <v>#N/A</v>
      </c>
      <c r="BD17" s="58" t="e">
        <f>VLOOKUP($A17,'S50'!$C:$BQ,32,0)</f>
        <v>#N/A</v>
      </c>
      <c r="BE17" s="58" t="e">
        <f>VLOOKUP($A17,'S50'!$C:$BQ,39,0)</f>
        <v>#N/A</v>
      </c>
      <c r="BF17" s="58" t="e">
        <f>VLOOKUP($A17,'S50'!$C:$BQ,40,0)</f>
        <v>#N/A</v>
      </c>
      <c r="BG17" s="58" t="e">
        <f>VLOOKUP($A17,'S50'!$C:$BQ,22,0)</f>
        <v>#N/A</v>
      </c>
      <c r="BH17" s="66" t="e">
        <f>VLOOKUP($A17,'S50'!$C:$BQ,29,0)</f>
        <v>#N/A</v>
      </c>
      <c r="BI17" s="66" t="e">
        <f>VLOOKUP($A17,'S50'!$C:$BQ,30,0)</f>
        <v>#N/A</v>
      </c>
      <c r="BJ17" s="66" t="e">
        <f>VLOOKUP($A17,'S50'!$C:$BQ,52,0)</f>
        <v>#N/A</v>
      </c>
      <c r="BK17" s="66" t="e">
        <f>VLOOKUP($A17,'S50'!$C:$BQ,59,0)</f>
        <v>#N/A</v>
      </c>
      <c r="BL17" s="66" t="e">
        <f>VLOOKUP($A17,'S50'!$C:$BQ,60,0)</f>
        <v>#N/A</v>
      </c>
    </row>
    <row r="18" spans="1:64" x14ac:dyDescent="0.2">
      <c r="A18" s="57" t="s">
        <v>71</v>
      </c>
      <c r="B18" s="58">
        <f>VLOOKUP($A18,'S0 remplacer avec S44'!$C:$BQ,32,0)</f>
        <v>223.4</v>
      </c>
      <c r="C18" s="58">
        <f>VLOOKUP($A18,'S0 remplacer avec S44'!$C:$BQ,39,0)</f>
        <v>195</v>
      </c>
      <c r="D18" s="58">
        <f>VLOOKUP($A18,'S0 remplacer avec S44'!$C:$BQ,40,0)</f>
        <v>278</v>
      </c>
      <c r="E18" s="58">
        <f>VLOOKUP($A18,'S0 remplacer avec S44'!$C:$BQ,22,0)</f>
        <v>3910.28287</v>
      </c>
      <c r="F18" s="66">
        <f>VLOOKUP($A18,'S0 remplacer avec S44'!$C:$BQ,29,0)</f>
        <v>0</v>
      </c>
      <c r="G18" s="66">
        <f>VLOOKUP($A18,'S0 remplacer avec S44'!$C:$BQ,30,0)</f>
        <v>650</v>
      </c>
      <c r="H18" s="66">
        <f>VLOOKUP($A18,'S0 remplacer avec S44'!$C:$BQ,52,0)</f>
        <v>256.8</v>
      </c>
      <c r="I18" s="66">
        <f>VLOOKUP($A18,'S0 remplacer avec S44'!$C:$BQ,59,0)</f>
        <v>0</v>
      </c>
      <c r="J18" s="66">
        <f>VLOOKUP($A18,'S0 remplacer avec S44'!$C:$BQ,60,0)</f>
        <v>0</v>
      </c>
      <c r="K18" s="58">
        <f>VLOOKUP($A18,'S45'!$C:$BQ,32,0)</f>
        <v>231.4</v>
      </c>
      <c r="L18" s="58">
        <f>VLOOKUP($A18,'S45'!$C:$BQ,39,0)</f>
        <v>187</v>
      </c>
      <c r="M18" s="58">
        <f>VLOOKUP($A18,'S45'!$C:$BQ,40,0)</f>
        <v>270</v>
      </c>
      <c r="N18" s="58">
        <f>VLOOKUP($A18,'S45'!$C:$BQ,22,0)</f>
        <v>3935.90562</v>
      </c>
      <c r="O18" s="66">
        <f>VLOOKUP($A18,'S45'!$C:$BQ,29,0)</f>
        <v>0</v>
      </c>
      <c r="P18" s="66">
        <f>VLOOKUP($A18,'S45'!$C:$BQ,30,0)</f>
        <v>624</v>
      </c>
      <c r="Q18" s="66">
        <f>VLOOKUP($A18,'S45'!$C:$BQ,52,0)</f>
        <v>259.8</v>
      </c>
      <c r="R18" s="66">
        <f>VLOOKUP($A18,'S45'!$C:$BQ,59,0)</f>
        <v>0</v>
      </c>
      <c r="S18" s="66">
        <f>VLOOKUP($A18,'S45'!$C:$BQ,60,0)</f>
        <v>0</v>
      </c>
      <c r="T18" s="58">
        <f>VLOOKUP($A18,'S46'!$C:$BQ,32,0)</f>
        <v>230.4</v>
      </c>
      <c r="U18" s="58">
        <f>VLOOKUP($A18,'S46'!$C:$BQ,39,0)</f>
        <v>188</v>
      </c>
      <c r="V18" s="58">
        <f>VLOOKUP($A18,'S46'!$C:$BQ,40,0)</f>
        <v>271</v>
      </c>
      <c r="W18" s="58">
        <f>VLOOKUP($A18,'S46'!$C:$BQ,22,0)</f>
        <v>3954.5861599999998</v>
      </c>
      <c r="X18" s="66">
        <f>VLOOKUP($A18,'S46'!$C:$BQ,29,0)</f>
        <v>0</v>
      </c>
      <c r="Y18" s="66">
        <f>VLOOKUP($A18,'S46'!$C:$BQ,30,0)</f>
        <v>606</v>
      </c>
      <c r="Z18" s="66">
        <f>VLOOKUP($A18,'S46'!$C:$BQ,52,0)</f>
        <v>259.8</v>
      </c>
      <c r="AA18" s="66">
        <f>VLOOKUP($A18,'S46'!$C:$BQ,59,0)</f>
        <v>0</v>
      </c>
      <c r="AB18" s="66">
        <f>VLOOKUP($A18,'S46'!$C:$BQ,60,0)</f>
        <v>0</v>
      </c>
      <c r="AC18" s="58">
        <f>VLOOKUP($A18,'S47'!$C:$BQ,32,0)</f>
        <v>235.4</v>
      </c>
      <c r="AD18" s="58">
        <f>VLOOKUP($A18,'S47'!$C:$BQ,39,0)</f>
        <v>183</v>
      </c>
      <c r="AE18" s="58">
        <f>VLOOKUP($A18,'S47'!$C:$BQ,40,0)</f>
        <v>266</v>
      </c>
      <c r="AF18" s="58">
        <f>VLOOKUP($A18,'S47'!$C:$BQ,22,0)</f>
        <v>4027.9739800000002</v>
      </c>
      <c r="AG18" s="66">
        <f>VLOOKUP($A18,'S47'!$C:$BQ,29,0)</f>
        <v>0</v>
      </c>
      <c r="AH18" s="66">
        <f>VLOOKUP($A18,'S47'!$C:$BQ,30,0)</f>
        <v>532</v>
      </c>
      <c r="AI18" s="66">
        <f>VLOOKUP($A18,'S47'!$C:$BQ,52,0)</f>
        <v>261.8</v>
      </c>
      <c r="AJ18" s="66">
        <f>VLOOKUP($A18,'S47'!$C:$BQ,59,0)</f>
        <v>0</v>
      </c>
      <c r="AK18" s="66">
        <f>VLOOKUP($A18,'S47'!$C:$BQ,60,0)</f>
        <v>0</v>
      </c>
      <c r="AL18" s="58" t="e">
        <f>VLOOKUP($A18,'S48'!$C:$BQ,32,0)</f>
        <v>#N/A</v>
      </c>
      <c r="AM18" s="58" t="e">
        <f>VLOOKUP($A18,'S48'!$C:$BQ,39,0)</f>
        <v>#N/A</v>
      </c>
      <c r="AN18" s="58" t="e">
        <f>VLOOKUP($A18,'S48'!$C:$BQ,40,0)</f>
        <v>#N/A</v>
      </c>
      <c r="AO18" s="58" t="e">
        <f>VLOOKUP($A18,'S48'!$C:$BQ,22,0)</f>
        <v>#N/A</v>
      </c>
      <c r="AP18" s="66" t="e">
        <f>VLOOKUP($A18,'S48'!$C:$BQ,29,0)</f>
        <v>#N/A</v>
      </c>
      <c r="AQ18" s="66" t="e">
        <f>VLOOKUP($A18,'S48'!$C:$BQ,30,0)</f>
        <v>#N/A</v>
      </c>
      <c r="AR18" s="66" t="e">
        <f>VLOOKUP($A18,'S48'!$C:$BQ,52,0)</f>
        <v>#N/A</v>
      </c>
      <c r="AS18" s="66" t="e">
        <f>VLOOKUP($A18,'S48'!$C:$BQ,59,0)</f>
        <v>#N/A</v>
      </c>
      <c r="AT18" s="66" t="e">
        <f>VLOOKUP($A18,'S48'!$C:$BQ,60,0)</f>
        <v>#N/A</v>
      </c>
      <c r="AU18" s="58" t="e">
        <f>VLOOKUP($A18,'S49'!$C:$BQ,32,0)</f>
        <v>#N/A</v>
      </c>
      <c r="AV18" s="58" t="e">
        <f>VLOOKUP($A18,'S49'!$C:$BQ,39,0)</f>
        <v>#N/A</v>
      </c>
      <c r="AW18" s="58" t="e">
        <f>VLOOKUP($A18,'S49'!$C:$BQ,40,0)</f>
        <v>#N/A</v>
      </c>
      <c r="AX18" s="58" t="e">
        <f>VLOOKUP($A18,'S49'!$C:$BQ,22,0)</f>
        <v>#N/A</v>
      </c>
      <c r="AY18" s="66" t="e">
        <f>VLOOKUP($A18,'S49'!$C:$BQ,29,0)</f>
        <v>#N/A</v>
      </c>
      <c r="AZ18" s="66" t="e">
        <f>VLOOKUP($A18,'S49'!$C:$BQ,30,0)</f>
        <v>#N/A</v>
      </c>
      <c r="BA18" s="66" t="e">
        <f>VLOOKUP($A18,'S49'!$C:$BQ,52,0)</f>
        <v>#N/A</v>
      </c>
      <c r="BB18" s="66" t="e">
        <f>VLOOKUP($A18,'S49'!$C:$BQ,59,0)</f>
        <v>#N/A</v>
      </c>
      <c r="BC18" s="66" t="e">
        <f>VLOOKUP($A18,'S49'!$C:$BQ,60,0)</f>
        <v>#N/A</v>
      </c>
      <c r="BD18" s="58" t="e">
        <f>VLOOKUP($A18,'S50'!$C:$BQ,32,0)</f>
        <v>#N/A</v>
      </c>
      <c r="BE18" s="58" t="e">
        <f>VLOOKUP($A18,'S50'!$C:$BQ,39,0)</f>
        <v>#N/A</v>
      </c>
      <c r="BF18" s="58" t="e">
        <f>VLOOKUP($A18,'S50'!$C:$BQ,40,0)</f>
        <v>#N/A</v>
      </c>
      <c r="BG18" s="58" t="e">
        <f>VLOOKUP($A18,'S50'!$C:$BQ,22,0)</f>
        <v>#N/A</v>
      </c>
      <c r="BH18" s="66" t="e">
        <f>VLOOKUP($A18,'S50'!$C:$BQ,29,0)</f>
        <v>#N/A</v>
      </c>
      <c r="BI18" s="66" t="e">
        <f>VLOOKUP($A18,'S50'!$C:$BQ,30,0)</f>
        <v>#N/A</v>
      </c>
      <c r="BJ18" s="66" t="e">
        <f>VLOOKUP($A18,'S50'!$C:$BQ,52,0)</f>
        <v>#N/A</v>
      </c>
      <c r="BK18" s="66" t="e">
        <f>VLOOKUP($A18,'S50'!$C:$BQ,59,0)</f>
        <v>#N/A</v>
      </c>
      <c r="BL18" s="66" t="e">
        <f>VLOOKUP($A18,'S50'!$C:$BQ,60,0)</f>
        <v>#N/A</v>
      </c>
    </row>
    <row r="19" spans="1:64" x14ac:dyDescent="0.2">
      <c r="A19" s="57" t="s">
        <v>72</v>
      </c>
      <c r="B19" s="58">
        <f>VLOOKUP($A19,'S0 remplacer avec S44'!$C:$BQ,32,0)</f>
        <v>132</v>
      </c>
      <c r="C19" s="58">
        <f>VLOOKUP($A19,'S0 remplacer avec S44'!$C:$BQ,39,0)</f>
        <v>140</v>
      </c>
      <c r="D19" s="58">
        <f>VLOOKUP($A19,'S0 remplacer avec S44'!$C:$BQ,40,0)</f>
        <v>195</v>
      </c>
      <c r="E19" s="58">
        <f>VLOOKUP($A19,'S0 remplacer avec S44'!$C:$BQ,22,0)</f>
        <v>2354.70352</v>
      </c>
      <c r="F19" s="66">
        <f>VLOOKUP($A19,'S0 remplacer avec S44'!$C:$BQ,29,0)</f>
        <v>119</v>
      </c>
      <c r="G19" s="66">
        <f>VLOOKUP($A19,'S0 remplacer avec S44'!$C:$BQ,30,0)</f>
        <v>614</v>
      </c>
      <c r="H19" s="66">
        <f>VLOOKUP($A19,'S0 remplacer avec S44'!$C:$BQ,52,0)</f>
        <v>155.4</v>
      </c>
      <c r="I19" s="66">
        <f>VLOOKUP($A19,'S0 remplacer avec S44'!$C:$BQ,59,0)</f>
        <v>0</v>
      </c>
      <c r="J19" s="66">
        <f>VLOOKUP($A19,'S0 remplacer avec S44'!$C:$BQ,60,0)</f>
        <v>11</v>
      </c>
      <c r="K19" s="58">
        <f>VLOOKUP($A19,'S45'!$C:$BQ,32,0)</f>
        <v>139.5</v>
      </c>
      <c r="L19" s="58">
        <f>VLOOKUP($A19,'S45'!$C:$BQ,39,0)</f>
        <v>133</v>
      </c>
      <c r="M19" s="58">
        <f>VLOOKUP($A19,'S45'!$C:$BQ,40,0)</f>
        <v>187</v>
      </c>
      <c r="N19" s="58">
        <f>VLOOKUP($A19,'S45'!$C:$BQ,22,0)</f>
        <v>2468.6036399999998</v>
      </c>
      <c r="O19" s="66">
        <f>VLOOKUP($A19,'S45'!$C:$BQ,29,0)</f>
        <v>6</v>
      </c>
      <c r="P19" s="66">
        <f>VLOOKUP($A19,'S45'!$C:$BQ,30,0)</f>
        <v>500</v>
      </c>
      <c r="Q19" s="66">
        <f>VLOOKUP($A19,'S45'!$C:$BQ,52,0)</f>
        <v>157.4</v>
      </c>
      <c r="R19" s="66">
        <f>VLOOKUP($A19,'S45'!$C:$BQ,59,0)</f>
        <v>0</v>
      </c>
      <c r="S19" s="66">
        <f>VLOOKUP($A19,'S45'!$C:$BQ,60,0)</f>
        <v>9</v>
      </c>
      <c r="T19" s="58">
        <f>VLOOKUP($A19,'S46'!$C:$BQ,32,0)</f>
        <v>139</v>
      </c>
      <c r="U19" s="58">
        <f>VLOOKUP($A19,'S46'!$C:$BQ,39,0)</f>
        <v>133</v>
      </c>
      <c r="V19" s="58">
        <f>VLOOKUP($A19,'S46'!$C:$BQ,40,0)</f>
        <v>188</v>
      </c>
      <c r="W19" s="58">
        <f>VLOOKUP($A19,'S46'!$C:$BQ,22,0)</f>
        <v>2484.3437899999999</v>
      </c>
      <c r="X19" s="66">
        <f>VLOOKUP($A19,'S46'!$C:$BQ,29,0)</f>
        <v>0</v>
      </c>
      <c r="Y19" s="66">
        <f>VLOOKUP($A19,'S46'!$C:$BQ,30,0)</f>
        <v>485</v>
      </c>
      <c r="Z19" s="66">
        <f>VLOOKUP($A19,'S46'!$C:$BQ,52,0)</f>
        <v>158.4</v>
      </c>
      <c r="AA19" s="66">
        <f>VLOOKUP($A19,'S46'!$C:$BQ,59,0)</f>
        <v>0</v>
      </c>
      <c r="AB19" s="66">
        <f>VLOOKUP($A19,'S46'!$C:$BQ,60,0)</f>
        <v>8</v>
      </c>
      <c r="AC19" s="58">
        <f>VLOOKUP($A19,'S47'!$C:$BQ,32,0)</f>
        <v>142</v>
      </c>
      <c r="AD19" s="58">
        <f>VLOOKUP($A19,'S47'!$C:$BQ,39,0)</f>
        <v>130</v>
      </c>
      <c r="AE19" s="58">
        <f>VLOOKUP($A19,'S47'!$C:$BQ,40,0)</f>
        <v>185</v>
      </c>
      <c r="AF19" s="58">
        <f>VLOOKUP($A19,'S47'!$C:$BQ,22,0)</f>
        <v>2492.23918</v>
      </c>
      <c r="AG19" s="66">
        <f>VLOOKUP($A19,'S47'!$C:$BQ,29,0)</f>
        <v>0</v>
      </c>
      <c r="AH19" s="66">
        <f>VLOOKUP($A19,'S47'!$C:$BQ,30,0)</f>
        <v>477</v>
      </c>
      <c r="AI19" s="66">
        <f>VLOOKUP($A19,'S47'!$C:$BQ,52,0)</f>
        <v>166.4</v>
      </c>
      <c r="AJ19" s="66">
        <f>VLOOKUP($A19,'S47'!$C:$BQ,59,0)</f>
        <v>0</v>
      </c>
      <c r="AK19" s="66">
        <f>VLOOKUP($A19,'S47'!$C:$BQ,60,0)</f>
        <v>0</v>
      </c>
      <c r="AL19" s="58" t="e">
        <f>VLOOKUP($A19,'S48'!$C:$BQ,32,0)</f>
        <v>#N/A</v>
      </c>
      <c r="AM19" s="58" t="e">
        <f>VLOOKUP($A19,'S48'!$C:$BQ,39,0)</f>
        <v>#N/A</v>
      </c>
      <c r="AN19" s="58" t="e">
        <f>VLOOKUP($A19,'S48'!$C:$BQ,40,0)</f>
        <v>#N/A</v>
      </c>
      <c r="AO19" s="58" t="e">
        <f>VLOOKUP($A19,'S48'!$C:$BQ,22,0)</f>
        <v>#N/A</v>
      </c>
      <c r="AP19" s="66" t="e">
        <f>VLOOKUP($A19,'S48'!$C:$BQ,29,0)</f>
        <v>#N/A</v>
      </c>
      <c r="AQ19" s="66" t="e">
        <f>VLOOKUP($A19,'S48'!$C:$BQ,30,0)</f>
        <v>#N/A</v>
      </c>
      <c r="AR19" s="66" t="e">
        <f>VLOOKUP($A19,'S48'!$C:$BQ,52,0)</f>
        <v>#N/A</v>
      </c>
      <c r="AS19" s="66" t="e">
        <f>VLOOKUP($A19,'S48'!$C:$BQ,59,0)</f>
        <v>#N/A</v>
      </c>
      <c r="AT19" s="66" t="e">
        <f>VLOOKUP($A19,'S48'!$C:$BQ,60,0)</f>
        <v>#N/A</v>
      </c>
      <c r="AU19" s="58" t="e">
        <f>VLOOKUP($A19,'S49'!$C:$BQ,32,0)</f>
        <v>#N/A</v>
      </c>
      <c r="AV19" s="58" t="e">
        <f>VLOOKUP($A19,'S49'!$C:$BQ,39,0)</f>
        <v>#N/A</v>
      </c>
      <c r="AW19" s="58" t="e">
        <f>VLOOKUP($A19,'S49'!$C:$BQ,40,0)</f>
        <v>#N/A</v>
      </c>
      <c r="AX19" s="58" t="e">
        <f>VLOOKUP($A19,'S49'!$C:$BQ,22,0)</f>
        <v>#N/A</v>
      </c>
      <c r="AY19" s="66" t="e">
        <f>VLOOKUP($A19,'S49'!$C:$BQ,29,0)</f>
        <v>#N/A</v>
      </c>
      <c r="AZ19" s="66" t="e">
        <f>VLOOKUP($A19,'S49'!$C:$BQ,30,0)</f>
        <v>#N/A</v>
      </c>
      <c r="BA19" s="66" t="e">
        <f>VLOOKUP($A19,'S49'!$C:$BQ,52,0)</f>
        <v>#N/A</v>
      </c>
      <c r="BB19" s="66" t="e">
        <f>VLOOKUP($A19,'S49'!$C:$BQ,59,0)</f>
        <v>#N/A</v>
      </c>
      <c r="BC19" s="66" t="e">
        <f>VLOOKUP($A19,'S49'!$C:$BQ,60,0)</f>
        <v>#N/A</v>
      </c>
      <c r="BD19" s="58" t="e">
        <f>VLOOKUP($A19,'S50'!$C:$BQ,32,0)</f>
        <v>#N/A</v>
      </c>
      <c r="BE19" s="58" t="e">
        <f>VLOOKUP($A19,'S50'!$C:$BQ,39,0)</f>
        <v>#N/A</v>
      </c>
      <c r="BF19" s="58" t="e">
        <f>VLOOKUP($A19,'S50'!$C:$BQ,40,0)</f>
        <v>#N/A</v>
      </c>
      <c r="BG19" s="58" t="e">
        <f>VLOOKUP($A19,'S50'!$C:$BQ,22,0)</f>
        <v>#N/A</v>
      </c>
      <c r="BH19" s="66" t="e">
        <f>VLOOKUP($A19,'S50'!$C:$BQ,29,0)</f>
        <v>#N/A</v>
      </c>
      <c r="BI19" s="66" t="e">
        <f>VLOOKUP($A19,'S50'!$C:$BQ,30,0)</f>
        <v>#N/A</v>
      </c>
      <c r="BJ19" s="66" t="e">
        <f>VLOOKUP($A19,'S50'!$C:$BQ,52,0)</f>
        <v>#N/A</v>
      </c>
      <c r="BK19" s="66" t="e">
        <f>VLOOKUP($A19,'S50'!$C:$BQ,59,0)</f>
        <v>#N/A</v>
      </c>
      <c r="BL19" s="66" t="e">
        <f>VLOOKUP($A19,'S50'!$C:$BQ,60,0)</f>
        <v>#N/A</v>
      </c>
    </row>
    <row r="20" spans="1:64" x14ac:dyDescent="0.2">
      <c r="A20" s="57" t="s">
        <v>73</v>
      </c>
      <c r="B20" s="58">
        <f>VLOOKUP($A20,'S0 remplacer avec S44'!$C:$BQ,32,0)</f>
        <v>89.5</v>
      </c>
      <c r="C20" s="58">
        <f>VLOOKUP($A20,'S0 remplacer avec S44'!$C:$BQ,39,0)</f>
        <v>193</v>
      </c>
      <c r="D20" s="58">
        <f>VLOOKUP($A20,'S0 remplacer avec S44'!$C:$BQ,40,0)</f>
        <v>249</v>
      </c>
      <c r="E20" s="58">
        <f>VLOOKUP($A20,'S0 remplacer avec S44'!$C:$BQ,22,0)</f>
        <v>2264.750035</v>
      </c>
      <c r="F20" s="66">
        <f>VLOOKUP($A20,'S0 remplacer avec S44'!$C:$BQ,29,0)</f>
        <v>301</v>
      </c>
      <c r="G20" s="66">
        <f>VLOOKUP($A20,'S0 remplacer avec S44'!$C:$BQ,30,0)</f>
        <v>814</v>
      </c>
      <c r="H20" s="66">
        <f>VLOOKUP($A20,'S0 remplacer avec S44'!$C:$BQ,52,0)</f>
        <v>116.6</v>
      </c>
      <c r="I20" s="66">
        <f>VLOOKUP($A20,'S0 remplacer avec S44'!$C:$BQ,59,0)</f>
        <v>27</v>
      </c>
      <c r="J20" s="66">
        <f>VLOOKUP($A20,'S0 remplacer avec S44'!$C:$BQ,60,0)</f>
        <v>56</v>
      </c>
      <c r="K20" s="58">
        <f>VLOOKUP($A20,'S45'!$C:$BQ,32,0)</f>
        <v>92.5</v>
      </c>
      <c r="L20" s="58">
        <f>VLOOKUP($A20,'S45'!$C:$BQ,39,0)</f>
        <v>190</v>
      </c>
      <c r="M20" s="58">
        <f>VLOOKUP($A20,'S45'!$C:$BQ,40,0)</f>
        <v>246</v>
      </c>
      <c r="N20" s="58">
        <f>VLOOKUP($A20,'S45'!$C:$BQ,22,0)</f>
        <v>2268.1726950000002</v>
      </c>
      <c r="O20" s="66">
        <f>VLOOKUP($A20,'S45'!$C:$BQ,29,0)</f>
        <v>297</v>
      </c>
      <c r="P20" s="66">
        <f>VLOOKUP($A20,'S45'!$C:$BQ,30,0)</f>
        <v>810</v>
      </c>
      <c r="Q20" s="66">
        <f>VLOOKUP($A20,'S45'!$C:$BQ,52,0)</f>
        <v>120.6</v>
      </c>
      <c r="R20" s="66">
        <f>VLOOKUP($A20,'S45'!$C:$BQ,59,0)</f>
        <v>23</v>
      </c>
      <c r="S20" s="66">
        <f>VLOOKUP($A20,'S45'!$C:$BQ,60,0)</f>
        <v>52</v>
      </c>
      <c r="T20" s="58">
        <f>VLOOKUP($A20,'S46'!$C:$BQ,32,0)</f>
        <v>92.5</v>
      </c>
      <c r="U20" s="58">
        <f>VLOOKUP($A20,'S46'!$C:$BQ,39,0)</f>
        <v>190</v>
      </c>
      <c r="V20" s="58">
        <f>VLOOKUP($A20,'S46'!$C:$BQ,40,0)</f>
        <v>246</v>
      </c>
      <c r="W20" s="58">
        <f>VLOOKUP($A20,'S46'!$C:$BQ,22,0)</f>
        <v>2271.9702550000002</v>
      </c>
      <c r="X20" s="66">
        <f>VLOOKUP($A20,'S46'!$C:$BQ,29,0)</f>
        <v>293</v>
      </c>
      <c r="Y20" s="66">
        <f>VLOOKUP($A20,'S46'!$C:$BQ,30,0)</f>
        <v>806</v>
      </c>
      <c r="Z20" s="66">
        <f>VLOOKUP($A20,'S46'!$C:$BQ,52,0)</f>
        <v>121.6</v>
      </c>
      <c r="AA20" s="66">
        <f>VLOOKUP($A20,'S46'!$C:$BQ,59,0)</f>
        <v>22</v>
      </c>
      <c r="AB20" s="66">
        <f>VLOOKUP($A20,'S46'!$C:$BQ,60,0)</f>
        <v>51</v>
      </c>
      <c r="AC20" s="58">
        <f>VLOOKUP($A20,'S47'!$C:$BQ,32,0)</f>
        <v>91.5</v>
      </c>
      <c r="AD20" s="58">
        <f>VLOOKUP($A20,'S47'!$C:$BQ,39,0)</f>
        <v>191</v>
      </c>
      <c r="AE20" s="58">
        <f>VLOOKUP($A20,'S47'!$C:$BQ,40,0)</f>
        <v>247</v>
      </c>
      <c r="AF20" s="58">
        <f>VLOOKUP($A20,'S47'!$C:$BQ,22,0)</f>
        <v>2365.2550449999999</v>
      </c>
      <c r="AG20" s="66">
        <f>VLOOKUP($A20,'S47'!$C:$BQ,29,0)</f>
        <v>200</v>
      </c>
      <c r="AH20" s="66">
        <f>VLOOKUP($A20,'S47'!$C:$BQ,30,0)</f>
        <v>713</v>
      </c>
      <c r="AI20" s="66">
        <f>VLOOKUP($A20,'S47'!$C:$BQ,52,0)</f>
        <v>124.6</v>
      </c>
      <c r="AJ20" s="66">
        <f>VLOOKUP($A20,'S47'!$C:$BQ,59,0)</f>
        <v>19</v>
      </c>
      <c r="AK20" s="66">
        <f>VLOOKUP($A20,'S47'!$C:$BQ,60,0)</f>
        <v>48</v>
      </c>
      <c r="AL20" s="58" t="e">
        <f>VLOOKUP($A20,'S48'!$C:$BQ,32,0)</f>
        <v>#N/A</v>
      </c>
      <c r="AM20" s="58" t="e">
        <f>VLOOKUP($A20,'S48'!$C:$BQ,39,0)</f>
        <v>#N/A</v>
      </c>
      <c r="AN20" s="58" t="e">
        <f>VLOOKUP($A20,'S48'!$C:$BQ,40,0)</f>
        <v>#N/A</v>
      </c>
      <c r="AO20" s="58" t="e">
        <f>VLOOKUP($A20,'S48'!$C:$BQ,22,0)</f>
        <v>#N/A</v>
      </c>
      <c r="AP20" s="66" t="e">
        <f>VLOOKUP($A20,'S48'!$C:$BQ,29,0)</f>
        <v>#N/A</v>
      </c>
      <c r="AQ20" s="66" t="e">
        <f>VLOOKUP($A20,'S48'!$C:$BQ,30,0)</f>
        <v>#N/A</v>
      </c>
      <c r="AR20" s="66" t="e">
        <f>VLOOKUP($A20,'S48'!$C:$BQ,52,0)</f>
        <v>#N/A</v>
      </c>
      <c r="AS20" s="66" t="e">
        <f>VLOOKUP($A20,'S48'!$C:$BQ,59,0)</f>
        <v>#N/A</v>
      </c>
      <c r="AT20" s="66" t="e">
        <f>VLOOKUP($A20,'S48'!$C:$BQ,60,0)</f>
        <v>#N/A</v>
      </c>
      <c r="AU20" s="58" t="e">
        <f>VLOOKUP($A20,'S49'!$C:$BQ,32,0)</f>
        <v>#N/A</v>
      </c>
      <c r="AV20" s="58" t="e">
        <f>VLOOKUP($A20,'S49'!$C:$BQ,39,0)</f>
        <v>#N/A</v>
      </c>
      <c r="AW20" s="58" t="e">
        <f>VLOOKUP($A20,'S49'!$C:$BQ,40,0)</f>
        <v>#N/A</v>
      </c>
      <c r="AX20" s="58" t="e">
        <f>VLOOKUP($A20,'S49'!$C:$BQ,22,0)</f>
        <v>#N/A</v>
      </c>
      <c r="AY20" s="66" t="e">
        <f>VLOOKUP($A20,'S49'!$C:$BQ,29,0)</f>
        <v>#N/A</v>
      </c>
      <c r="AZ20" s="66" t="e">
        <f>VLOOKUP($A20,'S49'!$C:$BQ,30,0)</f>
        <v>#N/A</v>
      </c>
      <c r="BA20" s="66" t="e">
        <f>VLOOKUP($A20,'S49'!$C:$BQ,52,0)</f>
        <v>#N/A</v>
      </c>
      <c r="BB20" s="66" t="e">
        <f>VLOOKUP($A20,'S49'!$C:$BQ,59,0)</f>
        <v>#N/A</v>
      </c>
      <c r="BC20" s="66" t="e">
        <f>VLOOKUP($A20,'S49'!$C:$BQ,60,0)</f>
        <v>#N/A</v>
      </c>
      <c r="BD20" s="58" t="e">
        <f>VLOOKUP($A20,'S50'!$C:$BQ,32,0)</f>
        <v>#N/A</v>
      </c>
      <c r="BE20" s="58" t="e">
        <f>VLOOKUP($A20,'S50'!$C:$BQ,39,0)</f>
        <v>#N/A</v>
      </c>
      <c r="BF20" s="58" t="e">
        <f>VLOOKUP($A20,'S50'!$C:$BQ,40,0)</f>
        <v>#N/A</v>
      </c>
      <c r="BG20" s="58" t="e">
        <f>VLOOKUP($A20,'S50'!$C:$BQ,22,0)</f>
        <v>#N/A</v>
      </c>
      <c r="BH20" s="66" t="e">
        <f>VLOOKUP($A20,'S50'!$C:$BQ,29,0)</f>
        <v>#N/A</v>
      </c>
      <c r="BI20" s="66" t="e">
        <f>VLOOKUP($A20,'S50'!$C:$BQ,30,0)</f>
        <v>#N/A</v>
      </c>
      <c r="BJ20" s="66" t="e">
        <f>VLOOKUP($A20,'S50'!$C:$BQ,52,0)</f>
        <v>#N/A</v>
      </c>
      <c r="BK20" s="66" t="e">
        <f>VLOOKUP($A20,'S50'!$C:$BQ,59,0)</f>
        <v>#N/A</v>
      </c>
      <c r="BL20" s="66" t="e">
        <f>VLOOKUP($A20,'S50'!$C:$BQ,60,0)</f>
        <v>#N/A</v>
      </c>
    </row>
    <row r="21" spans="1:64" x14ac:dyDescent="0.2">
      <c r="A21" s="57" t="s">
        <v>74</v>
      </c>
      <c r="B21" s="58">
        <f>VLOOKUP($A21,'S0 remplacer avec S44'!$C:$BQ,32,0)</f>
        <v>242.3</v>
      </c>
      <c r="C21" s="58">
        <f>VLOOKUP($A21,'S0 remplacer avec S44'!$C:$BQ,39,0)</f>
        <v>88</v>
      </c>
      <c r="D21" s="58">
        <f>VLOOKUP($A21,'S0 remplacer avec S44'!$C:$BQ,40,0)</f>
        <v>154</v>
      </c>
      <c r="E21" s="58">
        <f>VLOOKUP($A21,'S0 remplacer avec S44'!$C:$BQ,22,0)</f>
        <v>3206.1661450000001</v>
      </c>
      <c r="F21" s="66">
        <f>VLOOKUP($A21,'S0 remplacer avec S44'!$C:$BQ,29,0)</f>
        <v>0</v>
      </c>
      <c r="G21" s="66">
        <f>VLOOKUP($A21,'S0 remplacer avec S44'!$C:$BQ,30,0)</f>
        <v>398</v>
      </c>
      <c r="H21" s="66">
        <f>VLOOKUP($A21,'S0 remplacer avec S44'!$C:$BQ,52,0)</f>
        <v>172.6</v>
      </c>
      <c r="I21" s="66">
        <f>VLOOKUP($A21,'S0 remplacer avec S44'!$C:$BQ,59,0)</f>
        <v>0</v>
      </c>
      <c r="J21" s="66">
        <f>VLOOKUP($A21,'S0 remplacer avec S44'!$C:$BQ,60,0)</f>
        <v>29</v>
      </c>
      <c r="K21" s="58">
        <f>VLOOKUP($A21,'S45'!$C:$BQ,32,0)</f>
        <v>254.3</v>
      </c>
      <c r="L21" s="58">
        <f>VLOOKUP($A21,'S45'!$C:$BQ,39,0)</f>
        <v>76</v>
      </c>
      <c r="M21" s="58">
        <f>VLOOKUP($A21,'S45'!$C:$BQ,40,0)</f>
        <v>142</v>
      </c>
      <c r="N21" s="58">
        <f>VLOOKUP($A21,'S45'!$C:$BQ,22,0)</f>
        <v>3254.819735</v>
      </c>
      <c r="O21" s="66">
        <f>VLOOKUP($A21,'S45'!$C:$BQ,29,0)</f>
        <v>0</v>
      </c>
      <c r="P21" s="66">
        <f>VLOOKUP($A21,'S45'!$C:$BQ,30,0)</f>
        <v>349</v>
      </c>
      <c r="Q21" s="66">
        <f>VLOOKUP($A21,'S45'!$C:$BQ,52,0)</f>
        <v>178.6</v>
      </c>
      <c r="R21" s="66">
        <f>VLOOKUP($A21,'S45'!$C:$BQ,59,0)</f>
        <v>0</v>
      </c>
      <c r="S21" s="66">
        <f>VLOOKUP($A21,'S45'!$C:$BQ,60,0)</f>
        <v>23</v>
      </c>
      <c r="T21" s="58">
        <f>VLOOKUP($A21,'S46'!$C:$BQ,32,0)</f>
        <v>254.3</v>
      </c>
      <c r="U21" s="58">
        <f>VLOOKUP($A21,'S46'!$C:$BQ,39,0)</f>
        <v>76</v>
      </c>
      <c r="V21" s="58">
        <f>VLOOKUP($A21,'S46'!$C:$BQ,40,0)</f>
        <v>142</v>
      </c>
      <c r="W21" s="58">
        <f>VLOOKUP($A21,'S46'!$C:$BQ,22,0)</f>
        <v>3258.909635</v>
      </c>
      <c r="X21" s="66">
        <f>VLOOKUP($A21,'S46'!$C:$BQ,29,0)</f>
        <v>0</v>
      </c>
      <c r="Y21" s="66">
        <f>VLOOKUP($A21,'S46'!$C:$BQ,30,0)</f>
        <v>345</v>
      </c>
      <c r="Z21" s="66">
        <f>VLOOKUP($A21,'S46'!$C:$BQ,52,0)</f>
        <v>180.6</v>
      </c>
      <c r="AA21" s="66">
        <f>VLOOKUP($A21,'S46'!$C:$BQ,59,0)</f>
        <v>0</v>
      </c>
      <c r="AB21" s="66">
        <f>VLOOKUP($A21,'S46'!$C:$BQ,60,0)</f>
        <v>21</v>
      </c>
      <c r="AC21" s="58">
        <f>VLOOKUP($A21,'S47'!$C:$BQ,32,0)</f>
        <v>266.3</v>
      </c>
      <c r="AD21" s="58">
        <f>VLOOKUP($A21,'S47'!$C:$BQ,39,0)</f>
        <v>64</v>
      </c>
      <c r="AE21" s="58">
        <f>VLOOKUP($A21,'S47'!$C:$BQ,40,0)</f>
        <v>130</v>
      </c>
      <c r="AF21" s="58">
        <f>VLOOKUP($A21,'S47'!$C:$BQ,22,0)</f>
        <v>3297.3206850000001</v>
      </c>
      <c r="AG21" s="66">
        <f>VLOOKUP($A21,'S47'!$C:$BQ,29,0)</f>
        <v>0</v>
      </c>
      <c r="AH21" s="66">
        <f>VLOOKUP($A21,'S47'!$C:$BQ,30,0)</f>
        <v>307</v>
      </c>
      <c r="AI21" s="66">
        <f>VLOOKUP($A21,'S47'!$C:$BQ,52,0)</f>
        <v>185.6</v>
      </c>
      <c r="AJ21" s="66">
        <f>VLOOKUP($A21,'S47'!$C:$BQ,59,0)</f>
        <v>0</v>
      </c>
      <c r="AK21" s="66">
        <f>VLOOKUP($A21,'S47'!$C:$BQ,60,0)</f>
        <v>16</v>
      </c>
      <c r="AL21" s="58" t="e">
        <f>VLOOKUP($A21,'S48'!$C:$BQ,32,0)</f>
        <v>#N/A</v>
      </c>
      <c r="AM21" s="58" t="e">
        <f>VLOOKUP($A21,'S48'!$C:$BQ,39,0)</f>
        <v>#N/A</v>
      </c>
      <c r="AN21" s="58" t="e">
        <f>VLOOKUP($A21,'S48'!$C:$BQ,40,0)</f>
        <v>#N/A</v>
      </c>
      <c r="AO21" s="58" t="e">
        <f>VLOOKUP($A21,'S48'!$C:$BQ,22,0)</f>
        <v>#N/A</v>
      </c>
      <c r="AP21" s="66" t="e">
        <f>VLOOKUP($A21,'S48'!$C:$BQ,29,0)</f>
        <v>#N/A</v>
      </c>
      <c r="AQ21" s="66" t="e">
        <f>VLOOKUP($A21,'S48'!$C:$BQ,30,0)</f>
        <v>#N/A</v>
      </c>
      <c r="AR21" s="66" t="e">
        <f>VLOOKUP($A21,'S48'!$C:$BQ,52,0)</f>
        <v>#N/A</v>
      </c>
      <c r="AS21" s="66" t="e">
        <f>VLOOKUP($A21,'S48'!$C:$BQ,59,0)</f>
        <v>#N/A</v>
      </c>
      <c r="AT21" s="66" t="e">
        <f>VLOOKUP($A21,'S48'!$C:$BQ,60,0)</f>
        <v>#N/A</v>
      </c>
      <c r="AU21" s="58" t="e">
        <f>VLOOKUP($A21,'S49'!$C:$BQ,32,0)</f>
        <v>#N/A</v>
      </c>
      <c r="AV21" s="58" t="e">
        <f>VLOOKUP($A21,'S49'!$C:$BQ,39,0)</f>
        <v>#N/A</v>
      </c>
      <c r="AW21" s="58" t="e">
        <f>VLOOKUP($A21,'S49'!$C:$BQ,40,0)</f>
        <v>#N/A</v>
      </c>
      <c r="AX21" s="58" t="e">
        <f>VLOOKUP($A21,'S49'!$C:$BQ,22,0)</f>
        <v>#N/A</v>
      </c>
      <c r="AY21" s="66" t="e">
        <f>VLOOKUP($A21,'S49'!$C:$BQ,29,0)</f>
        <v>#N/A</v>
      </c>
      <c r="AZ21" s="66" t="e">
        <f>VLOOKUP($A21,'S49'!$C:$BQ,30,0)</f>
        <v>#N/A</v>
      </c>
      <c r="BA21" s="66" t="e">
        <f>VLOOKUP($A21,'S49'!$C:$BQ,52,0)</f>
        <v>#N/A</v>
      </c>
      <c r="BB21" s="66" t="e">
        <f>VLOOKUP($A21,'S49'!$C:$BQ,59,0)</f>
        <v>#N/A</v>
      </c>
      <c r="BC21" s="66" t="e">
        <f>VLOOKUP($A21,'S49'!$C:$BQ,60,0)</f>
        <v>#N/A</v>
      </c>
      <c r="BD21" s="58" t="e">
        <f>VLOOKUP($A21,'S50'!$C:$BQ,32,0)</f>
        <v>#N/A</v>
      </c>
      <c r="BE21" s="58" t="e">
        <f>VLOOKUP($A21,'S50'!$C:$BQ,39,0)</f>
        <v>#N/A</v>
      </c>
      <c r="BF21" s="58" t="e">
        <f>VLOOKUP($A21,'S50'!$C:$BQ,40,0)</f>
        <v>#N/A</v>
      </c>
      <c r="BG21" s="58" t="e">
        <f>VLOOKUP($A21,'S50'!$C:$BQ,22,0)</f>
        <v>#N/A</v>
      </c>
      <c r="BH21" s="66" t="e">
        <f>VLOOKUP($A21,'S50'!$C:$BQ,29,0)</f>
        <v>#N/A</v>
      </c>
      <c r="BI21" s="66" t="e">
        <f>VLOOKUP($A21,'S50'!$C:$BQ,30,0)</f>
        <v>#N/A</v>
      </c>
      <c r="BJ21" s="66" t="e">
        <f>VLOOKUP($A21,'S50'!$C:$BQ,52,0)</f>
        <v>#N/A</v>
      </c>
      <c r="BK21" s="66" t="e">
        <f>VLOOKUP($A21,'S50'!$C:$BQ,59,0)</f>
        <v>#N/A</v>
      </c>
      <c r="BL21" s="66" t="e">
        <f>VLOOKUP($A21,'S50'!$C:$BQ,60,0)</f>
        <v>#N/A</v>
      </c>
    </row>
    <row r="22" spans="1:64" x14ac:dyDescent="0.2">
      <c r="A22" s="57" t="s">
        <v>75</v>
      </c>
      <c r="B22" s="58">
        <f>VLOOKUP($A22,'S0 remplacer avec S44'!$C:$BQ,32,0)</f>
        <v>128.35</v>
      </c>
      <c r="C22" s="58">
        <f>VLOOKUP($A22,'S0 remplacer avec S44'!$C:$BQ,39,0)</f>
        <v>138</v>
      </c>
      <c r="D22" s="58">
        <f>VLOOKUP($A22,'S0 remplacer avec S44'!$C:$BQ,40,0)</f>
        <v>191</v>
      </c>
      <c r="E22" s="58">
        <f>VLOOKUP($A22,'S0 remplacer avec S44'!$C:$BQ,22,0)</f>
        <v>1793.54215</v>
      </c>
      <c r="F22" s="66">
        <f>VLOOKUP($A22,'S0 remplacer avec S44'!$C:$BQ,29,0)</f>
        <v>626</v>
      </c>
      <c r="G22" s="66">
        <f>VLOOKUP($A22,'S0 remplacer avec S44'!$C:$BQ,30,0)</f>
        <v>1110</v>
      </c>
      <c r="H22" s="66">
        <f>VLOOKUP($A22,'S0 remplacer avec S44'!$C:$BQ,52,0)</f>
        <v>156.4</v>
      </c>
      <c r="I22" s="66">
        <f>VLOOKUP($A22,'S0 remplacer avec S44'!$C:$BQ,59,0)</f>
        <v>0</v>
      </c>
      <c r="J22" s="66">
        <f>VLOOKUP($A22,'S0 remplacer avec S44'!$C:$BQ,60,0)</f>
        <v>6</v>
      </c>
      <c r="K22" s="58">
        <f>VLOOKUP($A22,'S45'!$C:$BQ,32,0)</f>
        <v>133.35</v>
      </c>
      <c r="L22" s="58">
        <f>VLOOKUP($A22,'S45'!$C:$BQ,39,0)</f>
        <v>133</v>
      </c>
      <c r="M22" s="58">
        <f>VLOOKUP($A22,'S45'!$C:$BQ,40,0)</f>
        <v>186</v>
      </c>
      <c r="N22" s="58">
        <f>VLOOKUP($A22,'S45'!$C:$BQ,22,0)</f>
        <v>1799.6705300000001</v>
      </c>
      <c r="O22" s="66">
        <f>VLOOKUP($A22,'S45'!$C:$BQ,29,0)</f>
        <v>620</v>
      </c>
      <c r="P22" s="66">
        <f>VLOOKUP($A22,'S45'!$C:$BQ,30,0)</f>
        <v>1104</v>
      </c>
      <c r="Q22" s="66">
        <f>VLOOKUP($A22,'S45'!$C:$BQ,52,0)</f>
        <v>160.4</v>
      </c>
      <c r="R22" s="66">
        <f>VLOOKUP($A22,'S45'!$C:$BQ,59,0)</f>
        <v>0</v>
      </c>
      <c r="S22" s="66">
        <f>VLOOKUP($A22,'S45'!$C:$BQ,60,0)</f>
        <v>2</v>
      </c>
      <c r="T22" s="58">
        <f>VLOOKUP($A22,'S46'!$C:$BQ,32,0)</f>
        <v>133.85</v>
      </c>
      <c r="U22" s="58">
        <f>VLOOKUP($A22,'S46'!$C:$BQ,39,0)</f>
        <v>133</v>
      </c>
      <c r="V22" s="58">
        <f>VLOOKUP($A22,'S46'!$C:$BQ,40,0)</f>
        <v>186</v>
      </c>
      <c r="W22" s="58">
        <f>VLOOKUP($A22,'S46'!$C:$BQ,22,0)</f>
        <v>1774.8702900000001</v>
      </c>
      <c r="X22" s="66">
        <f>VLOOKUP($A22,'S46'!$C:$BQ,29,0)</f>
        <v>645</v>
      </c>
      <c r="Y22" s="66">
        <f>VLOOKUP($A22,'S46'!$C:$BQ,30,0)</f>
        <v>1129</v>
      </c>
      <c r="Z22" s="66">
        <f>VLOOKUP($A22,'S46'!$C:$BQ,52,0)</f>
        <v>162.4</v>
      </c>
      <c r="AA22" s="66">
        <f>VLOOKUP($A22,'S46'!$C:$BQ,59,0)</f>
        <v>0</v>
      </c>
      <c r="AB22" s="66">
        <f>VLOOKUP($A22,'S46'!$C:$BQ,60,0)</f>
        <v>0</v>
      </c>
      <c r="AC22" s="58">
        <f>VLOOKUP($A22,'S47'!$C:$BQ,32,0)</f>
        <v>139.35</v>
      </c>
      <c r="AD22" s="58">
        <f>VLOOKUP($A22,'S47'!$C:$BQ,39,0)</f>
        <v>127</v>
      </c>
      <c r="AE22" s="58">
        <f>VLOOKUP($A22,'S47'!$C:$BQ,40,0)</f>
        <v>180</v>
      </c>
      <c r="AF22" s="58">
        <f>VLOOKUP($A22,'S47'!$C:$BQ,22,0)</f>
        <v>1796.52721</v>
      </c>
      <c r="AG22" s="66">
        <f>VLOOKUP($A22,'S47'!$C:$BQ,29,0)</f>
        <v>623</v>
      </c>
      <c r="AH22" s="66">
        <f>VLOOKUP($A22,'S47'!$C:$BQ,30,0)</f>
        <v>1107</v>
      </c>
      <c r="AI22" s="66">
        <f>VLOOKUP($A22,'S47'!$C:$BQ,52,0)</f>
        <v>163.4</v>
      </c>
      <c r="AJ22" s="66">
        <f>VLOOKUP($A22,'S47'!$C:$BQ,59,0)</f>
        <v>0</v>
      </c>
      <c r="AK22" s="66">
        <f>VLOOKUP($A22,'S47'!$C:$BQ,60,0)</f>
        <v>0</v>
      </c>
      <c r="AL22" s="58" t="e">
        <f>VLOOKUP($A22,'S48'!$C:$BQ,32,0)</f>
        <v>#N/A</v>
      </c>
      <c r="AM22" s="58" t="e">
        <f>VLOOKUP($A22,'S48'!$C:$BQ,39,0)</f>
        <v>#N/A</v>
      </c>
      <c r="AN22" s="58" t="e">
        <f>VLOOKUP($A22,'S48'!$C:$BQ,40,0)</f>
        <v>#N/A</v>
      </c>
      <c r="AO22" s="58" t="e">
        <f>VLOOKUP($A22,'S48'!$C:$BQ,22,0)</f>
        <v>#N/A</v>
      </c>
      <c r="AP22" s="66" t="e">
        <f>VLOOKUP($A22,'S48'!$C:$BQ,29,0)</f>
        <v>#N/A</v>
      </c>
      <c r="AQ22" s="66" t="e">
        <f>VLOOKUP($A22,'S48'!$C:$BQ,30,0)</f>
        <v>#N/A</v>
      </c>
      <c r="AR22" s="66" t="e">
        <f>VLOOKUP($A22,'S48'!$C:$BQ,52,0)</f>
        <v>#N/A</v>
      </c>
      <c r="AS22" s="66" t="e">
        <f>VLOOKUP($A22,'S48'!$C:$BQ,59,0)</f>
        <v>#N/A</v>
      </c>
      <c r="AT22" s="66" t="e">
        <f>VLOOKUP($A22,'S48'!$C:$BQ,60,0)</f>
        <v>#N/A</v>
      </c>
      <c r="AU22" s="58" t="e">
        <f>VLOOKUP($A22,'S49'!$C:$BQ,32,0)</f>
        <v>#N/A</v>
      </c>
      <c r="AV22" s="58" t="e">
        <f>VLOOKUP($A22,'S49'!$C:$BQ,39,0)</f>
        <v>#N/A</v>
      </c>
      <c r="AW22" s="58" t="e">
        <f>VLOOKUP($A22,'S49'!$C:$BQ,40,0)</f>
        <v>#N/A</v>
      </c>
      <c r="AX22" s="58" t="e">
        <f>VLOOKUP($A22,'S49'!$C:$BQ,22,0)</f>
        <v>#N/A</v>
      </c>
      <c r="AY22" s="66" t="e">
        <f>VLOOKUP($A22,'S49'!$C:$BQ,29,0)</f>
        <v>#N/A</v>
      </c>
      <c r="AZ22" s="66" t="e">
        <f>VLOOKUP($A22,'S49'!$C:$BQ,30,0)</f>
        <v>#N/A</v>
      </c>
      <c r="BA22" s="66" t="e">
        <f>VLOOKUP($A22,'S49'!$C:$BQ,52,0)</f>
        <v>#N/A</v>
      </c>
      <c r="BB22" s="66" t="e">
        <f>VLOOKUP($A22,'S49'!$C:$BQ,59,0)</f>
        <v>#N/A</v>
      </c>
      <c r="BC22" s="66" t="e">
        <f>VLOOKUP($A22,'S49'!$C:$BQ,60,0)</f>
        <v>#N/A</v>
      </c>
      <c r="BD22" s="58" t="e">
        <f>VLOOKUP($A22,'S50'!$C:$BQ,32,0)</f>
        <v>#N/A</v>
      </c>
      <c r="BE22" s="58" t="e">
        <f>VLOOKUP($A22,'S50'!$C:$BQ,39,0)</f>
        <v>#N/A</v>
      </c>
      <c r="BF22" s="58" t="e">
        <f>VLOOKUP($A22,'S50'!$C:$BQ,40,0)</f>
        <v>#N/A</v>
      </c>
      <c r="BG22" s="58" t="e">
        <f>VLOOKUP($A22,'S50'!$C:$BQ,22,0)</f>
        <v>#N/A</v>
      </c>
      <c r="BH22" s="66" t="e">
        <f>VLOOKUP($A22,'S50'!$C:$BQ,29,0)</f>
        <v>#N/A</v>
      </c>
      <c r="BI22" s="66" t="e">
        <f>VLOOKUP($A22,'S50'!$C:$BQ,30,0)</f>
        <v>#N/A</v>
      </c>
      <c r="BJ22" s="66" t="e">
        <f>VLOOKUP($A22,'S50'!$C:$BQ,52,0)</f>
        <v>#N/A</v>
      </c>
      <c r="BK22" s="66" t="e">
        <f>VLOOKUP($A22,'S50'!$C:$BQ,59,0)</f>
        <v>#N/A</v>
      </c>
      <c r="BL22" s="66" t="e">
        <f>VLOOKUP($A22,'S50'!$C:$BQ,60,0)</f>
        <v>#N/A</v>
      </c>
    </row>
    <row r="23" spans="1:64" x14ac:dyDescent="0.2">
      <c r="A23" s="57" t="s">
        <v>76</v>
      </c>
      <c r="B23" s="58">
        <f>VLOOKUP($A23,'S0 remplacer avec S44'!$C:$BQ,32,0)</f>
        <v>159.9</v>
      </c>
      <c r="C23" s="58">
        <f>VLOOKUP($A23,'S0 remplacer avec S44'!$C:$BQ,39,0)</f>
        <v>45</v>
      </c>
      <c r="D23" s="58">
        <f>VLOOKUP($A23,'S0 remplacer avec S44'!$C:$BQ,40,0)</f>
        <v>86</v>
      </c>
      <c r="E23" s="58">
        <f>VLOOKUP($A23,'S0 remplacer avec S44'!$C:$BQ,22,0)</f>
        <v>1708.3829900000001</v>
      </c>
      <c r="F23" s="66">
        <f>VLOOKUP($A23,'S0 remplacer avec S44'!$C:$BQ,29,0)</f>
        <v>152</v>
      </c>
      <c r="G23" s="66">
        <f>VLOOKUP($A23,'S0 remplacer avec S44'!$C:$BQ,30,0)</f>
        <v>524</v>
      </c>
      <c r="H23" s="66">
        <f>VLOOKUP($A23,'S0 remplacer avec S44'!$C:$BQ,52,0)</f>
        <v>143.6</v>
      </c>
      <c r="I23" s="66">
        <f>VLOOKUP($A23,'S0 remplacer avec S44'!$C:$BQ,59,0)</f>
        <v>0</v>
      </c>
      <c r="J23" s="66">
        <f>VLOOKUP($A23,'S0 remplacer avec S44'!$C:$BQ,60,0)</f>
        <v>0</v>
      </c>
      <c r="K23" s="58">
        <f>VLOOKUP($A23,'S45'!$C:$BQ,32,0)</f>
        <v>162.4</v>
      </c>
      <c r="L23" s="58">
        <f>VLOOKUP($A23,'S45'!$C:$BQ,39,0)</f>
        <v>43</v>
      </c>
      <c r="M23" s="58">
        <f>VLOOKUP($A23,'S45'!$C:$BQ,40,0)</f>
        <v>84</v>
      </c>
      <c r="N23" s="58">
        <f>VLOOKUP($A23,'S45'!$C:$BQ,22,0)</f>
        <v>1718.11742</v>
      </c>
      <c r="O23" s="66">
        <f>VLOOKUP($A23,'S45'!$C:$BQ,29,0)</f>
        <v>142</v>
      </c>
      <c r="P23" s="66">
        <f>VLOOKUP($A23,'S45'!$C:$BQ,30,0)</f>
        <v>514</v>
      </c>
      <c r="Q23" s="66">
        <f>VLOOKUP($A23,'S45'!$C:$BQ,52,0)</f>
        <v>145.6</v>
      </c>
      <c r="R23" s="66">
        <f>VLOOKUP($A23,'S45'!$C:$BQ,59,0)</f>
        <v>0</v>
      </c>
      <c r="S23" s="66">
        <f>VLOOKUP($A23,'S45'!$C:$BQ,60,0)</f>
        <v>0</v>
      </c>
      <c r="T23" s="58">
        <f>VLOOKUP($A23,'S46'!$C:$BQ,32,0)</f>
        <v>163.9</v>
      </c>
      <c r="U23" s="58">
        <f>VLOOKUP($A23,'S46'!$C:$BQ,39,0)</f>
        <v>41</v>
      </c>
      <c r="V23" s="58">
        <f>VLOOKUP($A23,'S46'!$C:$BQ,40,0)</f>
        <v>82</v>
      </c>
      <c r="W23" s="58">
        <f>VLOOKUP($A23,'S46'!$C:$BQ,22,0)</f>
        <v>1720.5069800000001</v>
      </c>
      <c r="X23" s="66">
        <f>VLOOKUP($A23,'S46'!$C:$BQ,29,0)</f>
        <v>140</v>
      </c>
      <c r="Y23" s="66">
        <f>VLOOKUP($A23,'S46'!$C:$BQ,30,0)</f>
        <v>512</v>
      </c>
      <c r="Z23" s="66">
        <f>VLOOKUP($A23,'S46'!$C:$BQ,52,0)</f>
        <v>146.6</v>
      </c>
      <c r="AA23" s="66">
        <f>VLOOKUP($A23,'S46'!$C:$BQ,59,0)</f>
        <v>0</v>
      </c>
      <c r="AB23" s="66">
        <f>VLOOKUP($A23,'S46'!$C:$BQ,60,0)</f>
        <v>0</v>
      </c>
      <c r="AC23" s="58">
        <f>VLOOKUP($A23,'S47'!$C:$BQ,32,0)</f>
        <v>166.4</v>
      </c>
      <c r="AD23" s="58">
        <f>VLOOKUP($A23,'S47'!$C:$BQ,39,0)</f>
        <v>39</v>
      </c>
      <c r="AE23" s="58">
        <f>VLOOKUP($A23,'S47'!$C:$BQ,40,0)</f>
        <v>80</v>
      </c>
      <c r="AF23" s="58">
        <f>VLOOKUP($A23,'S47'!$C:$BQ,22,0)</f>
        <v>1729.33762</v>
      </c>
      <c r="AG23" s="66">
        <f>VLOOKUP($A23,'S47'!$C:$BQ,29,0)</f>
        <v>131</v>
      </c>
      <c r="AH23" s="66">
        <f>VLOOKUP($A23,'S47'!$C:$BQ,30,0)</f>
        <v>503</v>
      </c>
      <c r="AI23" s="66">
        <f>VLOOKUP($A23,'S47'!$C:$BQ,52,0)</f>
        <v>148.6</v>
      </c>
      <c r="AJ23" s="66">
        <f>VLOOKUP($A23,'S47'!$C:$BQ,59,0)</f>
        <v>0</v>
      </c>
      <c r="AK23" s="66">
        <f>VLOOKUP($A23,'S47'!$C:$BQ,60,0)</f>
        <v>0</v>
      </c>
      <c r="AL23" s="58" t="e">
        <f>VLOOKUP($A23,'S48'!$C:$BQ,32,0)</f>
        <v>#N/A</v>
      </c>
      <c r="AM23" s="58" t="e">
        <f>VLOOKUP($A23,'S48'!$C:$BQ,39,0)</f>
        <v>#N/A</v>
      </c>
      <c r="AN23" s="58" t="e">
        <f>VLOOKUP($A23,'S48'!$C:$BQ,40,0)</f>
        <v>#N/A</v>
      </c>
      <c r="AO23" s="58" t="e">
        <f>VLOOKUP($A23,'S48'!$C:$BQ,22,0)</f>
        <v>#N/A</v>
      </c>
      <c r="AP23" s="66" t="e">
        <f>VLOOKUP($A23,'S48'!$C:$BQ,29,0)</f>
        <v>#N/A</v>
      </c>
      <c r="AQ23" s="66" t="e">
        <f>VLOOKUP($A23,'S48'!$C:$BQ,30,0)</f>
        <v>#N/A</v>
      </c>
      <c r="AR23" s="66" t="e">
        <f>VLOOKUP($A23,'S48'!$C:$BQ,52,0)</f>
        <v>#N/A</v>
      </c>
      <c r="AS23" s="66" t="e">
        <f>VLOOKUP($A23,'S48'!$C:$BQ,59,0)</f>
        <v>#N/A</v>
      </c>
      <c r="AT23" s="66" t="e">
        <f>VLOOKUP($A23,'S48'!$C:$BQ,60,0)</f>
        <v>#N/A</v>
      </c>
      <c r="AU23" s="58" t="e">
        <f>VLOOKUP($A23,'S49'!$C:$BQ,32,0)</f>
        <v>#N/A</v>
      </c>
      <c r="AV23" s="58" t="e">
        <f>VLOOKUP($A23,'S49'!$C:$BQ,39,0)</f>
        <v>#N/A</v>
      </c>
      <c r="AW23" s="58" t="e">
        <f>VLOOKUP($A23,'S49'!$C:$BQ,40,0)</f>
        <v>#N/A</v>
      </c>
      <c r="AX23" s="58" t="e">
        <f>VLOOKUP($A23,'S49'!$C:$BQ,22,0)</f>
        <v>#N/A</v>
      </c>
      <c r="AY23" s="66" t="e">
        <f>VLOOKUP($A23,'S49'!$C:$BQ,29,0)</f>
        <v>#N/A</v>
      </c>
      <c r="AZ23" s="66" t="e">
        <f>VLOOKUP($A23,'S49'!$C:$BQ,30,0)</f>
        <v>#N/A</v>
      </c>
      <c r="BA23" s="66" t="e">
        <f>VLOOKUP($A23,'S49'!$C:$BQ,52,0)</f>
        <v>#N/A</v>
      </c>
      <c r="BB23" s="66" t="e">
        <f>VLOOKUP($A23,'S49'!$C:$BQ,59,0)</f>
        <v>#N/A</v>
      </c>
      <c r="BC23" s="66" t="e">
        <f>VLOOKUP($A23,'S49'!$C:$BQ,60,0)</f>
        <v>#N/A</v>
      </c>
      <c r="BD23" s="58" t="e">
        <f>VLOOKUP($A23,'S50'!$C:$BQ,32,0)</f>
        <v>#N/A</v>
      </c>
      <c r="BE23" s="58" t="e">
        <f>VLOOKUP($A23,'S50'!$C:$BQ,39,0)</f>
        <v>#N/A</v>
      </c>
      <c r="BF23" s="58" t="e">
        <f>VLOOKUP($A23,'S50'!$C:$BQ,40,0)</f>
        <v>#N/A</v>
      </c>
      <c r="BG23" s="58" t="e">
        <f>VLOOKUP($A23,'S50'!$C:$BQ,22,0)</f>
        <v>#N/A</v>
      </c>
      <c r="BH23" s="66" t="e">
        <f>VLOOKUP($A23,'S50'!$C:$BQ,29,0)</f>
        <v>#N/A</v>
      </c>
      <c r="BI23" s="66" t="e">
        <f>VLOOKUP($A23,'S50'!$C:$BQ,30,0)</f>
        <v>#N/A</v>
      </c>
      <c r="BJ23" s="66" t="e">
        <f>VLOOKUP($A23,'S50'!$C:$BQ,52,0)</f>
        <v>#N/A</v>
      </c>
      <c r="BK23" s="66" t="e">
        <f>VLOOKUP($A23,'S50'!$C:$BQ,59,0)</f>
        <v>#N/A</v>
      </c>
      <c r="BL23" s="66" t="e">
        <f>VLOOKUP($A23,'S50'!$C:$BQ,60,0)</f>
        <v>#N/A</v>
      </c>
    </row>
    <row r="24" spans="1:64" x14ac:dyDescent="0.2">
      <c r="A24" s="57" t="s">
        <v>77</v>
      </c>
      <c r="B24" s="58">
        <f>VLOOKUP($A24,'S0 remplacer avec S44'!$C:$BQ,32,0)</f>
        <v>138.55000000000001</v>
      </c>
      <c r="C24" s="58">
        <f>VLOOKUP($A24,'S0 remplacer avec S44'!$C:$BQ,39,0)</f>
        <v>25</v>
      </c>
      <c r="D24" s="58">
        <f>VLOOKUP($A24,'S0 remplacer avec S44'!$C:$BQ,40,0)</f>
        <v>57</v>
      </c>
      <c r="E24" s="58">
        <f>VLOOKUP($A24,'S0 remplacer avec S44'!$C:$BQ,22,0)</f>
        <v>1243.029685</v>
      </c>
      <c r="F24" s="66">
        <f>VLOOKUP($A24,'S0 remplacer avec S44'!$C:$BQ,29,0)</f>
        <v>236</v>
      </c>
      <c r="G24" s="66">
        <f>VLOOKUP($A24,'S0 remplacer avec S44'!$C:$BQ,30,0)</f>
        <v>532</v>
      </c>
      <c r="H24" s="66">
        <f>VLOOKUP($A24,'S0 remplacer avec S44'!$C:$BQ,52,0)</f>
        <v>88.4</v>
      </c>
      <c r="I24" s="66">
        <f>VLOOKUP($A24,'S0 remplacer avec S44'!$C:$BQ,59,0)</f>
        <v>0</v>
      </c>
      <c r="J24" s="66">
        <f>VLOOKUP($A24,'S0 remplacer avec S44'!$C:$BQ,60,0)</f>
        <v>11</v>
      </c>
      <c r="K24" s="58">
        <f>VLOOKUP($A24,'S45'!$C:$BQ,32,0)</f>
        <v>144.55000000000001</v>
      </c>
      <c r="L24" s="58">
        <f>VLOOKUP($A24,'S45'!$C:$BQ,39,0)</f>
        <v>19</v>
      </c>
      <c r="M24" s="58">
        <f>VLOOKUP($A24,'S45'!$C:$BQ,40,0)</f>
        <v>51</v>
      </c>
      <c r="N24" s="58">
        <f>VLOOKUP($A24,'S45'!$C:$BQ,22,0)</f>
        <v>1247.413865</v>
      </c>
      <c r="O24" s="66">
        <f>VLOOKUP($A24,'S45'!$C:$BQ,29,0)</f>
        <v>232</v>
      </c>
      <c r="P24" s="66">
        <f>VLOOKUP($A24,'S45'!$C:$BQ,30,0)</f>
        <v>527</v>
      </c>
      <c r="Q24" s="66">
        <f>VLOOKUP($A24,'S45'!$C:$BQ,52,0)</f>
        <v>89.4</v>
      </c>
      <c r="R24" s="66">
        <f>VLOOKUP($A24,'S45'!$C:$BQ,59,0)</f>
        <v>0</v>
      </c>
      <c r="S24" s="66">
        <f>VLOOKUP($A24,'S45'!$C:$BQ,60,0)</f>
        <v>10</v>
      </c>
      <c r="T24" s="58">
        <f>VLOOKUP($A24,'S46'!$C:$BQ,32,0)</f>
        <v>145.05000000000001</v>
      </c>
      <c r="U24" s="58">
        <f>VLOOKUP($A24,'S46'!$C:$BQ,39,0)</f>
        <v>18</v>
      </c>
      <c r="V24" s="58">
        <f>VLOOKUP($A24,'S46'!$C:$BQ,40,0)</f>
        <v>51</v>
      </c>
      <c r="W24" s="58">
        <f>VLOOKUP($A24,'S46'!$C:$BQ,22,0)</f>
        <v>1245.0255549999999</v>
      </c>
      <c r="X24" s="66">
        <f>VLOOKUP($A24,'S46'!$C:$BQ,29,0)</f>
        <v>234</v>
      </c>
      <c r="Y24" s="66">
        <f>VLOOKUP($A24,'S46'!$C:$BQ,30,0)</f>
        <v>530</v>
      </c>
      <c r="Z24" s="66">
        <f>VLOOKUP($A24,'S46'!$C:$BQ,52,0)</f>
        <v>89.4</v>
      </c>
      <c r="AA24" s="66">
        <f>VLOOKUP($A24,'S46'!$C:$BQ,59,0)</f>
        <v>0</v>
      </c>
      <c r="AB24" s="66">
        <f>VLOOKUP($A24,'S46'!$C:$BQ,60,0)</f>
        <v>10</v>
      </c>
      <c r="AC24" s="58">
        <f>VLOOKUP($A24,'S47'!$C:$BQ,32,0)</f>
        <v>146.05000000000001</v>
      </c>
      <c r="AD24" s="58">
        <f>VLOOKUP($A24,'S47'!$C:$BQ,39,0)</f>
        <v>17</v>
      </c>
      <c r="AE24" s="58">
        <f>VLOOKUP($A24,'S47'!$C:$BQ,40,0)</f>
        <v>50</v>
      </c>
      <c r="AF24" s="58">
        <f>VLOOKUP($A24,'S47'!$C:$BQ,22,0)</f>
        <v>1230.7525350000001</v>
      </c>
      <c r="AG24" s="66">
        <f>VLOOKUP($A24,'S47'!$C:$BQ,29,0)</f>
        <v>248</v>
      </c>
      <c r="AH24" s="66">
        <f>VLOOKUP($A24,'S47'!$C:$BQ,30,0)</f>
        <v>544</v>
      </c>
      <c r="AI24" s="66">
        <f>VLOOKUP($A24,'S47'!$C:$BQ,52,0)</f>
        <v>89.4</v>
      </c>
      <c r="AJ24" s="66">
        <f>VLOOKUP($A24,'S47'!$C:$BQ,59,0)</f>
        <v>0</v>
      </c>
      <c r="AK24" s="66">
        <f>VLOOKUP($A24,'S47'!$C:$BQ,60,0)</f>
        <v>10</v>
      </c>
      <c r="AL24" s="58" t="e">
        <f>VLOOKUP($A24,'S48'!$C:$BQ,32,0)</f>
        <v>#N/A</v>
      </c>
      <c r="AM24" s="58" t="e">
        <f>VLOOKUP($A24,'S48'!$C:$BQ,39,0)</f>
        <v>#N/A</v>
      </c>
      <c r="AN24" s="58" t="e">
        <f>VLOOKUP($A24,'S48'!$C:$BQ,40,0)</f>
        <v>#N/A</v>
      </c>
      <c r="AO24" s="58" t="e">
        <f>VLOOKUP($A24,'S48'!$C:$BQ,22,0)</f>
        <v>#N/A</v>
      </c>
      <c r="AP24" s="66" t="e">
        <f>VLOOKUP($A24,'S48'!$C:$BQ,29,0)</f>
        <v>#N/A</v>
      </c>
      <c r="AQ24" s="66" t="e">
        <f>VLOOKUP($A24,'S48'!$C:$BQ,30,0)</f>
        <v>#N/A</v>
      </c>
      <c r="AR24" s="66" t="e">
        <f>VLOOKUP($A24,'S48'!$C:$BQ,52,0)</f>
        <v>#N/A</v>
      </c>
      <c r="AS24" s="66" t="e">
        <f>VLOOKUP($A24,'S48'!$C:$BQ,59,0)</f>
        <v>#N/A</v>
      </c>
      <c r="AT24" s="66" t="e">
        <f>VLOOKUP($A24,'S48'!$C:$BQ,60,0)</f>
        <v>#N/A</v>
      </c>
      <c r="AU24" s="58" t="e">
        <f>VLOOKUP($A24,'S49'!$C:$BQ,32,0)</f>
        <v>#N/A</v>
      </c>
      <c r="AV24" s="58" t="e">
        <f>VLOOKUP($A24,'S49'!$C:$BQ,39,0)</f>
        <v>#N/A</v>
      </c>
      <c r="AW24" s="58" t="e">
        <f>VLOOKUP($A24,'S49'!$C:$BQ,40,0)</f>
        <v>#N/A</v>
      </c>
      <c r="AX24" s="58" t="e">
        <f>VLOOKUP($A24,'S49'!$C:$BQ,22,0)</f>
        <v>#N/A</v>
      </c>
      <c r="AY24" s="66" t="e">
        <f>VLOOKUP($A24,'S49'!$C:$BQ,29,0)</f>
        <v>#N/A</v>
      </c>
      <c r="AZ24" s="66" t="e">
        <f>VLOOKUP($A24,'S49'!$C:$BQ,30,0)</f>
        <v>#N/A</v>
      </c>
      <c r="BA24" s="66" t="e">
        <f>VLOOKUP($A24,'S49'!$C:$BQ,52,0)</f>
        <v>#N/A</v>
      </c>
      <c r="BB24" s="66" t="e">
        <f>VLOOKUP($A24,'S49'!$C:$BQ,59,0)</f>
        <v>#N/A</v>
      </c>
      <c r="BC24" s="66" t="e">
        <f>VLOOKUP($A24,'S49'!$C:$BQ,60,0)</f>
        <v>#N/A</v>
      </c>
      <c r="BD24" s="58" t="e">
        <f>VLOOKUP($A24,'S50'!$C:$BQ,32,0)</f>
        <v>#N/A</v>
      </c>
      <c r="BE24" s="58" t="e">
        <f>VLOOKUP($A24,'S50'!$C:$BQ,39,0)</f>
        <v>#N/A</v>
      </c>
      <c r="BF24" s="58" t="e">
        <f>VLOOKUP($A24,'S50'!$C:$BQ,40,0)</f>
        <v>#N/A</v>
      </c>
      <c r="BG24" s="58" t="e">
        <f>VLOOKUP($A24,'S50'!$C:$BQ,22,0)</f>
        <v>#N/A</v>
      </c>
      <c r="BH24" s="66" t="e">
        <f>VLOOKUP($A24,'S50'!$C:$BQ,29,0)</f>
        <v>#N/A</v>
      </c>
      <c r="BI24" s="66" t="e">
        <f>VLOOKUP($A24,'S50'!$C:$BQ,30,0)</f>
        <v>#N/A</v>
      </c>
      <c r="BJ24" s="66" t="e">
        <f>VLOOKUP($A24,'S50'!$C:$BQ,52,0)</f>
        <v>#N/A</v>
      </c>
      <c r="BK24" s="66" t="e">
        <f>VLOOKUP($A24,'S50'!$C:$BQ,59,0)</f>
        <v>#N/A</v>
      </c>
      <c r="BL24" s="66" t="e">
        <f>VLOOKUP($A24,'S50'!$C:$BQ,60,0)</f>
        <v>#N/A</v>
      </c>
    </row>
    <row r="25" spans="1:64" x14ac:dyDescent="0.2">
      <c r="A25" s="57" t="s">
        <v>78</v>
      </c>
      <c r="B25" s="58">
        <f>VLOOKUP($A25,'S0 remplacer avec S44'!$C:$BQ,32,0)</f>
        <v>387.2</v>
      </c>
      <c r="C25" s="58">
        <f>VLOOKUP($A25,'S0 remplacer avec S44'!$C:$BQ,39,0)</f>
        <v>224</v>
      </c>
      <c r="D25" s="58">
        <f>VLOOKUP($A25,'S0 remplacer avec S44'!$C:$BQ,40,0)</f>
        <v>346</v>
      </c>
      <c r="E25" s="58">
        <f>VLOOKUP($A25,'S0 remplacer avec S44'!$C:$BQ,22,0)</f>
        <v>6794.03593</v>
      </c>
      <c r="F25" s="66">
        <f>VLOOKUP($A25,'S0 remplacer avec S44'!$C:$BQ,29,0)</f>
        <v>0</v>
      </c>
      <c r="G25" s="66">
        <f>VLOOKUP($A25,'S0 remplacer avec S44'!$C:$BQ,30,0)</f>
        <v>0</v>
      </c>
      <c r="H25" s="66">
        <f>VLOOKUP($A25,'S0 remplacer avec S44'!$C:$BQ,52,0)</f>
        <v>431.8</v>
      </c>
      <c r="I25" s="66">
        <f>VLOOKUP($A25,'S0 remplacer avec S44'!$C:$BQ,59,0)</f>
        <v>0</v>
      </c>
      <c r="J25" s="66">
        <f>VLOOKUP($A25,'S0 remplacer avec S44'!$C:$BQ,60,0)</f>
        <v>0</v>
      </c>
      <c r="K25" s="58">
        <f>VLOOKUP($A25,'S45'!$C:$BQ,32,0)</f>
        <v>393.7</v>
      </c>
      <c r="L25" s="58">
        <f>VLOOKUP($A25,'S45'!$C:$BQ,39,0)</f>
        <v>217</v>
      </c>
      <c r="M25" s="58">
        <f>VLOOKUP($A25,'S45'!$C:$BQ,40,0)</f>
        <v>339</v>
      </c>
      <c r="N25" s="58">
        <f>VLOOKUP($A25,'S45'!$C:$BQ,22,0)</f>
        <v>6889.4085100000002</v>
      </c>
      <c r="O25" s="66">
        <f>VLOOKUP($A25,'S45'!$C:$BQ,29,0)</f>
        <v>0</v>
      </c>
      <c r="P25" s="66">
        <f>VLOOKUP($A25,'S45'!$C:$BQ,30,0)</f>
        <v>0</v>
      </c>
      <c r="Q25" s="66">
        <f>VLOOKUP($A25,'S45'!$C:$BQ,52,0)</f>
        <v>431.8</v>
      </c>
      <c r="R25" s="66">
        <f>VLOOKUP($A25,'S45'!$C:$BQ,59,0)</f>
        <v>0</v>
      </c>
      <c r="S25" s="66">
        <f>VLOOKUP($A25,'S45'!$C:$BQ,60,0)</f>
        <v>0</v>
      </c>
      <c r="T25" s="58">
        <f>VLOOKUP($A25,'S46'!$C:$BQ,32,0)</f>
        <v>396.2</v>
      </c>
      <c r="U25" s="58">
        <f>VLOOKUP($A25,'S46'!$C:$BQ,39,0)</f>
        <v>215</v>
      </c>
      <c r="V25" s="58">
        <f>VLOOKUP($A25,'S46'!$C:$BQ,40,0)</f>
        <v>337</v>
      </c>
      <c r="W25" s="58">
        <f>VLOOKUP($A25,'S46'!$C:$BQ,22,0)</f>
        <v>6912.5033700000004</v>
      </c>
      <c r="X25" s="66">
        <f>VLOOKUP($A25,'S46'!$C:$BQ,29,0)</f>
        <v>0</v>
      </c>
      <c r="Y25" s="66">
        <f>VLOOKUP($A25,'S46'!$C:$BQ,30,0)</f>
        <v>0</v>
      </c>
      <c r="Z25" s="66">
        <f>VLOOKUP($A25,'S46'!$C:$BQ,52,0)</f>
        <v>434.8</v>
      </c>
      <c r="AA25" s="66">
        <f>VLOOKUP($A25,'S46'!$C:$BQ,59,0)</f>
        <v>0</v>
      </c>
      <c r="AB25" s="66">
        <f>VLOOKUP($A25,'S46'!$C:$BQ,60,0)</f>
        <v>0</v>
      </c>
      <c r="AC25" s="58">
        <f>VLOOKUP($A25,'S47'!$C:$BQ,32,0)</f>
        <v>400.2</v>
      </c>
      <c r="AD25" s="58">
        <f>VLOOKUP($A25,'S47'!$C:$BQ,39,0)</f>
        <v>211</v>
      </c>
      <c r="AE25" s="58">
        <f>VLOOKUP($A25,'S47'!$C:$BQ,40,0)</f>
        <v>333</v>
      </c>
      <c r="AF25" s="58">
        <f>VLOOKUP($A25,'S47'!$C:$BQ,22,0)</f>
        <v>6946.6135999999997</v>
      </c>
      <c r="AG25" s="66">
        <f>VLOOKUP($A25,'S47'!$C:$BQ,29,0)</f>
        <v>0</v>
      </c>
      <c r="AH25" s="66">
        <f>VLOOKUP($A25,'S47'!$C:$BQ,30,0)</f>
        <v>0</v>
      </c>
      <c r="AI25" s="66">
        <f>VLOOKUP($A25,'S47'!$C:$BQ,52,0)</f>
        <v>440.8</v>
      </c>
      <c r="AJ25" s="66">
        <f>VLOOKUP($A25,'S47'!$C:$BQ,59,0)</f>
        <v>0</v>
      </c>
      <c r="AK25" s="66">
        <f>VLOOKUP($A25,'S47'!$C:$BQ,60,0)</f>
        <v>0</v>
      </c>
      <c r="AL25" s="58" t="e">
        <f>VLOOKUP($A25,'S48'!$C:$BQ,32,0)</f>
        <v>#N/A</v>
      </c>
      <c r="AM25" s="58" t="e">
        <f>VLOOKUP($A25,'S48'!$C:$BQ,39,0)</f>
        <v>#N/A</v>
      </c>
      <c r="AN25" s="58" t="e">
        <f>VLOOKUP($A25,'S48'!$C:$BQ,40,0)</f>
        <v>#N/A</v>
      </c>
      <c r="AO25" s="58" t="e">
        <f>VLOOKUP($A25,'S48'!$C:$BQ,22,0)</f>
        <v>#N/A</v>
      </c>
      <c r="AP25" s="66" t="e">
        <f>VLOOKUP($A25,'S48'!$C:$BQ,29,0)</f>
        <v>#N/A</v>
      </c>
      <c r="AQ25" s="66" t="e">
        <f>VLOOKUP($A25,'S48'!$C:$BQ,30,0)</f>
        <v>#N/A</v>
      </c>
      <c r="AR25" s="66" t="e">
        <f>VLOOKUP($A25,'S48'!$C:$BQ,52,0)</f>
        <v>#N/A</v>
      </c>
      <c r="AS25" s="66" t="e">
        <f>VLOOKUP($A25,'S48'!$C:$BQ,59,0)</f>
        <v>#N/A</v>
      </c>
      <c r="AT25" s="66" t="e">
        <f>VLOOKUP($A25,'S48'!$C:$BQ,60,0)</f>
        <v>#N/A</v>
      </c>
      <c r="AU25" s="58" t="e">
        <f>VLOOKUP($A25,'S49'!$C:$BQ,32,0)</f>
        <v>#N/A</v>
      </c>
      <c r="AV25" s="58" t="e">
        <f>VLOOKUP($A25,'S49'!$C:$BQ,39,0)</f>
        <v>#N/A</v>
      </c>
      <c r="AW25" s="58" t="e">
        <f>VLOOKUP($A25,'S49'!$C:$BQ,40,0)</f>
        <v>#N/A</v>
      </c>
      <c r="AX25" s="58" t="e">
        <f>VLOOKUP($A25,'S49'!$C:$BQ,22,0)</f>
        <v>#N/A</v>
      </c>
      <c r="AY25" s="66" t="e">
        <f>VLOOKUP($A25,'S49'!$C:$BQ,29,0)</f>
        <v>#N/A</v>
      </c>
      <c r="AZ25" s="66" t="e">
        <f>VLOOKUP($A25,'S49'!$C:$BQ,30,0)</f>
        <v>#N/A</v>
      </c>
      <c r="BA25" s="66" t="e">
        <f>VLOOKUP($A25,'S49'!$C:$BQ,52,0)</f>
        <v>#N/A</v>
      </c>
      <c r="BB25" s="66" t="e">
        <f>VLOOKUP($A25,'S49'!$C:$BQ,59,0)</f>
        <v>#N/A</v>
      </c>
      <c r="BC25" s="66" t="e">
        <f>VLOOKUP($A25,'S49'!$C:$BQ,60,0)</f>
        <v>#N/A</v>
      </c>
      <c r="BD25" s="58" t="e">
        <f>VLOOKUP($A25,'S50'!$C:$BQ,32,0)</f>
        <v>#N/A</v>
      </c>
      <c r="BE25" s="58" t="e">
        <f>VLOOKUP($A25,'S50'!$C:$BQ,39,0)</f>
        <v>#N/A</v>
      </c>
      <c r="BF25" s="58" t="e">
        <f>VLOOKUP($A25,'S50'!$C:$BQ,40,0)</f>
        <v>#N/A</v>
      </c>
      <c r="BG25" s="58" t="e">
        <f>VLOOKUP($A25,'S50'!$C:$BQ,22,0)</f>
        <v>#N/A</v>
      </c>
      <c r="BH25" s="66" t="e">
        <f>VLOOKUP($A25,'S50'!$C:$BQ,29,0)</f>
        <v>#N/A</v>
      </c>
      <c r="BI25" s="66" t="e">
        <f>VLOOKUP($A25,'S50'!$C:$BQ,30,0)</f>
        <v>#N/A</v>
      </c>
      <c r="BJ25" s="66" t="e">
        <f>VLOOKUP($A25,'S50'!$C:$BQ,52,0)</f>
        <v>#N/A</v>
      </c>
      <c r="BK25" s="66" t="e">
        <f>VLOOKUP($A25,'S50'!$C:$BQ,59,0)</f>
        <v>#N/A</v>
      </c>
      <c r="BL25" s="66" t="e">
        <f>VLOOKUP($A25,'S50'!$C:$BQ,60,0)</f>
        <v>#N/A</v>
      </c>
    </row>
    <row r="26" spans="1:64" x14ac:dyDescent="0.2">
      <c r="A26" s="57" t="s">
        <v>79</v>
      </c>
      <c r="B26" s="58">
        <f>VLOOKUP($A26,'S0 remplacer avec S44'!$C:$BQ,32,0)</f>
        <v>171.4</v>
      </c>
      <c r="C26" s="58">
        <f>VLOOKUP($A26,'S0 remplacer avec S44'!$C:$BQ,39,0)</f>
        <v>108</v>
      </c>
      <c r="D26" s="58">
        <f>VLOOKUP($A26,'S0 remplacer avec S44'!$C:$BQ,40,0)</f>
        <v>164</v>
      </c>
      <c r="E26" s="58">
        <f>VLOOKUP($A26,'S0 remplacer avec S44'!$C:$BQ,22,0)</f>
        <v>2466.9895700000002</v>
      </c>
      <c r="F26" s="66">
        <f>VLOOKUP($A26,'S0 remplacer avec S44'!$C:$BQ,29,0)</f>
        <v>71</v>
      </c>
      <c r="G26" s="66">
        <f>VLOOKUP($A26,'S0 remplacer avec S44'!$C:$BQ,30,0)</f>
        <v>578</v>
      </c>
      <c r="H26" s="66">
        <f>VLOOKUP($A26,'S0 remplacer avec S44'!$C:$BQ,52,0)</f>
        <v>143.19999999999999</v>
      </c>
      <c r="I26" s="66">
        <f>VLOOKUP($A26,'S0 remplacer avec S44'!$C:$BQ,59,0)</f>
        <v>0</v>
      </c>
      <c r="J26" s="66">
        <f>VLOOKUP($A26,'S0 remplacer avec S44'!$C:$BQ,60,0)</f>
        <v>27</v>
      </c>
      <c r="K26" s="58">
        <f>VLOOKUP($A26,'S45'!$C:$BQ,32,0)</f>
        <v>175.4</v>
      </c>
      <c r="L26" s="58">
        <f>VLOOKUP($A26,'S45'!$C:$BQ,39,0)</f>
        <v>104</v>
      </c>
      <c r="M26" s="58">
        <f>VLOOKUP($A26,'S45'!$C:$BQ,40,0)</f>
        <v>160</v>
      </c>
      <c r="N26" s="58">
        <f>VLOOKUP($A26,'S45'!$C:$BQ,22,0)</f>
        <v>2472.60763</v>
      </c>
      <c r="O26" s="66">
        <f>VLOOKUP($A26,'S45'!$C:$BQ,29,0)</f>
        <v>65</v>
      </c>
      <c r="P26" s="66">
        <f>VLOOKUP($A26,'S45'!$C:$BQ,30,0)</f>
        <v>573</v>
      </c>
      <c r="Q26" s="66">
        <f>VLOOKUP($A26,'S45'!$C:$BQ,52,0)</f>
        <v>143.19999999999999</v>
      </c>
      <c r="R26" s="66">
        <f>VLOOKUP($A26,'S45'!$C:$BQ,59,0)</f>
        <v>0</v>
      </c>
      <c r="S26" s="66">
        <f>VLOOKUP($A26,'S45'!$C:$BQ,60,0)</f>
        <v>27</v>
      </c>
      <c r="T26" s="58">
        <f>VLOOKUP($A26,'S46'!$C:$BQ,32,0)</f>
        <v>174.9</v>
      </c>
      <c r="U26" s="58">
        <f>VLOOKUP($A26,'S46'!$C:$BQ,39,0)</f>
        <v>105</v>
      </c>
      <c r="V26" s="58">
        <f>VLOOKUP($A26,'S46'!$C:$BQ,40,0)</f>
        <v>160</v>
      </c>
      <c r="W26" s="58">
        <f>VLOOKUP($A26,'S46'!$C:$BQ,22,0)</f>
        <v>2476.7910400000001</v>
      </c>
      <c r="X26" s="66">
        <f>VLOOKUP($A26,'S46'!$C:$BQ,29,0)</f>
        <v>61</v>
      </c>
      <c r="Y26" s="66">
        <f>VLOOKUP($A26,'S46'!$C:$BQ,30,0)</f>
        <v>569</v>
      </c>
      <c r="Z26" s="66">
        <f>VLOOKUP($A26,'S46'!$C:$BQ,52,0)</f>
        <v>144.19999999999999</v>
      </c>
      <c r="AA26" s="66">
        <f>VLOOKUP($A26,'S46'!$C:$BQ,59,0)</f>
        <v>0</v>
      </c>
      <c r="AB26" s="66">
        <f>VLOOKUP($A26,'S46'!$C:$BQ,60,0)</f>
        <v>26</v>
      </c>
      <c r="AC26" s="58">
        <f>VLOOKUP($A26,'S47'!$C:$BQ,32,0)</f>
        <v>179.4</v>
      </c>
      <c r="AD26" s="58">
        <f>VLOOKUP($A26,'S47'!$C:$BQ,39,0)</f>
        <v>100</v>
      </c>
      <c r="AE26" s="58">
        <f>VLOOKUP($A26,'S47'!$C:$BQ,40,0)</f>
        <v>156</v>
      </c>
      <c r="AF26" s="58">
        <f>VLOOKUP($A26,'S47'!$C:$BQ,22,0)</f>
        <v>2510.6352299999999</v>
      </c>
      <c r="AG26" s="66">
        <f>VLOOKUP($A26,'S47'!$C:$BQ,29,0)</f>
        <v>27</v>
      </c>
      <c r="AH26" s="66">
        <f>VLOOKUP($A26,'S47'!$C:$BQ,30,0)</f>
        <v>535</v>
      </c>
      <c r="AI26" s="66">
        <f>VLOOKUP($A26,'S47'!$C:$BQ,52,0)</f>
        <v>145.19999999999999</v>
      </c>
      <c r="AJ26" s="66">
        <f>VLOOKUP($A26,'S47'!$C:$BQ,59,0)</f>
        <v>0</v>
      </c>
      <c r="AK26" s="66">
        <f>VLOOKUP($A26,'S47'!$C:$BQ,60,0)</f>
        <v>25</v>
      </c>
      <c r="AL26" s="58" t="e">
        <f>VLOOKUP($A26,'S48'!$C:$BQ,32,0)</f>
        <v>#N/A</v>
      </c>
      <c r="AM26" s="58" t="e">
        <f>VLOOKUP($A26,'S48'!$C:$BQ,39,0)</f>
        <v>#N/A</v>
      </c>
      <c r="AN26" s="58" t="e">
        <f>VLOOKUP($A26,'S48'!$C:$BQ,40,0)</f>
        <v>#N/A</v>
      </c>
      <c r="AO26" s="58" t="e">
        <f>VLOOKUP($A26,'S48'!$C:$BQ,22,0)</f>
        <v>#N/A</v>
      </c>
      <c r="AP26" s="66" t="e">
        <f>VLOOKUP($A26,'S48'!$C:$BQ,29,0)</f>
        <v>#N/A</v>
      </c>
      <c r="AQ26" s="66" t="e">
        <f>VLOOKUP($A26,'S48'!$C:$BQ,30,0)</f>
        <v>#N/A</v>
      </c>
      <c r="AR26" s="66" t="e">
        <f>VLOOKUP($A26,'S48'!$C:$BQ,52,0)</f>
        <v>#N/A</v>
      </c>
      <c r="AS26" s="66" t="e">
        <f>VLOOKUP($A26,'S48'!$C:$BQ,59,0)</f>
        <v>#N/A</v>
      </c>
      <c r="AT26" s="66" t="e">
        <f>VLOOKUP($A26,'S48'!$C:$BQ,60,0)</f>
        <v>#N/A</v>
      </c>
      <c r="AU26" s="58" t="e">
        <f>VLOOKUP($A26,'S49'!$C:$BQ,32,0)</f>
        <v>#N/A</v>
      </c>
      <c r="AV26" s="58" t="e">
        <f>VLOOKUP($A26,'S49'!$C:$BQ,39,0)</f>
        <v>#N/A</v>
      </c>
      <c r="AW26" s="58" t="e">
        <f>VLOOKUP($A26,'S49'!$C:$BQ,40,0)</f>
        <v>#N/A</v>
      </c>
      <c r="AX26" s="58" t="e">
        <f>VLOOKUP($A26,'S49'!$C:$BQ,22,0)</f>
        <v>#N/A</v>
      </c>
      <c r="AY26" s="66" t="e">
        <f>VLOOKUP($A26,'S49'!$C:$BQ,29,0)</f>
        <v>#N/A</v>
      </c>
      <c r="AZ26" s="66" t="e">
        <f>VLOOKUP($A26,'S49'!$C:$BQ,30,0)</f>
        <v>#N/A</v>
      </c>
      <c r="BA26" s="66" t="e">
        <f>VLOOKUP($A26,'S49'!$C:$BQ,52,0)</f>
        <v>#N/A</v>
      </c>
      <c r="BB26" s="66" t="e">
        <f>VLOOKUP($A26,'S49'!$C:$BQ,59,0)</f>
        <v>#N/A</v>
      </c>
      <c r="BC26" s="66" t="e">
        <f>VLOOKUP($A26,'S49'!$C:$BQ,60,0)</f>
        <v>#N/A</v>
      </c>
      <c r="BD26" s="58" t="e">
        <f>VLOOKUP($A26,'S50'!$C:$BQ,32,0)</f>
        <v>#N/A</v>
      </c>
      <c r="BE26" s="58" t="e">
        <f>VLOOKUP($A26,'S50'!$C:$BQ,39,0)</f>
        <v>#N/A</v>
      </c>
      <c r="BF26" s="58" t="e">
        <f>VLOOKUP($A26,'S50'!$C:$BQ,40,0)</f>
        <v>#N/A</v>
      </c>
      <c r="BG26" s="58" t="e">
        <f>VLOOKUP($A26,'S50'!$C:$BQ,22,0)</f>
        <v>#N/A</v>
      </c>
      <c r="BH26" s="66" t="e">
        <f>VLOOKUP($A26,'S50'!$C:$BQ,29,0)</f>
        <v>#N/A</v>
      </c>
      <c r="BI26" s="66" t="e">
        <f>VLOOKUP($A26,'S50'!$C:$BQ,30,0)</f>
        <v>#N/A</v>
      </c>
      <c r="BJ26" s="66" t="e">
        <f>VLOOKUP($A26,'S50'!$C:$BQ,52,0)</f>
        <v>#N/A</v>
      </c>
      <c r="BK26" s="66" t="e">
        <f>VLOOKUP($A26,'S50'!$C:$BQ,59,0)</f>
        <v>#N/A</v>
      </c>
      <c r="BL26" s="66" t="e">
        <f>VLOOKUP($A26,'S50'!$C:$BQ,60,0)</f>
        <v>#N/A</v>
      </c>
    </row>
    <row r="27" spans="1:64" x14ac:dyDescent="0.2">
      <c r="A27" s="57" t="s">
        <v>82</v>
      </c>
      <c r="B27" s="58">
        <f>VLOOKUP($A27,'S0 remplacer avec S44'!$C:$BQ,32,0)</f>
        <v>354.2</v>
      </c>
      <c r="C27" s="58">
        <f>VLOOKUP($A27,'S0 remplacer avec S44'!$C:$BQ,39,0)</f>
        <v>40</v>
      </c>
      <c r="D27" s="58">
        <f>VLOOKUP($A27,'S0 remplacer avec S44'!$C:$BQ,40,0)</f>
        <v>118</v>
      </c>
      <c r="E27" s="58">
        <f>VLOOKUP($A27,'S0 remplacer avec S44'!$C:$BQ,22,0)</f>
        <v>2270.0012299999999</v>
      </c>
      <c r="F27" s="66">
        <f>VLOOKUP($A27,'S0 remplacer avec S44'!$C:$BQ,29,0)</f>
        <v>1308</v>
      </c>
      <c r="G27" s="66">
        <f>VLOOKUP($A27,'S0 remplacer avec S44'!$C:$BQ,30,0)</f>
        <v>2024</v>
      </c>
      <c r="H27" s="66">
        <f>VLOOKUP($A27,'S0 remplacer avec S44'!$C:$BQ,52,0)</f>
        <v>209.4</v>
      </c>
      <c r="I27" s="66">
        <f>VLOOKUP($A27,'S0 remplacer avec S44'!$C:$BQ,59,0)</f>
        <v>0</v>
      </c>
      <c r="J27" s="66">
        <f>VLOOKUP($A27,'S0 remplacer avec S44'!$C:$BQ,60,0)</f>
        <v>31</v>
      </c>
      <c r="K27" s="58">
        <f>VLOOKUP($A27,'S45'!$C:$BQ,32,0)</f>
        <v>355.9</v>
      </c>
      <c r="L27" s="58">
        <f>VLOOKUP($A27,'S45'!$C:$BQ,39,0)</f>
        <v>38</v>
      </c>
      <c r="M27" s="58">
        <f>VLOOKUP($A27,'S45'!$C:$BQ,40,0)</f>
        <v>117</v>
      </c>
      <c r="N27" s="58">
        <f>VLOOKUP($A27,'S45'!$C:$BQ,22,0)</f>
        <v>2310.72291</v>
      </c>
      <c r="O27" s="66">
        <f>VLOOKUP($A27,'S45'!$C:$BQ,29,0)</f>
        <v>1267</v>
      </c>
      <c r="P27" s="66">
        <f>VLOOKUP($A27,'S45'!$C:$BQ,30,0)</f>
        <v>1983</v>
      </c>
      <c r="Q27" s="66">
        <f>VLOOKUP($A27,'S45'!$C:$BQ,52,0)</f>
        <v>231.4</v>
      </c>
      <c r="R27" s="66">
        <f>VLOOKUP($A27,'S45'!$C:$BQ,59,0)</f>
        <v>0</v>
      </c>
      <c r="S27" s="66">
        <f>VLOOKUP($A27,'S45'!$C:$BQ,60,0)</f>
        <v>9</v>
      </c>
      <c r="T27" s="58">
        <f>VLOOKUP($A27,'S46'!$C:$BQ,32,0)</f>
        <v>357.7</v>
      </c>
      <c r="U27" s="58">
        <f>VLOOKUP($A27,'S46'!$C:$BQ,39,0)</f>
        <v>36</v>
      </c>
      <c r="V27" s="58">
        <f>VLOOKUP($A27,'S46'!$C:$BQ,40,0)</f>
        <v>115</v>
      </c>
      <c r="W27" s="58">
        <f>VLOOKUP($A27,'S46'!$C:$BQ,22,0)</f>
        <v>2315.6029899999999</v>
      </c>
      <c r="X27" s="66">
        <f>VLOOKUP($A27,'S46'!$C:$BQ,29,0)</f>
        <v>1262</v>
      </c>
      <c r="Y27" s="66">
        <f>VLOOKUP($A27,'S46'!$C:$BQ,30,0)</f>
        <v>1978</v>
      </c>
      <c r="Z27" s="66">
        <f>VLOOKUP($A27,'S46'!$C:$BQ,52,0)</f>
        <v>243.4</v>
      </c>
      <c r="AA27" s="66">
        <f>VLOOKUP($A27,'S46'!$C:$BQ,59,0)</f>
        <v>0</v>
      </c>
      <c r="AB27" s="66">
        <f>VLOOKUP($A27,'S46'!$C:$BQ,60,0)</f>
        <v>0</v>
      </c>
      <c r="AC27" s="58">
        <f>VLOOKUP($A27,'S47'!$C:$BQ,32,0)</f>
        <v>363.2</v>
      </c>
      <c r="AD27" s="58">
        <f>VLOOKUP($A27,'S47'!$C:$BQ,39,0)</f>
        <v>31</v>
      </c>
      <c r="AE27" s="58">
        <f>VLOOKUP($A27,'S47'!$C:$BQ,40,0)</f>
        <v>109</v>
      </c>
      <c r="AF27" s="58">
        <f>VLOOKUP($A27,'S47'!$C:$BQ,22,0)</f>
        <v>2401.3435199999999</v>
      </c>
      <c r="AG27" s="66">
        <f>VLOOKUP($A27,'S47'!$C:$BQ,29,0)</f>
        <v>1177</v>
      </c>
      <c r="AH27" s="66">
        <f>VLOOKUP($A27,'S47'!$C:$BQ,30,0)</f>
        <v>1892</v>
      </c>
      <c r="AI27" s="66">
        <f>VLOOKUP($A27,'S47'!$C:$BQ,52,0)</f>
        <v>247.4</v>
      </c>
      <c r="AJ27" s="66">
        <f>VLOOKUP($A27,'S47'!$C:$BQ,59,0)</f>
        <v>0</v>
      </c>
      <c r="AK27" s="66">
        <f>VLOOKUP($A27,'S47'!$C:$BQ,60,0)</f>
        <v>0</v>
      </c>
      <c r="AL27" s="58" t="e">
        <f>VLOOKUP($A27,'S48'!$C:$BQ,32,0)</f>
        <v>#N/A</v>
      </c>
      <c r="AM27" s="58" t="e">
        <f>VLOOKUP($A27,'S48'!$C:$BQ,39,0)</f>
        <v>#N/A</v>
      </c>
      <c r="AN27" s="58" t="e">
        <f>VLOOKUP($A27,'S48'!$C:$BQ,40,0)</f>
        <v>#N/A</v>
      </c>
      <c r="AO27" s="58" t="e">
        <f>VLOOKUP($A27,'S48'!$C:$BQ,22,0)</f>
        <v>#N/A</v>
      </c>
      <c r="AP27" s="66" t="e">
        <f>VLOOKUP($A27,'S48'!$C:$BQ,29,0)</f>
        <v>#N/A</v>
      </c>
      <c r="AQ27" s="66" t="e">
        <f>VLOOKUP($A27,'S48'!$C:$BQ,30,0)</f>
        <v>#N/A</v>
      </c>
      <c r="AR27" s="66" t="e">
        <f>VLOOKUP($A27,'S48'!$C:$BQ,52,0)</f>
        <v>#N/A</v>
      </c>
      <c r="AS27" s="66" t="e">
        <f>VLOOKUP($A27,'S48'!$C:$BQ,59,0)</f>
        <v>#N/A</v>
      </c>
      <c r="AT27" s="66" t="e">
        <f>VLOOKUP($A27,'S48'!$C:$BQ,60,0)</f>
        <v>#N/A</v>
      </c>
      <c r="AU27" s="58" t="e">
        <f>VLOOKUP($A27,'S49'!$C:$BQ,32,0)</f>
        <v>#N/A</v>
      </c>
      <c r="AV27" s="58" t="e">
        <f>VLOOKUP($A27,'S49'!$C:$BQ,39,0)</f>
        <v>#N/A</v>
      </c>
      <c r="AW27" s="58" t="e">
        <f>VLOOKUP($A27,'S49'!$C:$BQ,40,0)</f>
        <v>#N/A</v>
      </c>
      <c r="AX27" s="58" t="e">
        <f>VLOOKUP($A27,'S49'!$C:$BQ,22,0)</f>
        <v>#N/A</v>
      </c>
      <c r="AY27" s="66" t="e">
        <f>VLOOKUP($A27,'S49'!$C:$BQ,29,0)</f>
        <v>#N/A</v>
      </c>
      <c r="AZ27" s="66" t="e">
        <f>VLOOKUP($A27,'S49'!$C:$BQ,30,0)</f>
        <v>#N/A</v>
      </c>
      <c r="BA27" s="66" t="e">
        <f>VLOOKUP($A27,'S49'!$C:$BQ,52,0)</f>
        <v>#N/A</v>
      </c>
      <c r="BB27" s="66" t="e">
        <f>VLOOKUP($A27,'S49'!$C:$BQ,59,0)</f>
        <v>#N/A</v>
      </c>
      <c r="BC27" s="66" t="e">
        <f>VLOOKUP($A27,'S49'!$C:$BQ,60,0)</f>
        <v>#N/A</v>
      </c>
      <c r="BD27" s="58" t="e">
        <f>VLOOKUP($A27,'S50'!$C:$BQ,32,0)</f>
        <v>#N/A</v>
      </c>
      <c r="BE27" s="58" t="e">
        <f>VLOOKUP($A27,'S50'!$C:$BQ,39,0)</f>
        <v>#N/A</v>
      </c>
      <c r="BF27" s="58" t="e">
        <f>VLOOKUP($A27,'S50'!$C:$BQ,40,0)</f>
        <v>#N/A</v>
      </c>
      <c r="BG27" s="58" t="e">
        <f>VLOOKUP($A27,'S50'!$C:$BQ,22,0)</f>
        <v>#N/A</v>
      </c>
      <c r="BH27" s="66" t="e">
        <f>VLOOKUP($A27,'S50'!$C:$BQ,29,0)</f>
        <v>#N/A</v>
      </c>
      <c r="BI27" s="66" t="e">
        <f>VLOOKUP($A27,'S50'!$C:$BQ,30,0)</f>
        <v>#N/A</v>
      </c>
      <c r="BJ27" s="66" t="e">
        <f>VLOOKUP($A27,'S50'!$C:$BQ,52,0)</f>
        <v>#N/A</v>
      </c>
      <c r="BK27" s="66" t="e">
        <f>VLOOKUP($A27,'S50'!$C:$BQ,59,0)</f>
        <v>#N/A</v>
      </c>
      <c r="BL27" s="66" t="e">
        <f>VLOOKUP($A27,'S50'!$C:$BQ,60,0)</f>
        <v>#N/A</v>
      </c>
    </row>
    <row r="28" spans="1:64" x14ac:dyDescent="0.2">
      <c r="A28" s="57" t="s">
        <v>83</v>
      </c>
      <c r="B28" s="58">
        <f>VLOOKUP($A28,'S0 remplacer avec S44'!$C:$BQ,32,0)</f>
        <v>171.55</v>
      </c>
      <c r="C28" s="58">
        <f>VLOOKUP($A28,'S0 remplacer avec S44'!$C:$BQ,39,0)</f>
        <v>8</v>
      </c>
      <c r="D28" s="58">
        <f>VLOOKUP($A28,'S0 remplacer avec S44'!$C:$BQ,40,0)</f>
        <v>44</v>
      </c>
      <c r="E28" s="58">
        <f>VLOOKUP($A28,'S0 remplacer avec S44'!$C:$BQ,22,0)</f>
        <v>1950.5120850000001</v>
      </c>
      <c r="F28" s="66">
        <f>VLOOKUP($A28,'S0 remplacer avec S44'!$C:$BQ,29,0)</f>
        <v>0</v>
      </c>
      <c r="G28" s="66">
        <f>VLOOKUP($A28,'S0 remplacer avec S44'!$C:$BQ,30,0)</f>
        <v>3</v>
      </c>
      <c r="H28" s="66">
        <f>VLOOKUP($A28,'S0 remplacer avec S44'!$C:$BQ,52,0)</f>
        <v>91.8</v>
      </c>
      <c r="I28" s="66">
        <f>VLOOKUP($A28,'S0 remplacer avec S44'!$C:$BQ,59,0)</f>
        <v>0</v>
      </c>
      <c r="J28" s="66">
        <f>VLOOKUP($A28,'S0 remplacer avec S44'!$C:$BQ,60,0)</f>
        <v>18</v>
      </c>
      <c r="K28" s="58">
        <f>VLOOKUP($A28,'S45'!$C:$BQ,32,0)</f>
        <v>176.05</v>
      </c>
      <c r="L28" s="58">
        <f>VLOOKUP($A28,'S45'!$C:$BQ,39,0)</f>
        <v>3</v>
      </c>
      <c r="M28" s="58">
        <f>VLOOKUP($A28,'S45'!$C:$BQ,40,0)</f>
        <v>39</v>
      </c>
      <c r="N28" s="58">
        <f>VLOOKUP($A28,'S45'!$C:$BQ,22,0)</f>
        <v>1973.1017549999999</v>
      </c>
      <c r="O28" s="66">
        <f>VLOOKUP($A28,'S45'!$C:$BQ,29,0)</f>
        <v>0</v>
      </c>
      <c r="P28" s="66">
        <f>VLOOKUP($A28,'S45'!$C:$BQ,30,0)</f>
        <v>0</v>
      </c>
      <c r="Q28" s="66">
        <f>VLOOKUP($A28,'S45'!$C:$BQ,52,0)</f>
        <v>93.8</v>
      </c>
      <c r="R28" s="66">
        <f>VLOOKUP($A28,'S45'!$C:$BQ,59,0)</f>
        <v>0</v>
      </c>
      <c r="S28" s="66">
        <f>VLOOKUP($A28,'S45'!$C:$BQ,60,0)</f>
        <v>16</v>
      </c>
      <c r="T28" s="58">
        <f>VLOOKUP($A28,'S46'!$C:$BQ,32,0)</f>
        <v>176.05</v>
      </c>
      <c r="U28" s="58">
        <f>VLOOKUP($A28,'S46'!$C:$BQ,39,0)</f>
        <v>3</v>
      </c>
      <c r="V28" s="58">
        <f>VLOOKUP($A28,'S46'!$C:$BQ,40,0)</f>
        <v>39</v>
      </c>
      <c r="W28" s="58">
        <f>VLOOKUP($A28,'S46'!$C:$BQ,22,0)</f>
        <v>1974.235545</v>
      </c>
      <c r="X28" s="66">
        <f>VLOOKUP($A28,'S46'!$C:$BQ,29,0)</f>
        <v>0</v>
      </c>
      <c r="Y28" s="66">
        <f>VLOOKUP($A28,'S46'!$C:$BQ,30,0)</f>
        <v>0</v>
      </c>
      <c r="Z28" s="66">
        <f>VLOOKUP($A28,'S46'!$C:$BQ,52,0)</f>
        <v>101.8</v>
      </c>
      <c r="AA28" s="66">
        <f>VLOOKUP($A28,'S46'!$C:$BQ,59,0)</f>
        <v>0</v>
      </c>
      <c r="AB28" s="66">
        <f>VLOOKUP($A28,'S46'!$C:$BQ,60,0)</f>
        <v>8</v>
      </c>
      <c r="AC28" s="58">
        <f>VLOOKUP($A28,'S47'!$C:$BQ,32,0)</f>
        <v>177.05</v>
      </c>
      <c r="AD28" s="58">
        <f>VLOOKUP($A28,'S47'!$C:$BQ,39,0)</f>
        <v>2</v>
      </c>
      <c r="AE28" s="58">
        <f>VLOOKUP($A28,'S47'!$C:$BQ,40,0)</f>
        <v>38</v>
      </c>
      <c r="AF28" s="58">
        <f>VLOOKUP($A28,'S47'!$C:$BQ,22,0)</f>
        <v>1978.9872949999999</v>
      </c>
      <c r="AG28" s="66">
        <f>VLOOKUP($A28,'S47'!$C:$BQ,29,0)</f>
        <v>0</v>
      </c>
      <c r="AH28" s="66">
        <f>VLOOKUP($A28,'S47'!$C:$BQ,30,0)</f>
        <v>0</v>
      </c>
      <c r="AI28" s="66">
        <f>VLOOKUP($A28,'S47'!$C:$BQ,52,0)</f>
        <v>104.8</v>
      </c>
      <c r="AJ28" s="66">
        <f>VLOOKUP($A28,'S47'!$C:$BQ,59,0)</f>
        <v>0</v>
      </c>
      <c r="AK28" s="66">
        <f>VLOOKUP($A28,'S47'!$C:$BQ,60,0)</f>
        <v>5</v>
      </c>
      <c r="AL28" s="58" t="e">
        <f>VLOOKUP($A28,'S48'!$C:$BQ,32,0)</f>
        <v>#N/A</v>
      </c>
      <c r="AM28" s="58" t="e">
        <f>VLOOKUP($A28,'S48'!$C:$BQ,39,0)</f>
        <v>#N/A</v>
      </c>
      <c r="AN28" s="58" t="e">
        <f>VLOOKUP($A28,'S48'!$C:$BQ,40,0)</f>
        <v>#N/A</v>
      </c>
      <c r="AO28" s="58" t="e">
        <f>VLOOKUP($A28,'S48'!$C:$BQ,22,0)</f>
        <v>#N/A</v>
      </c>
      <c r="AP28" s="66" t="e">
        <f>VLOOKUP($A28,'S48'!$C:$BQ,29,0)</f>
        <v>#N/A</v>
      </c>
      <c r="AQ28" s="66" t="e">
        <f>VLOOKUP($A28,'S48'!$C:$BQ,30,0)</f>
        <v>#N/A</v>
      </c>
      <c r="AR28" s="66" t="e">
        <f>VLOOKUP($A28,'S48'!$C:$BQ,52,0)</f>
        <v>#N/A</v>
      </c>
      <c r="AS28" s="66" t="e">
        <f>VLOOKUP($A28,'S48'!$C:$BQ,59,0)</f>
        <v>#N/A</v>
      </c>
      <c r="AT28" s="66" t="e">
        <f>VLOOKUP($A28,'S48'!$C:$BQ,60,0)</f>
        <v>#N/A</v>
      </c>
      <c r="AU28" s="58" t="e">
        <f>VLOOKUP($A28,'S49'!$C:$BQ,32,0)</f>
        <v>#N/A</v>
      </c>
      <c r="AV28" s="58" t="e">
        <f>VLOOKUP($A28,'S49'!$C:$BQ,39,0)</f>
        <v>#N/A</v>
      </c>
      <c r="AW28" s="58" t="e">
        <f>VLOOKUP($A28,'S49'!$C:$BQ,40,0)</f>
        <v>#N/A</v>
      </c>
      <c r="AX28" s="58" t="e">
        <f>VLOOKUP($A28,'S49'!$C:$BQ,22,0)</f>
        <v>#N/A</v>
      </c>
      <c r="AY28" s="66" t="e">
        <f>VLOOKUP($A28,'S49'!$C:$BQ,29,0)</f>
        <v>#N/A</v>
      </c>
      <c r="AZ28" s="66" t="e">
        <f>VLOOKUP($A28,'S49'!$C:$BQ,30,0)</f>
        <v>#N/A</v>
      </c>
      <c r="BA28" s="66" t="e">
        <f>VLOOKUP($A28,'S49'!$C:$BQ,52,0)</f>
        <v>#N/A</v>
      </c>
      <c r="BB28" s="66" t="e">
        <f>VLOOKUP($A28,'S49'!$C:$BQ,59,0)</f>
        <v>#N/A</v>
      </c>
      <c r="BC28" s="66" t="e">
        <f>VLOOKUP($A28,'S49'!$C:$BQ,60,0)</f>
        <v>#N/A</v>
      </c>
      <c r="BD28" s="58" t="e">
        <f>VLOOKUP($A28,'S50'!$C:$BQ,32,0)</f>
        <v>#N/A</v>
      </c>
      <c r="BE28" s="58" t="e">
        <f>VLOOKUP($A28,'S50'!$C:$BQ,39,0)</f>
        <v>#N/A</v>
      </c>
      <c r="BF28" s="58" t="e">
        <f>VLOOKUP($A28,'S50'!$C:$BQ,40,0)</f>
        <v>#N/A</v>
      </c>
      <c r="BG28" s="58" t="e">
        <f>VLOOKUP($A28,'S50'!$C:$BQ,22,0)</f>
        <v>#N/A</v>
      </c>
      <c r="BH28" s="66" t="e">
        <f>VLOOKUP($A28,'S50'!$C:$BQ,29,0)</f>
        <v>#N/A</v>
      </c>
      <c r="BI28" s="66" t="e">
        <f>VLOOKUP($A28,'S50'!$C:$BQ,30,0)</f>
        <v>#N/A</v>
      </c>
      <c r="BJ28" s="66" t="e">
        <f>VLOOKUP($A28,'S50'!$C:$BQ,52,0)</f>
        <v>#N/A</v>
      </c>
      <c r="BK28" s="66" t="e">
        <f>VLOOKUP($A28,'S50'!$C:$BQ,59,0)</f>
        <v>#N/A</v>
      </c>
      <c r="BL28" s="66" t="e">
        <f>VLOOKUP($A28,'S50'!$C:$BQ,60,0)</f>
        <v>#N/A</v>
      </c>
    </row>
    <row r="29" spans="1:64" x14ac:dyDescent="0.2">
      <c r="A29" s="57" t="s">
        <v>84</v>
      </c>
      <c r="B29" s="58">
        <f>VLOOKUP($A29,'S0 remplacer avec S44'!$C:$BQ,32,0)</f>
        <v>233.8</v>
      </c>
      <c r="C29" s="58">
        <f>VLOOKUP($A29,'S0 remplacer avec S44'!$C:$BQ,39,0)</f>
        <v>239</v>
      </c>
      <c r="D29" s="58">
        <f>VLOOKUP($A29,'S0 remplacer avec S44'!$C:$BQ,40,0)</f>
        <v>333</v>
      </c>
      <c r="E29" s="58">
        <f>VLOOKUP($A29,'S0 remplacer avec S44'!$C:$BQ,22,0)</f>
        <v>3491.3643649999999</v>
      </c>
      <c r="F29" s="66">
        <f>VLOOKUP($A29,'S0 remplacer avec S44'!$C:$BQ,29,0)</f>
        <v>802</v>
      </c>
      <c r="G29" s="66">
        <f>VLOOKUP($A29,'S0 remplacer avec S44'!$C:$BQ,30,0)</f>
        <v>1661</v>
      </c>
      <c r="H29" s="66">
        <f>VLOOKUP($A29,'S0 remplacer avec S44'!$C:$BQ,52,0)</f>
        <v>181</v>
      </c>
      <c r="I29" s="66">
        <f>VLOOKUP($A29,'S0 remplacer avec S44'!$C:$BQ,59,0)</f>
        <v>59</v>
      </c>
      <c r="J29" s="66">
        <f>VLOOKUP($A29,'S0 remplacer avec S44'!$C:$BQ,60,0)</f>
        <v>107</v>
      </c>
      <c r="K29" s="58">
        <f>VLOOKUP($A29,'S45'!$C:$BQ,32,0)</f>
        <v>235.8</v>
      </c>
      <c r="L29" s="58">
        <f>VLOOKUP($A29,'S45'!$C:$BQ,39,0)</f>
        <v>237</v>
      </c>
      <c r="M29" s="58">
        <f>VLOOKUP($A29,'S45'!$C:$BQ,40,0)</f>
        <v>331</v>
      </c>
      <c r="N29" s="58">
        <f>VLOOKUP($A29,'S45'!$C:$BQ,22,0)</f>
        <v>3645.947885</v>
      </c>
      <c r="O29" s="66">
        <f>VLOOKUP($A29,'S45'!$C:$BQ,29,0)</f>
        <v>647</v>
      </c>
      <c r="P29" s="66">
        <f>VLOOKUP($A29,'S45'!$C:$BQ,30,0)</f>
        <v>1506</v>
      </c>
      <c r="Q29" s="66">
        <f>VLOOKUP($A29,'S45'!$C:$BQ,52,0)</f>
        <v>187</v>
      </c>
      <c r="R29" s="66">
        <f>VLOOKUP($A29,'S45'!$C:$BQ,59,0)</f>
        <v>53</v>
      </c>
      <c r="S29" s="66">
        <f>VLOOKUP($A29,'S45'!$C:$BQ,60,0)</f>
        <v>101</v>
      </c>
      <c r="T29" s="58">
        <f>VLOOKUP($A29,'S46'!$C:$BQ,32,0)</f>
        <v>237.8</v>
      </c>
      <c r="U29" s="58">
        <f>VLOOKUP($A29,'S46'!$C:$BQ,39,0)</f>
        <v>235</v>
      </c>
      <c r="V29" s="58">
        <f>VLOOKUP($A29,'S46'!$C:$BQ,40,0)</f>
        <v>329</v>
      </c>
      <c r="W29" s="58">
        <f>VLOOKUP($A29,'S46'!$C:$BQ,22,0)</f>
        <v>3676.7632349999999</v>
      </c>
      <c r="X29" s="66">
        <f>VLOOKUP($A29,'S46'!$C:$BQ,29,0)</f>
        <v>617</v>
      </c>
      <c r="Y29" s="66">
        <f>VLOOKUP($A29,'S46'!$C:$BQ,30,0)</f>
        <v>1475</v>
      </c>
      <c r="Z29" s="66">
        <f>VLOOKUP($A29,'S46'!$C:$BQ,52,0)</f>
        <v>189</v>
      </c>
      <c r="AA29" s="66">
        <f>VLOOKUP($A29,'S46'!$C:$BQ,59,0)</f>
        <v>51</v>
      </c>
      <c r="AB29" s="66">
        <f>VLOOKUP($A29,'S46'!$C:$BQ,60,0)</f>
        <v>99</v>
      </c>
      <c r="AC29" s="58">
        <f>VLOOKUP($A29,'S47'!$C:$BQ,32,0)</f>
        <v>239.3</v>
      </c>
      <c r="AD29" s="58">
        <f>VLOOKUP($A29,'S47'!$C:$BQ,39,0)</f>
        <v>233</v>
      </c>
      <c r="AE29" s="58">
        <f>VLOOKUP($A29,'S47'!$C:$BQ,40,0)</f>
        <v>328</v>
      </c>
      <c r="AF29" s="58">
        <f>VLOOKUP($A29,'S47'!$C:$BQ,22,0)</f>
        <v>3773.6693949999999</v>
      </c>
      <c r="AG29" s="66">
        <f>VLOOKUP($A29,'S47'!$C:$BQ,29,0)</f>
        <v>520</v>
      </c>
      <c r="AH29" s="66">
        <f>VLOOKUP($A29,'S47'!$C:$BQ,30,0)</f>
        <v>1378</v>
      </c>
      <c r="AI29" s="66">
        <f>VLOOKUP($A29,'S47'!$C:$BQ,52,0)</f>
        <v>190</v>
      </c>
      <c r="AJ29" s="66">
        <f>VLOOKUP($A29,'S47'!$C:$BQ,59,0)</f>
        <v>50</v>
      </c>
      <c r="AK29" s="66">
        <f>VLOOKUP($A29,'S47'!$C:$BQ,60,0)</f>
        <v>98</v>
      </c>
      <c r="AL29" s="58" t="e">
        <f>VLOOKUP($A29,'S48'!$C:$BQ,32,0)</f>
        <v>#N/A</v>
      </c>
      <c r="AM29" s="58" t="e">
        <f>VLOOKUP($A29,'S48'!$C:$BQ,39,0)</f>
        <v>#N/A</v>
      </c>
      <c r="AN29" s="58" t="e">
        <f>VLOOKUP($A29,'S48'!$C:$BQ,40,0)</f>
        <v>#N/A</v>
      </c>
      <c r="AO29" s="58" t="e">
        <f>VLOOKUP($A29,'S48'!$C:$BQ,22,0)</f>
        <v>#N/A</v>
      </c>
      <c r="AP29" s="66" t="e">
        <f>VLOOKUP($A29,'S48'!$C:$BQ,29,0)</f>
        <v>#N/A</v>
      </c>
      <c r="AQ29" s="66" t="e">
        <f>VLOOKUP($A29,'S48'!$C:$BQ,30,0)</f>
        <v>#N/A</v>
      </c>
      <c r="AR29" s="66" t="e">
        <f>VLOOKUP($A29,'S48'!$C:$BQ,52,0)</f>
        <v>#N/A</v>
      </c>
      <c r="AS29" s="66" t="e">
        <f>VLOOKUP($A29,'S48'!$C:$BQ,59,0)</f>
        <v>#N/A</v>
      </c>
      <c r="AT29" s="66" t="e">
        <f>VLOOKUP($A29,'S48'!$C:$BQ,60,0)</f>
        <v>#N/A</v>
      </c>
      <c r="AU29" s="58" t="e">
        <f>VLOOKUP($A29,'S49'!$C:$BQ,32,0)</f>
        <v>#N/A</v>
      </c>
      <c r="AV29" s="58" t="e">
        <f>VLOOKUP($A29,'S49'!$C:$BQ,39,0)</f>
        <v>#N/A</v>
      </c>
      <c r="AW29" s="58" t="e">
        <f>VLOOKUP($A29,'S49'!$C:$BQ,40,0)</f>
        <v>#N/A</v>
      </c>
      <c r="AX29" s="58" t="e">
        <f>VLOOKUP($A29,'S49'!$C:$BQ,22,0)</f>
        <v>#N/A</v>
      </c>
      <c r="AY29" s="66" t="e">
        <f>VLOOKUP($A29,'S49'!$C:$BQ,29,0)</f>
        <v>#N/A</v>
      </c>
      <c r="AZ29" s="66" t="e">
        <f>VLOOKUP($A29,'S49'!$C:$BQ,30,0)</f>
        <v>#N/A</v>
      </c>
      <c r="BA29" s="66" t="e">
        <f>VLOOKUP($A29,'S49'!$C:$BQ,52,0)</f>
        <v>#N/A</v>
      </c>
      <c r="BB29" s="66" t="e">
        <f>VLOOKUP($A29,'S49'!$C:$BQ,59,0)</f>
        <v>#N/A</v>
      </c>
      <c r="BC29" s="66" t="e">
        <f>VLOOKUP($A29,'S49'!$C:$BQ,60,0)</f>
        <v>#N/A</v>
      </c>
      <c r="BD29" s="58" t="e">
        <f>VLOOKUP($A29,'S50'!$C:$BQ,32,0)</f>
        <v>#N/A</v>
      </c>
      <c r="BE29" s="58" t="e">
        <f>VLOOKUP($A29,'S50'!$C:$BQ,39,0)</f>
        <v>#N/A</v>
      </c>
      <c r="BF29" s="58" t="e">
        <f>VLOOKUP($A29,'S50'!$C:$BQ,40,0)</f>
        <v>#N/A</v>
      </c>
      <c r="BG29" s="58" t="e">
        <f>VLOOKUP($A29,'S50'!$C:$BQ,22,0)</f>
        <v>#N/A</v>
      </c>
      <c r="BH29" s="66" t="e">
        <f>VLOOKUP($A29,'S50'!$C:$BQ,29,0)</f>
        <v>#N/A</v>
      </c>
      <c r="BI29" s="66" t="e">
        <f>VLOOKUP($A29,'S50'!$C:$BQ,30,0)</f>
        <v>#N/A</v>
      </c>
      <c r="BJ29" s="66" t="e">
        <f>VLOOKUP($A29,'S50'!$C:$BQ,52,0)</f>
        <v>#N/A</v>
      </c>
      <c r="BK29" s="66" t="e">
        <f>VLOOKUP($A29,'S50'!$C:$BQ,59,0)</f>
        <v>#N/A</v>
      </c>
      <c r="BL29" s="66" t="e">
        <f>VLOOKUP($A29,'S50'!$C:$BQ,60,0)</f>
        <v>#N/A</v>
      </c>
    </row>
    <row r="30" spans="1:64" x14ac:dyDescent="0.2">
      <c r="A30" s="57" t="s">
        <v>85</v>
      </c>
      <c r="B30" s="58">
        <f>VLOOKUP($A30,'S0 remplacer avec S44'!$C:$BQ,32,0)</f>
        <v>352.65</v>
      </c>
      <c r="C30" s="58">
        <f>VLOOKUP($A30,'S0 remplacer avec S44'!$C:$BQ,39,0)</f>
        <v>156</v>
      </c>
      <c r="D30" s="58">
        <f>VLOOKUP($A30,'S0 remplacer avec S44'!$C:$BQ,40,0)</f>
        <v>258</v>
      </c>
      <c r="E30" s="58">
        <f>VLOOKUP($A30,'S0 remplacer avec S44'!$C:$BQ,22,0)</f>
        <v>3948.1300900000001</v>
      </c>
      <c r="F30" s="66">
        <f>VLOOKUP($A30,'S0 remplacer avec S44'!$C:$BQ,29,0)</f>
        <v>677</v>
      </c>
      <c r="G30" s="66">
        <f>VLOOKUP($A30,'S0 remplacer avec S44'!$C:$BQ,30,0)</f>
        <v>1602</v>
      </c>
      <c r="H30" s="66">
        <f>VLOOKUP($A30,'S0 remplacer avec S44'!$C:$BQ,52,0)</f>
        <v>291.8</v>
      </c>
      <c r="I30" s="66">
        <f>VLOOKUP($A30,'S0 remplacer avec S44'!$C:$BQ,59,0)</f>
        <v>0</v>
      </c>
      <c r="J30" s="66">
        <f>VLOOKUP($A30,'S0 remplacer avec S44'!$C:$BQ,60,0)</f>
        <v>19</v>
      </c>
      <c r="K30" s="58">
        <f>VLOOKUP($A30,'S45'!$C:$BQ,32,0)</f>
        <v>355.65</v>
      </c>
      <c r="L30" s="58">
        <f>VLOOKUP($A30,'S45'!$C:$BQ,39,0)</f>
        <v>153</v>
      </c>
      <c r="M30" s="58">
        <f>VLOOKUP($A30,'S45'!$C:$BQ,40,0)</f>
        <v>255</v>
      </c>
      <c r="N30" s="58">
        <f>VLOOKUP($A30,'S45'!$C:$BQ,22,0)</f>
        <v>3929.96722</v>
      </c>
      <c r="O30" s="66">
        <f>VLOOKUP($A30,'S45'!$C:$BQ,29,0)</f>
        <v>695</v>
      </c>
      <c r="P30" s="66">
        <f>VLOOKUP($A30,'S45'!$C:$BQ,30,0)</f>
        <v>1620</v>
      </c>
      <c r="Q30" s="66">
        <f>VLOOKUP($A30,'S45'!$C:$BQ,52,0)</f>
        <v>297.8</v>
      </c>
      <c r="R30" s="66">
        <f>VLOOKUP($A30,'S45'!$C:$BQ,59,0)</f>
        <v>0</v>
      </c>
      <c r="S30" s="66">
        <f>VLOOKUP($A30,'S45'!$C:$BQ,60,0)</f>
        <v>13</v>
      </c>
      <c r="T30" s="58">
        <f>VLOOKUP($A30,'S46'!$C:$BQ,32,0)</f>
        <v>355.15</v>
      </c>
      <c r="U30" s="58">
        <f>VLOOKUP($A30,'S46'!$C:$BQ,39,0)</f>
        <v>154</v>
      </c>
      <c r="V30" s="58">
        <f>VLOOKUP($A30,'S46'!$C:$BQ,40,0)</f>
        <v>256</v>
      </c>
      <c r="W30" s="58">
        <f>VLOOKUP($A30,'S46'!$C:$BQ,22,0)</f>
        <v>4007.2077800000002</v>
      </c>
      <c r="X30" s="66">
        <f>VLOOKUP($A30,'S46'!$C:$BQ,29,0)</f>
        <v>618</v>
      </c>
      <c r="Y30" s="66">
        <f>VLOOKUP($A30,'S46'!$C:$BQ,30,0)</f>
        <v>1543</v>
      </c>
      <c r="Z30" s="66">
        <f>VLOOKUP($A30,'S46'!$C:$BQ,52,0)</f>
        <v>298.8</v>
      </c>
      <c r="AA30" s="66">
        <f>VLOOKUP($A30,'S46'!$C:$BQ,59,0)</f>
        <v>0</v>
      </c>
      <c r="AB30" s="66">
        <f>VLOOKUP($A30,'S46'!$C:$BQ,60,0)</f>
        <v>12</v>
      </c>
      <c r="AC30" s="58">
        <f>VLOOKUP($A30,'S47'!$C:$BQ,32,0)</f>
        <v>361.65</v>
      </c>
      <c r="AD30" s="58">
        <f>VLOOKUP($A30,'S47'!$C:$BQ,39,0)</f>
        <v>147</v>
      </c>
      <c r="AE30" s="58">
        <f>VLOOKUP($A30,'S47'!$C:$BQ,40,0)</f>
        <v>249</v>
      </c>
      <c r="AF30" s="58">
        <f>VLOOKUP($A30,'S47'!$C:$BQ,22,0)</f>
        <v>4066.0792799999999</v>
      </c>
      <c r="AG30" s="66">
        <f>VLOOKUP($A30,'S47'!$C:$BQ,29,0)</f>
        <v>559</v>
      </c>
      <c r="AH30" s="66">
        <f>VLOOKUP($A30,'S47'!$C:$BQ,30,0)</f>
        <v>1484</v>
      </c>
      <c r="AI30" s="66">
        <f>VLOOKUP($A30,'S47'!$C:$BQ,52,0)</f>
        <v>303.8</v>
      </c>
      <c r="AJ30" s="66">
        <f>VLOOKUP($A30,'S47'!$C:$BQ,59,0)</f>
        <v>0</v>
      </c>
      <c r="AK30" s="66">
        <f>VLOOKUP($A30,'S47'!$C:$BQ,60,0)</f>
        <v>7</v>
      </c>
      <c r="AL30" s="58" t="e">
        <f>VLOOKUP($A30,'S48'!$C:$BQ,32,0)</f>
        <v>#N/A</v>
      </c>
      <c r="AM30" s="58" t="e">
        <f>VLOOKUP($A30,'S48'!$C:$BQ,39,0)</f>
        <v>#N/A</v>
      </c>
      <c r="AN30" s="58" t="e">
        <f>VLOOKUP($A30,'S48'!$C:$BQ,40,0)</f>
        <v>#N/A</v>
      </c>
      <c r="AO30" s="58" t="e">
        <f>VLOOKUP($A30,'S48'!$C:$BQ,22,0)</f>
        <v>#N/A</v>
      </c>
      <c r="AP30" s="66" t="e">
        <f>VLOOKUP($A30,'S48'!$C:$BQ,29,0)</f>
        <v>#N/A</v>
      </c>
      <c r="AQ30" s="66" t="e">
        <f>VLOOKUP($A30,'S48'!$C:$BQ,30,0)</f>
        <v>#N/A</v>
      </c>
      <c r="AR30" s="66" t="e">
        <f>VLOOKUP($A30,'S48'!$C:$BQ,52,0)</f>
        <v>#N/A</v>
      </c>
      <c r="AS30" s="66" t="e">
        <f>VLOOKUP($A30,'S48'!$C:$BQ,59,0)</f>
        <v>#N/A</v>
      </c>
      <c r="AT30" s="66" t="e">
        <f>VLOOKUP($A30,'S48'!$C:$BQ,60,0)</f>
        <v>#N/A</v>
      </c>
      <c r="AU30" s="58" t="e">
        <f>VLOOKUP($A30,'S49'!$C:$BQ,32,0)</f>
        <v>#N/A</v>
      </c>
      <c r="AV30" s="58" t="e">
        <f>VLOOKUP($A30,'S49'!$C:$BQ,39,0)</f>
        <v>#N/A</v>
      </c>
      <c r="AW30" s="58" t="e">
        <f>VLOOKUP($A30,'S49'!$C:$BQ,40,0)</f>
        <v>#N/A</v>
      </c>
      <c r="AX30" s="58" t="e">
        <f>VLOOKUP($A30,'S49'!$C:$BQ,22,0)</f>
        <v>#N/A</v>
      </c>
      <c r="AY30" s="66" t="e">
        <f>VLOOKUP($A30,'S49'!$C:$BQ,29,0)</f>
        <v>#N/A</v>
      </c>
      <c r="AZ30" s="66" t="e">
        <f>VLOOKUP($A30,'S49'!$C:$BQ,30,0)</f>
        <v>#N/A</v>
      </c>
      <c r="BA30" s="66" t="e">
        <f>VLOOKUP($A30,'S49'!$C:$BQ,52,0)</f>
        <v>#N/A</v>
      </c>
      <c r="BB30" s="66" t="e">
        <f>VLOOKUP($A30,'S49'!$C:$BQ,59,0)</f>
        <v>#N/A</v>
      </c>
      <c r="BC30" s="66" t="e">
        <f>VLOOKUP($A30,'S49'!$C:$BQ,60,0)</f>
        <v>#N/A</v>
      </c>
      <c r="BD30" s="58" t="e">
        <f>VLOOKUP($A30,'S50'!$C:$BQ,32,0)</f>
        <v>#N/A</v>
      </c>
      <c r="BE30" s="58" t="e">
        <f>VLOOKUP($A30,'S50'!$C:$BQ,39,0)</f>
        <v>#N/A</v>
      </c>
      <c r="BF30" s="58" t="e">
        <f>VLOOKUP($A30,'S50'!$C:$BQ,40,0)</f>
        <v>#N/A</v>
      </c>
      <c r="BG30" s="58" t="e">
        <f>VLOOKUP($A30,'S50'!$C:$BQ,22,0)</f>
        <v>#N/A</v>
      </c>
      <c r="BH30" s="66" t="e">
        <f>VLOOKUP($A30,'S50'!$C:$BQ,29,0)</f>
        <v>#N/A</v>
      </c>
      <c r="BI30" s="66" t="e">
        <f>VLOOKUP($A30,'S50'!$C:$BQ,30,0)</f>
        <v>#N/A</v>
      </c>
      <c r="BJ30" s="66" t="e">
        <f>VLOOKUP($A30,'S50'!$C:$BQ,52,0)</f>
        <v>#N/A</v>
      </c>
      <c r="BK30" s="66" t="e">
        <f>VLOOKUP($A30,'S50'!$C:$BQ,59,0)</f>
        <v>#N/A</v>
      </c>
      <c r="BL30" s="66" t="e">
        <f>VLOOKUP($A30,'S50'!$C:$BQ,60,0)</f>
        <v>#N/A</v>
      </c>
    </row>
    <row r="31" spans="1:64" x14ac:dyDescent="0.2">
      <c r="A31" s="57" t="s">
        <v>86</v>
      </c>
      <c r="B31" s="58">
        <f>VLOOKUP($A31,'S0 remplacer avec S44'!$C:$BQ,32,0)</f>
        <v>30.3</v>
      </c>
      <c r="C31" s="58">
        <f>VLOOKUP($A31,'S0 remplacer avec S44'!$C:$BQ,39,0)</f>
        <v>60</v>
      </c>
      <c r="D31" s="58">
        <f>VLOOKUP($A31,'S0 remplacer avec S44'!$C:$BQ,40,0)</f>
        <v>78</v>
      </c>
      <c r="E31" s="58">
        <f>VLOOKUP($A31,'S0 remplacer avec S44'!$C:$BQ,22,0)</f>
        <v>435.25427500000001</v>
      </c>
      <c r="F31" s="66">
        <f>VLOOKUP($A31,'S0 remplacer avec S44'!$C:$BQ,29,0)</f>
        <v>386</v>
      </c>
      <c r="G31" s="66">
        <f>VLOOKUP($A31,'S0 remplacer avec S44'!$C:$BQ,30,0)</f>
        <v>550</v>
      </c>
      <c r="H31" s="66">
        <f>VLOOKUP($A31,'S0 remplacer avec S44'!$C:$BQ,52,0)</f>
        <v>27.4</v>
      </c>
      <c r="I31" s="66">
        <f>VLOOKUP($A31,'S0 remplacer avec S44'!$C:$BQ,59,0)</f>
        <v>19</v>
      </c>
      <c r="J31" s="66">
        <f>VLOOKUP($A31,'S0 remplacer avec S44'!$C:$BQ,60,0)</f>
        <v>28</v>
      </c>
      <c r="K31" s="58">
        <f>VLOOKUP($A31,'S45'!$C:$BQ,32,0)</f>
        <v>31.3</v>
      </c>
      <c r="L31" s="58">
        <f>VLOOKUP($A31,'S45'!$C:$BQ,39,0)</f>
        <v>59</v>
      </c>
      <c r="M31" s="58">
        <f>VLOOKUP($A31,'S45'!$C:$BQ,40,0)</f>
        <v>77</v>
      </c>
      <c r="N31" s="58">
        <f>VLOOKUP($A31,'S45'!$C:$BQ,22,0)</f>
        <v>435.30827499999998</v>
      </c>
      <c r="O31" s="66">
        <f>VLOOKUP($A31,'S45'!$C:$BQ,29,0)</f>
        <v>386</v>
      </c>
      <c r="P31" s="66">
        <f>VLOOKUP($A31,'S45'!$C:$BQ,30,0)</f>
        <v>550</v>
      </c>
      <c r="Q31" s="66">
        <f>VLOOKUP($A31,'S45'!$C:$BQ,52,0)</f>
        <v>27.4</v>
      </c>
      <c r="R31" s="66">
        <f>VLOOKUP($A31,'S45'!$C:$BQ,59,0)</f>
        <v>19</v>
      </c>
      <c r="S31" s="66">
        <f>VLOOKUP($A31,'S45'!$C:$BQ,60,0)</f>
        <v>28</v>
      </c>
      <c r="T31" s="58">
        <f>VLOOKUP($A31,'S46'!$C:$BQ,32,0)</f>
        <v>31.3</v>
      </c>
      <c r="U31" s="58">
        <f>VLOOKUP($A31,'S46'!$C:$BQ,39,0)</f>
        <v>59</v>
      </c>
      <c r="V31" s="58">
        <f>VLOOKUP($A31,'S46'!$C:$BQ,40,0)</f>
        <v>77</v>
      </c>
      <c r="W31" s="58">
        <f>VLOOKUP($A31,'S46'!$C:$BQ,22,0)</f>
        <v>430.847555</v>
      </c>
      <c r="X31" s="66">
        <f>VLOOKUP($A31,'S46'!$C:$BQ,29,0)</f>
        <v>390</v>
      </c>
      <c r="Y31" s="66">
        <f>VLOOKUP($A31,'S46'!$C:$BQ,30,0)</f>
        <v>555</v>
      </c>
      <c r="Z31" s="66">
        <f>VLOOKUP($A31,'S46'!$C:$BQ,52,0)</f>
        <v>27.4</v>
      </c>
      <c r="AA31" s="66">
        <f>VLOOKUP($A31,'S46'!$C:$BQ,59,0)</f>
        <v>19</v>
      </c>
      <c r="AB31" s="66">
        <f>VLOOKUP($A31,'S46'!$C:$BQ,60,0)</f>
        <v>28</v>
      </c>
      <c r="AC31" s="58">
        <f>VLOOKUP($A31,'S47'!$C:$BQ,32,0)</f>
        <v>32.299999999999997</v>
      </c>
      <c r="AD31" s="58">
        <f>VLOOKUP($A31,'S47'!$C:$BQ,39,0)</f>
        <v>58</v>
      </c>
      <c r="AE31" s="58">
        <f>VLOOKUP($A31,'S47'!$C:$BQ,40,0)</f>
        <v>76</v>
      </c>
      <c r="AF31" s="58">
        <f>VLOOKUP($A31,'S47'!$C:$BQ,22,0)</f>
        <v>442.52023500000001</v>
      </c>
      <c r="AG31" s="66">
        <f>VLOOKUP($A31,'S47'!$C:$BQ,29,0)</f>
        <v>379</v>
      </c>
      <c r="AH31" s="66">
        <f>VLOOKUP($A31,'S47'!$C:$BQ,30,0)</f>
        <v>543</v>
      </c>
      <c r="AI31" s="66">
        <f>VLOOKUP($A31,'S47'!$C:$BQ,52,0)</f>
        <v>27.4</v>
      </c>
      <c r="AJ31" s="66">
        <f>VLOOKUP($A31,'S47'!$C:$BQ,59,0)</f>
        <v>19</v>
      </c>
      <c r="AK31" s="66">
        <f>VLOOKUP($A31,'S47'!$C:$BQ,60,0)</f>
        <v>28</v>
      </c>
      <c r="AL31" s="58" t="e">
        <f>VLOOKUP($A31,'S48'!$C:$BQ,32,0)</f>
        <v>#N/A</v>
      </c>
      <c r="AM31" s="58" t="e">
        <f>VLOOKUP($A31,'S48'!$C:$BQ,39,0)</f>
        <v>#N/A</v>
      </c>
      <c r="AN31" s="58" t="e">
        <f>VLOOKUP($A31,'S48'!$C:$BQ,40,0)</f>
        <v>#N/A</v>
      </c>
      <c r="AO31" s="58" t="e">
        <f>VLOOKUP($A31,'S48'!$C:$BQ,22,0)</f>
        <v>#N/A</v>
      </c>
      <c r="AP31" s="66" t="e">
        <f>VLOOKUP($A31,'S48'!$C:$BQ,29,0)</f>
        <v>#N/A</v>
      </c>
      <c r="AQ31" s="66" t="e">
        <f>VLOOKUP($A31,'S48'!$C:$BQ,30,0)</f>
        <v>#N/A</v>
      </c>
      <c r="AR31" s="66" t="e">
        <f>VLOOKUP($A31,'S48'!$C:$BQ,52,0)</f>
        <v>#N/A</v>
      </c>
      <c r="AS31" s="66" t="e">
        <f>VLOOKUP($A31,'S48'!$C:$BQ,59,0)</f>
        <v>#N/A</v>
      </c>
      <c r="AT31" s="66" t="e">
        <f>VLOOKUP($A31,'S48'!$C:$BQ,60,0)</f>
        <v>#N/A</v>
      </c>
      <c r="AU31" s="58" t="e">
        <f>VLOOKUP($A31,'S49'!$C:$BQ,32,0)</f>
        <v>#N/A</v>
      </c>
      <c r="AV31" s="58" t="e">
        <f>VLOOKUP($A31,'S49'!$C:$BQ,39,0)</f>
        <v>#N/A</v>
      </c>
      <c r="AW31" s="58" t="e">
        <f>VLOOKUP($A31,'S49'!$C:$BQ,40,0)</f>
        <v>#N/A</v>
      </c>
      <c r="AX31" s="58" t="e">
        <f>VLOOKUP($A31,'S49'!$C:$BQ,22,0)</f>
        <v>#N/A</v>
      </c>
      <c r="AY31" s="66" t="e">
        <f>VLOOKUP($A31,'S49'!$C:$BQ,29,0)</f>
        <v>#N/A</v>
      </c>
      <c r="AZ31" s="66" t="e">
        <f>VLOOKUP($A31,'S49'!$C:$BQ,30,0)</f>
        <v>#N/A</v>
      </c>
      <c r="BA31" s="66" t="e">
        <f>VLOOKUP($A31,'S49'!$C:$BQ,52,0)</f>
        <v>#N/A</v>
      </c>
      <c r="BB31" s="66" t="e">
        <f>VLOOKUP($A31,'S49'!$C:$BQ,59,0)</f>
        <v>#N/A</v>
      </c>
      <c r="BC31" s="66" t="e">
        <f>VLOOKUP($A31,'S49'!$C:$BQ,60,0)</f>
        <v>#N/A</v>
      </c>
      <c r="BD31" s="58" t="e">
        <f>VLOOKUP($A31,'S50'!$C:$BQ,32,0)</f>
        <v>#N/A</v>
      </c>
      <c r="BE31" s="58" t="e">
        <f>VLOOKUP($A31,'S50'!$C:$BQ,39,0)</f>
        <v>#N/A</v>
      </c>
      <c r="BF31" s="58" t="e">
        <f>VLOOKUP($A31,'S50'!$C:$BQ,40,0)</f>
        <v>#N/A</v>
      </c>
      <c r="BG31" s="58" t="e">
        <f>VLOOKUP($A31,'S50'!$C:$BQ,22,0)</f>
        <v>#N/A</v>
      </c>
      <c r="BH31" s="66" t="e">
        <f>VLOOKUP($A31,'S50'!$C:$BQ,29,0)</f>
        <v>#N/A</v>
      </c>
      <c r="BI31" s="66" t="e">
        <f>VLOOKUP($A31,'S50'!$C:$BQ,30,0)</f>
        <v>#N/A</v>
      </c>
      <c r="BJ31" s="66" t="e">
        <f>VLOOKUP($A31,'S50'!$C:$BQ,52,0)</f>
        <v>#N/A</v>
      </c>
      <c r="BK31" s="66" t="e">
        <f>VLOOKUP($A31,'S50'!$C:$BQ,59,0)</f>
        <v>#N/A</v>
      </c>
      <c r="BL31" s="66" t="e">
        <f>VLOOKUP($A31,'S50'!$C:$BQ,60,0)</f>
        <v>#N/A</v>
      </c>
    </row>
    <row r="32" spans="1:64" x14ac:dyDescent="0.2">
      <c r="A32" s="57" t="s">
        <v>87</v>
      </c>
      <c r="B32" s="58">
        <f>VLOOKUP($A32,'S0 remplacer avec S44'!$C:$BQ,32,0)</f>
        <v>161.69999999999999</v>
      </c>
      <c r="C32" s="58">
        <f>VLOOKUP($A32,'S0 remplacer avec S44'!$C:$BQ,39,0)</f>
        <v>0</v>
      </c>
      <c r="D32" s="58">
        <f>VLOOKUP($A32,'S0 remplacer avec S44'!$C:$BQ,40,0)</f>
        <v>22</v>
      </c>
      <c r="E32" s="58">
        <f>VLOOKUP($A32,'S0 remplacer avec S44'!$C:$BQ,22,0)</f>
        <v>1571.2996350000001</v>
      </c>
      <c r="F32" s="66">
        <f>VLOOKUP($A32,'S0 remplacer avec S44'!$C:$BQ,29,0)</f>
        <v>0</v>
      </c>
      <c r="G32" s="66">
        <f>VLOOKUP($A32,'S0 remplacer avec S44'!$C:$BQ,30,0)</f>
        <v>93</v>
      </c>
      <c r="H32" s="66">
        <f>VLOOKUP($A32,'S0 remplacer avec S44'!$C:$BQ,52,0)</f>
        <v>70.2</v>
      </c>
      <c r="I32" s="66">
        <f>VLOOKUP($A32,'S0 remplacer avec S44'!$C:$BQ,59,0)</f>
        <v>8</v>
      </c>
      <c r="J32" s="66">
        <f>VLOOKUP($A32,'S0 remplacer avec S44'!$C:$BQ,60,0)</f>
        <v>23</v>
      </c>
      <c r="K32" s="58">
        <f>VLOOKUP($A32,'S45'!$C:$BQ,32,0)</f>
        <v>162.69999999999999</v>
      </c>
      <c r="L32" s="58">
        <f>VLOOKUP($A32,'S45'!$C:$BQ,39,0)</f>
        <v>0</v>
      </c>
      <c r="M32" s="58">
        <f>VLOOKUP($A32,'S45'!$C:$BQ,40,0)</f>
        <v>21</v>
      </c>
      <c r="N32" s="58">
        <f>VLOOKUP($A32,'S45'!$C:$BQ,22,0)</f>
        <v>1602.831635</v>
      </c>
      <c r="O32" s="66">
        <f>VLOOKUP($A32,'S45'!$C:$BQ,29,0)</f>
        <v>0</v>
      </c>
      <c r="P32" s="66">
        <f>VLOOKUP($A32,'S45'!$C:$BQ,30,0)</f>
        <v>61</v>
      </c>
      <c r="Q32" s="66">
        <f>VLOOKUP($A32,'S45'!$C:$BQ,52,0)</f>
        <v>71.2</v>
      </c>
      <c r="R32" s="66">
        <f>VLOOKUP($A32,'S45'!$C:$BQ,59,0)</f>
        <v>7</v>
      </c>
      <c r="S32" s="66">
        <f>VLOOKUP($A32,'S45'!$C:$BQ,60,0)</f>
        <v>22</v>
      </c>
      <c r="T32" s="58">
        <f>VLOOKUP($A32,'S46'!$C:$BQ,32,0)</f>
        <v>161.69999999999999</v>
      </c>
      <c r="U32" s="58">
        <f>VLOOKUP($A32,'S46'!$C:$BQ,39,0)</f>
        <v>0</v>
      </c>
      <c r="V32" s="58">
        <f>VLOOKUP($A32,'S46'!$C:$BQ,40,0)</f>
        <v>22</v>
      </c>
      <c r="W32" s="58">
        <f>VLOOKUP($A32,'S46'!$C:$BQ,22,0)</f>
        <v>1603.8145750000001</v>
      </c>
      <c r="X32" s="66">
        <f>VLOOKUP($A32,'S46'!$C:$BQ,29,0)</f>
        <v>0</v>
      </c>
      <c r="Y32" s="66">
        <f>VLOOKUP($A32,'S46'!$C:$BQ,30,0)</f>
        <v>60</v>
      </c>
      <c r="Z32" s="66">
        <f>VLOOKUP($A32,'S46'!$C:$BQ,52,0)</f>
        <v>72.2</v>
      </c>
      <c r="AA32" s="66">
        <f>VLOOKUP($A32,'S46'!$C:$BQ,59,0)</f>
        <v>6</v>
      </c>
      <c r="AB32" s="66">
        <f>VLOOKUP($A32,'S46'!$C:$BQ,60,0)</f>
        <v>21</v>
      </c>
      <c r="AC32" s="58">
        <f>VLOOKUP($A32,'S47'!$C:$BQ,32,0)</f>
        <v>162.69999999999999</v>
      </c>
      <c r="AD32" s="58">
        <f>VLOOKUP($A32,'S47'!$C:$BQ,39,0)</f>
        <v>0</v>
      </c>
      <c r="AE32" s="58">
        <f>VLOOKUP($A32,'S47'!$C:$BQ,40,0)</f>
        <v>21</v>
      </c>
      <c r="AF32" s="58">
        <f>VLOOKUP($A32,'S47'!$C:$BQ,22,0)</f>
        <v>1605.4844350000001</v>
      </c>
      <c r="AG32" s="66">
        <f>VLOOKUP($A32,'S47'!$C:$BQ,29,0)</f>
        <v>0</v>
      </c>
      <c r="AH32" s="66">
        <f>VLOOKUP($A32,'S47'!$C:$BQ,30,0)</f>
        <v>59</v>
      </c>
      <c r="AI32" s="66">
        <f>VLOOKUP($A32,'S47'!$C:$BQ,52,0)</f>
        <v>73.2</v>
      </c>
      <c r="AJ32" s="66">
        <f>VLOOKUP($A32,'S47'!$C:$BQ,59,0)</f>
        <v>5</v>
      </c>
      <c r="AK32" s="66">
        <f>VLOOKUP($A32,'S47'!$C:$BQ,60,0)</f>
        <v>20</v>
      </c>
      <c r="AL32" s="58" t="e">
        <f>VLOOKUP($A32,'S48'!$C:$BQ,32,0)</f>
        <v>#N/A</v>
      </c>
      <c r="AM32" s="58" t="e">
        <f>VLOOKUP($A32,'S48'!$C:$BQ,39,0)</f>
        <v>#N/A</v>
      </c>
      <c r="AN32" s="58" t="e">
        <f>VLOOKUP($A32,'S48'!$C:$BQ,40,0)</f>
        <v>#N/A</v>
      </c>
      <c r="AO32" s="58" t="e">
        <f>VLOOKUP($A32,'S48'!$C:$BQ,22,0)</f>
        <v>#N/A</v>
      </c>
      <c r="AP32" s="66" t="e">
        <f>VLOOKUP($A32,'S48'!$C:$BQ,29,0)</f>
        <v>#N/A</v>
      </c>
      <c r="AQ32" s="66" t="e">
        <f>VLOOKUP($A32,'S48'!$C:$BQ,30,0)</f>
        <v>#N/A</v>
      </c>
      <c r="AR32" s="66" t="e">
        <f>VLOOKUP($A32,'S48'!$C:$BQ,52,0)</f>
        <v>#N/A</v>
      </c>
      <c r="AS32" s="66" t="e">
        <f>VLOOKUP($A32,'S48'!$C:$BQ,59,0)</f>
        <v>#N/A</v>
      </c>
      <c r="AT32" s="66" t="e">
        <f>VLOOKUP($A32,'S48'!$C:$BQ,60,0)</f>
        <v>#N/A</v>
      </c>
      <c r="AU32" s="58" t="e">
        <f>VLOOKUP($A32,'S49'!$C:$BQ,32,0)</f>
        <v>#N/A</v>
      </c>
      <c r="AV32" s="58" t="e">
        <f>VLOOKUP($A32,'S49'!$C:$BQ,39,0)</f>
        <v>#N/A</v>
      </c>
      <c r="AW32" s="58" t="e">
        <f>VLOOKUP($A32,'S49'!$C:$BQ,40,0)</f>
        <v>#N/A</v>
      </c>
      <c r="AX32" s="58" t="e">
        <f>VLOOKUP($A32,'S49'!$C:$BQ,22,0)</f>
        <v>#N/A</v>
      </c>
      <c r="AY32" s="66" t="e">
        <f>VLOOKUP($A32,'S49'!$C:$BQ,29,0)</f>
        <v>#N/A</v>
      </c>
      <c r="AZ32" s="66" t="e">
        <f>VLOOKUP($A32,'S49'!$C:$BQ,30,0)</f>
        <v>#N/A</v>
      </c>
      <c r="BA32" s="66" t="e">
        <f>VLOOKUP($A32,'S49'!$C:$BQ,52,0)</f>
        <v>#N/A</v>
      </c>
      <c r="BB32" s="66" t="e">
        <f>VLOOKUP($A32,'S49'!$C:$BQ,59,0)</f>
        <v>#N/A</v>
      </c>
      <c r="BC32" s="66" t="e">
        <f>VLOOKUP($A32,'S49'!$C:$BQ,60,0)</f>
        <v>#N/A</v>
      </c>
      <c r="BD32" s="58" t="e">
        <f>VLOOKUP($A32,'S50'!$C:$BQ,32,0)</f>
        <v>#N/A</v>
      </c>
      <c r="BE32" s="58" t="e">
        <f>VLOOKUP($A32,'S50'!$C:$BQ,39,0)</f>
        <v>#N/A</v>
      </c>
      <c r="BF32" s="58" t="e">
        <f>VLOOKUP($A32,'S50'!$C:$BQ,40,0)</f>
        <v>#N/A</v>
      </c>
      <c r="BG32" s="58" t="e">
        <f>VLOOKUP($A32,'S50'!$C:$BQ,22,0)</f>
        <v>#N/A</v>
      </c>
      <c r="BH32" s="66" t="e">
        <f>VLOOKUP($A32,'S50'!$C:$BQ,29,0)</f>
        <v>#N/A</v>
      </c>
      <c r="BI32" s="66" t="e">
        <f>VLOOKUP($A32,'S50'!$C:$BQ,30,0)</f>
        <v>#N/A</v>
      </c>
      <c r="BJ32" s="66" t="e">
        <f>VLOOKUP($A32,'S50'!$C:$BQ,52,0)</f>
        <v>#N/A</v>
      </c>
      <c r="BK32" s="66" t="e">
        <f>VLOOKUP($A32,'S50'!$C:$BQ,59,0)</f>
        <v>#N/A</v>
      </c>
      <c r="BL32" s="66" t="e">
        <f>VLOOKUP($A32,'S50'!$C:$BQ,60,0)</f>
        <v>#N/A</v>
      </c>
    </row>
    <row r="33" spans="1:64" x14ac:dyDescent="0.2">
      <c r="A33" s="57" t="s">
        <v>88</v>
      </c>
      <c r="B33" s="58">
        <f>VLOOKUP($A33,'S0 remplacer avec S44'!$C:$BQ,32,0)</f>
        <v>139.9</v>
      </c>
      <c r="C33" s="58">
        <f>VLOOKUP($A33,'S0 remplacer avec S44'!$C:$BQ,39,0)</f>
        <v>15</v>
      </c>
      <c r="D33" s="58">
        <f>VLOOKUP($A33,'S0 remplacer avec S44'!$C:$BQ,40,0)</f>
        <v>46</v>
      </c>
      <c r="E33" s="58">
        <f>VLOOKUP($A33,'S0 remplacer avec S44'!$C:$BQ,22,0)</f>
        <v>1182.5286000000001</v>
      </c>
      <c r="F33" s="66">
        <f>VLOOKUP($A33,'S0 remplacer avec S44'!$C:$BQ,29,0)</f>
        <v>221</v>
      </c>
      <c r="G33" s="66">
        <f>VLOOKUP($A33,'S0 remplacer avec S44'!$C:$BQ,30,0)</f>
        <v>502</v>
      </c>
      <c r="H33" s="66">
        <f>VLOOKUP($A33,'S0 remplacer avec S44'!$C:$BQ,52,0)</f>
        <v>92.6</v>
      </c>
      <c r="I33" s="66">
        <f>VLOOKUP($A33,'S0 remplacer avec S44'!$C:$BQ,59,0)</f>
        <v>0</v>
      </c>
      <c r="J33" s="66">
        <f>VLOOKUP($A33,'S0 remplacer avec S44'!$C:$BQ,60,0)</f>
        <v>2</v>
      </c>
      <c r="K33" s="58">
        <f>VLOOKUP($A33,'S45'!$C:$BQ,32,0)</f>
        <v>139.1</v>
      </c>
      <c r="L33" s="58">
        <f>VLOOKUP($A33,'S45'!$C:$BQ,39,0)</f>
        <v>16</v>
      </c>
      <c r="M33" s="58">
        <f>VLOOKUP($A33,'S45'!$C:$BQ,40,0)</f>
        <v>47</v>
      </c>
      <c r="N33" s="58">
        <f>VLOOKUP($A33,'S45'!$C:$BQ,22,0)</f>
        <v>1183.1834699999999</v>
      </c>
      <c r="O33" s="66">
        <f>VLOOKUP($A33,'S45'!$C:$BQ,29,0)</f>
        <v>221</v>
      </c>
      <c r="P33" s="66">
        <f>VLOOKUP($A33,'S45'!$C:$BQ,30,0)</f>
        <v>501</v>
      </c>
      <c r="Q33" s="66">
        <f>VLOOKUP($A33,'S45'!$C:$BQ,52,0)</f>
        <v>93.6</v>
      </c>
      <c r="R33" s="66">
        <f>VLOOKUP($A33,'S45'!$C:$BQ,59,0)</f>
        <v>0</v>
      </c>
      <c r="S33" s="66">
        <f>VLOOKUP($A33,'S45'!$C:$BQ,60,0)</f>
        <v>1</v>
      </c>
      <c r="T33" s="58">
        <f>VLOOKUP($A33,'S46'!$C:$BQ,32,0)</f>
        <v>139.1</v>
      </c>
      <c r="U33" s="58">
        <f>VLOOKUP($A33,'S46'!$C:$BQ,39,0)</f>
        <v>16</v>
      </c>
      <c r="V33" s="58">
        <f>VLOOKUP($A33,'S46'!$C:$BQ,40,0)</f>
        <v>47</v>
      </c>
      <c r="W33" s="58">
        <f>VLOOKUP($A33,'S46'!$C:$BQ,22,0)</f>
        <v>1184.4326699999999</v>
      </c>
      <c r="X33" s="66">
        <f>VLOOKUP($A33,'S46'!$C:$BQ,29,0)</f>
        <v>220</v>
      </c>
      <c r="Y33" s="66">
        <f>VLOOKUP($A33,'S46'!$C:$BQ,30,0)</f>
        <v>500</v>
      </c>
      <c r="Z33" s="66">
        <f>VLOOKUP($A33,'S46'!$C:$BQ,52,0)</f>
        <v>94.6</v>
      </c>
      <c r="AA33" s="66">
        <f>VLOOKUP($A33,'S46'!$C:$BQ,59,0)</f>
        <v>0</v>
      </c>
      <c r="AB33" s="66">
        <f>VLOOKUP($A33,'S46'!$C:$BQ,60,0)</f>
        <v>0</v>
      </c>
      <c r="AC33" s="58">
        <f>VLOOKUP($A33,'S47'!$C:$BQ,32,0)</f>
        <v>141.1</v>
      </c>
      <c r="AD33" s="58">
        <f>VLOOKUP($A33,'S47'!$C:$BQ,39,0)</f>
        <v>14</v>
      </c>
      <c r="AE33" s="58">
        <f>VLOOKUP($A33,'S47'!$C:$BQ,40,0)</f>
        <v>45</v>
      </c>
      <c r="AF33" s="58">
        <f>VLOOKUP($A33,'S47'!$C:$BQ,22,0)</f>
        <v>1203.19586</v>
      </c>
      <c r="AG33" s="66">
        <f>VLOOKUP($A33,'S47'!$C:$BQ,29,0)</f>
        <v>201</v>
      </c>
      <c r="AH33" s="66">
        <f>VLOOKUP($A33,'S47'!$C:$BQ,30,0)</f>
        <v>481</v>
      </c>
      <c r="AI33" s="66">
        <f>VLOOKUP($A33,'S47'!$C:$BQ,52,0)</f>
        <v>96.6</v>
      </c>
      <c r="AJ33" s="66">
        <f>VLOOKUP($A33,'S47'!$C:$BQ,59,0)</f>
        <v>0</v>
      </c>
      <c r="AK33" s="66">
        <f>VLOOKUP($A33,'S47'!$C:$BQ,60,0)</f>
        <v>0</v>
      </c>
      <c r="AL33" s="58" t="e">
        <f>VLOOKUP($A33,'S48'!$C:$BQ,32,0)</f>
        <v>#N/A</v>
      </c>
      <c r="AM33" s="58" t="e">
        <f>VLOOKUP($A33,'S48'!$C:$BQ,39,0)</f>
        <v>#N/A</v>
      </c>
      <c r="AN33" s="58" t="e">
        <f>VLOOKUP($A33,'S48'!$C:$BQ,40,0)</f>
        <v>#N/A</v>
      </c>
      <c r="AO33" s="58" t="e">
        <f>VLOOKUP($A33,'S48'!$C:$BQ,22,0)</f>
        <v>#N/A</v>
      </c>
      <c r="AP33" s="66" t="e">
        <f>VLOOKUP($A33,'S48'!$C:$BQ,29,0)</f>
        <v>#N/A</v>
      </c>
      <c r="AQ33" s="66" t="e">
        <f>VLOOKUP($A33,'S48'!$C:$BQ,30,0)</f>
        <v>#N/A</v>
      </c>
      <c r="AR33" s="66" t="e">
        <f>VLOOKUP($A33,'S48'!$C:$BQ,52,0)</f>
        <v>#N/A</v>
      </c>
      <c r="AS33" s="66" t="e">
        <f>VLOOKUP($A33,'S48'!$C:$BQ,59,0)</f>
        <v>#N/A</v>
      </c>
      <c r="AT33" s="66" t="e">
        <f>VLOOKUP($A33,'S48'!$C:$BQ,60,0)</f>
        <v>#N/A</v>
      </c>
      <c r="AU33" s="58" t="e">
        <f>VLOOKUP($A33,'S49'!$C:$BQ,32,0)</f>
        <v>#N/A</v>
      </c>
      <c r="AV33" s="58" t="e">
        <f>VLOOKUP($A33,'S49'!$C:$BQ,39,0)</f>
        <v>#N/A</v>
      </c>
      <c r="AW33" s="58" t="e">
        <f>VLOOKUP($A33,'S49'!$C:$BQ,40,0)</f>
        <v>#N/A</v>
      </c>
      <c r="AX33" s="58" t="e">
        <f>VLOOKUP($A33,'S49'!$C:$BQ,22,0)</f>
        <v>#N/A</v>
      </c>
      <c r="AY33" s="66" t="e">
        <f>VLOOKUP($A33,'S49'!$C:$BQ,29,0)</f>
        <v>#N/A</v>
      </c>
      <c r="AZ33" s="66" t="e">
        <f>VLOOKUP($A33,'S49'!$C:$BQ,30,0)</f>
        <v>#N/A</v>
      </c>
      <c r="BA33" s="66" t="e">
        <f>VLOOKUP($A33,'S49'!$C:$BQ,52,0)</f>
        <v>#N/A</v>
      </c>
      <c r="BB33" s="66" t="e">
        <f>VLOOKUP($A33,'S49'!$C:$BQ,59,0)</f>
        <v>#N/A</v>
      </c>
      <c r="BC33" s="66" t="e">
        <f>VLOOKUP($A33,'S49'!$C:$BQ,60,0)</f>
        <v>#N/A</v>
      </c>
      <c r="BD33" s="58" t="e">
        <f>VLOOKUP($A33,'S50'!$C:$BQ,32,0)</f>
        <v>#N/A</v>
      </c>
      <c r="BE33" s="58" t="e">
        <f>VLOOKUP($A33,'S50'!$C:$BQ,39,0)</f>
        <v>#N/A</v>
      </c>
      <c r="BF33" s="58" t="e">
        <f>VLOOKUP($A33,'S50'!$C:$BQ,40,0)</f>
        <v>#N/A</v>
      </c>
      <c r="BG33" s="58" t="e">
        <f>VLOOKUP($A33,'S50'!$C:$BQ,22,0)</f>
        <v>#N/A</v>
      </c>
      <c r="BH33" s="66" t="e">
        <f>VLOOKUP($A33,'S50'!$C:$BQ,29,0)</f>
        <v>#N/A</v>
      </c>
      <c r="BI33" s="66" t="e">
        <f>VLOOKUP($A33,'S50'!$C:$BQ,30,0)</f>
        <v>#N/A</v>
      </c>
      <c r="BJ33" s="66" t="e">
        <f>VLOOKUP($A33,'S50'!$C:$BQ,52,0)</f>
        <v>#N/A</v>
      </c>
      <c r="BK33" s="66" t="e">
        <f>VLOOKUP($A33,'S50'!$C:$BQ,59,0)</f>
        <v>#N/A</v>
      </c>
      <c r="BL33" s="66" t="e">
        <f>VLOOKUP($A33,'S50'!$C:$BQ,60,0)</f>
        <v>#N/A</v>
      </c>
    </row>
    <row r="34" spans="1:64" x14ac:dyDescent="0.2">
      <c r="A34" s="57" t="s">
        <v>89</v>
      </c>
      <c r="B34" s="58">
        <f>VLOOKUP($A34,'S0 remplacer avec S44'!$C:$BQ,32,0)</f>
        <v>195.2</v>
      </c>
      <c r="C34" s="58">
        <f>VLOOKUP($A34,'S0 remplacer avec S44'!$C:$BQ,39,0)</f>
        <v>41</v>
      </c>
      <c r="D34" s="58">
        <f>VLOOKUP($A34,'S0 remplacer avec S44'!$C:$BQ,40,0)</f>
        <v>89</v>
      </c>
      <c r="E34" s="58">
        <f>VLOOKUP($A34,'S0 remplacer avec S44'!$C:$BQ,22,0)</f>
        <v>2298.4796999999999</v>
      </c>
      <c r="F34" s="66">
        <f>VLOOKUP($A34,'S0 remplacer avec S44'!$C:$BQ,29,0)</f>
        <v>0</v>
      </c>
      <c r="G34" s="66">
        <f>VLOOKUP($A34,'S0 remplacer avec S44'!$C:$BQ,30,0)</f>
        <v>280</v>
      </c>
      <c r="H34" s="66">
        <f>VLOOKUP($A34,'S0 remplacer avec S44'!$C:$BQ,52,0)</f>
        <v>95</v>
      </c>
      <c r="I34" s="66">
        <f>VLOOKUP($A34,'S0 remplacer avec S44'!$C:$BQ,59,0)</f>
        <v>25</v>
      </c>
      <c r="J34" s="66">
        <f>VLOOKUP($A34,'S0 remplacer avec S44'!$C:$BQ,60,0)</f>
        <v>49</v>
      </c>
      <c r="K34" s="58">
        <f>VLOOKUP($A34,'S45'!$C:$BQ,32,0)</f>
        <v>195.2</v>
      </c>
      <c r="L34" s="58">
        <f>VLOOKUP($A34,'S45'!$C:$BQ,39,0)</f>
        <v>41</v>
      </c>
      <c r="M34" s="58">
        <f>VLOOKUP($A34,'S45'!$C:$BQ,40,0)</f>
        <v>89</v>
      </c>
      <c r="N34" s="58">
        <f>VLOOKUP($A34,'S45'!$C:$BQ,22,0)</f>
        <v>2344.2920300000001</v>
      </c>
      <c r="O34" s="66">
        <f>VLOOKUP($A34,'S45'!$C:$BQ,29,0)</f>
        <v>0</v>
      </c>
      <c r="P34" s="66">
        <f>VLOOKUP($A34,'S45'!$C:$BQ,30,0)</f>
        <v>234</v>
      </c>
      <c r="Q34" s="66">
        <f>VLOOKUP($A34,'S45'!$C:$BQ,52,0)</f>
        <v>95</v>
      </c>
      <c r="R34" s="66">
        <f>VLOOKUP($A34,'S45'!$C:$BQ,59,0)</f>
        <v>25</v>
      </c>
      <c r="S34" s="66">
        <f>VLOOKUP($A34,'S45'!$C:$BQ,60,0)</f>
        <v>49</v>
      </c>
      <c r="T34" s="58">
        <f>VLOOKUP($A34,'S46'!$C:$BQ,32,0)</f>
        <v>196.7</v>
      </c>
      <c r="U34" s="58">
        <f>VLOOKUP($A34,'S46'!$C:$BQ,39,0)</f>
        <v>40</v>
      </c>
      <c r="V34" s="58">
        <f>VLOOKUP($A34,'S46'!$C:$BQ,40,0)</f>
        <v>87</v>
      </c>
      <c r="W34" s="58">
        <f>VLOOKUP($A34,'S46'!$C:$BQ,22,0)</f>
        <v>2374.3151200000002</v>
      </c>
      <c r="X34" s="66">
        <f>VLOOKUP($A34,'S46'!$C:$BQ,29,0)</f>
        <v>0</v>
      </c>
      <c r="Y34" s="66">
        <f>VLOOKUP($A34,'S46'!$C:$BQ,30,0)</f>
        <v>204</v>
      </c>
      <c r="Z34" s="66">
        <f>VLOOKUP($A34,'S46'!$C:$BQ,52,0)</f>
        <v>95</v>
      </c>
      <c r="AA34" s="66">
        <f>VLOOKUP($A34,'S46'!$C:$BQ,59,0)</f>
        <v>25</v>
      </c>
      <c r="AB34" s="66">
        <f>VLOOKUP($A34,'S46'!$C:$BQ,60,0)</f>
        <v>49</v>
      </c>
      <c r="AC34" s="58">
        <f>VLOOKUP($A34,'S47'!$C:$BQ,32,0)</f>
        <v>202.2</v>
      </c>
      <c r="AD34" s="58">
        <f>VLOOKUP($A34,'S47'!$C:$BQ,39,0)</f>
        <v>34</v>
      </c>
      <c r="AE34" s="58">
        <f>VLOOKUP($A34,'S47'!$C:$BQ,40,0)</f>
        <v>82</v>
      </c>
      <c r="AF34" s="58">
        <f>VLOOKUP($A34,'S47'!$C:$BQ,22,0)</f>
        <v>2383.5384899999999</v>
      </c>
      <c r="AG34" s="66">
        <f>VLOOKUP($A34,'S47'!$C:$BQ,29,0)</f>
        <v>0</v>
      </c>
      <c r="AH34" s="66">
        <f>VLOOKUP($A34,'S47'!$C:$BQ,30,0)</f>
        <v>194</v>
      </c>
      <c r="AI34" s="66">
        <f>VLOOKUP($A34,'S47'!$C:$BQ,52,0)</f>
        <v>97</v>
      </c>
      <c r="AJ34" s="66">
        <f>VLOOKUP($A34,'S47'!$C:$BQ,59,0)</f>
        <v>23</v>
      </c>
      <c r="AK34" s="66">
        <f>VLOOKUP($A34,'S47'!$C:$BQ,60,0)</f>
        <v>47</v>
      </c>
      <c r="AL34" s="58" t="e">
        <f>VLOOKUP($A34,'S48'!$C:$BQ,32,0)</f>
        <v>#N/A</v>
      </c>
      <c r="AM34" s="58" t="e">
        <f>VLOOKUP($A34,'S48'!$C:$BQ,39,0)</f>
        <v>#N/A</v>
      </c>
      <c r="AN34" s="58" t="e">
        <f>VLOOKUP($A34,'S48'!$C:$BQ,40,0)</f>
        <v>#N/A</v>
      </c>
      <c r="AO34" s="58" t="e">
        <f>VLOOKUP($A34,'S48'!$C:$BQ,22,0)</f>
        <v>#N/A</v>
      </c>
      <c r="AP34" s="66" t="e">
        <f>VLOOKUP($A34,'S48'!$C:$BQ,29,0)</f>
        <v>#N/A</v>
      </c>
      <c r="AQ34" s="66" t="e">
        <f>VLOOKUP($A34,'S48'!$C:$BQ,30,0)</f>
        <v>#N/A</v>
      </c>
      <c r="AR34" s="66" t="e">
        <f>VLOOKUP($A34,'S48'!$C:$BQ,52,0)</f>
        <v>#N/A</v>
      </c>
      <c r="AS34" s="66" t="e">
        <f>VLOOKUP($A34,'S48'!$C:$BQ,59,0)</f>
        <v>#N/A</v>
      </c>
      <c r="AT34" s="66" t="e">
        <f>VLOOKUP($A34,'S48'!$C:$BQ,60,0)</f>
        <v>#N/A</v>
      </c>
      <c r="AU34" s="58" t="e">
        <f>VLOOKUP($A34,'S49'!$C:$BQ,32,0)</f>
        <v>#N/A</v>
      </c>
      <c r="AV34" s="58" t="e">
        <f>VLOOKUP($A34,'S49'!$C:$BQ,39,0)</f>
        <v>#N/A</v>
      </c>
      <c r="AW34" s="58" t="e">
        <f>VLOOKUP($A34,'S49'!$C:$BQ,40,0)</f>
        <v>#N/A</v>
      </c>
      <c r="AX34" s="58" t="e">
        <f>VLOOKUP($A34,'S49'!$C:$BQ,22,0)</f>
        <v>#N/A</v>
      </c>
      <c r="AY34" s="66" t="e">
        <f>VLOOKUP($A34,'S49'!$C:$BQ,29,0)</f>
        <v>#N/A</v>
      </c>
      <c r="AZ34" s="66" t="e">
        <f>VLOOKUP($A34,'S49'!$C:$BQ,30,0)</f>
        <v>#N/A</v>
      </c>
      <c r="BA34" s="66" t="e">
        <f>VLOOKUP($A34,'S49'!$C:$BQ,52,0)</f>
        <v>#N/A</v>
      </c>
      <c r="BB34" s="66" t="e">
        <f>VLOOKUP($A34,'S49'!$C:$BQ,59,0)</f>
        <v>#N/A</v>
      </c>
      <c r="BC34" s="66" t="e">
        <f>VLOOKUP($A34,'S49'!$C:$BQ,60,0)</f>
        <v>#N/A</v>
      </c>
      <c r="BD34" s="58" t="e">
        <f>VLOOKUP($A34,'S50'!$C:$BQ,32,0)</f>
        <v>#N/A</v>
      </c>
      <c r="BE34" s="58" t="e">
        <f>VLOOKUP($A34,'S50'!$C:$BQ,39,0)</f>
        <v>#N/A</v>
      </c>
      <c r="BF34" s="58" t="e">
        <f>VLOOKUP($A34,'S50'!$C:$BQ,40,0)</f>
        <v>#N/A</v>
      </c>
      <c r="BG34" s="58" t="e">
        <f>VLOOKUP($A34,'S50'!$C:$BQ,22,0)</f>
        <v>#N/A</v>
      </c>
      <c r="BH34" s="66" t="e">
        <f>VLOOKUP($A34,'S50'!$C:$BQ,29,0)</f>
        <v>#N/A</v>
      </c>
      <c r="BI34" s="66" t="e">
        <f>VLOOKUP($A34,'S50'!$C:$BQ,30,0)</f>
        <v>#N/A</v>
      </c>
      <c r="BJ34" s="66" t="e">
        <f>VLOOKUP($A34,'S50'!$C:$BQ,52,0)</f>
        <v>#N/A</v>
      </c>
      <c r="BK34" s="66" t="e">
        <f>VLOOKUP($A34,'S50'!$C:$BQ,59,0)</f>
        <v>#N/A</v>
      </c>
      <c r="BL34" s="66" t="e">
        <f>VLOOKUP($A34,'S50'!$C:$BQ,60,0)</f>
        <v>#N/A</v>
      </c>
    </row>
    <row r="35" spans="1:64" x14ac:dyDescent="0.2">
      <c r="A35" s="57" t="s">
        <v>90</v>
      </c>
      <c r="B35" s="58">
        <f>VLOOKUP($A35,'S0 remplacer avec S44'!$C:$BQ,32,0)</f>
        <v>268.75</v>
      </c>
      <c r="C35" s="58">
        <f>VLOOKUP($A35,'S0 remplacer avec S44'!$C:$BQ,39,0)</f>
        <v>97</v>
      </c>
      <c r="D35" s="58">
        <f>VLOOKUP($A35,'S0 remplacer avec S44'!$C:$BQ,40,0)</f>
        <v>171</v>
      </c>
      <c r="E35" s="58">
        <f>VLOOKUP($A35,'S0 remplacer avec S44'!$C:$BQ,22,0)</f>
        <v>3361.0334050000001</v>
      </c>
      <c r="F35" s="66">
        <f>VLOOKUP($A35,'S0 remplacer avec S44'!$C:$BQ,29,0)</f>
        <v>0</v>
      </c>
      <c r="G35" s="66">
        <f>VLOOKUP($A35,'S0 remplacer avec S44'!$C:$BQ,30,0)</f>
        <v>630</v>
      </c>
      <c r="H35" s="66">
        <f>VLOOKUP($A35,'S0 remplacer avec S44'!$C:$BQ,52,0)</f>
        <v>165.2</v>
      </c>
      <c r="I35" s="66">
        <f>VLOOKUP($A35,'S0 remplacer avec S44'!$C:$BQ,59,0)</f>
        <v>21</v>
      </c>
      <c r="J35" s="66">
        <f>VLOOKUP($A35,'S0 remplacer avec S44'!$C:$BQ,60,0)</f>
        <v>58</v>
      </c>
      <c r="K35" s="58">
        <f>VLOOKUP($A35,'S45'!$C:$BQ,32,0)</f>
        <v>272.75</v>
      </c>
      <c r="L35" s="58">
        <f>VLOOKUP($A35,'S45'!$C:$BQ,39,0)</f>
        <v>93</v>
      </c>
      <c r="M35" s="58">
        <f>VLOOKUP($A35,'S45'!$C:$BQ,40,0)</f>
        <v>167</v>
      </c>
      <c r="N35" s="58">
        <f>VLOOKUP($A35,'S45'!$C:$BQ,22,0)</f>
        <v>3398.4081849999998</v>
      </c>
      <c r="O35" s="66">
        <f>VLOOKUP($A35,'S45'!$C:$BQ,29,0)</f>
        <v>0</v>
      </c>
      <c r="P35" s="66">
        <f>VLOOKUP($A35,'S45'!$C:$BQ,30,0)</f>
        <v>593</v>
      </c>
      <c r="Q35" s="66">
        <f>VLOOKUP($A35,'S45'!$C:$BQ,52,0)</f>
        <v>168.2</v>
      </c>
      <c r="R35" s="66">
        <f>VLOOKUP($A35,'S45'!$C:$BQ,59,0)</f>
        <v>18</v>
      </c>
      <c r="S35" s="66">
        <f>VLOOKUP($A35,'S45'!$C:$BQ,60,0)</f>
        <v>55</v>
      </c>
      <c r="T35" s="58">
        <f>VLOOKUP($A35,'S46'!$C:$BQ,32,0)</f>
        <v>272.5</v>
      </c>
      <c r="U35" s="58">
        <f>VLOOKUP($A35,'S46'!$C:$BQ,39,0)</f>
        <v>94</v>
      </c>
      <c r="V35" s="58">
        <f>VLOOKUP($A35,'S46'!$C:$BQ,40,0)</f>
        <v>167</v>
      </c>
      <c r="W35" s="58">
        <f>VLOOKUP($A35,'S46'!$C:$BQ,22,0)</f>
        <v>3405.439445</v>
      </c>
      <c r="X35" s="66">
        <f>VLOOKUP($A35,'S46'!$C:$BQ,29,0)</f>
        <v>0</v>
      </c>
      <c r="Y35" s="66">
        <f>VLOOKUP($A35,'S46'!$C:$BQ,30,0)</f>
        <v>586</v>
      </c>
      <c r="Z35" s="66">
        <f>VLOOKUP($A35,'S46'!$C:$BQ,52,0)</f>
        <v>170.2</v>
      </c>
      <c r="AA35" s="66">
        <f>VLOOKUP($A35,'S46'!$C:$BQ,59,0)</f>
        <v>16</v>
      </c>
      <c r="AB35" s="66">
        <f>VLOOKUP($A35,'S46'!$C:$BQ,60,0)</f>
        <v>53</v>
      </c>
      <c r="AC35" s="58">
        <f>VLOOKUP($A35,'S47'!$C:$BQ,32,0)</f>
        <v>277.5</v>
      </c>
      <c r="AD35" s="58">
        <f>VLOOKUP($A35,'S47'!$C:$BQ,39,0)</f>
        <v>89</v>
      </c>
      <c r="AE35" s="58">
        <f>VLOOKUP($A35,'S47'!$C:$BQ,40,0)</f>
        <v>162</v>
      </c>
      <c r="AF35" s="58">
        <f>VLOOKUP($A35,'S47'!$C:$BQ,22,0)</f>
        <v>3553.8091049999998</v>
      </c>
      <c r="AG35" s="66">
        <f>VLOOKUP($A35,'S47'!$C:$BQ,29,0)</f>
        <v>0</v>
      </c>
      <c r="AH35" s="66">
        <f>VLOOKUP($A35,'S47'!$C:$BQ,30,0)</f>
        <v>437</v>
      </c>
      <c r="AI35" s="66">
        <f>VLOOKUP($A35,'S47'!$C:$BQ,52,0)</f>
        <v>175.2</v>
      </c>
      <c r="AJ35" s="66">
        <f>VLOOKUP($A35,'S47'!$C:$BQ,59,0)</f>
        <v>11</v>
      </c>
      <c r="AK35" s="66">
        <f>VLOOKUP($A35,'S47'!$C:$BQ,60,0)</f>
        <v>48</v>
      </c>
      <c r="AL35" s="58" t="e">
        <f>VLOOKUP($A35,'S48'!$C:$BQ,32,0)</f>
        <v>#N/A</v>
      </c>
      <c r="AM35" s="58" t="e">
        <f>VLOOKUP($A35,'S48'!$C:$BQ,39,0)</f>
        <v>#N/A</v>
      </c>
      <c r="AN35" s="58" t="e">
        <f>VLOOKUP($A35,'S48'!$C:$BQ,40,0)</f>
        <v>#N/A</v>
      </c>
      <c r="AO35" s="58" t="e">
        <f>VLOOKUP($A35,'S48'!$C:$BQ,22,0)</f>
        <v>#N/A</v>
      </c>
      <c r="AP35" s="66" t="e">
        <f>VLOOKUP($A35,'S48'!$C:$BQ,29,0)</f>
        <v>#N/A</v>
      </c>
      <c r="AQ35" s="66" t="e">
        <f>VLOOKUP($A35,'S48'!$C:$BQ,30,0)</f>
        <v>#N/A</v>
      </c>
      <c r="AR35" s="66" t="e">
        <f>VLOOKUP($A35,'S48'!$C:$BQ,52,0)</f>
        <v>#N/A</v>
      </c>
      <c r="AS35" s="66" t="e">
        <f>VLOOKUP($A35,'S48'!$C:$BQ,59,0)</f>
        <v>#N/A</v>
      </c>
      <c r="AT35" s="66" t="e">
        <f>VLOOKUP($A35,'S48'!$C:$BQ,60,0)</f>
        <v>#N/A</v>
      </c>
      <c r="AU35" s="58" t="e">
        <f>VLOOKUP($A35,'S49'!$C:$BQ,32,0)</f>
        <v>#N/A</v>
      </c>
      <c r="AV35" s="58" t="e">
        <f>VLOOKUP($A35,'S49'!$C:$BQ,39,0)</f>
        <v>#N/A</v>
      </c>
      <c r="AW35" s="58" t="e">
        <f>VLOOKUP($A35,'S49'!$C:$BQ,40,0)</f>
        <v>#N/A</v>
      </c>
      <c r="AX35" s="58" t="e">
        <f>VLOOKUP($A35,'S49'!$C:$BQ,22,0)</f>
        <v>#N/A</v>
      </c>
      <c r="AY35" s="66" t="e">
        <f>VLOOKUP($A35,'S49'!$C:$BQ,29,0)</f>
        <v>#N/A</v>
      </c>
      <c r="AZ35" s="66" t="e">
        <f>VLOOKUP($A35,'S49'!$C:$BQ,30,0)</f>
        <v>#N/A</v>
      </c>
      <c r="BA35" s="66" t="e">
        <f>VLOOKUP($A35,'S49'!$C:$BQ,52,0)</f>
        <v>#N/A</v>
      </c>
      <c r="BB35" s="66" t="e">
        <f>VLOOKUP($A35,'S49'!$C:$BQ,59,0)</f>
        <v>#N/A</v>
      </c>
      <c r="BC35" s="66" t="e">
        <f>VLOOKUP($A35,'S49'!$C:$BQ,60,0)</f>
        <v>#N/A</v>
      </c>
      <c r="BD35" s="58" t="e">
        <f>VLOOKUP($A35,'S50'!$C:$BQ,32,0)</f>
        <v>#N/A</v>
      </c>
      <c r="BE35" s="58" t="e">
        <f>VLOOKUP($A35,'S50'!$C:$BQ,39,0)</f>
        <v>#N/A</v>
      </c>
      <c r="BF35" s="58" t="e">
        <f>VLOOKUP($A35,'S50'!$C:$BQ,40,0)</f>
        <v>#N/A</v>
      </c>
      <c r="BG35" s="58" t="e">
        <f>VLOOKUP($A35,'S50'!$C:$BQ,22,0)</f>
        <v>#N/A</v>
      </c>
      <c r="BH35" s="66" t="e">
        <f>VLOOKUP($A35,'S50'!$C:$BQ,29,0)</f>
        <v>#N/A</v>
      </c>
      <c r="BI35" s="66" t="e">
        <f>VLOOKUP($A35,'S50'!$C:$BQ,30,0)</f>
        <v>#N/A</v>
      </c>
      <c r="BJ35" s="66" t="e">
        <f>VLOOKUP($A35,'S50'!$C:$BQ,52,0)</f>
        <v>#N/A</v>
      </c>
      <c r="BK35" s="66" t="e">
        <f>VLOOKUP($A35,'S50'!$C:$BQ,59,0)</f>
        <v>#N/A</v>
      </c>
      <c r="BL35" s="66" t="e">
        <f>VLOOKUP($A35,'S50'!$C:$BQ,60,0)</f>
        <v>#N/A</v>
      </c>
    </row>
    <row r="36" spans="1:64" x14ac:dyDescent="0.2">
      <c r="A36" s="57" t="s">
        <v>91</v>
      </c>
      <c r="B36" s="58">
        <f>VLOOKUP($A36,'S0 remplacer avec S44'!$C:$BQ,32,0)</f>
        <v>142.75</v>
      </c>
      <c r="C36" s="58">
        <f>VLOOKUP($A36,'S0 remplacer avec S44'!$C:$BQ,39,0)</f>
        <v>42</v>
      </c>
      <c r="D36" s="58">
        <f>VLOOKUP($A36,'S0 remplacer avec S44'!$C:$BQ,40,0)</f>
        <v>79</v>
      </c>
      <c r="E36" s="58">
        <f>VLOOKUP($A36,'S0 remplacer avec S44'!$C:$BQ,22,0)</f>
        <v>1218.8441350000001</v>
      </c>
      <c r="F36" s="66">
        <f>VLOOKUP($A36,'S0 remplacer avec S44'!$C:$BQ,29,0)</f>
        <v>455</v>
      </c>
      <c r="G36" s="66">
        <f>VLOOKUP($A36,'S0 remplacer avec S44'!$C:$BQ,30,0)</f>
        <v>790</v>
      </c>
      <c r="H36" s="66">
        <f>VLOOKUP($A36,'S0 remplacer avec S44'!$C:$BQ,52,0)</f>
        <v>101.2</v>
      </c>
      <c r="I36" s="66">
        <f>VLOOKUP($A36,'S0 remplacer avec S44'!$C:$BQ,59,0)</f>
        <v>0</v>
      </c>
      <c r="J36" s="66">
        <f>VLOOKUP($A36,'S0 remplacer avec S44'!$C:$BQ,60,0)</f>
        <v>11</v>
      </c>
      <c r="K36" s="58">
        <f>VLOOKUP($A36,'S45'!$C:$BQ,32,0)</f>
        <v>138.94999999999999</v>
      </c>
      <c r="L36" s="58">
        <f>VLOOKUP($A36,'S45'!$C:$BQ,39,0)</f>
        <v>46</v>
      </c>
      <c r="M36" s="58">
        <f>VLOOKUP($A36,'S45'!$C:$BQ,40,0)</f>
        <v>82</v>
      </c>
      <c r="N36" s="58">
        <f>VLOOKUP($A36,'S45'!$C:$BQ,22,0)</f>
        <v>1223.625505</v>
      </c>
      <c r="O36" s="66">
        <f>VLOOKUP($A36,'S45'!$C:$BQ,29,0)</f>
        <v>450</v>
      </c>
      <c r="P36" s="66">
        <f>VLOOKUP($A36,'S45'!$C:$BQ,30,0)</f>
        <v>785</v>
      </c>
      <c r="Q36" s="66">
        <f>VLOOKUP($A36,'S45'!$C:$BQ,52,0)</f>
        <v>101.2</v>
      </c>
      <c r="R36" s="66">
        <f>VLOOKUP($A36,'S45'!$C:$BQ,59,0)</f>
        <v>0</v>
      </c>
      <c r="S36" s="66">
        <f>VLOOKUP($A36,'S45'!$C:$BQ,60,0)</f>
        <v>11</v>
      </c>
      <c r="T36" s="58">
        <f>VLOOKUP($A36,'S46'!$C:$BQ,32,0)</f>
        <v>138.94999999999999</v>
      </c>
      <c r="U36" s="58">
        <f>VLOOKUP($A36,'S46'!$C:$BQ,39,0)</f>
        <v>46</v>
      </c>
      <c r="V36" s="58">
        <f>VLOOKUP($A36,'S46'!$C:$BQ,40,0)</f>
        <v>82</v>
      </c>
      <c r="W36" s="58">
        <f>VLOOKUP($A36,'S46'!$C:$BQ,22,0)</f>
        <v>1227.5145050000001</v>
      </c>
      <c r="X36" s="66">
        <f>VLOOKUP($A36,'S46'!$C:$BQ,29,0)</f>
        <v>447</v>
      </c>
      <c r="Y36" s="66">
        <f>VLOOKUP($A36,'S46'!$C:$BQ,30,0)</f>
        <v>781</v>
      </c>
      <c r="Z36" s="66">
        <f>VLOOKUP($A36,'S46'!$C:$BQ,52,0)</f>
        <v>101.2</v>
      </c>
      <c r="AA36" s="66">
        <f>VLOOKUP($A36,'S46'!$C:$BQ,59,0)</f>
        <v>0</v>
      </c>
      <c r="AB36" s="66">
        <f>VLOOKUP($A36,'S46'!$C:$BQ,60,0)</f>
        <v>11</v>
      </c>
      <c r="AC36" s="58">
        <f>VLOOKUP($A36,'S47'!$C:$BQ,32,0)</f>
        <v>141.94999999999999</v>
      </c>
      <c r="AD36" s="58">
        <f>VLOOKUP($A36,'S47'!$C:$BQ,39,0)</f>
        <v>43</v>
      </c>
      <c r="AE36" s="58">
        <f>VLOOKUP($A36,'S47'!$C:$BQ,40,0)</f>
        <v>79</v>
      </c>
      <c r="AF36" s="58">
        <f>VLOOKUP($A36,'S47'!$C:$BQ,22,0)</f>
        <v>1272.9578449999999</v>
      </c>
      <c r="AG36" s="66">
        <f>VLOOKUP($A36,'S47'!$C:$BQ,29,0)</f>
        <v>401</v>
      </c>
      <c r="AH36" s="66">
        <f>VLOOKUP($A36,'S47'!$C:$BQ,30,0)</f>
        <v>736</v>
      </c>
      <c r="AI36" s="66">
        <f>VLOOKUP($A36,'S47'!$C:$BQ,52,0)</f>
        <v>101.2</v>
      </c>
      <c r="AJ36" s="66">
        <f>VLOOKUP($A36,'S47'!$C:$BQ,59,0)</f>
        <v>0</v>
      </c>
      <c r="AK36" s="66">
        <f>VLOOKUP($A36,'S47'!$C:$BQ,60,0)</f>
        <v>11</v>
      </c>
      <c r="AL36" s="58" t="e">
        <f>VLOOKUP($A36,'S48'!$C:$BQ,32,0)</f>
        <v>#N/A</v>
      </c>
      <c r="AM36" s="58" t="e">
        <f>VLOOKUP($A36,'S48'!$C:$BQ,39,0)</f>
        <v>#N/A</v>
      </c>
      <c r="AN36" s="58" t="e">
        <f>VLOOKUP($A36,'S48'!$C:$BQ,40,0)</f>
        <v>#N/A</v>
      </c>
      <c r="AO36" s="58" t="e">
        <f>VLOOKUP($A36,'S48'!$C:$BQ,22,0)</f>
        <v>#N/A</v>
      </c>
      <c r="AP36" s="66" t="e">
        <f>VLOOKUP($A36,'S48'!$C:$BQ,29,0)</f>
        <v>#N/A</v>
      </c>
      <c r="AQ36" s="66" t="e">
        <f>VLOOKUP($A36,'S48'!$C:$BQ,30,0)</f>
        <v>#N/A</v>
      </c>
      <c r="AR36" s="66" t="e">
        <f>VLOOKUP($A36,'S48'!$C:$BQ,52,0)</f>
        <v>#N/A</v>
      </c>
      <c r="AS36" s="66" t="e">
        <f>VLOOKUP($A36,'S48'!$C:$BQ,59,0)</f>
        <v>#N/A</v>
      </c>
      <c r="AT36" s="66" t="e">
        <f>VLOOKUP($A36,'S48'!$C:$BQ,60,0)</f>
        <v>#N/A</v>
      </c>
      <c r="AU36" s="58" t="e">
        <f>VLOOKUP($A36,'S49'!$C:$BQ,32,0)</f>
        <v>#N/A</v>
      </c>
      <c r="AV36" s="58" t="e">
        <f>VLOOKUP($A36,'S49'!$C:$BQ,39,0)</f>
        <v>#N/A</v>
      </c>
      <c r="AW36" s="58" t="e">
        <f>VLOOKUP($A36,'S49'!$C:$BQ,40,0)</f>
        <v>#N/A</v>
      </c>
      <c r="AX36" s="58" t="e">
        <f>VLOOKUP($A36,'S49'!$C:$BQ,22,0)</f>
        <v>#N/A</v>
      </c>
      <c r="AY36" s="66" t="e">
        <f>VLOOKUP($A36,'S49'!$C:$BQ,29,0)</f>
        <v>#N/A</v>
      </c>
      <c r="AZ36" s="66" t="e">
        <f>VLOOKUP($A36,'S49'!$C:$BQ,30,0)</f>
        <v>#N/A</v>
      </c>
      <c r="BA36" s="66" t="e">
        <f>VLOOKUP($A36,'S49'!$C:$BQ,52,0)</f>
        <v>#N/A</v>
      </c>
      <c r="BB36" s="66" t="e">
        <f>VLOOKUP($A36,'S49'!$C:$BQ,59,0)</f>
        <v>#N/A</v>
      </c>
      <c r="BC36" s="66" t="e">
        <f>VLOOKUP($A36,'S49'!$C:$BQ,60,0)</f>
        <v>#N/A</v>
      </c>
      <c r="BD36" s="58" t="e">
        <f>VLOOKUP($A36,'S50'!$C:$BQ,32,0)</f>
        <v>#N/A</v>
      </c>
      <c r="BE36" s="58" t="e">
        <f>VLOOKUP($A36,'S50'!$C:$BQ,39,0)</f>
        <v>#N/A</v>
      </c>
      <c r="BF36" s="58" t="e">
        <f>VLOOKUP($A36,'S50'!$C:$BQ,40,0)</f>
        <v>#N/A</v>
      </c>
      <c r="BG36" s="58" t="e">
        <f>VLOOKUP($A36,'S50'!$C:$BQ,22,0)</f>
        <v>#N/A</v>
      </c>
      <c r="BH36" s="66" t="e">
        <f>VLOOKUP($A36,'S50'!$C:$BQ,29,0)</f>
        <v>#N/A</v>
      </c>
      <c r="BI36" s="66" t="e">
        <f>VLOOKUP($A36,'S50'!$C:$BQ,30,0)</f>
        <v>#N/A</v>
      </c>
      <c r="BJ36" s="66" t="e">
        <f>VLOOKUP($A36,'S50'!$C:$BQ,52,0)</f>
        <v>#N/A</v>
      </c>
      <c r="BK36" s="66" t="e">
        <f>VLOOKUP($A36,'S50'!$C:$BQ,59,0)</f>
        <v>#N/A</v>
      </c>
      <c r="BL36" s="66" t="e">
        <f>VLOOKUP($A36,'S50'!$C:$BQ,60,0)</f>
        <v>#N/A</v>
      </c>
    </row>
    <row r="37" spans="1:64" x14ac:dyDescent="0.2">
      <c r="A37" s="57" t="s">
        <v>92</v>
      </c>
      <c r="B37" s="58">
        <f>VLOOKUP($A37,'S0 remplacer avec S44'!$C:$BQ,32,0)</f>
        <v>177.3</v>
      </c>
      <c r="C37" s="58">
        <f>VLOOKUP($A37,'S0 remplacer avec S44'!$C:$BQ,39,0)</f>
        <v>84</v>
      </c>
      <c r="D37" s="58">
        <f>VLOOKUP($A37,'S0 remplacer avec S44'!$C:$BQ,40,0)</f>
        <v>136</v>
      </c>
      <c r="E37" s="58">
        <f>VLOOKUP($A37,'S0 remplacer avec S44'!$C:$BQ,22,0)</f>
        <v>2837.3960149999998</v>
      </c>
      <c r="F37" s="66">
        <f>VLOOKUP($A37,'S0 remplacer avec S44'!$C:$BQ,29,0)</f>
        <v>0</v>
      </c>
      <c r="G37" s="66">
        <f>VLOOKUP($A37,'S0 remplacer avec S44'!$C:$BQ,30,0)</f>
        <v>8</v>
      </c>
      <c r="H37" s="66">
        <f>VLOOKUP($A37,'S0 remplacer avec S44'!$C:$BQ,52,0)</f>
        <v>131</v>
      </c>
      <c r="I37" s="66">
        <f>VLOOKUP($A37,'S0 remplacer avec S44'!$C:$BQ,59,0)</f>
        <v>2</v>
      </c>
      <c r="J37" s="66">
        <f>VLOOKUP($A37,'S0 remplacer avec S44'!$C:$BQ,60,0)</f>
        <v>28</v>
      </c>
      <c r="K37" s="58">
        <f>VLOOKUP($A37,'S45'!$C:$BQ,32,0)</f>
        <v>184.3</v>
      </c>
      <c r="L37" s="58">
        <f>VLOOKUP($A37,'S45'!$C:$BQ,39,0)</f>
        <v>77</v>
      </c>
      <c r="M37" s="58">
        <f>VLOOKUP($A37,'S45'!$C:$BQ,40,0)</f>
        <v>129</v>
      </c>
      <c r="N37" s="58">
        <f>VLOOKUP($A37,'S45'!$C:$BQ,22,0)</f>
        <v>2891.8024650000002</v>
      </c>
      <c r="O37" s="66">
        <f>VLOOKUP($A37,'S45'!$C:$BQ,29,0)</f>
        <v>0</v>
      </c>
      <c r="P37" s="66">
        <f>VLOOKUP($A37,'S45'!$C:$BQ,30,0)</f>
        <v>0</v>
      </c>
      <c r="Q37" s="66">
        <f>VLOOKUP($A37,'S45'!$C:$BQ,52,0)</f>
        <v>132</v>
      </c>
      <c r="R37" s="66">
        <f>VLOOKUP($A37,'S45'!$C:$BQ,59,0)</f>
        <v>1</v>
      </c>
      <c r="S37" s="66">
        <f>VLOOKUP($A37,'S45'!$C:$BQ,60,0)</f>
        <v>27</v>
      </c>
      <c r="T37" s="58">
        <f>VLOOKUP($A37,'S46'!$C:$BQ,32,0)</f>
        <v>184.3</v>
      </c>
      <c r="U37" s="58">
        <f>VLOOKUP($A37,'S46'!$C:$BQ,39,0)</f>
        <v>77</v>
      </c>
      <c r="V37" s="58">
        <f>VLOOKUP($A37,'S46'!$C:$BQ,40,0)</f>
        <v>129</v>
      </c>
      <c r="W37" s="58">
        <f>VLOOKUP($A37,'S46'!$C:$BQ,22,0)</f>
        <v>2893.0565750000001</v>
      </c>
      <c r="X37" s="66">
        <f>VLOOKUP($A37,'S46'!$C:$BQ,29,0)</f>
        <v>0</v>
      </c>
      <c r="Y37" s="66">
        <f>VLOOKUP($A37,'S46'!$C:$BQ,30,0)</f>
        <v>0</v>
      </c>
      <c r="Z37" s="66">
        <f>VLOOKUP($A37,'S46'!$C:$BQ,52,0)</f>
        <v>134</v>
      </c>
      <c r="AA37" s="66">
        <f>VLOOKUP($A37,'S46'!$C:$BQ,59,0)</f>
        <v>0</v>
      </c>
      <c r="AB37" s="66">
        <f>VLOOKUP($A37,'S46'!$C:$BQ,60,0)</f>
        <v>25</v>
      </c>
      <c r="AC37" s="58">
        <f>VLOOKUP($A37,'S47'!$C:$BQ,32,0)</f>
        <v>188.3</v>
      </c>
      <c r="AD37" s="58">
        <f>VLOOKUP($A37,'S47'!$C:$BQ,39,0)</f>
        <v>73</v>
      </c>
      <c r="AE37" s="58">
        <f>VLOOKUP($A37,'S47'!$C:$BQ,40,0)</f>
        <v>125</v>
      </c>
      <c r="AF37" s="58">
        <f>VLOOKUP($A37,'S47'!$C:$BQ,22,0)</f>
        <v>2966.7255949999999</v>
      </c>
      <c r="AG37" s="66">
        <f>VLOOKUP($A37,'S47'!$C:$BQ,29,0)</f>
        <v>0</v>
      </c>
      <c r="AH37" s="66">
        <f>VLOOKUP($A37,'S47'!$C:$BQ,30,0)</f>
        <v>0</v>
      </c>
      <c r="AI37" s="66">
        <f>VLOOKUP($A37,'S47'!$C:$BQ,52,0)</f>
        <v>136</v>
      </c>
      <c r="AJ37" s="66">
        <f>VLOOKUP($A37,'S47'!$C:$BQ,59,0)</f>
        <v>0</v>
      </c>
      <c r="AK37" s="66">
        <f>VLOOKUP($A37,'S47'!$C:$BQ,60,0)</f>
        <v>23</v>
      </c>
      <c r="AL37" s="58" t="e">
        <f>VLOOKUP($A37,'S48'!$C:$BQ,32,0)</f>
        <v>#N/A</v>
      </c>
      <c r="AM37" s="58" t="e">
        <f>VLOOKUP($A37,'S48'!$C:$BQ,39,0)</f>
        <v>#N/A</v>
      </c>
      <c r="AN37" s="58" t="e">
        <f>VLOOKUP($A37,'S48'!$C:$BQ,40,0)</f>
        <v>#N/A</v>
      </c>
      <c r="AO37" s="58" t="e">
        <f>VLOOKUP($A37,'S48'!$C:$BQ,22,0)</f>
        <v>#N/A</v>
      </c>
      <c r="AP37" s="66" t="e">
        <f>VLOOKUP($A37,'S48'!$C:$BQ,29,0)</f>
        <v>#N/A</v>
      </c>
      <c r="AQ37" s="66" t="e">
        <f>VLOOKUP($A37,'S48'!$C:$BQ,30,0)</f>
        <v>#N/A</v>
      </c>
      <c r="AR37" s="66" t="e">
        <f>VLOOKUP($A37,'S48'!$C:$BQ,52,0)</f>
        <v>#N/A</v>
      </c>
      <c r="AS37" s="66" t="e">
        <f>VLOOKUP($A37,'S48'!$C:$BQ,59,0)</f>
        <v>#N/A</v>
      </c>
      <c r="AT37" s="66" t="e">
        <f>VLOOKUP($A37,'S48'!$C:$BQ,60,0)</f>
        <v>#N/A</v>
      </c>
      <c r="AU37" s="58" t="e">
        <f>VLOOKUP($A37,'S49'!$C:$BQ,32,0)</f>
        <v>#N/A</v>
      </c>
      <c r="AV37" s="58" t="e">
        <f>VLOOKUP($A37,'S49'!$C:$BQ,39,0)</f>
        <v>#N/A</v>
      </c>
      <c r="AW37" s="58" t="e">
        <f>VLOOKUP($A37,'S49'!$C:$BQ,40,0)</f>
        <v>#N/A</v>
      </c>
      <c r="AX37" s="58" t="e">
        <f>VLOOKUP($A37,'S49'!$C:$BQ,22,0)</f>
        <v>#N/A</v>
      </c>
      <c r="AY37" s="66" t="e">
        <f>VLOOKUP($A37,'S49'!$C:$BQ,29,0)</f>
        <v>#N/A</v>
      </c>
      <c r="AZ37" s="66" t="e">
        <f>VLOOKUP($A37,'S49'!$C:$BQ,30,0)</f>
        <v>#N/A</v>
      </c>
      <c r="BA37" s="66" t="e">
        <f>VLOOKUP($A37,'S49'!$C:$BQ,52,0)</f>
        <v>#N/A</v>
      </c>
      <c r="BB37" s="66" t="e">
        <f>VLOOKUP($A37,'S49'!$C:$BQ,59,0)</f>
        <v>#N/A</v>
      </c>
      <c r="BC37" s="66" t="e">
        <f>VLOOKUP($A37,'S49'!$C:$BQ,60,0)</f>
        <v>#N/A</v>
      </c>
      <c r="BD37" s="58" t="e">
        <f>VLOOKUP($A37,'S50'!$C:$BQ,32,0)</f>
        <v>#N/A</v>
      </c>
      <c r="BE37" s="58" t="e">
        <f>VLOOKUP($A37,'S50'!$C:$BQ,39,0)</f>
        <v>#N/A</v>
      </c>
      <c r="BF37" s="58" t="e">
        <f>VLOOKUP($A37,'S50'!$C:$BQ,40,0)</f>
        <v>#N/A</v>
      </c>
      <c r="BG37" s="58" t="e">
        <f>VLOOKUP($A37,'S50'!$C:$BQ,22,0)</f>
        <v>#N/A</v>
      </c>
      <c r="BH37" s="66" t="e">
        <f>VLOOKUP($A37,'S50'!$C:$BQ,29,0)</f>
        <v>#N/A</v>
      </c>
      <c r="BI37" s="66" t="e">
        <f>VLOOKUP($A37,'S50'!$C:$BQ,30,0)</f>
        <v>#N/A</v>
      </c>
      <c r="BJ37" s="66" t="e">
        <f>VLOOKUP($A37,'S50'!$C:$BQ,52,0)</f>
        <v>#N/A</v>
      </c>
      <c r="BK37" s="66" t="e">
        <f>VLOOKUP($A37,'S50'!$C:$BQ,59,0)</f>
        <v>#N/A</v>
      </c>
      <c r="BL37" s="66" t="e">
        <f>VLOOKUP($A37,'S50'!$C:$BQ,60,0)</f>
        <v>#N/A</v>
      </c>
    </row>
    <row r="38" spans="1:64" x14ac:dyDescent="0.2">
      <c r="A38" s="57" t="s">
        <v>93</v>
      </c>
      <c r="B38" s="58">
        <f>VLOOKUP($A38,'S0 remplacer avec S44'!$C:$BQ,32,0)</f>
        <v>322.05</v>
      </c>
      <c r="C38" s="58">
        <f>VLOOKUP($A38,'S0 remplacer avec S44'!$C:$BQ,39,0)</f>
        <v>162</v>
      </c>
      <c r="D38" s="58">
        <f>VLOOKUP($A38,'S0 remplacer avec S44'!$C:$BQ,40,0)</f>
        <v>259</v>
      </c>
      <c r="E38" s="58">
        <f>VLOOKUP($A38,'S0 remplacer avec S44'!$C:$BQ,22,0)</f>
        <v>5070.1574049999999</v>
      </c>
      <c r="F38" s="66">
        <f>VLOOKUP($A38,'S0 remplacer avec S44'!$C:$BQ,29,0)</f>
        <v>0</v>
      </c>
      <c r="G38" s="66">
        <f>VLOOKUP($A38,'S0 remplacer avec S44'!$C:$BQ,30,0)</f>
        <v>210</v>
      </c>
      <c r="H38" s="66">
        <f>VLOOKUP($A38,'S0 remplacer avec S44'!$C:$BQ,52,0)</f>
        <v>246</v>
      </c>
      <c r="I38" s="66">
        <f>VLOOKUP($A38,'S0 remplacer avec S44'!$C:$BQ,59,0)</f>
        <v>0</v>
      </c>
      <c r="J38" s="66">
        <f>VLOOKUP($A38,'S0 remplacer avec S44'!$C:$BQ,60,0)</f>
        <v>49</v>
      </c>
      <c r="K38" s="58">
        <f>VLOOKUP($A38,'S45'!$C:$BQ,32,0)</f>
        <v>331.05</v>
      </c>
      <c r="L38" s="58">
        <f>VLOOKUP($A38,'S45'!$C:$BQ,39,0)</f>
        <v>153</v>
      </c>
      <c r="M38" s="58">
        <f>VLOOKUP($A38,'S45'!$C:$BQ,40,0)</f>
        <v>250</v>
      </c>
      <c r="N38" s="58">
        <f>VLOOKUP($A38,'S45'!$C:$BQ,22,0)</f>
        <v>5123.0121550000003</v>
      </c>
      <c r="O38" s="66">
        <f>VLOOKUP($A38,'S45'!$C:$BQ,29,0)</f>
        <v>0</v>
      </c>
      <c r="P38" s="66">
        <f>VLOOKUP($A38,'S45'!$C:$BQ,30,0)</f>
        <v>157</v>
      </c>
      <c r="Q38" s="66">
        <f>VLOOKUP($A38,'S45'!$C:$BQ,52,0)</f>
        <v>256</v>
      </c>
      <c r="R38" s="66">
        <f>VLOOKUP($A38,'S45'!$C:$BQ,59,0)</f>
        <v>0</v>
      </c>
      <c r="S38" s="66">
        <f>VLOOKUP($A38,'S45'!$C:$BQ,60,0)</f>
        <v>39</v>
      </c>
      <c r="T38" s="58">
        <f>VLOOKUP($A38,'S46'!$C:$BQ,32,0)</f>
        <v>331.55</v>
      </c>
      <c r="U38" s="58">
        <f>VLOOKUP($A38,'S46'!$C:$BQ,39,0)</f>
        <v>153</v>
      </c>
      <c r="V38" s="58">
        <f>VLOOKUP($A38,'S46'!$C:$BQ,40,0)</f>
        <v>249</v>
      </c>
      <c r="W38" s="58">
        <f>VLOOKUP($A38,'S46'!$C:$BQ,22,0)</f>
        <v>5144.5087050000002</v>
      </c>
      <c r="X38" s="66">
        <f>VLOOKUP($A38,'S46'!$C:$BQ,29,0)</f>
        <v>0</v>
      </c>
      <c r="Y38" s="66">
        <f>VLOOKUP($A38,'S46'!$C:$BQ,30,0)</f>
        <v>136</v>
      </c>
      <c r="Z38" s="66">
        <f>VLOOKUP($A38,'S46'!$C:$BQ,52,0)</f>
        <v>259</v>
      </c>
      <c r="AA38" s="66">
        <f>VLOOKUP($A38,'S46'!$C:$BQ,59,0)</f>
        <v>0</v>
      </c>
      <c r="AB38" s="66">
        <f>VLOOKUP($A38,'S46'!$C:$BQ,60,0)</f>
        <v>36</v>
      </c>
      <c r="AC38" s="58">
        <f>VLOOKUP($A38,'S47'!$C:$BQ,32,0)</f>
        <v>334.05</v>
      </c>
      <c r="AD38" s="58">
        <f>VLOOKUP($A38,'S47'!$C:$BQ,39,0)</f>
        <v>150</v>
      </c>
      <c r="AE38" s="58">
        <f>VLOOKUP($A38,'S47'!$C:$BQ,40,0)</f>
        <v>247</v>
      </c>
      <c r="AF38" s="58">
        <f>VLOOKUP($A38,'S47'!$C:$BQ,22,0)</f>
        <v>5281.5568249999997</v>
      </c>
      <c r="AG38" s="66">
        <f>VLOOKUP($A38,'S47'!$C:$BQ,29,0)</f>
        <v>0</v>
      </c>
      <c r="AH38" s="66">
        <f>VLOOKUP($A38,'S47'!$C:$BQ,30,0)</f>
        <v>0</v>
      </c>
      <c r="AI38" s="66">
        <f>VLOOKUP($A38,'S47'!$C:$BQ,52,0)</f>
        <v>270</v>
      </c>
      <c r="AJ38" s="66">
        <f>VLOOKUP($A38,'S47'!$C:$BQ,59,0)</f>
        <v>0</v>
      </c>
      <c r="AK38" s="66">
        <f>VLOOKUP($A38,'S47'!$C:$BQ,60,0)</f>
        <v>25</v>
      </c>
      <c r="AL38" s="58" t="e">
        <f>VLOOKUP($A38,'S48'!$C:$BQ,32,0)</f>
        <v>#N/A</v>
      </c>
      <c r="AM38" s="58" t="e">
        <f>VLOOKUP($A38,'S48'!$C:$BQ,39,0)</f>
        <v>#N/A</v>
      </c>
      <c r="AN38" s="58" t="e">
        <f>VLOOKUP($A38,'S48'!$C:$BQ,40,0)</f>
        <v>#N/A</v>
      </c>
      <c r="AO38" s="58" t="e">
        <f>VLOOKUP($A38,'S48'!$C:$BQ,22,0)</f>
        <v>#N/A</v>
      </c>
      <c r="AP38" s="66" t="e">
        <f>VLOOKUP($A38,'S48'!$C:$BQ,29,0)</f>
        <v>#N/A</v>
      </c>
      <c r="AQ38" s="66" t="e">
        <f>VLOOKUP($A38,'S48'!$C:$BQ,30,0)</f>
        <v>#N/A</v>
      </c>
      <c r="AR38" s="66" t="e">
        <f>VLOOKUP($A38,'S48'!$C:$BQ,52,0)</f>
        <v>#N/A</v>
      </c>
      <c r="AS38" s="66" t="e">
        <f>VLOOKUP($A38,'S48'!$C:$BQ,59,0)</f>
        <v>#N/A</v>
      </c>
      <c r="AT38" s="66" t="e">
        <f>VLOOKUP($A38,'S48'!$C:$BQ,60,0)</f>
        <v>#N/A</v>
      </c>
      <c r="AU38" s="58" t="e">
        <f>VLOOKUP($A38,'S49'!$C:$BQ,32,0)</f>
        <v>#N/A</v>
      </c>
      <c r="AV38" s="58" t="e">
        <f>VLOOKUP($A38,'S49'!$C:$BQ,39,0)</f>
        <v>#N/A</v>
      </c>
      <c r="AW38" s="58" t="e">
        <f>VLOOKUP($A38,'S49'!$C:$BQ,40,0)</f>
        <v>#N/A</v>
      </c>
      <c r="AX38" s="58" t="e">
        <f>VLOOKUP($A38,'S49'!$C:$BQ,22,0)</f>
        <v>#N/A</v>
      </c>
      <c r="AY38" s="66" t="e">
        <f>VLOOKUP($A38,'S49'!$C:$BQ,29,0)</f>
        <v>#N/A</v>
      </c>
      <c r="AZ38" s="66" t="e">
        <f>VLOOKUP($A38,'S49'!$C:$BQ,30,0)</f>
        <v>#N/A</v>
      </c>
      <c r="BA38" s="66" t="e">
        <f>VLOOKUP($A38,'S49'!$C:$BQ,52,0)</f>
        <v>#N/A</v>
      </c>
      <c r="BB38" s="66" t="e">
        <f>VLOOKUP($A38,'S49'!$C:$BQ,59,0)</f>
        <v>#N/A</v>
      </c>
      <c r="BC38" s="66" t="e">
        <f>VLOOKUP($A38,'S49'!$C:$BQ,60,0)</f>
        <v>#N/A</v>
      </c>
      <c r="BD38" s="58" t="e">
        <f>VLOOKUP($A38,'S50'!$C:$BQ,32,0)</f>
        <v>#N/A</v>
      </c>
      <c r="BE38" s="58" t="e">
        <f>VLOOKUP($A38,'S50'!$C:$BQ,39,0)</f>
        <v>#N/A</v>
      </c>
      <c r="BF38" s="58" t="e">
        <f>VLOOKUP($A38,'S50'!$C:$BQ,40,0)</f>
        <v>#N/A</v>
      </c>
      <c r="BG38" s="58" t="e">
        <f>VLOOKUP($A38,'S50'!$C:$BQ,22,0)</f>
        <v>#N/A</v>
      </c>
      <c r="BH38" s="66" t="e">
        <f>VLOOKUP($A38,'S50'!$C:$BQ,29,0)</f>
        <v>#N/A</v>
      </c>
      <c r="BI38" s="66" t="e">
        <f>VLOOKUP($A38,'S50'!$C:$BQ,30,0)</f>
        <v>#N/A</v>
      </c>
      <c r="BJ38" s="66" t="e">
        <f>VLOOKUP($A38,'S50'!$C:$BQ,52,0)</f>
        <v>#N/A</v>
      </c>
      <c r="BK38" s="66" t="e">
        <f>VLOOKUP($A38,'S50'!$C:$BQ,59,0)</f>
        <v>#N/A</v>
      </c>
      <c r="BL38" s="66" t="e">
        <f>VLOOKUP($A38,'S50'!$C:$BQ,60,0)</f>
        <v>#N/A</v>
      </c>
    </row>
    <row r="39" spans="1:64" x14ac:dyDescent="0.2">
      <c r="A39" s="57" t="s">
        <v>94</v>
      </c>
      <c r="B39" s="58">
        <f>VLOOKUP($A39,'S0 remplacer avec S44'!$C:$BQ,32,0)</f>
        <v>100.35</v>
      </c>
      <c r="C39" s="58">
        <f>VLOOKUP($A39,'S0 remplacer avec S44'!$C:$BQ,39,0)</f>
        <v>53</v>
      </c>
      <c r="D39" s="58">
        <f>VLOOKUP($A39,'S0 remplacer avec S44'!$C:$BQ,40,0)</f>
        <v>83</v>
      </c>
      <c r="E39" s="58">
        <f>VLOOKUP($A39,'S0 remplacer avec S44'!$C:$BQ,22,0)</f>
        <v>1184.9787899999999</v>
      </c>
      <c r="F39" s="66">
        <f>VLOOKUP($A39,'S0 remplacer avec S44'!$C:$BQ,29,0)</f>
        <v>203</v>
      </c>
      <c r="G39" s="66">
        <f>VLOOKUP($A39,'S0 remplacer avec S44'!$C:$BQ,30,0)</f>
        <v>480</v>
      </c>
      <c r="H39" s="66">
        <f>VLOOKUP($A39,'S0 remplacer avec S44'!$C:$BQ,52,0)</f>
        <v>63.6</v>
      </c>
      <c r="I39" s="66">
        <f>VLOOKUP($A39,'S0 remplacer avec S44'!$C:$BQ,59,0)</f>
        <v>14</v>
      </c>
      <c r="J39" s="66">
        <f>VLOOKUP($A39,'S0 remplacer avec S44'!$C:$BQ,60,0)</f>
        <v>30</v>
      </c>
      <c r="K39" s="58">
        <f>VLOOKUP($A39,'S45'!$C:$BQ,32,0)</f>
        <v>100.35</v>
      </c>
      <c r="L39" s="58">
        <f>VLOOKUP($A39,'S45'!$C:$BQ,39,0)</f>
        <v>53</v>
      </c>
      <c r="M39" s="58">
        <f>VLOOKUP($A39,'S45'!$C:$BQ,40,0)</f>
        <v>83</v>
      </c>
      <c r="N39" s="58">
        <f>VLOOKUP($A39,'S45'!$C:$BQ,22,0)</f>
        <v>1201.3249599999999</v>
      </c>
      <c r="O39" s="66">
        <f>VLOOKUP($A39,'S45'!$C:$BQ,29,0)</f>
        <v>186</v>
      </c>
      <c r="P39" s="66">
        <f>VLOOKUP($A39,'S45'!$C:$BQ,30,0)</f>
        <v>464</v>
      </c>
      <c r="Q39" s="66">
        <f>VLOOKUP($A39,'S45'!$C:$BQ,52,0)</f>
        <v>63.6</v>
      </c>
      <c r="R39" s="66">
        <f>VLOOKUP($A39,'S45'!$C:$BQ,59,0)</f>
        <v>14</v>
      </c>
      <c r="S39" s="66">
        <f>VLOOKUP($A39,'S45'!$C:$BQ,60,0)</f>
        <v>30</v>
      </c>
      <c r="T39" s="58">
        <f>VLOOKUP($A39,'S46'!$C:$BQ,32,0)</f>
        <v>99.85</v>
      </c>
      <c r="U39" s="58">
        <f>VLOOKUP($A39,'S46'!$C:$BQ,39,0)</f>
        <v>53</v>
      </c>
      <c r="V39" s="58">
        <f>VLOOKUP($A39,'S46'!$C:$BQ,40,0)</f>
        <v>84</v>
      </c>
      <c r="W39" s="58">
        <f>VLOOKUP($A39,'S46'!$C:$BQ,22,0)</f>
        <v>1205.9249600000001</v>
      </c>
      <c r="X39" s="66">
        <f>VLOOKUP($A39,'S46'!$C:$BQ,29,0)</f>
        <v>182</v>
      </c>
      <c r="Y39" s="66">
        <f>VLOOKUP($A39,'S46'!$C:$BQ,30,0)</f>
        <v>459</v>
      </c>
      <c r="Z39" s="66">
        <f>VLOOKUP($A39,'S46'!$C:$BQ,52,0)</f>
        <v>63.6</v>
      </c>
      <c r="AA39" s="66">
        <f>VLOOKUP($A39,'S46'!$C:$BQ,59,0)</f>
        <v>14</v>
      </c>
      <c r="AB39" s="66">
        <f>VLOOKUP($A39,'S46'!$C:$BQ,60,0)</f>
        <v>30</v>
      </c>
      <c r="AC39" s="58">
        <f>VLOOKUP($A39,'S47'!$C:$BQ,32,0)</f>
        <v>102.85</v>
      </c>
      <c r="AD39" s="58">
        <f>VLOOKUP($A39,'S47'!$C:$BQ,39,0)</f>
        <v>50</v>
      </c>
      <c r="AE39" s="58">
        <f>VLOOKUP($A39,'S47'!$C:$BQ,40,0)</f>
        <v>81</v>
      </c>
      <c r="AF39" s="58">
        <f>VLOOKUP($A39,'S47'!$C:$BQ,22,0)</f>
        <v>1208.5059699999999</v>
      </c>
      <c r="AG39" s="66">
        <f>VLOOKUP($A39,'S47'!$C:$BQ,29,0)</f>
        <v>179</v>
      </c>
      <c r="AH39" s="66">
        <f>VLOOKUP($A39,'S47'!$C:$BQ,30,0)</f>
        <v>456</v>
      </c>
      <c r="AI39" s="66">
        <f>VLOOKUP($A39,'S47'!$C:$BQ,52,0)</f>
        <v>63.6</v>
      </c>
      <c r="AJ39" s="66">
        <f>VLOOKUP($A39,'S47'!$C:$BQ,59,0)</f>
        <v>14</v>
      </c>
      <c r="AK39" s="66">
        <f>VLOOKUP($A39,'S47'!$C:$BQ,60,0)</f>
        <v>30</v>
      </c>
      <c r="AL39" s="58" t="e">
        <f>VLOOKUP($A39,'S48'!$C:$BQ,32,0)</f>
        <v>#N/A</v>
      </c>
      <c r="AM39" s="58" t="e">
        <f>VLOOKUP($A39,'S48'!$C:$BQ,39,0)</f>
        <v>#N/A</v>
      </c>
      <c r="AN39" s="58" t="e">
        <f>VLOOKUP($A39,'S48'!$C:$BQ,40,0)</f>
        <v>#N/A</v>
      </c>
      <c r="AO39" s="58" t="e">
        <f>VLOOKUP($A39,'S48'!$C:$BQ,22,0)</f>
        <v>#N/A</v>
      </c>
      <c r="AP39" s="66" t="e">
        <f>VLOOKUP($A39,'S48'!$C:$BQ,29,0)</f>
        <v>#N/A</v>
      </c>
      <c r="AQ39" s="66" t="e">
        <f>VLOOKUP($A39,'S48'!$C:$BQ,30,0)</f>
        <v>#N/A</v>
      </c>
      <c r="AR39" s="66" t="e">
        <f>VLOOKUP($A39,'S48'!$C:$BQ,52,0)</f>
        <v>#N/A</v>
      </c>
      <c r="AS39" s="66" t="e">
        <f>VLOOKUP($A39,'S48'!$C:$BQ,59,0)</f>
        <v>#N/A</v>
      </c>
      <c r="AT39" s="66" t="e">
        <f>VLOOKUP($A39,'S48'!$C:$BQ,60,0)</f>
        <v>#N/A</v>
      </c>
      <c r="AU39" s="58" t="e">
        <f>VLOOKUP($A39,'S49'!$C:$BQ,32,0)</f>
        <v>#N/A</v>
      </c>
      <c r="AV39" s="58" t="e">
        <f>VLOOKUP($A39,'S49'!$C:$BQ,39,0)</f>
        <v>#N/A</v>
      </c>
      <c r="AW39" s="58" t="e">
        <f>VLOOKUP($A39,'S49'!$C:$BQ,40,0)</f>
        <v>#N/A</v>
      </c>
      <c r="AX39" s="58" t="e">
        <f>VLOOKUP($A39,'S49'!$C:$BQ,22,0)</f>
        <v>#N/A</v>
      </c>
      <c r="AY39" s="66" t="e">
        <f>VLOOKUP($A39,'S49'!$C:$BQ,29,0)</f>
        <v>#N/A</v>
      </c>
      <c r="AZ39" s="66" t="e">
        <f>VLOOKUP($A39,'S49'!$C:$BQ,30,0)</f>
        <v>#N/A</v>
      </c>
      <c r="BA39" s="66" t="e">
        <f>VLOOKUP($A39,'S49'!$C:$BQ,52,0)</f>
        <v>#N/A</v>
      </c>
      <c r="BB39" s="66" t="e">
        <f>VLOOKUP($A39,'S49'!$C:$BQ,59,0)</f>
        <v>#N/A</v>
      </c>
      <c r="BC39" s="66" t="e">
        <f>VLOOKUP($A39,'S49'!$C:$BQ,60,0)</f>
        <v>#N/A</v>
      </c>
      <c r="BD39" s="58" t="e">
        <f>VLOOKUP($A39,'S50'!$C:$BQ,32,0)</f>
        <v>#N/A</v>
      </c>
      <c r="BE39" s="58" t="e">
        <f>VLOOKUP($A39,'S50'!$C:$BQ,39,0)</f>
        <v>#N/A</v>
      </c>
      <c r="BF39" s="58" t="e">
        <f>VLOOKUP($A39,'S50'!$C:$BQ,40,0)</f>
        <v>#N/A</v>
      </c>
      <c r="BG39" s="58" t="e">
        <f>VLOOKUP($A39,'S50'!$C:$BQ,22,0)</f>
        <v>#N/A</v>
      </c>
      <c r="BH39" s="66" t="e">
        <f>VLOOKUP($A39,'S50'!$C:$BQ,29,0)</f>
        <v>#N/A</v>
      </c>
      <c r="BI39" s="66" t="e">
        <f>VLOOKUP($A39,'S50'!$C:$BQ,30,0)</f>
        <v>#N/A</v>
      </c>
      <c r="BJ39" s="66" t="e">
        <f>VLOOKUP($A39,'S50'!$C:$BQ,52,0)</f>
        <v>#N/A</v>
      </c>
      <c r="BK39" s="66" t="e">
        <f>VLOOKUP($A39,'S50'!$C:$BQ,59,0)</f>
        <v>#N/A</v>
      </c>
      <c r="BL39" s="66" t="e">
        <f>VLOOKUP($A39,'S50'!$C:$BQ,60,0)</f>
        <v>#N/A</v>
      </c>
    </row>
    <row r="40" spans="1:64" x14ac:dyDescent="0.2">
      <c r="A40" s="57" t="s">
        <v>95</v>
      </c>
      <c r="B40" s="58">
        <f>VLOOKUP($A40,'S0 remplacer avec S44'!$C:$BQ,32,0)</f>
        <v>75.099999999999994</v>
      </c>
      <c r="C40" s="58">
        <f>VLOOKUP($A40,'S0 remplacer avec S44'!$C:$BQ,39,0)</f>
        <v>27</v>
      </c>
      <c r="D40" s="58">
        <f>VLOOKUP($A40,'S0 remplacer avec S44'!$C:$BQ,40,0)</f>
        <v>48</v>
      </c>
      <c r="E40" s="58">
        <f>VLOOKUP($A40,'S0 remplacer avec S44'!$C:$BQ,22,0)</f>
        <v>751.66916000000003</v>
      </c>
      <c r="F40" s="66">
        <f>VLOOKUP($A40,'S0 remplacer avec S44'!$C:$BQ,29,0)</f>
        <v>175</v>
      </c>
      <c r="G40" s="66">
        <f>VLOOKUP($A40,'S0 remplacer avec S44'!$C:$BQ,30,0)</f>
        <v>360</v>
      </c>
      <c r="H40" s="66">
        <f>VLOOKUP($A40,'S0 remplacer avec S44'!$C:$BQ,52,0)</f>
        <v>42</v>
      </c>
      <c r="I40" s="66">
        <f>VLOOKUP($A40,'S0 remplacer avec S44'!$C:$BQ,59,0)</f>
        <v>10</v>
      </c>
      <c r="J40" s="66">
        <f>VLOOKUP($A40,'S0 remplacer avec S44'!$C:$BQ,60,0)</f>
        <v>21</v>
      </c>
      <c r="K40" s="58">
        <f>VLOOKUP($A40,'S45'!$C:$BQ,32,0)</f>
        <v>74.099999999999994</v>
      </c>
      <c r="L40" s="58">
        <f>VLOOKUP($A40,'S45'!$C:$BQ,39,0)</f>
        <v>28</v>
      </c>
      <c r="M40" s="58">
        <f>VLOOKUP($A40,'S45'!$C:$BQ,40,0)</f>
        <v>49</v>
      </c>
      <c r="N40" s="58">
        <f>VLOOKUP($A40,'S45'!$C:$BQ,22,0)</f>
        <v>753.19403999999997</v>
      </c>
      <c r="O40" s="66">
        <f>VLOOKUP($A40,'S45'!$C:$BQ,29,0)</f>
        <v>173</v>
      </c>
      <c r="P40" s="66">
        <f>VLOOKUP($A40,'S45'!$C:$BQ,30,0)</f>
        <v>358</v>
      </c>
      <c r="Q40" s="66">
        <f>VLOOKUP($A40,'S45'!$C:$BQ,52,0)</f>
        <v>42</v>
      </c>
      <c r="R40" s="66">
        <f>VLOOKUP($A40,'S45'!$C:$BQ,59,0)</f>
        <v>10</v>
      </c>
      <c r="S40" s="66">
        <f>VLOOKUP($A40,'S45'!$C:$BQ,60,0)</f>
        <v>21</v>
      </c>
      <c r="T40" s="58">
        <f>VLOOKUP($A40,'S46'!$C:$BQ,32,0)</f>
        <v>74.099999999999994</v>
      </c>
      <c r="U40" s="58">
        <f>VLOOKUP($A40,'S46'!$C:$BQ,39,0)</f>
        <v>28</v>
      </c>
      <c r="V40" s="58">
        <f>VLOOKUP($A40,'S46'!$C:$BQ,40,0)</f>
        <v>49</v>
      </c>
      <c r="W40" s="58">
        <f>VLOOKUP($A40,'S46'!$C:$BQ,22,0)</f>
        <v>753.79404</v>
      </c>
      <c r="X40" s="66">
        <f>VLOOKUP($A40,'S46'!$C:$BQ,29,0)</f>
        <v>173</v>
      </c>
      <c r="Y40" s="66">
        <f>VLOOKUP($A40,'S46'!$C:$BQ,30,0)</f>
        <v>358</v>
      </c>
      <c r="Z40" s="66">
        <f>VLOOKUP($A40,'S46'!$C:$BQ,52,0)</f>
        <v>42</v>
      </c>
      <c r="AA40" s="66">
        <f>VLOOKUP($A40,'S46'!$C:$BQ,59,0)</f>
        <v>10</v>
      </c>
      <c r="AB40" s="66">
        <f>VLOOKUP($A40,'S46'!$C:$BQ,60,0)</f>
        <v>21</v>
      </c>
      <c r="AC40" s="58">
        <f>VLOOKUP($A40,'S47'!$C:$BQ,32,0)</f>
        <v>73.099999999999994</v>
      </c>
      <c r="AD40" s="58">
        <f>VLOOKUP($A40,'S47'!$C:$BQ,39,0)</f>
        <v>29</v>
      </c>
      <c r="AE40" s="58">
        <f>VLOOKUP($A40,'S47'!$C:$BQ,40,0)</f>
        <v>50</v>
      </c>
      <c r="AF40" s="58">
        <f>VLOOKUP($A40,'S47'!$C:$BQ,22,0)</f>
        <v>744.03961000000004</v>
      </c>
      <c r="AG40" s="66">
        <f>VLOOKUP($A40,'S47'!$C:$BQ,29,0)</f>
        <v>182</v>
      </c>
      <c r="AH40" s="66">
        <f>VLOOKUP($A40,'S47'!$C:$BQ,30,0)</f>
        <v>367</v>
      </c>
      <c r="AI40" s="66">
        <f>VLOOKUP($A40,'S47'!$C:$BQ,52,0)</f>
        <v>42</v>
      </c>
      <c r="AJ40" s="66">
        <f>VLOOKUP($A40,'S47'!$C:$BQ,59,0)</f>
        <v>10</v>
      </c>
      <c r="AK40" s="66">
        <f>VLOOKUP($A40,'S47'!$C:$BQ,60,0)</f>
        <v>21</v>
      </c>
      <c r="AL40" s="58" t="e">
        <f>VLOOKUP($A40,'S48'!$C:$BQ,32,0)</f>
        <v>#N/A</v>
      </c>
      <c r="AM40" s="58" t="e">
        <f>VLOOKUP($A40,'S48'!$C:$BQ,39,0)</f>
        <v>#N/A</v>
      </c>
      <c r="AN40" s="58" t="e">
        <f>VLOOKUP($A40,'S48'!$C:$BQ,40,0)</f>
        <v>#N/A</v>
      </c>
      <c r="AO40" s="58" t="e">
        <f>VLOOKUP($A40,'S48'!$C:$BQ,22,0)</f>
        <v>#N/A</v>
      </c>
      <c r="AP40" s="66" t="e">
        <f>VLOOKUP($A40,'S48'!$C:$BQ,29,0)</f>
        <v>#N/A</v>
      </c>
      <c r="AQ40" s="66" t="e">
        <f>VLOOKUP($A40,'S48'!$C:$BQ,30,0)</f>
        <v>#N/A</v>
      </c>
      <c r="AR40" s="66" t="e">
        <f>VLOOKUP($A40,'S48'!$C:$BQ,52,0)</f>
        <v>#N/A</v>
      </c>
      <c r="AS40" s="66" t="e">
        <f>VLOOKUP($A40,'S48'!$C:$BQ,59,0)</f>
        <v>#N/A</v>
      </c>
      <c r="AT40" s="66" t="e">
        <f>VLOOKUP($A40,'S48'!$C:$BQ,60,0)</f>
        <v>#N/A</v>
      </c>
      <c r="AU40" s="58" t="e">
        <f>VLOOKUP($A40,'S49'!$C:$BQ,32,0)</f>
        <v>#N/A</v>
      </c>
      <c r="AV40" s="58" t="e">
        <f>VLOOKUP($A40,'S49'!$C:$BQ,39,0)</f>
        <v>#N/A</v>
      </c>
      <c r="AW40" s="58" t="e">
        <f>VLOOKUP($A40,'S49'!$C:$BQ,40,0)</f>
        <v>#N/A</v>
      </c>
      <c r="AX40" s="58" t="e">
        <f>VLOOKUP($A40,'S49'!$C:$BQ,22,0)</f>
        <v>#N/A</v>
      </c>
      <c r="AY40" s="66" t="e">
        <f>VLOOKUP($A40,'S49'!$C:$BQ,29,0)</f>
        <v>#N/A</v>
      </c>
      <c r="AZ40" s="66" t="e">
        <f>VLOOKUP($A40,'S49'!$C:$BQ,30,0)</f>
        <v>#N/A</v>
      </c>
      <c r="BA40" s="66" t="e">
        <f>VLOOKUP($A40,'S49'!$C:$BQ,52,0)</f>
        <v>#N/A</v>
      </c>
      <c r="BB40" s="66" t="e">
        <f>VLOOKUP($A40,'S49'!$C:$BQ,59,0)</f>
        <v>#N/A</v>
      </c>
      <c r="BC40" s="66" t="e">
        <f>VLOOKUP($A40,'S49'!$C:$BQ,60,0)</f>
        <v>#N/A</v>
      </c>
      <c r="BD40" s="58" t="e">
        <f>VLOOKUP($A40,'S50'!$C:$BQ,32,0)</f>
        <v>#N/A</v>
      </c>
      <c r="BE40" s="58" t="e">
        <f>VLOOKUP($A40,'S50'!$C:$BQ,39,0)</f>
        <v>#N/A</v>
      </c>
      <c r="BF40" s="58" t="e">
        <f>VLOOKUP($A40,'S50'!$C:$BQ,40,0)</f>
        <v>#N/A</v>
      </c>
      <c r="BG40" s="58" t="e">
        <f>VLOOKUP($A40,'S50'!$C:$BQ,22,0)</f>
        <v>#N/A</v>
      </c>
      <c r="BH40" s="66" t="e">
        <f>VLOOKUP($A40,'S50'!$C:$BQ,29,0)</f>
        <v>#N/A</v>
      </c>
      <c r="BI40" s="66" t="e">
        <f>VLOOKUP($A40,'S50'!$C:$BQ,30,0)</f>
        <v>#N/A</v>
      </c>
      <c r="BJ40" s="66" t="e">
        <f>VLOOKUP($A40,'S50'!$C:$BQ,52,0)</f>
        <v>#N/A</v>
      </c>
      <c r="BK40" s="66" t="e">
        <f>VLOOKUP($A40,'S50'!$C:$BQ,59,0)</f>
        <v>#N/A</v>
      </c>
      <c r="BL40" s="66" t="e">
        <f>VLOOKUP($A40,'S50'!$C:$BQ,60,0)</f>
        <v>#N/A</v>
      </c>
    </row>
    <row r="41" spans="1:64" x14ac:dyDescent="0.2">
      <c r="A41" s="57" t="s">
        <v>96</v>
      </c>
      <c r="B41" s="58">
        <f>VLOOKUP($A41,'S0 remplacer avec S44'!$C:$BQ,32,0)</f>
        <v>177.1</v>
      </c>
      <c r="C41" s="58">
        <f>VLOOKUP($A41,'S0 remplacer avec S44'!$C:$BQ,39,0)</f>
        <v>0</v>
      </c>
      <c r="D41" s="58">
        <f>VLOOKUP($A41,'S0 remplacer avec S44'!$C:$BQ,40,0)</f>
        <v>4</v>
      </c>
      <c r="E41" s="58">
        <f>VLOOKUP($A41,'S0 remplacer avec S44'!$C:$BQ,22,0)</f>
        <v>1268.2179699999999</v>
      </c>
      <c r="F41" s="66">
        <f>VLOOKUP($A41,'S0 remplacer avec S44'!$C:$BQ,29,0)</f>
        <v>99</v>
      </c>
      <c r="G41" s="66">
        <f>VLOOKUP($A41,'S0 remplacer avec S44'!$C:$BQ,30,0)</f>
        <v>372</v>
      </c>
      <c r="H41" s="66">
        <f>VLOOKUP($A41,'S0 remplacer avec S44'!$C:$BQ,52,0)</f>
        <v>111.6</v>
      </c>
      <c r="I41" s="66">
        <f>VLOOKUP($A41,'S0 remplacer avec S44'!$C:$BQ,59,0)</f>
        <v>0</v>
      </c>
      <c r="J41" s="66">
        <f>VLOOKUP($A41,'S0 remplacer avec S44'!$C:$BQ,60,0)</f>
        <v>0</v>
      </c>
      <c r="K41" s="58">
        <f>VLOOKUP($A41,'S45'!$C:$BQ,32,0)</f>
        <v>178.1</v>
      </c>
      <c r="L41" s="58">
        <f>VLOOKUP($A41,'S45'!$C:$BQ,39,0)</f>
        <v>0</v>
      </c>
      <c r="M41" s="58">
        <f>VLOOKUP($A41,'S45'!$C:$BQ,40,0)</f>
        <v>3</v>
      </c>
      <c r="N41" s="58">
        <f>VLOOKUP($A41,'S45'!$C:$BQ,22,0)</f>
        <v>1275.37798</v>
      </c>
      <c r="O41" s="66">
        <f>VLOOKUP($A41,'S45'!$C:$BQ,29,0)</f>
        <v>92</v>
      </c>
      <c r="P41" s="66">
        <f>VLOOKUP($A41,'S45'!$C:$BQ,30,0)</f>
        <v>365</v>
      </c>
      <c r="Q41" s="66">
        <f>VLOOKUP($A41,'S45'!$C:$BQ,52,0)</f>
        <v>111.6</v>
      </c>
      <c r="R41" s="66">
        <f>VLOOKUP($A41,'S45'!$C:$BQ,59,0)</f>
        <v>0</v>
      </c>
      <c r="S41" s="66">
        <f>VLOOKUP($A41,'S45'!$C:$BQ,60,0)</f>
        <v>0</v>
      </c>
      <c r="T41" s="58">
        <f>VLOOKUP($A41,'S46'!$C:$BQ,32,0)</f>
        <v>180.1</v>
      </c>
      <c r="U41" s="58">
        <f>VLOOKUP($A41,'S46'!$C:$BQ,39,0)</f>
        <v>0</v>
      </c>
      <c r="V41" s="58">
        <f>VLOOKUP($A41,'S46'!$C:$BQ,40,0)</f>
        <v>1</v>
      </c>
      <c r="W41" s="58">
        <f>VLOOKUP($A41,'S46'!$C:$BQ,22,0)</f>
        <v>1266.24775</v>
      </c>
      <c r="X41" s="66">
        <f>VLOOKUP($A41,'S46'!$C:$BQ,29,0)</f>
        <v>101</v>
      </c>
      <c r="Y41" s="66">
        <f>VLOOKUP($A41,'S46'!$C:$BQ,30,0)</f>
        <v>374</v>
      </c>
      <c r="Z41" s="66">
        <f>VLOOKUP($A41,'S46'!$C:$BQ,52,0)</f>
        <v>111.6</v>
      </c>
      <c r="AA41" s="66">
        <f>VLOOKUP($A41,'S46'!$C:$BQ,59,0)</f>
        <v>0</v>
      </c>
      <c r="AB41" s="66">
        <f>VLOOKUP($A41,'S46'!$C:$BQ,60,0)</f>
        <v>0</v>
      </c>
      <c r="AC41" s="58">
        <f>VLOOKUP($A41,'S47'!$C:$BQ,32,0)</f>
        <v>183.1</v>
      </c>
      <c r="AD41" s="58">
        <f>VLOOKUP($A41,'S47'!$C:$BQ,39,0)</f>
        <v>0</v>
      </c>
      <c r="AE41" s="58">
        <f>VLOOKUP($A41,'S47'!$C:$BQ,40,0)</f>
        <v>0</v>
      </c>
      <c r="AF41" s="58">
        <f>VLOOKUP($A41,'S47'!$C:$BQ,22,0)</f>
        <v>1287.5651600000001</v>
      </c>
      <c r="AG41" s="66">
        <f>VLOOKUP($A41,'S47'!$C:$BQ,29,0)</f>
        <v>80</v>
      </c>
      <c r="AH41" s="66">
        <f>VLOOKUP($A41,'S47'!$C:$BQ,30,0)</f>
        <v>353</v>
      </c>
      <c r="AI41" s="66">
        <f>VLOOKUP($A41,'S47'!$C:$BQ,52,0)</f>
        <v>116.6</v>
      </c>
      <c r="AJ41" s="66">
        <f>VLOOKUP($A41,'S47'!$C:$BQ,59,0)</f>
        <v>0</v>
      </c>
      <c r="AK41" s="66">
        <f>VLOOKUP($A41,'S47'!$C:$BQ,60,0)</f>
        <v>0</v>
      </c>
      <c r="AL41" s="58" t="e">
        <f>VLOOKUP($A41,'S48'!$C:$BQ,32,0)</f>
        <v>#N/A</v>
      </c>
      <c r="AM41" s="58" t="e">
        <f>VLOOKUP($A41,'S48'!$C:$BQ,39,0)</f>
        <v>#N/A</v>
      </c>
      <c r="AN41" s="58" t="e">
        <f>VLOOKUP($A41,'S48'!$C:$BQ,40,0)</f>
        <v>#N/A</v>
      </c>
      <c r="AO41" s="58" t="e">
        <f>VLOOKUP($A41,'S48'!$C:$BQ,22,0)</f>
        <v>#N/A</v>
      </c>
      <c r="AP41" s="66" t="e">
        <f>VLOOKUP($A41,'S48'!$C:$BQ,29,0)</f>
        <v>#N/A</v>
      </c>
      <c r="AQ41" s="66" t="e">
        <f>VLOOKUP($A41,'S48'!$C:$BQ,30,0)</f>
        <v>#N/A</v>
      </c>
      <c r="AR41" s="66" t="e">
        <f>VLOOKUP($A41,'S48'!$C:$BQ,52,0)</f>
        <v>#N/A</v>
      </c>
      <c r="AS41" s="66" t="e">
        <f>VLOOKUP($A41,'S48'!$C:$BQ,59,0)</f>
        <v>#N/A</v>
      </c>
      <c r="AT41" s="66" t="e">
        <f>VLOOKUP($A41,'S48'!$C:$BQ,60,0)</f>
        <v>#N/A</v>
      </c>
      <c r="AU41" s="58" t="e">
        <f>VLOOKUP($A41,'S49'!$C:$BQ,32,0)</f>
        <v>#N/A</v>
      </c>
      <c r="AV41" s="58" t="e">
        <f>VLOOKUP($A41,'S49'!$C:$BQ,39,0)</f>
        <v>#N/A</v>
      </c>
      <c r="AW41" s="58" t="e">
        <f>VLOOKUP($A41,'S49'!$C:$BQ,40,0)</f>
        <v>#N/A</v>
      </c>
      <c r="AX41" s="58" t="e">
        <f>VLOOKUP($A41,'S49'!$C:$BQ,22,0)</f>
        <v>#N/A</v>
      </c>
      <c r="AY41" s="66" t="e">
        <f>VLOOKUP($A41,'S49'!$C:$BQ,29,0)</f>
        <v>#N/A</v>
      </c>
      <c r="AZ41" s="66" t="e">
        <f>VLOOKUP($A41,'S49'!$C:$BQ,30,0)</f>
        <v>#N/A</v>
      </c>
      <c r="BA41" s="66" t="e">
        <f>VLOOKUP($A41,'S49'!$C:$BQ,52,0)</f>
        <v>#N/A</v>
      </c>
      <c r="BB41" s="66" t="e">
        <f>VLOOKUP($A41,'S49'!$C:$BQ,59,0)</f>
        <v>#N/A</v>
      </c>
      <c r="BC41" s="66" t="e">
        <f>VLOOKUP($A41,'S49'!$C:$BQ,60,0)</f>
        <v>#N/A</v>
      </c>
      <c r="BD41" s="58" t="e">
        <f>VLOOKUP($A41,'S50'!$C:$BQ,32,0)</f>
        <v>#N/A</v>
      </c>
      <c r="BE41" s="58" t="e">
        <f>VLOOKUP($A41,'S50'!$C:$BQ,39,0)</f>
        <v>#N/A</v>
      </c>
      <c r="BF41" s="58" t="e">
        <f>VLOOKUP($A41,'S50'!$C:$BQ,40,0)</f>
        <v>#N/A</v>
      </c>
      <c r="BG41" s="58" t="e">
        <f>VLOOKUP($A41,'S50'!$C:$BQ,22,0)</f>
        <v>#N/A</v>
      </c>
      <c r="BH41" s="66" t="e">
        <f>VLOOKUP($A41,'S50'!$C:$BQ,29,0)</f>
        <v>#N/A</v>
      </c>
      <c r="BI41" s="66" t="e">
        <f>VLOOKUP($A41,'S50'!$C:$BQ,30,0)</f>
        <v>#N/A</v>
      </c>
      <c r="BJ41" s="66" t="e">
        <f>VLOOKUP($A41,'S50'!$C:$BQ,52,0)</f>
        <v>#N/A</v>
      </c>
      <c r="BK41" s="66" t="e">
        <f>VLOOKUP($A41,'S50'!$C:$BQ,59,0)</f>
        <v>#N/A</v>
      </c>
      <c r="BL41" s="66" t="e">
        <f>VLOOKUP($A41,'S50'!$C:$BQ,60,0)</f>
        <v>#N/A</v>
      </c>
    </row>
    <row r="42" spans="1:64" x14ac:dyDescent="0.2">
      <c r="A42" s="57" t="s">
        <v>97</v>
      </c>
      <c r="B42" s="58">
        <f>VLOOKUP($A42,'S0 remplacer avec S44'!$C:$BQ,32,0)</f>
        <v>105.35</v>
      </c>
      <c r="C42" s="58">
        <f>VLOOKUP($A42,'S0 remplacer avec S44'!$C:$BQ,39,0)</f>
        <v>80</v>
      </c>
      <c r="D42" s="58">
        <f>VLOOKUP($A42,'S0 remplacer avec S44'!$C:$BQ,40,0)</f>
        <v>117</v>
      </c>
      <c r="E42" s="58">
        <f>VLOOKUP($A42,'S0 remplacer avec S44'!$C:$BQ,22,0)</f>
        <v>1857.68922</v>
      </c>
      <c r="F42" s="66">
        <f>VLOOKUP($A42,'S0 remplacer avec S44'!$C:$BQ,29,0)</f>
        <v>0</v>
      </c>
      <c r="G42" s="66">
        <f>VLOOKUP($A42,'S0 remplacer avec S44'!$C:$BQ,30,0)</f>
        <v>165</v>
      </c>
      <c r="H42" s="66">
        <f>VLOOKUP($A42,'S0 remplacer avec S44'!$C:$BQ,52,0)</f>
        <v>120</v>
      </c>
      <c r="I42" s="66">
        <f>VLOOKUP($A42,'S0 remplacer avec S44'!$C:$BQ,59,0)</f>
        <v>0</v>
      </c>
      <c r="J42" s="66">
        <f>VLOOKUP($A42,'S0 remplacer avec S44'!$C:$BQ,60,0)</f>
        <v>0</v>
      </c>
      <c r="K42" s="58">
        <f>VLOOKUP($A42,'S45'!$C:$BQ,32,0)</f>
        <v>108.85</v>
      </c>
      <c r="L42" s="58">
        <f>VLOOKUP($A42,'S45'!$C:$BQ,39,0)</f>
        <v>77</v>
      </c>
      <c r="M42" s="58">
        <f>VLOOKUP($A42,'S45'!$C:$BQ,40,0)</f>
        <v>114</v>
      </c>
      <c r="N42" s="58">
        <f>VLOOKUP($A42,'S45'!$C:$BQ,22,0)</f>
        <v>1903.4792199999999</v>
      </c>
      <c r="O42" s="66">
        <f>VLOOKUP($A42,'S45'!$C:$BQ,29,0)</f>
        <v>0</v>
      </c>
      <c r="P42" s="66">
        <f>VLOOKUP($A42,'S45'!$C:$BQ,30,0)</f>
        <v>119</v>
      </c>
      <c r="Q42" s="66">
        <f>VLOOKUP($A42,'S45'!$C:$BQ,52,0)</f>
        <v>121</v>
      </c>
      <c r="R42" s="66">
        <f>VLOOKUP($A42,'S45'!$C:$BQ,59,0)</f>
        <v>0</v>
      </c>
      <c r="S42" s="66">
        <f>VLOOKUP($A42,'S45'!$C:$BQ,60,0)</f>
        <v>0</v>
      </c>
      <c r="T42" s="58">
        <f>VLOOKUP($A42,'S46'!$C:$BQ,32,0)</f>
        <v>107.85</v>
      </c>
      <c r="U42" s="58">
        <f>VLOOKUP($A42,'S46'!$C:$BQ,39,0)</f>
        <v>78</v>
      </c>
      <c r="V42" s="58">
        <f>VLOOKUP($A42,'S46'!$C:$BQ,40,0)</f>
        <v>115</v>
      </c>
      <c r="W42" s="58">
        <f>VLOOKUP($A42,'S46'!$C:$BQ,22,0)</f>
        <v>1904.8742199999999</v>
      </c>
      <c r="X42" s="66">
        <f>VLOOKUP($A42,'S46'!$C:$BQ,29,0)</f>
        <v>0</v>
      </c>
      <c r="Y42" s="66">
        <f>VLOOKUP($A42,'S46'!$C:$BQ,30,0)</f>
        <v>118</v>
      </c>
      <c r="Z42" s="66">
        <f>VLOOKUP($A42,'S46'!$C:$BQ,52,0)</f>
        <v>122</v>
      </c>
      <c r="AA42" s="66">
        <f>VLOOKUP($A42,'S46'!$C:$BQ,59,0)</f>
        <v>0</v>
      </c>
      <c r="AB42" s="66">
        <f>VLOOKUP($A42,'S46'!$C:$BQ,60,0)</f>
        <v>0</v>
      </c>
      <c r="AC42" s="58">
        <f>VLOOKUP($A42,'S47'!$C:$BQ,32,0)</f>
        <v>113.85</v>
      </c>
      <c r="AD42" s="58">
        <f>VLOOKUP($A42,'S47'!$C:$BQ,39,0)</f>
        <v>72</v>
      </c>
      <c r="AE42" s="58">
        <f>VLOOKUP($A42,'S47'!$C:$BQ,40,0)</f>
        <v>109</v>
      </c>
      <c r="AF42" s="58">
        <f>VLOOKUP($A42,'S47'!$C:$BQ,22,0)</f>
        <v>2031.08969</v>
      </c>
      <c r="AG42" s="66">
        <f>VLOOKUP($A42,'S47'!$C:$BQ,29,0)</f>
        <v>0</v>
      </c>
      <c r="AH42" s="66">
        <f>VLOOKUP($A42,'S47'!$C:$BQ,30,0)</f>
        <v>0</v>
      </c>
      <c r="AI42" s="66">
        <f>VLOOKUP($A42,'S47'!$C:$BQ,52,0)</f>
        <v>124</v>
      </c>
      <c r="AJ42" s="66">
        <f>VLOOKUP($A42,'S47'!$C:$BQ,59,0)</f>
        <v>0</v>
      </c>
      <c r="AK42" s="66">
        <f>VLOOKUP($A42,'S47'!$C:$BQ,60,0)</f>
        <v>0</v>
      </c>
      <c r="AL42" s="58" t="e">
        <f>VLOOKUP($A42,'S48'!$C:$BQ,32,0)</f>
        <v>#N/A</v>
      </c>
      <c r="AM42" s="58" t="e">
        <f>VLOOKUP($A42,'S48'!$C:$BQ,39,0)</f>
        <v>#N/A</v>
      </c>
      <c r="AN42" s="58" t="e">
        <f>VLOOKUP($A42,'S48'!$C:$BQ,40,0)</f>
        <v>#N/A</v>
      </c>
      <c r="AO42" s="58" t="e">
        <f>VLOOKUP($A42,'S48'!$C:$BQ,22,0)</f>
        <v>#N/A</v>
      </c>
      <c r="AP42" s="66" t="e">
        <f>VLOOKUP($A42,'S48'!$C:$BQ,29,0)</f>
        <v>#N/A</v>
      </c>
      <c r="AQ42" s="66" t="e">
        <f>VLOOKUP($A42,'S48'!$C:$BQ,30,0)</f>
        <v>#N/A</v>
      </c>
      <c r="AR42" s="66" t="e">
        <f>VLOOKUP($A42,'S48'!$C:$BQ,52,0)</f>
        <v>#N/A</v>
      </c>
      <c r="AS42" s="66" t="e">
        <f>VLOOKUP($A42,'S48'!$C:$BQ,59,0)</f>
        <v>#N/A</v>
      </c>
      <c r="AT42" s="66" t="e">
        <f>VLOOKUP($A42,'S48'!$C:$BQ,60,0)</f>
        <v>#N/A</v>
      </c>
      <c r="AU42" s="58" t="e">
        <f>VLOOKUP($A42,'S49'!$C:$BQ,32,0)</f>
        <v>#N/A</v>
      </c>
      <c r="AV42" s="58" t="e">
        <f>VLOOKUP($A42,'S49'!$C:$BQ,39,0)</f>
        <v>#N/A</v>
      </c>
      <c r="AW42" s="58" t="e">
        <f>VLOOKUP($A42,'S49'!$C:$BQ,40,0)</f>
        <v>#N/A</v>
      </c>
      <c r="AX42" s="58" t="e">
        <f>VLOOKUP($A42,'S49'!$C:$BQ,22,0)</f>
        <v>#N/A</v>
      </c>
      <c r="AY42" s="66" t="e">
        <f>VLOOKUP($A42,'S49'!$C:$BQ,29,0)</f>
        <v>#N/A</v>
      </c>
      <c r="AZ42" s="66" t="e">
        <f>VLOOKUP($A42,'S49'!$C:$BQ,30,0)</f>
        <v>#N/A</v>
      </c>
      <c r="BA42" s="66" t="e">
        <f>VLOOKUP($A42,'S49'!$C:$BQ,52,0)</f>
        <v>#N/A</v>
      </c>
      <c r="BB42" s="66" t="e">
        <f>VLOOKUP($A42,'S49'!$C:$BQ,59,0)</f>
        <v>#N/A</v>
      </c>
      <c r="BC42" s="66" t="e">
        <f>VLOOKUP($A42,'S49'!$C:$BQ,60,0)</f>
        <v>#N/A</v>
      </c>
      <c r="BD42" s="58" t="e">
        <f>VLOOKUP($A42,'S50'!$C:$BQ,32,0)</f>
        <v>#N/A</v>
      </c>
      <c r="BE42" s="58" t="e">
        <f>VLOOKUP($A42,'S50'!$C:$BQ,39,0)</f>
        <v>#N/A</v>
      </c>
      <c r="BF42" s="58" t="e">
        <f>VLOOKUP($A42,'S50'!$C:$BQ,40,0)</f>
        <v>#N/A</v>
      </c>
      <c r="BG42" s="58" t="e">
        <f>VLOOKUP($A42,'S50'!$C:$BQ,22,0)</f>
        <v>#N/A</v>
      </c>
      <c r="BH42" s="66" t="e">
        <f>VLOOKUP($A42,'S50'!$C:$BQ,29,0)</f>
        <v>#N/A</v>
      </c>
      <c r="BI42" s="66" t="e">
        <f>VLOOKUP($A42,'S50'!$C:$BQ,30,0)</f>
        <v>#N/A</v>
      </c>
      <c r="BJ42" s="66" t="e">
        <f>VLOOKUP($A42,'S50'!$C:$BQ,52,0)</f>
        <v>#N/A</v>
      </c>
      <c r="BK42" s="66" t="e">
        <f>VLOOKUP($A42,'S50'!$C:$BQ,59,0)</f>
        <v>#N/A</v>
      </c>
      <c r="BL42" s="66" t="e">
        <f>VLOOKUP($A42,'S50'!$C:$BQ,60,0)</f>
        <v>#N/A</v>
      </c>
    </row>
    <row r="43" spans="1:64" x14ac:dyDescent="0.2">
      <c r="A43" s="57" t="s">
        <v>98</v>
      </c>
      <c r="B43" s="58">
        <f>VLOOKUP($A43,'S0 remplacer avec S44'!$C:$BQ,32,0)</f>
        <v>485.25</v>
      </c>
      <c r="C43" s="58">
        <f>VLOOKUP($A43,'S0 remplacer avec S44'!$C:$BQ,39,0)</f>
        <v>61</v>
      </c>
      <c r="D43" s="58">
        <f>VLOOKUP($A43,'S0 remplacer avec S44'!$C:$BQ,40,0)</f>
        <v>170</v>
      </c>
      <c r="E43" s="58">
        <f>VLOOKUP($A43,'S0 remplacer avec S44'!$C:$BQ,22,0)</f>
        <v>4254.8397999999997</v>
      </c>
      <c r="F43" s="66">
        <f>VLOOKUP($A43,'S0 remplacer avec S44'!$C:$BQ,29,0)</f>
        <v>710</v>
      </c>
      <c r="G43" s="66">
        <f>VLOOKUP($A43,'S0 remplacer avec S44'!$C:$BQ,30,0)</f>
        <v>1702</v>
      </c>
      <c r="H43" s="66">
        <f>VLOOKUP($A43,'S0 remplacer avec S44'!$C:$BQ,52,0)</f>
        <v>283</v>
      </c>
      <c r="I43" s="66">
        <f>VLOOKUP($A43,'S0 remplacer avec S44'!$C:$BQ,59,0)</f>
        <v>0</v>
      </c>
      <c r="J43" s="66">
        <f>VLOOKUP($A43,'S0 remplacer avec S44'!$C:$BQ,60,0)</f>
        <v>50</v>
      </c>
      <c r="K43" s="58">
        <f>VLOOKUP($A43,'S45'!$C:$BQ,32,0)</f>
        <v>496.25</v>
      </c>
      <c r="L43" s="58">
        <f>VLOOKUP($A43,'S45'!$C:$BQ,39,0)</f>
        <v>50</v>
      </c>
      <c r="M43" s="58">
        <f>VLOOKUP($A43,'S45'!$C:$BQ,40,0)</f>
        <v>159</v>
      </c>
      <c r="N43" s="58">
        <f>VLOOKUP($A43,'S45'!$C:$BQ,22,0)</f>
        <v>4325.3927299999996</v>
      </c>
      <c r="O43" s="66">
        <f>VLOOKUP($A43,'S45'!$C:$BQ,29,0)</f>
        <v>639</v>
      </c>
      <c r="P43" s="66">
        <f>VLOOKUP($A43,'S45'!$C:$BQ,30,0)</f>
        <v>1632</v>
      </c>
      <c r="Q43" s="66">
        <f>VLOOKUP($A43,'S45'!$C:$BQ,52,0)</f>
        <v>290</v>
      </c>
      <c r="R43" s="66">
        <f>VLOOKUP($A43,'S45'!$C:$BQ,59,0)</f>
        <v>0</v>
      </c>
      <c r="S43" s="66">
        <f>VLOOKUP($A43,'S45'!$C:$BQ,60,0)</f>
        <v>43</v>
      </c>
      <c r="T43" s="58">
        <f>VLOOKUP($A43,'S46'!$C:$BQ,32,0)</f>
        <v>500.75</v>
      </c>
      <c r="U43" s="58">
        <f>VLOOKUP($A43,'S46'!$C:$BQ,39,0)</f>
        <v>46</v>
      </c>
      <c r="V43" s="58">
        <f>VLOOKUP($A43,'S46'!$C:$BQ,40,0)</f>
        <v>155</v>
      </c>
      <c r="W43" s="58">
        <f>VLOOKUP($A43,'S46'!$C:$BQ,22,0)</f>
        <v>4340.6493</v>
      </c>
      <c r="X43" s="66">
        <f>VLOOKUP($A43,'S46'!$C:$BQ,29,0)</f>
        <v>624</v>
      </c>
      <c r="Y43" s="66">
        <f>VLOOKUP($A43,'S46'!$C:$BQ,30,0)</f>
        <v>1617</v>
      </c>
      <c r="Z43" s="66">
        <f>VLOOKUP($A43,'S46'!$C:$BQ,52,0)</f>
        <v>298</v>
      </c>
      <c r="AA43" s="66">
        <f>VLOOKUP($A43,'S46'!$C:$BQ,59,0)</f>
        <v>0</v>
      </c>
      <c r="AB43" s="66">
        <f>VLOOKUP($A43,'S46'!$C:$BQ,60,0)</f>
        <v>35</v>
      </c>
      <c r="AC43" s="58">
        <f>VLOOKUP($A43,'S47'!$C:$BQ,32,0)</f>
        <v>512.75</v>
      </c>
      <c r="AD43" s="58">
        <f>VLOOKUP($A43,'S47'!$C:$BQ,39,0)</f>
        <v>34</v>
      </c>
      <c r="AE43" s="58">
        <f>VLOOKUP($A43,'S47'!$C:$BQ,40,0)</f>
        <v>143</v>
      </c>
      <c r="AF43" s="58">
        <f>VLOOKUP($A43,'S47'!$C:$BQ,22,0)</f>
        <v>4373.11906</v>
      </c>
      <c r="AG43" s="66">
        <f>VLOOKUP($A43,'S47'!$C:$BQ,29,0)</f>
        <v>591</v>
      </c>
      <c r="AH43" s="66">
        <f>VLOOKUP($A43,'S47'!$C:$BQ,30,0)</f>
        <v>1584</v>
      </c>
      <c r="AI43" s="66">
        <f>VLOOKUP($A43,'S47'!$C:$BQ,52,0)</f>
        <v>314</v>
      </c>
      <c r="AJ43" s="66">
        <f>VLOOKUP($A43,'S47'!$C:$BQ,59,0)</f>
        <v>0</v>
      </c>
      <c r="AK43" s="66">
        <f>VLOOKUP($A43,'S47'!$C:$BQ,60,0)</f>
        <v>19</v>
      </c>
      <c r="AL43" s="58" t="e">
        <f>VLOOKUP($A43,'S48'!$C:$BQ,32,0)</f>
        <v>#N/A</v>
      </c>
      <c r="AM43" s="58" t="e">
        <f>VLOOKUP($A43,'S48'!$C:$BQ,39,0)</f>
        <v>#N/A</v>
      </c>
      <c r="AN43" s="58" t="e">
        <f>VLOOKUP($A43,'S48'!$C:$BQ,40,0)</f>
        <v>#N/A</v>
      </c>
      <c r="AO43" s="58" t="e">
        <f>VLOOKUP($A43,'S48'!$C:$BQ,22,0)</f>
        <v>#N/A</v>
      </c>
      <c r="AP43" s="66" t="e">
        <f>VLOOKUP($A43,'S48'!$C:$BQ,29,0)</f>
        <v>#N/A</v>
      </c>
      <c r="AQ43" s="66" t="e">
        <f>VLOOKUP($A43,'S48'!$C:$BQ,30,0)</f>
        <v>#N/A</v>
      </c>
      <c r="AR43" s="66" t="e">
        <f>VLOOKUP($A43,'S48'!$C:$BQ,52,0)</f>
        <v>#N/A</v>
      </c>
      <c r="AS43" s="66" t="e">
        <f>VLOOKUP($A43,'S48'!$C:$BQ,59,0)</f>
        <v>#N/A</v>
      </c>
      <c r="AT43" s="66" t="e">
        <f>VLOOKUP($A43,'S48'!$C:$BQ,60,0)</f>
        <v>#N/A</v>
      </c>
      <c r="AU43" s="58" t="e">
        <f>VLOOKUP($A43,'S49'!$C:$BQ,32,0)</f>
        <v>#N/A</v>
      </c>
      <c r="AV43" s="58" t="e">
        <f>VLOOKUP($A43,'S49'!$C:$BQ,39,0)</f>
        <v>#N/A</v>
      </c>
      <c r="AW43" s="58" t="e">
        <f>VLOOKUP($A43,'S49'!$C:$BQ,40,0)</f>
        <v>#N/A</v>
      </c>
      <c r="AX43" s="58" t="e">
        <f>VLOOKUP($A43,'S49'!$C:$BQ,22,0)</f>
        <v>#N/A</v>
      </c>
      <c r="AY43" s="66" t="e">
        <f>VLOOKUP($A43,'S49'!$C:$BQ,29,0)</f>
        <v>#N/A</v>
      </c>
      <c r="AZ43" s="66" t="e">
        <f>VLOOKUP($A43,'S49'!$C:$BQ,30,0)</f>
        <v>#N/A</v>
      </c>
      <c r="BA43" s="66" t="e">
        <f>VLOOKUP($A43,'S49'!$C:$BQ,52,0)</f>
        <v>#N/A</v>
      </c>
      <c r="BB43" s="66" t="e">
        <f>VLOOKUP($A43,'S49'!$C:$BQ,59,0)</f>
        <v>#N/A</v>
      </c>
      <c r="BC43" s="66" t="e">
        <f>VLOOKUP($A43,'S49'!$C:$BQ,60,0)</f>
        <v>#N/A</v>
      </c>
      <c r="BD43" s="58" t="e">
        <f>VLOOKUP($A43,'S50'!$C:$BQ,32,0)</f>
        <v>#N/A</v>
      </c>
      <c r="BE43" s="58" t="e">
        <f>VLOOKUP($A43,'S50'!$C:$BQ,39,0)</f>
        <v>#N/A</v>
      </c>
      <c r="BF43" s="58" t="e">
        <f>VLOOKUP($A43,'S50'!$C:$BQ,40,0)</f>
        <v>#N/A</v>
      </c>
      <c r="BG43" s="58" t="e">
        <f>VLOOKUP($A43,'S50'!$C:$BQ,22,0)</f>
        <v>#N/A</v>
      </c>
      <c r="BH43" s="66" t="e">
        <f>VLOOKUP($A43,'S50'!$C:$BQ,29,0)</f>
        <v>#N/A</v>
      </c>
      <c r="BI43" s="66" t="e">
        <f>VLOOKUP($A43,'S50'!$C:$BQ,30,0)</f>
        <v>#N/A</v>
      </c>
      <c r="BJ43" s="66" t="e">
        <f>VLOOKUP($A43,'S50'!$C:$BQ,52,0)</f>
        <v>#N/A</v>
      </c>
      <c r="BK43" s="66" t="e">
        <f>VLOOKUP($A43,'S50'!$C:$BQ,59,0)</f>
        <v>#N/A</v>
      </c>
      <c r="BL43" s="66" t="e">
        <f>VLOOKUP($A43,'S50'!$C:$BQ,60,0)</f>
        <v>#N/A</v>
      </c>
    </row>
    <row r="44" spans="1:64" x14ac:dyDescent="0.2">
      <c r="A44" s="57" t="s">
        <v>99</v>
      </c>
      <c r="B44" s="58">
        <f>VLOOKUP($A44,'S0 remplacer avec S44'!$C:$BQ,32,0)</f>
        <v>96.25</v>
      </c>
      <c r="C44" s="58">
        <f>VLOOKUP($A44,'S0 remplacer avec S44'!$C:$BQ,39,0)</f>
        <v>50</v>
      </c>
      <c r="D44" s="58">
        <f>VLOOKUP($A44,'S0 remplacer avec S44'!$C:$BQ,40,0)</f>
        <v>79</v>
      </c>
      <c r="E44" s="58">
        <f>VLOOKUP($A44,'S0 remplacer avec S44'!$C:$BQ,22,0)</f>
        <v>1088.4898700000001</v>
      </c>
      <c r="F44" s="66">
        <f>VLOOKUP($A44,'S0 remplacer avec S44'!$C:$BQ,29,0)</f>
        <v>236</v>
      </c>
      <c r="G44" s="66">
        <f>VLOOKUP($A44,'S0 remplacer avec S44'!$C:$BQ,30,0)</f>
        <v>500</v>
      </c>
      <c r="H44" s="66">
        <f>VLOOKUP($A44,'S0 remplacer avec S44'!$C:$BQ,52,0)</f>
        <v>63.2</v>
      </c>
      <c r="I44" s="66">
        <f>VLOOKUP($A44,'S0 remplacer avec S44'!$C:$BQ,59,0)</f>
        <v>11</v>
      </c>
      <c r="J44" s="66">
        <f>VLOOKUP($A44,'S0 remplacer avec S44'!$C:$BQ,60,0)</f>
        <v>26</v>
      </c>
      <c r="K44" s="58">
        <f>VLOOKUP($A44,'S45'!$C:$BQ,32,0)</f>
        <v>99.25</v>
      </c>
      <c r="L44" s="58">
        <f>VLOOKUP($A44,'S45'!$C:$BQ,39,0)</f>
        <v>47</v>
      </c>
      <c r="M44" s="58">
        <f>VLOOKUP($A44,'S45'!$C:$BQ,40,0)</f>
        <v>76</v>
      </c>
      <c r="N44" s="58">
        <f>VLOOKUP($A44,'S45'!$C:$BQ,22,0)</f>
        <v>1091.13797</v>
      </c>
      <c r="O44" s="66">
        <f>VLOOKUP($A44,'S45'!$C:$BQ,29,0)</f>
        <v>233</v>
      </c>
      <c r="P44" s="66">
        <f>VLOOKUP($A44,'S45'!$C:$BQ,30,0)</f>
        <v>498</v>
      </c>
      <c r="Q44" s="66">
        <f>VLOOKUP($A44,'S45'!$C:$BQ,52,0)</f>
        <v>63.2</v>
      </c>
      <c r="R44" s="66">
        <f>VLOOKUP($A44,'S45'!$C:$BQ,59,0)</f>
        <v>11</v>
      </c>
      <c r="S44" s="66">
        <f>VLOOKUP($A44,'S45'!$C:$BQ,60,0)</f>
        <v>26</v>
      </c>
      <c r="T44" s="58">
        <f>VLOOKUP($A44,'S46'!$C:$BQ,32,0)</f>
        <v>98.75</v>
      </c>
      <c r="U44" s="58">
        <f>VLOOKUP($A44,'S46'!$C:$BQ,39,0)</f>
        <v>47</v>
      </c>
      <c r="V44" s="58">
        <f>VLOOKUP($A44,'S46'!$C:$BQ,40,0)</f>
        <v>76</v>
      </c>
      <c r="W44" s="58">
        <f>VLOOKUP($A44,'S46'!$C:$BQ,22,0)</f>
        <v>1091.26297</v>
      </c>
      <c r="X44" s="66">
        <f>VLOOKUP($A44,'S46'!$C:$BQ,29,0)</f>
        <v>233</v>
      </c>
      <c r="Y44" s="66">
        <f>VLOOKUP($A44,'S46'!$C:$BQ,30,0)</f>
        <v>497</v>
      </c>
      <c r="Z44" s="66">
        <f>VLOOKUP($A44,'S46'!$C:$BQ,52,0)</f>
        <v>63.2</v>
      </c>
      <c r="AA44" s="66">
        <f>VLOOKUP($A44,'S46'!$C:$BQ,59,0)</f>
        <v>11</v>
      </c>
      <c r="AB44" s="66">
        <f>VLOOKUP($A44,'S46'!$C:$BQ,60,0)</f>
        <v>26</v>
      </c>
      <c r="AC44" s="58">
        <f>VLOOKUP($A44,'S47'!$C:$BQ,32,0)</f>
        <v>100.75</v>
      </c>
      <c r="AD44" s="58">
        <f>VLOOKUP($A44,'S47'!$C:$BQ,39,0)</f>
        <v>45</v>
      </c>
      <c r="AE44" s="58">
        <f>VLOOKUP($A44,'S47'!$C:$BQ,40,0)</f>
        <v>74</v>
      </c>
      <c r="AF44" s="58">
        <f>VLOOKUP($A44,'S47'!$C:$BQ,22,0)</f>
        <v>1111.6709499999999</v>
      </c>
      <c r="AG44" s="66">
        <f>VLOOKUP($A44,'S47'!$C:$BQ,29,0)</f>
        <v>212</v>
      </c>
      <c r="AH44" s="66">
        <f>VLOOKUP($A44,'S47'!$C:$BQ,30,0)</f>
        <v>477</v>
      </c>
      <c r="AI44" s="66">
        <f>VLOOKUP($A44,'S47'!$C:$BQ,52,0)</f>
        <v>63.2</v>
      </c>
      <c r="AJ44" s="66">
        <f>VLOOKUP($A44,'S47'!$C:$BQ,59,0)</f>
        <v>11</v>
      </c>
      <c r="AK44" s="66">
        <f>VLOOKUP($A44,'S47'!$C:$BQ,60,0)</f>
        <v>26</v>
      </c>
      <c r="AL44" s="58" t="e">
        <f>VLOOKUP($A44,'S48'!$C:$BQ,32,0)</f>
        <v>#N/A</v>
      </c>
      <c r="AM44" s="58" t="e">
        <f>VLOOKUP($A44,'S48'!$C:$BQ,39,0)</f>
        <v>#N/A</v>
      </c>
      <c r="AN44" s="58" t="e">
        <f>VLOOKUP($A44,'S48'!$C:$BQ,40,0)</f>
        <v>#N/A</v>
      </c>
      <c r="AO44" s="58" t="e">
        <f>VLOOKUP($A44,'S48'!$C:$BQ,22,0)</f>
        <v>#N/A</v>
      </c>
      <c r="AP44" s="66" t="e">
        <f>VLOOKUP($A44,'S48'!$C:$BQ,29,0)</f>
        <v>#N/A</v>
      </c>
      <c r="AQ44" s="66" t="e">
        <f>VLOOKUP($A44,'S48'!$C:$BQ,30,0)</f>
        <v>#N/A</v>
      </c>
      <c r="AR44" s="66" t="e">
        <f>VLOOKUP($A44,'S48'!$C:$BQ,52,0)</f>
        <v>#N/A</v>
      </c>
      <c r="AS44" s="66" t="e">
        <f>VLOOKUP($A44,'S48'!$C:$BQ,59,0)</f>
        <v>#N/A</v>
      </c>
      <c r="AT44" s="66" t="e">
        <f>VLOOKUP($A44,'S48'!$C:$BQ,60,0)</f>
        <v>#N/A</v>
      </c>
      <c r="AU44" s="58" t="e">
        <f>VLOOKUP($A44,'S49'!$C:$BQ,32,0)</f>
        <v>#N/A</v>
      </c>
      <c r="AV44" s="58" t="e">
        <f>VLOOKUP($A44,'S49'!$C:$BQ,39,0)</f>
        <v>#N/A</v>
      </c>
      <c r="AW44" s="58" t="e">
        <f>VLOOKUP($A44,'S49'!$C:$BQ,40,0)</f>
        <v>#N/A</v>
      </c>
      <c r="AX44" s="58" t="e">
        <f>VLOOKUP($A44,'S49'!$C:$BQ,22,0)</f>
        <v>#N/A</v>
      </c>
      <c r="AY44" s="66" t="e">
        <f>VLOOKUP($A44,'S49'!$C:$BQ,29,0)</f>
        <v>#N/A</v>
      </c>
      <c r="AZ44" s="66" t="e">
        <f>VLOOKUP($A44,'S49'!$C:$BQ,30,0)</f>
        <v>#N/A</v>
      </c>
      <c r="BA44" s="66" t="e">
        <f>VLOOKUP($A44,'S49'!$C:$BQ,52,0)</f>
        <v>#N/A</v>
      </c>
      <c r="BB44" s="66" t="e">
        <f>VLOOKUP($A44,'S49'!$C:$BQ,59,0)</f>
        <v>#N/A</v>
      </c>
      <c r="BC44" s="66" t="e">
        <f>VLOOKUP($A44,'S49'!$C:$BQ,60,0)</f>
        <v>#N/A</v>
      </c>
      <c r="BD44" s="58" t="e">
        <f>VLOOKUP($A44,'S50'!$C:$BQ,32,0)</f>
        <v>#N/A</v>
      </c>
      <c r="BE44" s="58" t="e">
        <f>VLOOKUP($A44,'S50'!$C:$BQ,39,0)</f>
        <v>#N/A</v>
      </c>
      <c r="BF44" s="58" t="e">
        <f>VLOOKUP($A44,'S50'!$C:$BQ,40,0)</f>
        <v>#N/A</v>
      </c>
      <c r="BG44" s="58" t="e">
        <f>VLOOKUP($A44,'S50'!$C:$BQ,22,0)</f>
        <v>#N/A</v>
      </c>
      <c r="BH44" s="66" t="e">
        <f>VLOOKUP($A44,'S50'!$C:$BQ,29,0)</f>
        <v>#N/A</v>
      </c>
      <c r="BI44" s="66" t="e">
        <f>VLOOKUP($A44,'S50'!$C:$BQ,30,0)</f>
        <v>#N/A</v>
      </c>
      <c r="BJ44" s="66" t="e">
        <f>VLOOKUP($A44,'S50'!$C:$BQ,52,0)</f>
        <v>#N/A</v>
      </c>
      <c r="BK44" s="66" t="e">
        <f>VLOOKUP($A44,'S50'!$C:$BQ,59,0)</f>
        <v>#N/A</v>
      </c>
      <c r="BL44" s="66" t="e">
        <f>VLOOKUP($A44,'S50'!$C:$BQ,60,0)</f>
        <v>#N/A</v>
      </c>
    </row>
    <row r="45" spans="1:64" x14ac:dyDescent="0.2">
      <c r="A45" s="57" t="s">
        <v>101</v>
      </c>
      <c r="B45" s="58">
        <f>VLOOKUP($A45,'S0 remplacer avec S44'!$C:$BQ,32,0)</f>
        <v>160.5</v>
      </c>
      <c r="C45" s="58">
        <f>VLOOKUP($A45,'S0 remplacer avec S44'!$C:$BQ,39,0)</f>
        <v>27</v>
      </c>
      <c r="D45" s="58">
        <f>VLOOKUP($A45,'S0 remplacer avec S44'!$C:$BQ,40,0)</f>
        <v>64</v>
      </c>
      <c r="E45" s="58">
        <f>VLOOKUP($A45,'S0 remplacer avec S44'!$C:$BQ,22,0)</f>
        <v>1500.644235</v>
      </c>
      <c r="F45" s="66">
        <f>VLOOKUP($A45,'S0 remplacer avec S44'!$C:$BQ,29,0)</f>
        <v>198</v>
      </c>
      <c r="G45" s="66">
        <f>VLOOKUP($A45,'S0 remplacer avec S44'!$C:$BQ,30,0)</f>
        <v>537</v>
      </c>
      <c r="H45" s="66">
        <f>VLOOKUP($A45,'S0 remplacer avec S44'!$C:$BQ,52,0)</f>
        <v>119</v>
      </c>
      <c r="I45" s="66">
        <f>VLOOKUP($A45,'S0 remplacer avec S44'!$C:$BQ,59,0)</f>
        <v>0</v>
      </c>
      <c r="J45" s="66">
        <f>VLOOKUP($A45,'S0 remplacer avec S44'!$C:$BQ,60,0)</f>
        <v>0</v>
      </c>
      <c r="K45" s="58">
        <f>VLOOKUP($A45,'S45'!$C:$BQ,32,0)</f>
        <v>164.5</v>
      </c>
      <c r="L45" s="58">
        <f>VLOOKUP($A45,'S45'!$C:$BQ,39,0)</f>
        <v>23</v>
      </c>
      <c r="M45" s="58">
        <f>VLOOKUP($A45,'S45'!$C:$BQ,40,0)</f>
        <v>60</v>
      </c>
      <c r="N45" s="58">
        <f>VLOOKUP($A45,'S45'!$C:$BQ,22,0)</f>
        <v>1526.6042749999999</v>
      </c>
      <c r="O45" s="66">
        <f>VLOOKUP($A45,'S45'!$C:$BQ,29,0)</f>
        <v>172</v>
      </c>
      <c r="P45" s="66">
        <f>VLOOKUP($A45,'S45'!$C:$BQ,30,0)</f>
        <v>511</v>
      </c>
      <c r="Q45" s="66">
        <f>VLOOKUP($A45,'S45'!$C:$BQ,52,0)</f>
        <v>120</v>
      </c>
      <c r="R45" s="66">
        <f>VLOOKUP($A45,'S45'!$C:$BQ,59,0)</f>
        <v>0</v>
      </c>
      <c r="S45" s="66">
        <f>VLOOKUP($A45,'S45'!$C:$BQ,60,0)</f>
        <v>0</v>
      </c>
      <c r="T45" s="58">
        <f>VLOOKUP($A45,'S46'!$C:$BQ,32,0)</f>
        <v>166.5</v>
      </c>
      <c r="U45" s="58">
        <f>VLOOKUP($A45,'S46'!$C:$BQ,39,0)</f>
        <v>21</v>
      </c>
      <c r="V45" s="58">
        <f>VLOOKUP($A45,'S46'!$C:$BQ,40,0)</f>
        <v>58</v>
      </c>
      <c r="W45" s="58">
        <f>VLOOKUP($A45,'S46'!$C:$BQ,22,0)</f>
        <v>1527.639275</v>
      </c>
      <c r="X45" s="66">
        <f>VLOOKUP($A45,'S46'!$C:$BQ,29,0)</f>
        <v>171</v>
      </c>
      <c r="Y45" s="66">
        <f>VLOOKUP($A45,'S46'!$C:$BQ,30,0)</f>
        <v>510</v>
      </c>
      <c r="Z45" s="66">
        <f>VLOOKUP($A45,'S46'!$C:$BQ,52,0)</f>
        <v>122</v>
      </c>
      <c r="AA45" s="66">
        <f>VLOOKUP($A45,'S46'!$C:$BQ,59,0)</f>
        <v>0</v>
      </c>
      <c r="AB45" s="66">
        <f>VLOOKUP($A45,'S46'!$C:$BQ,60,0)</f>
        <v>0</v>
      </c>
      <c r="AC45" s="58">
        <f>VLOOKUP($A45,'S47'!$C:$BQ,32,0)</f>
        <v>171.5</v>
      </c>
      <c r="AD45" s="58">
        <f>VLOOKUP($A45,'S47'!$C:$BQ,39,0)</f>
        <v>16</v>
      </c>
      <c r="AE45" s="58">
        <f>VLOOKUP($A45,'S47'!$C:$BQ,40,0)</f>
        <v>53</v>
      </c>
      <c r="AF45" s="58">
        <f>VLOOKUP($A45,'S47'!$C:$BQ,22,0)</f>
        <v>1562.4401250000001</v>
      </c>
      <c r="AG45" s="66">
        <f>VLOOKUP($A45,'S47'!$C:$BQ,29,0)</f>
        <v>136</v>
      </c>
      <c r="AH45" s="66">
        <f>VLOOKUP($A45,'S47'!$C:$BQ,30,0)</f>
        <v>476</v>
      </c>
      <c r="AI45" s="66">
        <f>VLOOKUP($A45,'S47'!$C:$BQ,52,0)</f>
        <v>123</v>
      </c>
      <c r="AJ45" s="66">
        <f>VLOOKUP($A45,'S47'!$C:$BQ,59,0)</f>
        <v>0</v>
      </c>
      <c r="AK45" s="66">
        <f>VLOOKUP($A45,'S47'!$C:$BQ,60,0)</f>
        <v>0</v>
      </c>
      <c r="AL45" s="58" t="e">
        <f>VLOOKUP($A45,'S48'!$C:$BQ,32,0)</f>
        <v>#N/A</v>
      </c>
      <c r="AM45" s="58" t="e">
        <f>VLOOKUP($A45,'S48'!$C:$BQ,39,0)</f>
        <v>#N/A</v>
      </c>
      <c r="AN45" s="58" t="e">
        <f>VLOOKUP($A45,'S48'!$C:$BQ,40,0)</f>
        <v>#N/A</v>
      </c>
      <c r="AO45" s="58" t="e">
        <f>VLOOKUP($A45,'S48'!$C:$BQ,22,0)</f>
        <v>#N/A</v>
      </c>
      <c r="AP45" s="66" t="e">
        <f>VLOOKUP($A45,'S48'!$C:$BQ,29,0)</f>
        <v>#N/A</v>
      </c>
      <c r="AQ45" s="66" t="e">
        <f>VLOOKUP($A45,'S48'!$C:$BQ,30,0)</f>
        <v>#N/A</v>
      </c>
      <c r="AR45" s="66" t="e">
        <f>VLOOKUP($A45,'S48'!$C:$BQ,52,0)</f>
        <v>#N/A</v>
      </c>
      <c r="AS45" s="66" t="e">
        <f>VLOOKUP($A45,'S48'!$C:$BQ,59,0)</f>
        <v>#N/A</v>
      </c>
      <c r="AT45" s="66" t="e">
        <f>VLOOKUP($A45,'S48'!$C:$BQ,60,0)</f>
        <v>#N/A</v>
      </c>
      <c r="AU45" s="58" t="e">
        <f>VLOOKUP($A45,'S49'!$C:$BQ,32,0)</f>
        <v>#N/A</v>
      </c>
      <c r="AV45" s="58" t="e">
        <f>VLOOKUP($A45,'S49'!$C:$BQ,39,0)</f>
        <v>#N/A</v>
      </c>
      <c r="AW45" s="58" t="e">
        <f>VLOOKUP($A45,'S49'!$C:$BQ,40,0)</f>
        <v>#N/A</v>
      </c>
      <c r="AX45" s="58" t="e">
        <f>VLOOKUP($A45,'S49'!$C:$BQ,22,0)</f>
        <v>#N/A</v>
      </c>
      <c r="AY45" s="66" t="e">
        <f>VLOOKUP($A45,'S49'!$C:$BQ,29,0)</f>
        <v>#N/A</v>
      </c>
      <c r="AZ45" s="66" t="e">
        <f>VLOOKUP($A45,'S49'!$C:$BQ,30,0)</f>
        <v>#N/A</v>
      </c>
      <c r="BA45" s="66" t="e">
        <f>VLOOKUP($A45,'S49'!$C:$BQ,52,0)</f>
        <v>#N/A</v>
      </c>
      <c r="BB45" s="66" t="e">
        <f>VLOOKUP($A45,'S49'!$C:$BQ,59,0)</f>
        <v>#N/A</v>
      </c>
      <c r="BC45" s="66" t="e">
        <f>VLOOKUP($A45,'S49'!$C:$BQ,60,0)</f>
        <v>#N/A</v>
      </c>
      <c r="BD45" s="58" t="e">
        <f>VLOOKUP($A45,'S50'!$C:$BQ,32,0)</f>
        <v>#N/A</v>
      </c>
      <c r="BE45" s="58" t="e">
        <f>VLOOKUP($A45,'S50'!$C:$BQ,39,0)</f>
        <v>#N/A</v>
      </c>
      <c r="BF45" s="58" t="e">
        <f>VLOOKUP($A45,'S50'!$C:$BQ,40,0)</f>
        <v>#N/A</v>
      </c>
      <c r="BG45" s="58" t="e">
        <f>VLOOKUP($A45,'S50'!$C:$BQ,22,0)</f>
        <v>#N/A</v>
      </c>
      <c r="BH45" s="66" t="e">
        <f>VLOOKUP($A45,'S50'!$C:$BQ,29,0)</f>
        <v>#N/A</v>
      </c>
      <c r="BI45" s="66" t="e">
        <f>VLOOKUP($A45,'S50'!$C:$BQ,30,0)</f>
        <v>#N/A</v>
      </c>
      <c r="BJ45" s="66" t="e">
        <f>VLOOKUP($A45,'S50'!$C:$BQ,52,0)</f>
        <v>#N/A</v>
      </c>
      <c r="BK45" s="66" t="e">
        <f>VLOOKUP($A45,'S50'!$C:$BQ,59,0)</f>
        <v>#N/A</v>
      </c>
      <c r="BL45" s="66" t="e">
        <f>VLOOKUP($A45,'S50'!$C:$BQ,60,0)</f>
        <v>#N/A</v>
      </c>
    </row>
    <row r="46" spans="1:64" x14ac:dyDescent="0.2">
      <c r="A46" s="57" t="s">
        <v>102</v>
      </c>
      <c r="B46" s="58">
        <f>VLOOKUP($A46,'S0 remplacer avec S44'!$C:$BQ,32,0)</f>
        <v>124.5</v>
      </c>
      <c r="C46" s="58">
        <f>VLOOKUP($A46,'S0 remplacer avec S44'!$C:$BQ,39,0)</f>
        <v>107</v>
      </c>
      <c r="D46" s="58">
        <f>VLOOKUP($A46,'S0 remplacer avec S44'!$C:$BQ,40,0)</f>
        <v>153</v>
      </c>
      <c r="E46" s="58">
        <f>VLOOKUP($A46,'S0 remplacer avec S44'!$C:$BQ,22,0)</f>
        <v>1658.358365</v>
      </c>
      <c r="F46" s="66">
        <f>VLOOKUP($A46,'S0 remplacer avec S44'!$C:$BQ,29,0)</f>
        <v>441</v>
      </c>
      <c r="G46" s="66">
        <f>VLOOKUP($A46,'S0 remplacer avec S44'!$C:$BQ,30,0)</f>
        <v>861</v>
      </c>
      <c r="H46" s="66">
        <f>VLOOKUP($A46,'S0 remplacer avec S44'!$C:$BQ,52,0)</f>
        <v>93.6</v>
      </c>
      <c r="I46" s="66">
        <f>VLOOKUP($A46,'S0 remplacer avec S44'!$C:$BQ,59,0)</f>
        <v>24</v>
      </c>
      <c r="J46" s="66">
        <f>VLOOKUP($A46,'S0 remplacer avec S44'!$C:$BQ,60,0)</f>
        <v>48</v>
      </c>
      <c r="K46" s="58">
        <f>VLOOKUP($A46,'S45'!$C:$BQ,32,0)</f>
        <v>124.6</v>
      </c>
      <c r="L46" s="58">
        <f>VLOOKUP($A46,'S45'!$C:$BQ,39,0)</f>
        <v>107</v>
      </c>
      <c r="M46" s="58">
        <f>VLOOKUP($A46,'S45'!$C:$BQ,40,0)</f>
        <v>153</v>
      </c>
      <c r="N46" s="58">
        <f>VLOOKUP($A46,'S45'!$C:$BQ,22,0)</f>
        <v>1604.648825</v>
      </c>
      <c r="O46" s="66">
        <f>VLOOKUP($A46,'S45'!$C:$BQ,29,0)</f>
        <v>495</v>
      </c>
      <c r="P46" s="66">
        <f>VLOOKUP($A46,'S45'!$C:$BQ,30,0)</f>
        <v>914</v>
      </c>
      <c r="Q46" s="66">
        <f>VLOOKUP($A46,'S45'!$C:$BQ,52,0)</f>
        <v>94.6</v>
      </c>
      <c r="R46" s="66">
        <f>VLOOKUP($A46,'S45'!$C:$BQ,59,0)</f>
        <v>23</v>
      </c>
      <c r="S46" s="66">
        <f>VLOOKUP($A46,'S45'!$C:$BQ,60,0)</f>
        <v>47</v>
      </c>
      <c r="T46" s="58">
        <f>VLOOKUP($A46,'S46'!$C:$BQ,32,0)</f>
        <v>122.6</v>
      </c>
      <c r="U46" s="58">
        <f>VLOOKUP($A46,'S46'!$C:$BQ,39,0)</f>
        <v>109</v>
      </c>
      <c r="V46" s="58">
        <f>VLOOKUP($A46,'S46'!$C:$BQ,40,0)</f>
        <v>155</v>
      </c>
      <c r="W46" s="58">
        <f>VLOOKUP($A46,'S46'!$C:$BQ,22,0)</f>
        <v>1594.631875</v>
      </c>
      <c r="X46" s="66">
        <f>VLOOKUP($A46,'S46'!$C:$BQ,29,0)</f>
        <v>505</v>
      </c>
      <c r="Y46" s="66">
        <f>VLOOKUP($A46,'S46'!$C:$BQ,30,0)</f>
        <v>924</v>
      </c>
      <c r="Z46" s="66">
        <f>VLOOKUP($A46,'S46'!$C:$BQ,52,0)</f>
        <v>98.6</v>
      </c>
      <c r="AA46" s="66">
        <f>VLOOKUP($A46,'S46'!$C:$BQ,59,0)</f>
        <v>19</v>
      </c>
      <c r="AB46" s="66">
        <f>VLOOKUP($A46,'S46'!$C:$BQ,60,0)</f>
        <v>43</v>
      </c>
      <c r="AC46" s="58">
        <f>VLOOKUP($A46,'S47'!$C:$BQ,32,0)</f>
        <v>122.1</v>
      </c>
      <c r="AD46" s="58">
        <f>VLOOKUP($A46,'S47'!$C:$BQ,39,0)</f>
        <v>109</v>
      </c>
      <c r="AE46" s="58">
        <f>VLOOKUP($A46,'S47'!$C:$BQ,40,0)</f>
        <v>155</v>
      </c>
      <c r="AF46" s="58">
        <f>VLOOKUP($A46,'S47'!$C:$BQ,22,0)</f>
        <v>1605.0806950000001</v>
      </c>
      <c r="AG46" s="66">
        <f>VLOOKUP($A46,'S47'!$C:$BQ,29,0)</f>
        <v>494</v>
      </c>
      <c r="AH46" s="66">
        <f>VLOOKUP($A46,'S47'!$C:$BQ,30,0)</f>
        <v>914</v>
      </c>
      <c r="AI46" s="66">
        <f>VLOOKUP($A46,'S47'!$C:$BQ,52,0)</f>
        <v>99.6</v>
      </c>
      <c r="AJ46" s="66">
        <f>VLOOKUP($A46,'S47'!$C:$BQ,59,0)</f>
        <v>18</v>
      </c>
      <c r="AK46" s="66">
        <f>VLOOKUP($A46,'S47'!$C:$BQ,60,0)</f>
        <v>42</v>
      </c>
      <c r="AL46" s="58" t="e">
        <f>VLOOKUP($A46,'S48'!$C:$BQ,32,0)</f>
        <v>#N/A</v>
      </c>
      <c r="AM46" s="58" t="e">
        <f>VLOOKUP($A46,'S48'!$C:$BQ,39,0)</f>
        <v>#N/A</v>
      </c>
      <c r="AN46" s="58" t="e">
        <f>VLOOKUP($A46,'S48'!$C:$BQ,40,0)</f>
        <v>#N/A</v>
      </c>
      <c r="AO46" s="58" t="e">
        <f>VLOOKUP($A46,'S48'!$C:$BQ,22,0)</f>
        <v>#N/A</v>
      </c>
      <c r="AP46" s="66" t="e">
        <f>VLOOKUP($A46,'S48'!$C:$BQ,29,0)</f>
        <v>#N/A</v>
      </c>
      <c r="AQ46" s="66" t="e">
        <f>VLOOKUP($A46,'S48'!$C:$BQ,30,0)</f>
        <v>#N/A</v>
      </c>
      <c r="AR46" s="66" t="e">
        <f>VLOOKUP($A46,'S48'!$C:$BQ,52,0)</f>
        <v>#N/A</v>
      </c>
      <c r="AS46" s="66" t="e">
        <f>VLOOKUP($A46,'S48'!$C:$BQ,59,0)</f>
        <v>#N/A</v>
      </c>
      <c r="AT46" s="66" t="e">
        <f>VLOOKUP($A46,'S48'!$C:$BQ,60,0)</f>
        <v>#N/A</v>
      </c>
      <c r="AU46" s="58" t="e">
        <f>VLOOKUP($A46,'S49'!$C:$BQ,32,0)</f>
        <v>#N/A</v>
      </c>
      <c r="AV46" s="58" t="e">
        <f>VLOOKUP($A46,'S49'!$C:$BQ,39,0)</f>
        <v>#N/A</v>
      </c>
      <c r="AW46" s="58" t="e">
        <f>VLOOKUP($A46,'S49'!$C:$BQ,40,0)</f>
        <v>#N/A</v>
      </c>
      <c r="AX46" s="58" t="e">
        <f>VLOOKUP($A46,'S49'!$C:$BQ,22,0)</f>
        <v>#N/A</v>
      </c>
      <c r="AY46" s="66" t="e">
        <f>VLOOKUP($A46,'S49'!$C:$BQ,29,0)</f>
        <v>#N/A</v>
      </c>
      <c r="AZ46" s="66" t="e">
        <f>VLOOKUP($A46,'S49'!$C:$BQ,30,0)</f>
        <v>#N/A</v>
      </c>
      <c r="BA46" s="66" t="e">
        <f>VLOOKUP($A46,'S49'!$C:$BQ,52,0)</f>
        <v>#N/A</v>
      </c>
      <c r="BB46" s="66" t="e">
        <f>VLOOKUP($A46,'S49'!$C:$BQ,59,0)</f>
        <v>#N/A</v>
      </c>
      <c r="BC46" s="66" t="e">
        <f>VLOOKUP($A46,'S49'!$C:$BQ,60,0)</f>
        <v>#N/A</v>
      </c>
      <c r="BD46" s="58" t="e">
        <f>VLOOKUP($A46,'S50'!$C:$BQ,32,0)</f>
        <v>#N/A</v>
      </c>
      <c r="BE46" s="58" t="e">
        <f>VLOOKUP($A46,'S50'!$C:$BQ,39,0)</f>
        <v>#N/A</v>
      </c>
      <c r="BF46" s="58" t="e">
        <f>VLOOKUP($A46,'S50'!$C:$BQ,40,0)</f>
        <v>#N/A</v>
      </c>
      <c r="BG46" s="58" t="e">
        <f>VLOOKUP($A46,'S50'!$C:$BQ,22,0)</f>
        <v>#N/A</v>
      </c>
      <c r="BH46" s="66" t="e">
        <f>VLOOKUP($A46,'S50'!$C:$BQ,29,0)</f>
        <v>#N/A</v>
      </c>
      <c r="BI46" s="66" t="e">
        <f>VLOOKUP($A46,'S50'!$C:$BQ,30,0)</f>
        <v>#N/A</v>
      </c>
      <c r="BJ46" s="66" t="e">
        <f>VLOOKUP($A46,'S50'!$C:$BQ,52,0)</f>
        <v>#N/A</v>
      </c>
      <c r="BK46" s="66" t="e">
        <f>VLOOKUP($A46,'S50'!$C:$BQ,59,0)</f>
        <v>#N/A</v>
      </c>
      <c r="BL46" s="66" t="e">
        <f>VLOOKUP($A46,'S50'!$C:$BQ,60,0)</f>
        <v>#N/A</v>
      </c>
    </row>
    <row r="47" spans="1:64" x14ac:dyDescent="0.2">
      <c r="A47" s="57" t="s">
        <v>103</v>
      </c>
      <c r="B47" s="58">
        <f>VLOOKUP($A47,'S0 remplacer avec S44'!$C:$BQ,32,0)</f>
        <v>149.1</v>
      </c>
      <c r="C47" s="58">
        <f>VLOOKUP($A47,'S0 remplacer avec S44'!$C:$BQ,39,0)</f>
        <v>136</v>
      </c>
      <c r="D47" s="58">
        <f>VLOOKUP($A47,'S0 remplacer avec S44'!$C:$BQ,40,0)</f>
        <v>193</v>
      </c>
      <c r="E47" s="58">
        <f>VLOOKUP($A47,'S0 remplacer avec S44'!$C:$BQ,22,0)</f>
        <v>1454.83294</v>
      </c>
      <c r="F47" s="66">
        <f>VLOOKUP($A47,'S0 remplacer avec S44'!$C:$BQ,29,0)</f>
        <v>1132</v>
      </c>
      <c r="G47" s="66">
        <f>VLOOKUP($A47,'S0 remplacer avec S44'!$C:$BQ,30,0)</f>
        <v>1649</v>
      </c>
      <c r="H47" s="66">
        <f>VLOOKUP($A47,'S0 remplacer avec S44'!$C:$BQ,52,0)</f>
        <v>102.6</v>
      </c>
      <c r="I47" s="66">
        <f>VLOOKUP($A47,'S0 remplacer avec S44'!$C:$BQ,59,0)</f>
        <v>42</v>
      </c>
      <c r="J47" s="66">
        <f>VLOOKUP($A47,'S0 remplacer avec S44'!$C:$BQ,60,0)</f>
        <v>71</v>
      </c>
      <c r="K47" s="58">
        <f>VLOOKUP($A47,'S45'!$C:$BQ,32,0)</f>
        <v>147.1</v>
      </c>
      <c r="L47" s="58">
        <f>VLOOKUP($A47,'S45'!$C:$BQ,39,0)</f>
        <v>138</v>
      </c>
      <c r="M47" s="58">
        <f>VLOOKUP($A47,'S45'!$C:$BQ,40,0)</f>
        <v>195</v>
      </c>
      <c r="N47" s="58">
        <f>VLOOKUP($A47,'S45'!$C:$BQ,22,0)</f>
        <v>1456.1579400000001</v>
      </c>
      <c r="O47" s="66">
        <f>VLOOKUP($A47,'S45'!$C:$BQ,29,0)</f>
        <v>1131</v>
      </c>
      <c r="P47" s="66">
        <f>VLOOKUP($A47,'S45'!$C:$BQ,30,0)</f>
        <v>1648</v>
      </c>
      <c r="Q47" s="66">
        <f>VLOOKUP($A47,'S45'!$C:$BQ,52,0)</f>
        <v>104.6</v>
      </c>
      <c r="R47" s="66">
        <f>VLOOKUP($A47,'S45'!$C:$BQ,59,0)</f>
        <v>40</v>
      </c>
      <c r="S47" s="66">
        <f>VLOOKUP($A47,'S45'!$C:$BQ,60,0)</f>
        <v>69</v>
      </c>
      <c r="T47" s="58">
        <f>VLOOKUP($A47,'S46'!$C:$BQ,32,0)</f>
        <v>147.69999999999999</v>
      </c>
      <c r="U47" s="58">
        <f>VLOOKUP($A47,'S46'!$C:$BQ,39,0)</f>
        <v>137</v>
      </c>
      <c r="V47" s="58">
        <f>VLOOKUP($A47,'S46'!$C:$BQ,40,0)</f>
        <v>194</v>
      </c>
      <c r="W47" s="58">
        <f>VLOOKUP($A47,'S46'!$C:$BQ,22,0)</f>
        <v>1459.9819399999999</v>
      </c>
      <c r="X47" s="66">
        <f>VLOOKUP($A47,'S46'!$C:$BQ,29,0)</f>
        <v>1127</v>
      </c>
      <c r="Y47" s="66">
        <f>VLOOKUP($A47,'S46'!$C:$BQ,30,0)</f>
        <v>1644</v>
      </c>
      <c r="Z47" s="66">
        <f>VLOOKUP($A47,'S46'!$C:$BQ,52,0)</f>
        <v>104.6</v>
      </c>
      <c r="AA47" s="66">
        <f>VLOOKUP($A47,'S46'!$C:$BQ,59,0)</f>
        <v>40</v>
      </c>
      <c r="AB47" s="66">
        <f>VLOOKUP($A47,'S46'!$C:$BQ,60,0)</f>
        <v>69</v>
      </c>
      <c r="AC47" s="58">
        <f>VLOOKUP($A47,'S47'!$C:$BQ,32,0)</f>
        <v>148.69999999999999</v>
      </c>
      <c r="AD47" s="58">
        <f>VLOOKUP($A47,'S47'!$C:$BQ,39,0)</f>
        <v>136</v>
      </c>
      <c r="AE47" s="58">
        <f>VLOOKUP($A47,'S47'!$C:$BQ,40,0)</f>
        <v>193</v>
      </c>
      <c r="AF47" s="58">
        <f>VLOOKUP($A47,'S47'!$C:$BQ,22,0)</f>
        <v>1472.6711700000001</v>
      </c>
      <c r="AG47" s="66">
        <f>VLOOKUP($A47,'S47'!$C:$BQ,29,0)</f>
        <v>1114</v>
      </c>
      <c r="AH47" s="66">
        <f>VLOOKUP($A47,'S47'!$C:$BQ,30,0)</f>
        <v>1632</v>
      </c>
      <c r="AI47" s="66">
        <f>VLOOKUP($A47,'S47'!$C:$BQ,52,0)</f>
        <v>105.6</v>
      </c>
      <c r="AJ47" s="66">
        <f>VLOOKUP($A47,'S47'!$C:$BQ,59,0)</f>
        <v>39</v>
      </c>
      <c r="AK47" s="66">
        <f>VLOOKUP($A47,'S47'!$C:$BQ,60,0)</f>
        <v>68</v>
      </c>
      <c r="AL47" s="58" t="e">
        <f>VLOOKUP($A47,'S48'!$C:$BQ,32,0)</f>
        <v>#N/A</v>
      </c>
      <c r="AM47" s="58" t="e">
        <f>VLOOKUP($A47,'S48'!$C:$BQ,39,0)</f>
        <v>#N/A</v>
      </c>
      <c r="AN47" s="58" t="e">
        <f>VLOOKUP($A47,'S48'!$C:$BQ,40,0)</f>
        <v>#N/A</v>
      </c>
      <c r="AO47" s="58" t="e">
        <f>VLOOKUP($A47,'S48'!$C:$BQ,22,0)</f>
        <v>#N/A</v>
      </c>
      <c r="AP47" s="66" t="e">
        <f>VLOOKUP($A47,'S48'!$C:$BQ,29,0)</f>
        <v>#N/A</v>
      </c>
      <c r="AQ47" s="66" t="e">
        <f>VLOOKUP($A47,'S48'!$C:$BQ,30,0)</f>
        <v>#N/A</v>
      </c>
      <c r="AR47" s="66" t="e">
        <f>VLOOKUP($A47,'S48'!$C:$BQ,52,0)</f>
        <v>#N/A</v>
      </c>
      <c r="AS47" s="66" t="e">
        <f>VLOOKUP($A47,'S48'!$C:$BQ,59,0)</f>
        <v>#N/A</v>
      </c>
      <c r="AT47" s="66" t="e">
        <f>VLOOKUP($A47,'S48'!$C:$BQ,60,0)</f>
        <v>#N/A</v>
      </c>
      <c r="AU47" s="58" t="e">
        <f>VLOOKUP($A47,'S49'!$C:$BQ,32,0)</f>
        <v>#N/A</v>
      </c>
      <c r="AV47" s="58" t="e">
        <f>VLOOKUP($A47,'S49'!$C:$BQ,39,0)</f>
        <v>#N/A</v>
      </c>
      <c r="AW47" s="58" t="e">
        <f>VLOOKUP($A47,'S49'!$C:$BQ,40,0)</f>
        <v>#N/A</v>
      </c>
      <c r="AX47" s="58" t="e">
        <f>VLOOKUP($A47,'S49'!$C:$BQ,22,0)</f>
        <v>#N/A</v>
      </c>
      <c r="AY47" s="66" t="e">
        <f>VLOOKUP($A47,'S49'!$C:$BQ,29,0)</f>
        <v>#N/A</v>
      </c>
      <c r="AZ47" s="66" t="e">
        <f>VLOOKUP($A47,'S49'!$C:$BQ,30,0)</f>
        <v>#N/A</v>
      </c>
      <c r="BA47" s="66" t="e">
        <f>VLOOKUP($A47,'S49'!$C:$BQ,52,0)</f>
        <v>#N/A</v>
      </c>
      <c r="BB47" s="66" t="e">
        <f>VLOOKUP($A47,'S49'!$C:$BQ,59,0)</f>
        <v>#N/A</v>
      </c>
      <c r="BC47" s="66" t="e">
        <f>VLOOKUP($A47,'S49'!$C:$BQ,60,0)</f>
        <v>#N/A</v>
      </c>
      <c r="BD47" s="58" t="e">
        <f>VLOOKUP($A47,'S50'!$C:$BQ,32,0)</f>
        <v>#N/A</v>
      </c>
      <c r="BE47" s="58" t="e">
        <f>VLOOKUP($A47,'S50'!$C:$BQ,39,0)</f>
        <v>#N/A</v>
      </c>
      <c r="BF47" s="58" t="e">
        <f>VLOOKUP($A47,'S50'!$C:$BQ,40,0)</f>
        <v>#N/A</v>
      </c>
      <c r="BG47" s="58" t="e">
        <f>VLOOKUP($A47,'S50'!$C:$BQ,22,0)</f>
        <v>#N/A</v>
      </c>
      <c r="BH47" s="66" t="e">
        <f>VLOOKUP($A47,'S50'!$C:$BQ,29,0)</f>
        <v>#N/A</v>
      </c>
      <c r="BI47" s="66" t="e">
        <f>VLOOKUP($A47,'S50'!$C:$BQ,30,0)</f>
        <v>#N/A</v>
      </c>
      <c r="BJ47" s="66" t="e">
        <f>VLOOKUP($A47,'S50'!$C:$BQ,52,0)</f>
        <v>#N/A</v>
      </c>
      <c r="BK47" s="66" t="e">
        <f>VLOOKUP($A47,'S50'!$C:$BQ,59,0)</f>
        <v>#N/A</v>
      </c>
      <c r="BL47" s="66" t="e">
        <f>VLOOKUP($A47,'S50'!$C:$BQ,60,0)</f>
        <v>#N/A</v>
      </c>
    </row>
    <row r="48" spans="1:64" x14ac:dyDescent="0.2">
      <c r="A48" s="57" t="s">
        <v>104</v>
      </c>
      <c r="B48" s="58">
        <f>VLOOKUP($A48,'S0 remplacer avec S44'!$C:$BQ,32,0)</f>
        <v>145.94999999999999</v>
      </c>
      <c r="C48" s="58">
        <f>VLOOKUP($A48,'S0 remplacer avec S44'!$C:$BQ,39,0)</f>
        <v>0</v>
      </c>
      <c r="D48" s="58">
        <f>VLOOKUP($A48,'S0 remplacer avec S44'!$C:$BQ,40,0)</f>
        <v>22</v>
      </c>
      <c r="E48" s="58">
        <f>VLOOKUP($A48,'S0 remplacer avec S44'!$C:$BQ,22,0)</f>
        <v>1133.7021549999999</v>
      </c>
      <c r="F48" s="66">
        <f>VLOOKUP($A48,'S0 remplacer avec S44'!$C:$BQ,29,0)</f>
        <v>133</v>
      </c>
      <c r="G48" s="66">
        <f>VLOOKUP($A48,'S0 remplacer avec S44'!$C:$BQ,30,0)</f>
        <v>386</v>
      </c>
      <c r="H48" s="66">
        <f>VLOOKUP($A48,'S0 remplacer avec S44'!$C:$BQ,52,0)</f>
        <v>104.6</v>
      </c>
      <c r="I48" s="66">
        <f>VLOOKUP($A48,'S0 remplacer avec S44'!$C:$BQ,59,0)</f>
        <v>0</v>
      </c>
      <c r="J48" s="66">
        <f>VLOOKUP($A48,'S0 remplacer avec S44'!$C:$BQ,60,0)</f>
        <v>0</v>
      </c>
      <c r="K48" s="58">
        <f>VLOOKUP($A48,'S45'!$C:$BQ,32,0)</f>
        <v>145.65</v>
      </c>
      <c r="L48" s="58">
        <f>VLOOKUP($A48,'S45'!$C:$BQ,39,0)</f>
        <v>0</v>
      </c>
      <c r="M48" s="58">
        <f>VLOOKUP($A48,'S45'!$C:$BQ,40,0)</f>
        <v>22</v>
      </c>
      <c r="N48" s="58">
        <f>VLOOKUP($A48,'S45'!$C:$BQ,22,0)</f>
        <v>1123.0632949999999</v>
      </c>
      <c r="O48" s="66">
        <f>VLOOKUP($A48,'S45'!$C:$BQ,29,0)</f>
        <v>144</v>
      </c>
      <c r="P48" s="66">
        <f>VLOOKUP($A48,'S45'!$C:$BQ,30,0)</f>
        <v>397</v>
      </c>
      <c r="Q48" s="66">
        <f>VLOOKUP($A48,'S45'!$C:$BQ,52,0)</f>
        <v>104.6</v>
      </c>
      <c r="R48" s="66">
        <f>VLOOKUP($A48,'S45'!$C:$BQ,59,0)</f>
        <v>0</v>
      </c>
      <c r="S48" s="66">
        <f>VLOOKUP($A48,'S45'!$C:$BQ,60,0)</f>
        <v>0</v>
      </c>
      <c r="T48" s="58">
        <f>VLOOKUP($A48,'S46'!$C:$BQ,32,0)</f>
        <v>144.65</v>
      </c>
      <c r="U48" s="58">
        <f>VLOOKUP($A48,'S46'!$C:$BQ,39,0)</f>
        <v>0</v>
      </c>
      <c r="V48" s="58">
        <f>VLOOKUP($A48,'S46'!$C:$BQ,40,0)</f>
        <v>23</v>
      </c>
      <c r="W48" s="58">
        <f>VLOOKUP($A48,'S46'!$C:$BQ,22,0)</f>
        <v>1123.290215</v>
      </c>
      <c r="X48" s="66">
        <f>VLOOKUP($A48,'S46'!$C:$BQ,29,0)</f>
        <v>143</v>
      </c>
      <c r="Y48" s="66">
        <f>VLOOKUP($A48,'S46'!$C:$BQ,30,0)</f>
        <v>397</v>
      </c>
      <c r="Z48" s="66">
        <f>VLOOKUP($A48,'S46'!$C:$BQ,52,0)</f>
        <v>104.6</v>
      </c>
      <c r="AA48" s="66">
        <f>VLOOKUP($A48,'S46'!$C:$BQ,59,0)</f>
        <v>0</v>
      </c>
      <c r="AB48" s="66">
        <f>VLOOKUP($A48,'S46'!$C:$BQ,60,0)</f>
        <v>0</v>
      </c>
      <c r="AC48" s="58">
        <f>VLOOKUP($A48,'S47'!$C:$BQ,32,0)</f>
        <v>145.65</v>
      </c>
      <c r="AD48" s="58">
        <f>VLOOKUP($A48,'S47'!$C:$BQ,39,0)</f>
        <v>0</v>
      </c>
      <c r="AE48" s="58">
        <f>VLOOKUP($A48,'S47'!$C:$BQ,40,0)</f>
        <v>22</v>
      </c>
      <c r="AF48" s="58">
        <f>VLOOKUP($A48,'S47'!$C:$BQ,22,0)</f>
        <v>1176.1848849999999</v>
      </c>
      <c r="AG48" s="66">
        <f>VLOOKUP($A48,'S47'!$C:$BQ,29,0)</f>
        <v>91</v>
      </c>
      <c r="AH48" s="66">
        <f>VLOOKUP($A48,'S47'!$C:$BQ,30,0)</f>
        <v>344</v>
      </c>
      <c r="AI48" s="66">
        <f>VLOOKUP($A48,'S47'!$C:$BQ,52,0)</f>
        <v>107.6</v>
      </c>
      <c r="AJ48" s="66">
        <f>VLOOKUP($A48,'S47'!$C:$BQ,59,0)</f>
        <v>0</v>
      </c>
      <c r="AK48" s="66">
        <f>VLOOKUP($A48,'S47'!$C:$BQ,60,0)</f>
        <v>0</v>
      </c>
      <c r="AL48" s="58" t="e">
        <f>VLOOKUP($A48,'S48'!$C:$BQ,32,0)</f>
        <v>#N/A</v>
      </c>
      <c r="AM48" s="58" t="e">
        <f>VLOOKUP($A48,'S48'!$C:$BQ,39,0)</f>
        <v>#N/A</v>
      </c>
      <c r="AN48" s="58" t="e">
        <f>VLOOKUP($A48,'S48'!$C:$BQ,40,0)</f>
        <v>#N/A</v>
      </c>
      <c r="AO48" s="58" t="e">
        <f>VLOOKUP($A48,'S48'!$C:$BQ,22,0)</f>
        <v>#N/A</v>
      </c>
      <c r="AP48" s="66" t="e">
        <f>VLOOKUP($A48,'S48'!$C:$BQ,29,0)</f>
        <v>#N/A</v>
      </c>
      <c r="AQ48" s="66" t="e">
        <f>VLOOKUP($A48,'S48'!$C:$BQ,30,0)</f>
        <v>#N/A</v>
      </c>
      <c r="AR48" s="66" t="e">
        <f>VLOOKUP($A48,'S48'!$C:$BQ,52,0)</f>
        <v>#N/A</v>
      </c>
      <c r="AS48" s="66" t="e">
        <f>VLOOKUP($A48,'S48'!$C:$BQ,59,0)</f>
        <v>#N/A</v>
      </c>
      <c r="AT48" s="66" t="e">
        <f>VLOOKUP($A48,'S48'!$C:$BQ,60,0)</f>
        <v>#N/A</v>
      </c>
      <c r="AU48" s="58" t="e">
        <f>VLOOKUP($A48,'S49'!$C:$BQ,32,0)</f>
        <v>#N/A</v>
      </c>
      <c r="AV48" s="58" t="e">
        <f>VLOOKUP($A48,'S49'!$C:$BQ,39,0)</f>
        <v>#N/A</v>
      </c>
      <c r="AW48" s="58" t="e">
        <f>VLOOKUP($A48,'S49'!$C:$BQ,40,0)</f>
        <v>#N/A</v>
      </c>
      <c r="AX48" s="58" t="e">
        <f>VLOOKUP($A48,'S49'!$C:$BQ,22,0)</f>
        <v>#N/A</v>
      </c>
      <c r="AY48" s="66" t="e">
        <f>VLOOKUP($A48,'S49'!$C:$BQ,29,0)</f>
        <v>#N/A</v>
      </c>
      <c r="AZ48" s="66" t="e">
        <f>VLOOKUP($A48,'S49'!$C:$BQ,30,0)</f>
        <v>#N/A</v>
      </c>
      <c r="BA48" s="66" t="e">
        <f>VLOOKUP($A48,'S49'!$C:$BQ,52,0)</f>
        <v>#N/A</v>
      </c>
      <c r="BB48" s="66" t="e">
        <f>VLOOKUP($A48,'S49'!$C:$BQ,59,0)</f>
        <v>#N/A</v>
      </c>
      <c r="BC48" s="66" t="e">
        <f>VLOOKUP($A48,'S49'!$C:$BQ,60,0)</f>
        <v>#N/A</v>
      </c>
      <c r="BD48" s="58" t="e">
        <f>VLOOKUP($A48,'S50'!$C:$BQ,32,0)</f>
        <v>#N/A</v>
      </c>
      <c r="BE48" s="58" t="e">
        <f>VLOOKUP($A48,'S50'!$C:$BQ,39,0)</f>
        <v>#N/A</v>
      </c>
      <c r="BF48" s="58" t="e">
        <f>VLOOKUP($A48,'S50'!$C:$BQ,40,0)</f>
        <v>#N/A</v>
      </c>
      <c r="BG48" s="58" t="e">
        <f>VLOOKUP($A48,'S50'!$C:$BQ,22,0)</f>
        <v>#N/A</v>
      </c>
      <c r="BH48" s="66" t="e">
        <f>VLOOKUP($A48,'S50'!$C:$BQ,29,0)</f>
        <v>#N/A</v>
      </c>
      <c r="BI48" s="66" t="e">
        <f>VLOOKUP($A48,'S50'!$C:$BQ,30,0)</f>
        <v>#N/A</v>
      </c>
      <c r="BJ48" s="66" t="e">
        <f>VLOOKUP($A48,'S50'!$C:$BQ,52,0)</f>
        <v>#N/A</v>
      </c>
      <c r="BK48" s="66" t="e">
        <f>VLOOKUP($A48,'S50'!$C:$BQ,59,0)</f>
        <v>#N/A</v>
      </c>
      <c r="BL48" s="66" t="e">
        <f>VLOOKUP($A48,'S50'!$C:$BQ,60,0)</f>
        <v>#N/A</v>
      </c>
    </row>
    <row r="49" spans="1:64" x14ac:dyDescent="0.2">
      <c r="A49" s="57" t="s">
        <v>105</v>
      </c>
      <c r="B49" s="58">
        <f>VLOOKUP($A49,'S0 remplacer avec S44'!$C:$BQ,32,0)</f>
        <v>428.2</v>
      </c>
      <c r="C49" s="58">
        <f>VLOOKUP($A49,'S0 remplacer avec S44'!$C:$BQ,39,0)</f>
        <v>61</v>
      </c>
      <c r="D49" s="58">
        <f>VLOOKUP($A49,'S0 remplacer avec S44'!$C:$BQ,40,0)</f>
        <v>158</v>
      </c>
      <c r="E49" s="58">
        <f>VLOOKUP($A49,'S0 remplacer avec S44'!$C:$BQ,22,0)</f>
        <v>4666.10826</v>
      </c>
      <c r="F49" s="66">
        <f>VLOOKUP($A49,'S0 remplacer avec S44'!$C:$BQ,29,0)</f>
        <v>0</v>
      </c>
      <c r="G49" s="66">
        <f>VLOOKUP($A49,'S0 remplacer avec S44'!$C:$BQ,30,0)</f>
        <v>664</v>
      </c>
      <c r="H49" s="66">
        <f>VLOOKUP($A49,'S0 remplacer avec S44'!$C:$BQ,52,0)</f>
        <v>251.6</v>
      </c>
      <c r="I49" s="66">
        <f>VLOOKUP($A49,'S0 remplacer avec S44'!$C:$BQ,59,0)</f>
        <v>0</v>
      </c>
      <c r="J49" s="66">
        <f>VLOOKUP($A49,'S0 remplacer avec S44'!$C:$BQ,60,0)</f>
        <v>47</v>
      </c>
      <c r="K49" s="58">
        <f>VLOOKUP($A49,'S45'!$C:$BQ,32,0)</f>
        <v>436.2</v>
      </c>
      <c r="L49" s="58">
        <f>VLOOKUP($A49,'S45'!$C:$BQ,39,0)</f>
        <v>53</v>
      </c>
      <c r="M49" s="58">
        <f>VLOOKUP($A49,'S45'!$C:$BQ,40,0)</f>
        <v>150</v>
      </c>
      <c r="N49" s="58">
        <f>VLOOKUP($A49,'S45'!$C:$BQ,22,0)</f>
        <v>4667.7520299999996</v>
      </c>
      <c r="O49" s="66">
        <f>VLOOKUP($A49,'S45'!$C:$BQ,29,0)</f>
        <v>0</v>
      </c>
      <c r="P49" s="66">
        <f>VLOOKUP($A49,'S45'!$C:$BQ,30,0)</f>
        <v>663</v>
      </c>
      <c r="Q49" s="66">
        <f>VLOOKUP($A49,'S45'!$C:$BQ,52,0)</f>
        <v>253.6</v>
      </c>
      <c r="R49" s="66">
        <f>VLOOKUP($A49,'S45'!$C:$BQ,59,0)</f>
        <v>0</v>
      </c>
      <c r="S49" s="66">
        <f>VLOOKUP($A49,'S45'!$C:$BQ,60,0)</f>
        <v>45</v>
      </c>
      <c r="T49" s="58">
        <f>VLOOKUP($A49,'S46'!$C:$BQ,32,0)</f>
        <v>437.7</v>
      </c>
      <c r="U49" s="58">
        <f>VLOOKUP($A49,'S46'!$C:$BQ,39,0)</f>
        <v>51</v>
      </c>
      <c r="V49" s="58">
        <f>VLOOKUP($A49,'S46'!$C:$BQ,40,0)</f>
        <v>149</v>
      </c>
      <c r="W49" s="58">
        <f>VLOOKUP($A49,'S46'!$C:$BQ,22,0)</f>
        <v>4692.9165499999999</v>
      </c>
      <c r="X49" s="66">
        <f>VLOOKUP($A49,'S46'!$C:$BQ,29,0)</f>
        <v>0</v>
      </c>
      <c r="Y49" s="66">
        <f>VLOOKUP($A49,'S46'!$C:$BQ,30,0)</f>
        <v>637</v>
      </c>
      <c r="Z49" s="66">
        <f>VLOOKUP($A49,'S46'!$C:$BQ,52,0)</f>
        <v>257.60000000000002</v>
      </c>
      <c r="AA49" s="66">
        <f>VLOOKUP($A49,'S46'!$C:$BQ,59,0)</f>
        <v>0</v>
      </c>
      <c r="AB49" s="66">
        <f>VLOOKUP($A49,'S46'!$C:$BQ,60,0)</f>
        <v>41</v>
      </c>
      <c r="AC49" s="58">
        <f>VLOOKUP($A49,'S47'!$C:$BQ,32,0)</f>
        <v>443.7</v>
      </c>
      <c r="AD49" s="58">
        <f>VLOOKUP($A49,'S47'!$C:$BQ,39,0)</f>
        <v>45</v>
      </c>
      <c r="AE49" s="58">
        <f>VLOOKUP($A49,'S47'!$C:$BQ,40,0)</f>
        <v>143</v>
      </c>
      <c r="AF49" s="58">
        <f>VLOOKUP($A49,'S47'!$C:$BQ,22,0)</f>
        <v>4802.3848600000001</v>
      </c>
      <c r="AG49" s="66">
        <f>VLOOKUP($A49,'S47'!$C:$BQ,29,0)</f>
        <v>0</v>
      </c>
      <c r="AH49" s="66">
        <f>VLOOKUP($A49,'S47'!$C:$BQ,30,0)</f>
        <v>528</v>
      </c>
      <c r="AI49" s="66">
        <f>VLOOKUP($A49,'S47'!$C:$BQ,52,0)</f>
        <v>263.60000000000002</v>
      </c>
      <c r="AJ49" s="66">
        <f>VLOOKUP($A49,'S47'!$C:$BQ,59,0)</f>
        <v>0</v>
      </c>
      <c r="AK49" s="66">
        <f>VLOOKUP($A49,'S47'!$C:$BQ,60,0)</f>
        <v>35</v>
      </c>
      <c r="AL49" s="58" t="e">
        <f>VLOOKUP($A49,'S48'!$C:$BQ,32,0)</f>
        <v>#N/A</v>
      </c>
      <c r="AM49" s="58" t="e">
        <f>VLOOKUP($A49,'S48'!$C:$BQ,39,0)</f>
        <v>#N/A</v>
      </c>
      <c r="AN49" s="58" t="e">
        <f>VLOOKUP($A49,'S48'!$C:$BQ,40,0)</f>
        <v>#N/A</v>
      </c>
      <c r="AO49" s="58" t="e">
        <f>VLOOKUP($A49,'S48'!$C:$BQ,22,0)</f>
        <v>#N/A</v>
      </c>
      <c r="AP49" s="66" t="e">
        <f>VLOOKUP($A49,'S48'!$C:$BQ,29,0)</f>
        <v>#N/A</v>
      </c>
      <c r="AQ49" s="66" t="e">
        <f>VLOOKUP($A49,'S48'!$C:$BQ,30,0)</f>
        <v>#N/A</v>
      </c>
      <c r="AR49" s="66" t="e">
        <f>VLOOKUP($A49,'S48'!$C:$BQ,52,0)</f>
        <v>#N/A</v>
      </c>
      <c r="AS49" s="66" t="e">
        <f>VLOOKUP($A49,'S48'!$C:$BQ,59,0)</f>
        <v>#N/A</v>
      </c>
      <c r="AT49" s="66" t="e">
        <f>VLOOKUP($A49,'S48'!$C:$BQ,60,0)</f>
        <v>#N/A</v>
      </c>
      <c r="AU49" s="58" t="e">
        <f>VLOOKUP($A49,'S49'!$C:$BQ,32,0)</f>
        <v>#N/A</v>
      </c>
      <c r="AV49" s="58" t="e">
        <f>VLOOKUP($A49,'S49'!$C:$BQ,39,0)</f>
        <v>#N/A</v>
      </c>
      <c r="AW49" s="58" t="e">
        <f>VLOOKUP($A49,'S49'!$C:$BQ,40,0)</f>
        <v>#N/A</v>
      </c>
      <c r="AX49" s="58" t="e">
        <f>VLOOKUP($A49,'S49'!$C:$BQ,22,0)</f>
        <v>#N/A</v>
      </c>
      <c r="AY49" s="66" t="e">
        <f>VLOOKUP($A49,'S49'!$C:$BQ,29,0)</f>
        <v>#N/A</v>
      </c>
      <c r="AZ49" s="66" t="e">
        <f>VLOOKUP($A49,'S49'!$C:$BQ,30,0)</f>
        <v>#N/A</v>
      </c>
      <c r="BA49" s="66" t="e">
        <f>VLOOKUP($A49,'S49'!$C:$BQ,52,0)</f>
        <v>#N/A</v>
      </c>
      <c r="BB49" s="66" t="e">
        <f>VLOOKUP($A49,'S49'!$C:$BQ,59,0)</f>
        <v>#N/A</v>
      </c>
      <c r="BC49" s="66" t="e">
        <f>VLOOKUP($A49,'S49'!$C:$BQ,60,0)</f>
        <v>#N/A</v>
      </c>
      <c r="BD49" s="58" t="e">
        <f>VLOOKUP($A49,'S50'!$C:$BQ,32,0)</f>
        <v>#N/A</v>
      </c>
      <c r="BE49" s="58" t="e">
        <f>VLOOKUP($A49,'S50'!$C:$BQ,39,0)</f>
        <v>#N/A</v>
      </c>
      <c r="BF49" s="58" t="e">
        <f>VLOOKUP($A49,'S50'!$C:$BQ,40,0)</f>
        <v>#N/A</v>
      </c>
      <c r="BG49" s="58" t="e">
        <f>VLOOKUP($A49,'S50'!$C:$BQ,22,0)</f>
        <v>#N/A</v>
      </c>
      <c r="BH49" s="66" t="e">
        <f>VLOOKUP($A49,'S50'!$C:$BQ,29,0)</f>
        <v>#N/A</v>
      </c>
      <c r="BI49" s="66" t="e">
        <f>VLOOKUP($A49,'S50'!$C:$BQ,30,0)</f>
        <v>#N/A</v>
      </c>
      <c r="BJ49" s="66" t="e">
        <f>VLOOKUP($A49,'S50'!$C:$BQ,52,0)</f>
        <v>#N/A</v>
      </c>
      <c r="BK49" s="66" t="e">
        <f>VLOOKUP($A49,'S50'!$C:$BQ,59,0)</f>
        <v>#N/A</v>
      </c>
      <c r="BL49" s="66" t="e">
        <f>VLOOKUP($A49,'S50'!$C:$BQ,60,0)</f>
        <v>#N/A</v>
      </c>
    </row>
    <row r="50" spans="1:64" x14ac:dyDescent="0.2">
      <c r="A50" s="57" t="s">
        <v>106</v>
      </c>
      <c r="B50" s="58">
        <f>VLOOKUP($A50,'S0 remplacer avec S44'!$C:$BQ,32,0)</f>
        <v>167.15</v>
      </c>
      <c r="C50" s="58">
        <f>VLOOKUP($A50,'S0 remplacer avec S44'!$C:$BQ,39,0)</f>
        <v>134</v>
      </c>
      <c r="D50" s="58">
        <f>VLOOKUP($A50,'S0 remplacer avec S44'!$C:$BQ,40,0)</f>
        <v>195</v>
      </c>
      <c r="E50" s="58">
        <f>VLOOKUP($A50,'S0 remplacer avec S44'!$C:$BQ,22,0)</f>
        <v>2332.0972750000001</v>
      </c>
      <c r="F50" s="66">
        <f>VLOOKUP($A50,'S0 remplacer avec S44'!$C:$BQ,29,0)</f>
        <v>407</v>
      </c>
      <c r="G50" s="66">
        <f>VLOOKUP($A50,'S0 remplacer avec S44'!$C:$BQ,30,0)</f>
        <v>955</v>
      </c>
      <c r="H50" s="66">
        <f>VLOOKUP($A50,'S0 remplacer avec S44'!$C:$BQ,52,0)</f>
        <v>161.80000000000001</v>
      </c>
      <c r="I50" s="66">
        <f>VLOOKUP($A50,'S0 remplacer avec S44'!$C:$BQ,59,0)</f>
        <v>0</v>
      </c>
      <c r="J50" s="66">
        <f>VLOOKUP($A50,'S0 remplacer avec S44'!$C:$BQ,60,0)</f>
        <v>22</v>
      </c>
      <c r="K50" s="58">
        <f>VLOOKUP($A50,'S45'!$C:$BQ,32,0)</f>
        <v>168.75</v>
      </c>
      <c r="L50" s="58">
        <f>VLOOKUP($A50,'S45'!$C:$BQ,39,0)</f>
        <v>133</v>
      </c>
      <c r="M50" s="58">
        <f>VLOOKUP($A50,'S45'!$C:$BQ,40,0)</f>
        <v>193</v>
      </c>
      <c r="N50" s="58">
        <f>VLOOKUP($A50,'S45'!$C:$BQ,22,0)</f>
        <v>2340.4916050000002</v>
      </c>
      <c r="O50" s="66">
        <f>VLOOKUP($A50,'S45'!$C:$BQ,29,0)</f>
        <v>399</v>
      </c>
      <c r="P50" s="66">
        <f>VLOOKUP($A50,'S45'!$C:$BQ,30,0)</f>
        <v>947</v>
      </c>
      <c r="Q50" s="66">
        <f>VLOOKUP($A50,'S45'!$C:$BQ,52,0)</f>
        <v>164.8</v>
      </c>
      <c r="R50" s="66">
        <f>VLOOKUP($A50,'S45'!$C:$BQ,59,0)</f>
        <v>0</v>
      </c>
      <c r="S50" s="66">
        <f>VLOOKUP($A50,'S45'!$C:$BQ,60,0)</f>
        <v>19</v>
      </c>
      <c r="T50" s="58">
        <f>VLOOKUP($A50,'S46'!$C:$BQ,32,0)</f>
        <v>169.75</v>
      </c>
      <c r="U50" s="58">
        <f>VLOOKUP($A50,'S46'!$C:$BQ,39,0)</f>
        <v>132</v>
      </c>
      <c r="V50" s="58">
        <f>VLOOKUP($A50,'S46'!$C:$BQ,40,0)</f>
        <v>192</v>
      </c>
      <c r="W50" s="58">
        <f>VLOOKUP($A50,'S46'!$C:$BQ,22,0)</f>
        <v>2345.832465</v>
      </c>
      <c r="X50" s="66">
        <f>VLOOKUP($A50,'S46'!$C:$BQ,29,0)</f>
        <v>394</v>
      </c>
      <c r="Y50" s="66">
        <f>VLOOKUP($A50,'S46'!$C:$BQ,30,0)</f>
        <v>941</v>
      </c>
      <c r="Z50" s="66">
        <f>VLOOKUP($A50,'S46'!$C:$BQ,52,0)</f>
        <v>165.8</v>
      </c>
      <c r="AA50" s="66">
        <f>VLOOKUP($A50,'S46'!$C:$BQ,59,0)</f>
        <v>0</v>
      </c>
      <c r="AB50" s="66">
        <f>VLOOKUP($A50,'S46'!$C:$BQ,60,0)</f>
        <v>18</v>
      </c>
      <c r="AC50" s="58">
        <f>VLOOKUP($A50,'S47'!$C:$BQ,32,0)</f>
        <v>169.25</v>
      </c>
      <c r="AD50" s="58">
        <f>VLOOKUP($A50,'S47'!$C:$BQ,39,0)</f>
        <v>132</v>
      </c>
      <c r="AE50" s="58">
        <f>VLOOKUP($A50,'S47'!$C:$BQ,40,0)</f>
        <v>193</v>
      </c>
      <c r="AF50" s="58">
        <f>VLOOKUP($A50,'S47'!$C:$BQ,22,0)</f>
        <v>2355.599835</v>
      </c>
      <c r="AG50" s="66">
        <f>VLOOKUP($A50,'S47'!$C:$BQ,29,0)</f>
        <v>384</v>
      </c>
      <c r="AH50" s="66">
        <f>VLOOKUP($A50,'S47'!$C:$BQ,30,0)</f>
        <v>932</v>
      </c>
      <c r="AI50" s="66">
        <f>VLOOKUP($A50,'S47'!$C:$BQ,52,0)</f>
        <v>173.8</v>
      </c>
      <c r="AJ50" s="66">
        <f>VLOOKUP($A50,'S47'!$C:$BQ,59,0)</f>
        <v>0</v>
      </c>
      <c r="AK50" s="66">
        <f>VLOOKUP($A50,'S47'!$C:$BQ,60,0)</f>
        <v>10</v>
      </c>
      <c r="AL50" s="58" t="e">
        <f>VLOOKUP($A50,'S48'!$C:$BQ,32,0)</f>
        <v>#N/A</v>
      </c>
      <c r="AM50" s="58" t="e">
        <f>VLOOKUP($A50,'S48'!$C:$BQ,39,0)</f>
        <v>#N/A</v>
      </c>
      <c r="AN50" s="58" t="e">
        <f>VLOOKUP($A50,'S48'!$C:$BQ,40,0)</f>
        <v>#N/A</v>
      </c>
      <c r="AO50" s="58" t="e">
        <f>VLOOKUP($A50,'S48'!$C:$BQ,22,0)</f>
        <v>#N/A</v>
      </c>
      <c r="AP50" s="66" t="e">
        <f>VLOOKUP($A50,'S48'!$C:$BQ,29,0)</f>
        <v>#N/A</v>
      </c>
      <c r="AQ50" s="66" t="e">
        <f>VLOOKUP($A50,'S48'!$C:$BQ,30,0)</f>
        <v>#N/A</v>
      </c>
      <c r="AR50" s="66" t="e">
        <f>VLOOKUP($A50,'S48'!$C:$BQ,52,0)</f>
        <v>#N/A</v>
      </c>
      <c r="AS50" s="66" t="e">
        <f>VLOOKUP($A50,'S48'!$C:$BQ,59,0)</f>
        <v>#N/A</v>
      </c>
      <c r="AT50" s="66" t="e">
        <f>VLOOKUP($A50,'S48'!$C:$BQ,60,0)</f>
        <v>#N/A</v>
      </c>
      <c r="AU50" s="58" t="e">
        <f>VLOOKUP($A50,'S49'!$C:$BQ,32,0)</f>
        <v>#N/A</v>
      </c>
      <c r="AV50" s="58" t="e">
        <f>VLOOKUP($A50,'S49'!$C:$BQ,39,0)</f>
        <v>#N/A</v>
      </c>
      <c r="AW50" s="58" t="e">
        <f>VLOOKUP($A50,'S49'!$C:$BQ,40,0)</f>
        <v>#N/A</v>
      </c>
      <c r="AX50" s="58" t="e">
        <f>VLOOKUP($A50,'S49'!$C:$BQ,22,0)</f>
        <v>#N/A</v>
      </c>
      <c r="AY50" s="66" t="e">
        <f>VLOOKUP($A50,'S49'!$C:$BQ,29,0)</f>
        <v>#N/A</v>
      </c>
      <c r="AZ50" s="66" t="e">
        <f>VLOOKUP($A50,'S49'!$C:$BQ,30,0)</f>
        <v>#N/A</v>
      </c>
      <c r="BA50" s="66" t="e">
        <f>VLOOKUP($A50,'S49'!$C:$BQ,52,0)</f>
        <v>#N/A</v>
      </c>
      <c r="BB50" s="66" t="e">
        <f>VLOOKUP($A50,'S49'!$C:$BQ,59,0)</f>
        <v>#N/A</v>
      </c>
      <c r="BC50" s="66" t="e">
        <f>VLOOKUP($A50,'S49'!$C:$BQ,60,0)</f>
        <v>#N/A</v>
      </c>
      <c r="BD50" s="58" t="e">
        <f>VLOOKUP($A50,'S50'!$C:$BQ,32,0)</f>
        <v>#N/A</v>
      </c>
      <c r="BE50" s="58" t="e">
        <f>VLOOKUP($A50,'S50'!$C:$BQ,39,0)</f>
        <v>#N/A</v>
      </c>
      <c r="BF50" s="58" t="e">
        <f>VLOOKUP($A50,'S50'!$C:$BQ,40,0)</f>
        <v>#N/A</v>
      </c>
      <c r="BG50" s="58" t="e">
        <f>VLOOKUP($A50,'S50'!$C:$BQ,22,0)</f>
        <v>#N/A</v>
      </c>
      <c r="BH50" s="66" t="e">
        <f>VLOOKUP($A50,'S50'!$C:$BQ,29,0)</f>
        <v>#N/A</v>
      </c>
      <c r="BI50" s="66" t="e">
        <f>VLOOKUP($A50,'S50'!$C:$BQ,30,0)</f>
        <v>#N/A</v>
      </c>
      <c r="BJ50" s="66" t="e">
        <f>VLOOKUP($A50,'S50'!$C:$BQ,52,0)</f>
        <v>#N/A</v>
      </c>
      <c r="BK50" s="66" t="e">
        <f>VLOOKUP($A50,'S50'!$C:$BQ,59,0)</f>
        <v>#N/A</v>
      </c>
      <c r="BL50" s="66" t="e">
        <f>VLOOKUP($A50,'S50'!$C:$BQ,60,0)</f>
        <v>#N/A</v>
      </c>
    </row>
    <row r="51" spans="1:64" x14ac:dyDescent="0.2">
      <c r="A51" s="57" t="s">
        <v>107</v>
      </c>
      <c r="B51" s="58">
        <f>VLOOKUP($A51,'S0 remplacer avec S44'!$C:$BQ,32,0)</f>
        <v>168.8</v>
      </c>
      <c r="C51" s="58">
        <f>VLOOKUP($A51,'S0 remplacer avec S44'!$C:$BQ,39,0)</f>
        <v>0</v>
      </c>
      <c r="D51" s="58">
        <f>VLOOKUP($A51,'S0 remplacer avec S44'!$C:$BQ,40,0)</f>
        <v>22</v>
      </c>
      <c r="E51" s="58">
        <f>VLOOKUP($A51,'S0 remplacer avec S44'!$C:$BQ,22,0)</f>
        <v>1728.5798649999999</v>
      </c>
      <c r="F51" s="66">
        <f>VLOOKUP($A51,'S0 remplacer avec S44'!$C:$BQ,29,0)</f>
        <v>0</v>
      </c>
      <c r="G51" s="66">
        <f>VLOOKUP($A51,'S0 remplacer avec S44'!$C:$BQ,30,0)</f>
        <v>4</v>
      </c>
      <c r="H51" s="66">
        <f>VLOOKUP($A51,'S0 remplacer avec S44'!$C:$BQ,52,0)</f>
        <v>92.8</v>
      </c>
      <c r="I51" s="66">
        <f>VLOOKUP($A51,'S0 remplacer avec S44'!$C:$BQ,59,0)</f>
        <v>0</v>
      </c>
      <c r="J51" s="66">
        <f>VLOOKUP($A51,'S0 remplacer avec S44'!$C:$BQ,60,0)</f>
        <v>4</v>
      </c>
      <c r="K51" s="58">
        <f>VLOOKUP($A51,'S45'!$C:$BQ,32,0)</f>
        <v>168.8</v>
      </c>
      <c r="L51" s="58">
        <f>VLOOKUP($A51,'S45'!$C:$BQ,39,0)</f>
        <v>0</v>
      </c>
      <c r="M51" s="58">
        <f>VLOOKUP($A51,'S45'!$C:$BQ,40,0)</f>
        <v>22</v>
      </c>
      <c r="N51" s="58">
        <f>VLOOKUP($A51,'S45'!$C:$BQ,22,0)</f>
        <v>1736.008435</v>
      </c>
      <c r="O51" s="66">
        <f>VLOOKUP($A51,'S45'!$C:$BQ,29,0)</f>
        <v>0</v>
      </c>
      <c r="P51" s="66">
        <f>VLOOKUP($A51,'S45'!$C:$BQ,30,0)</f>
        <v>0</v>
      </c>
      <c r="Q51" s="66">
        <f>VLOOKUP($A51,'S45'!$C:$BQ,52,0)</f>
        <v>93.8</v>
      </c>
      <c r="R51" s="66">
        <f>VLOOKUP($A51,'S45'!$C:$BQ,59,0)</f>
        <v>0</v>
      </c>
      <c r="S51" s="66">
        <f>VLOOKUP($A51,'S45'!$C:$BQ,60,0)</f>
        <v>3</v>
      </c>
      <c r="T51" s="58">
        <f>VLOOKUP($A51,'S46'!$C:$BQ,32,0)</f>
        <v>168.8</v>
      </c>
      <c r="U51" s="58">
        <f>VLOOKUP($A51,'S46'!$C:$BQ,39,0)</f>
        <v>0</v>
      </c>
      <c r="V51" s="58">
        <f>VLOOKUP($A51,'S46'!$C:$BQ,40,0)</f>
        <v>22</v>
      </c>
      <c r="W51" s="58">
        <f>VLOOKUP($A51,'S46'!$C:$BQ,22,0)</f>
        <v>1736.730775</v>
      </c>
      <c r="X51" s="66">
        <f>VLOOKUP($A51,'S46'!$C:$BQ,29,0)</f>
        <v>0</v>
      </c>
      <c r="Y51" s="66">
        <f>VLOOKUP($A51,'S46'!$C:$BQ,30,0)</f>
        <v>0</v>
      </c>
      <c r="Z51" s="66">
        <f>VLOOKUP($A51,'S46'!$C:$BQ,52,0)</f>
        <v>95.8</v>
      </c>
      <c r="AA51" s="66">
        <f>VLOOKUP($A51,'S46'!$C:$BQ,59,0)</f>
        <v>0</v>
      </c>
      <c r="AB51" s="66">
        <f>VLOOKUP($A51,'S46'!$C:$BQ,60,0)</f>
        <v>1</v>
      </c>
      <c r="AC51" s="58">
        <f>VLOOKUP($A51,'S47'!$C:$BQ,32,0)</f>
        <v>173.3</v>
      </c>
      <c r="AD51" s="58">
        <f>VLOOKUP($A51,'S47'!$C:$BQ,39,0)</f>
        <v>0</v>
      </c>
      <c r="AE51" s="58">
        <f>VLOOKUP($A51,'S47'!$C:$BQ,40,0)</f>
        <v>18</v>
      </c>
      <c r="AF51" s="58">
        <f>VLOOKUP($A51,'S47'!$C:$BQ,22,0)</f>
        <v>1731.5122249999999</v>
      </c>
      <c r="AG51" s="66">
        <f>VLOOKUP($A51,'S47'!$C:$BQ,29,0)</f>
        <v>0</v>
      </c>
      <c r="AH51" s="66">
        <f>VLOOKUP($A51,'S47'!$C:$BQ,30,0)</f>
        <v>1</v>
      </c>
      <c r="AI51" s="66">
        <f>VLOOKUP($A51,'S47'!$C:$BQ,52,0)</f>
        <v>100.8</v>
      </c>
      <c r="AJ51" s="66">
        <f>VLOOKUP($A51,'S47'!$C:$BQ,59,0)</f>
        <v>0</v>
      </c>
      <c r="AK51" s="66">
        <f>VLOOKUP($A51,'S47'!$C:$BQ,60,0)</f>
        <v>0</v>
      </c>
      <c r="AL51" s="58" t="e">
        <f>VLOOKUP($A51,'S48'!$C:$BQ,32,0)</f>
        <v>#N/A</v>
      </c>
      <c r="AM51" s="58" t="e">
        <f>VLOOKUP($A51,'S48'!$C:$BQ,39,0)</f>
        <v>#N/A</v>
      </c>
      <c r="AN51" s="58" t="e">
        <f>VLOOKUP($A51,'S48'!$C:$BQ,40,0)</f>
        <v>#N/A</v>
      </c>
      <c r="AO51" s="58" t="e">
        <f>VLOOKUP($A51,'S48'!$C:$BQ,22,0)</f>
        <v>#N/A</v>
      </c>
      <c r="AP51" s="66" t="e">
        <f>VLOOKUP($A51,'S48'!$C:$BQ,29,0)</f>
        <v>#N/A</v>
      </c>
      <c r="AQ51" s="66" t="e">
        <f>VLOOKUP($A51,'S48'!$C:$BQ,30,0)</f>
        <v>#N/A</v>
      </c>
      <c r="AR51" s="66" t="e">
        <f>VLOOKUP($A51,'S48'!$C:$BQ,52,0)</f>
        <v>#N/A</v>
      </c>
      <c r="AS51" s="66" t="e">
        <f>VLOOKUP($A51,'S48'!$C:$BQ,59,0)</f>
        <v>#N/A</v>
      </c>
      <c r="AT51" s="66" t="e">
        <f>VLOOKUP($A51,'S48'!$C:$BQ,60,0)</f>
        <v>#N/A</v>
      </c>
      <c r="AU51" s="58" t="e">
        <f>VLOOKUP($A51,'S49'!$C:$BQ,32,0)</f>
        <v>#N/A</v>
      </c>
      <c r="AV51" s="58" t="e">
        <f>VLOOKUP($A51,'S49'!$C:$BQ,39,0)</f>
        <v>#N/A</v>
      </c>
      <c r="AW51" s="58" t="e">
        <f>VLOOKUP($A51,'S49'!$C:$BQ,40,0)</f>
        <v>#N/A</v>
      </c>
      <c r="AX51" s="58" t="e">
        <f>VLOOKUP($A51,'S49'!$C:$BQ,22,0)</f>
        <v>#N/A</v>
      </c>
      <c r="AY51" s="66" t="e">
        <f>VLOOKUP($A51,'S49'!$C:$BQ,29,0)</f>
        <v>#N/A</v>
      </c>
      <c r="AZ51" s="66" t="e">
        <f>VLOOKUP($A51,'S49'!$C:$BQ,30,0)</f>
        <v>#N/A</v>
      </c>
      <c r="BA51" s="66" t="e">
        <f>VLOOKUP($A51,'S49'!$C:$BQ,52,0)</f>
        <v>#N/A</v>
      </c>
      <c r="BB51" s="66" t="e">
        <f>VLOOKUP($A51,'S49'!$C:$BQ,59,0)</f>
        <v>#N/A</v>
      </c>
      <c r="BC51" s="66" t="e">
        <f>VLOOKUP($A51,'S49'!$C:$BQ,60,0)</f>
        <v>#N/A</v>
      </c>
      <c r="BD51" s="58" t="e">
        <f>VLOOKUP($A51,'S50'!$C:$BQ,32,0)</f>
        <v>#N/A</v>
      </c>
      <c r="BE51" s="58" t="e">
        <f>VLOOKUP($A51,'S50'!$C:$BQ,39,0)</f>
        <v>#N/A</v>
      </c>
      <c r="BF51" s="58" t="e">
        <f>VLOOKUP($A51,'S50'!$C:$BQ,40,0)</f>
        <v>#N/A</v>
      </c>
      <c r="BG51" s="58" t="e">
        <f>VLOOKUP($A51,'S50'!$C:$BQ,22,0)</f>
        <v>#N/A</v>
      </c>
      <c r="BH51" s="66" t="e">
        <f>VLOOKUP($A51,'S50'!$C:$BQ,29,0)</f>
        <v>#N/A</v>
      </c>
      <c r="BI51" s="66" t="e">
        <f>VLOOKUP($A51,'S50'!$C:$BQ,30,0)</f>
        <v>#N/A</v>
      </c>
      <c r="BJ51" s="66" t="e">
        <f>VLOOKUP($A51,'S50'!$C:$BQ,52,0)</f>
        <v>#N/A</v>
      </c>
      <c r="BK51" s="66" t="e">
        <f>VLOOKUP($A51,'S50'!$C:$BQ,59,0)</f>
        <v>#N/A</v>
      </c>
      <c r="BL51" s="66" t="e">
        <f>VLOOKUP($A51,'S50'!$C:$BQ,60,0)</f>
        <v>#N/A</v>
      </c>
    </row>
    <row r="52" spans="1:64" x14ac:dyDescent="0.2">
      <c r="A52" s="57" t="s">
        <v>108</v>
      </c>
      <c r="B52" s="58">
        <f>VLOOKUP($A52,'S0 remplacer avec S44'!$C:$BQ,32,0)</f>
        <v>96.1</v>
      </c>
      <c r="C52" s="58">
        <f>VLOOKUP($A52,'S0 remplacer avec S44'!$C:$BQ,39,0)</f>
        <v>66</v>
      </c>
      <c r="D52" s="58">
        <f>VLOOKUP($A52,'S0 remplacer avec S44'!$C:$BQ,40,0)</f>
        <v>99</v>
      </c>
      <c r="E52" s="58">
        <f>VLOOKUP($A52,'S0 remplacer avec S44'!$C:$BQ,22,0)</f>
        <v>1020.32716</v>
      </c>
      <c r="F52" s="66">
        <f>VLOOKUP($A52,'S0 remplacer avec S44'!$C:$BQ,29,0)</f>
        <v>453</v>
      </c>
      <c r="G52" s="66">
        <f>VLOOKUP($A52,'S0 remplacer avec S44'!$C:$BQ,30,0)</f>
        <v>747</v>
      </c>
      <c r="H52" s="66">
        <f>VLOOKUP($A52,'S0 remplacer avec S44'!$C:$BQ,52,0)</f>
        <v>59.4</v>
      </c>
      <c r="I52" s="66">
        <f>VLOOKUP($A52,'S0 remplacer avec S44'!$C:$BQ,59,0)</f>
        <v>23</v>
      </c>
      <c r="J52" s="66">
        <f>VLOOKUP($A52,'S0 remplacer avec S44'!$C:$BQ,60,0)</f>
        <v>40</v>
      </c>
      <c r="K52" s="58">
        <f>VLOOKUP($A52,'S45'!$C:$BQ,32,0)</f>
        <v>100.1</v>
      </c>
      <c r="L52" s="58">
        <f>VLOOKUP($A52,'S45'!$C:$BQ,39,0)</f>
        <v>62</v>
      </c>
      <c r="M52" s="58">
        <f>VLOOKUP($A52,'S45'!$C:$BQ,40,0)</f>
        <v>95</v>
      </c>
      <c r="N52" s="58">
        <f>VLOOKUP($A52,'S45'!$C:$BQ,22,0)</f>
        <v>1020.90762</v>
      </c>
      <c r="O52" s="66">
        <f>VLOOKUP($A52,'S45'!$C:$BQ,29,0)</f>
        <v>452</v>
      </c>
      <c r="P52" s="66">
        <f>VLOOKUP($A52,'S45'!$C:$BQ,30,0)</f>
        <v>747</v>
      </c>
      <c r="Q52" s="66">
        <f>VLOOKUP($A52,'S45'!$C:$BQ,52,0)</f>
        <v>59.4</v>
      </c>
      <c r="R52" s="66">
        <f>VLOOKUP($A52,'S45'!$C:$BQ,59,0)</f>
        <v>23</v>
      </c>
      <c r="S52" s="66">
        <f>VLOOKUP($A52,'S45'!$C:$BQ,60,0)</f>
        <v>40</v>
      </c>
      <c r="T52" s="58">
        <f>VLOOKUP($A52,'S46'!$C:$BQ,32,0)</f>
        <v>101.1</v>
      </c>
      <c r="U52" s="58">
        <f>VLOOKUP($A52,'S46'!$C:$BQ,39,0)</f>
        <v>61</v>
      </c>
      <c r="V52" s="58">
        <f>VLOOKUP($A52,'S46'!$C:$BQ,40,0)</f>
        <v>94</v>
      </c>
      <c r="W52" s="58">
        <f>VLOOKUP($A52,'S46'!$C:$BQ,22,0)</f>
        <v>1039.0668599999999</v>
      </c>
      <c r="X52" s="66">
        <f>VLOOKUP($A52,'S46'!$C:$BQ,29,0)</f>
        <v>434</v>
      </c>
      <c r="Y52" s="66">
        <f>VLOOKUP($A52,'S46'!$C:$BQ,30,0)</f>
        <v>728</v>
      </c>
      <c r="Z52" s="66">
        <f>VLOOKUP($A52,'S46'!$C:$BQ,52,0)</f>
        <v>59.4</v>
      </c>
      <c r="AA52" s="66">
        <f>VLOOKUP($A52,'S46'!$C:$BQ,59,0)</f>
        <v>23</v>
      </c>
      <c r="AB52" s="66">
        <f>VLOOKUP($A52,'S46'!$C:$BQ,60,0)</f>
        <v>40</v>
      </c>
      <c r="AC52" s="58">
        <f>VLOOKUP($A52,'S47'!$C:$BQ,32,0)</f>
        <v>102.1</v>
      </c>
      <c r="AD52" s="58">
        <f>VLOOKUP($A52,'S47'!$C:$BQ,39,0)</f>
        <v>60</v>
      </c>
      <c r="AE52" s="58">
        <f>VLOOKUP($A52,'S47'!$C:$BQ,40,0)</f>
        <v>93</v>
      </c>
      <c r="AF52" s="58">
        <f>VLOOKUP($A52,'S47'!$C:$BQ,22,0)</f>
        <v>1050.4471100000001</v>
      </c>
      <c r="AG52" s="66">
        <f>VLOOKUP($A52,'S47'!$C:$BQ,29,0)</f>
        <v>422</v>
      </c>
      <c r="AH52" s="66">
        <f>VLOOKUP($A52,'S47'!$C:$BQ,30,0)</f>
        <v>717</v>
      </c>
      <c r="AI52" s="66">
        <f>VLOOKUP($A52,'S47'!$C:$BQ,52,0)</f>
        <v>59.4</v>
      </c>
      <c r="AJ52" s="66">
        <f>VLOOKUP($A52,'S47'!$C:$BQ,59,0)</f>
        <v>23</v>
      </c>
      <c r="AK52" s="66">
        <f>VLOOKUP($A52,'S47'!$C:$BQ,60,0)</f>
        <v>40</v>
      </c>
      <c r="AL52" s="58" t="e">
        <f>VLOOKUP($A52,'S48'!$C:$BQ,32,0)</f>
        <v>#N/A</v>
      </c>
      <c r="AM52" s="58" t="e">
        <f>VLOOKUP($A52,'S48'!$C:$BQ,39,0)</f>
        <v>#N/A</v>
      </c>
      <c r="AN52" s="58" t="e">
        <f>VLOOKUP($A52,'S48'!$C:$BQ,40,0)</f>
        <v>#N/A</v>
      </c>
      <c r="AO52" s="58" t="e">
        <f>VLOOKUP($A52,'S48'!$C:$BQ,22,0)</f>
        <v>#N/A</v>
      </c>
      <c r="AP52" s="66" t="e">
        <f>VLOOKUP($A52,'S48'!$C:$BQ,29,0)</f>
        <v>#N/A</v>
      </c>
      <c r="AQ52" s="66" t="e">
        <f>VLOOKUP($A52,'S48'!$C:$BQ,30,0)</f>
        <v>#N/A</v>
      </c>
      <c r="AR52" s="66" t="e">
        <f>VLOOKUP($A52,'S48'!$C:$BQ,52,0)</f>
        <v>#N/A</v>
      </c>
      <c r="AS52" s="66" t="e">
        <f>VLOOKUP($A52,'S48'!$C:$BQ,59,0)</f>
        <v>#N/A</v>
      </c>
      <c r="AT52" s="66" t="e">
        <f>VLOOKUP($A52,'S48'!$C:$BQ,60,0)</f>
        <v>#N/A</v>
      </c>
      <c r="AU52" s="58" t="e">
        <f>VLOOKUP($A52,'S49'!$C:$BQ,32,0)</f>
        <v>#N/A</v>
      </c>
      <c r="AV52" s="58" t="e">
        <f>VLOOKUP($A52,'S49'!$C:$BQ,39,0)</f>
        <v>#N/A</v>
      </c>
      <c r="AW52" s="58" t="e">
        <f>VLOOKUP($A52,'S49'!$C:$BQ,40,0)</f>
        <v>#N/A</v>
      </c>
      <c r="AX52" s="58" t="e">
        <f>VLOOKUP($A52,'S49'!$C:$BQ,22,0)</f>
        <v>#N/A</v>
      </c>
      <c r="AY52" s="66" t="e">
        <f>VLOOKUP($A52,'S49'!$C:$BQ,29,0)</f>
        <v>#N/A</v>
      </c>
      <c r="AZ52" s="66" t="e">
        <f>VLOOKUP($A52,'S49'!$C:$BQ,30,0)</f>
        <v>#N/A</v>
      </c>
      <c r="BA52" s="66" t="e">
        <f>VLOOKUP($A52,'S49'!$C:$BQ,52,0)</f>
        <v>#N/A</v>
      </c>
      <c r="BB52" s="66" t="e">
        <f>VLOOKUP($A52,'S49'!$C:$BQ,59,0)</f>
        <v>#N/A</v>
      </c>
      <c r="BC52" s="66" t="e">
        <f>VLOOKUP($A52,'S49'!$C:$BQ,60,0)</f>
        <v>#N/A</v>
      </c>
      <c r="BD52" s="58" t="e">
        <f>VLOOKUP($A52,'S50'!$C:$BQ,32,0)</f>
        <v>#N/A</v>
      </c>
      <c r="BE52" s="58" t="e">
        <f>VLOOKUP($A52,'S50'!$C:$BQ,39,0)</f>
        <v>#N/A</v>
      </c>
      <c r="BF52" s="58" t="e">
        <f>VLOOKUP($A52,'S50'!$C:$BQ,40,0)</f>
        <v>#N/A</v>
      </c>
      <c r="BG52" s="58" t="e">
        <f>VLOOKUP($A52,'S50'!$C:$BQ,22,0)</f>
        <v>#N/A</v>
      </c>
      <c r="BH52" s="66" t="e">
        <f>VLOOKUP($A52,'S50'!$C:$BQ,29,0)</f>
        <v>#N/A</v>
      </c>
      <c r="BI52" s="66" t="e">
        <f>VLOOKUP($A52,'S50'!$C:$BQ,30,0)</f>
        <v>#N/A</v>
      </c>
      <c r="BJ52" s="66" t="e">
        <f>VLOOKUP($A52,'S50'!$C:$BQ,52,0)</f>
        <v>#N/A</v>
      </c>
      <c r="BK52" s="66" t="e">
        <f>VLOOKUP($A52,'S50'!$C:$BQ,59,0)</f>
        <v>#N/A</v>
      </c>
      <c r="BL52" s="66" t="e">
        <f>VLOOKUP($A52,'S50'!$C:$BQ,60,0)</f>
        <v>#N/A</v>
      </c>
    </row>
    <row r="53" spans="1:64" x14ac:dyDescent="0.2">
      <c r="A53" s="57" t="s">
        <v>109</v>
      </c>
      <c r="B53" s="58">
        <f>VLOOKUP($A53,'S0 remplacer avec S44'!$C:$BQ,32,0)</f>
        <v>148.80000000000001</v>
      </c>
      <c r="C53" s="58">
        <f>VLOOKUP($A53,'S0 remplacer avec S44'!$C:$BQ,39,0)</f>
        <v>182</v>
      </c>
      <c r="D53" s="58">
        <f>VLOOKUP($A53,'S0 remplacer avec S44'!$C:$BQ,40,0)</f>
        <v>248</v>
      </c>
      <c r="E53" s="58">
        <f>VLOOKUP($A53,'S0 remplacer avec S44'!$C:$BQ,22,0)</f>
        <v>2274.1187</v>
      </c>
      <c r="F53" s="66">
        <f>VLOOKUP($A53,'S0 remplacer avec S44'!$C:$BQ,29,0)</f>
        <v>729</v>
      </c>
      <c r="G53" s="66">
        <f>VLOOKUP($A53,'S0 remplacer avec S44'!$C:$BQ,30,0)</f>
        <v>1329</v>
      </c>
      <c r="H53" s="66">
        <f>VLOOKUP($A53,'S0 remplacer avec S44'!$C:$BQ,52,0)</f>
        <v>180.8</v>
      </c>
      <c r="I53" s="66">
        <f>VLOOKUP($A53,'S0 remplacer avec S44'!$C:$BQ,59,0)</f>
        <v>0</v>
      </c>
      <c r="J53" s="66">
        <f>VLOOKUP($A53,'S0 remplacer avec S44'!$C:$BQ,60,0)</f>
        <v>21</v>
      </c>
      <c r="K53" s="58">
        <f>VLOOKUP($A53,'S45'!$C:$BQ,32,0)</f>
        <v>150.80000000000001</v>
      </c>
      <c r="L53" s="58">
        <f>VLOOKUP($A53,'S45'!$C:$BQ,39,0)</f>
        <v>180</v>
      </c>
      <c r="M53" s="58">
        <f>VLOOKUP($A53,'S45'!$C:$BQ,40,0)</f>
        <v>246</v>
      </c>
      <c r="N53" s="58">
        <f>VLOOKUP($A53,'S45'!$C:$BQ,22,0)</f>
        <v>2364.9646400000001</v>
      </c>
      <c r="O53" s="66">
        <f>VLOOKUP($A53,'S45'!$C:$BQ,29,0)</f>
        <v>638</v>
      </c>
      <c r="P53" s="66">
        <f>VLOOKUP($A53,'S45'!$C:$BQ,30,0)</f>
        <v>1238</v>
      </c>
      <c r="Q53" s="66">
        <f>VLOOKUP($A53,'S45'!$C:$BQ,52,0)</f>
        <v>183.8</v>
      </c>
      <c r="R53" s="66">
        <f>VLOOKUP($A53,'S45'!$C:$BQ,59,0)</f>
        <v>0</v>
      </c>
      <c r="S53" s="66">
        <f>VLOOKUP($A53,'S45'!$C:$BQ,60,0)</f>
        <v>18</v>
      </c>
      <c r="T53" s="58">
        <f>VLOOKUP($A53,'S46'!$C:$BQ,32,0)</f>
        <v>149.80000000000001</v>
      </c>
      <c r="U53" s="58">
        <f>VLOOKUP($A53,'S46'!$C:$BQ,39,0)</f>
        <v>181</v>
      </c>
      <c r="V53" s="58">
        <f>VLOOKUP($A53,'S46'!$C:$BQ,40,0)</f>
        <v>247</v>
      </c>
      <c r="W53" s="58">
        <f>VLOOKUP($A53,'S46'!$C:$BQ,22,0)</f>
        <v>2417.3446399999998</v>
      </c>
      <c r="X53" s="66">
        <f>VLOOKUP($A53,'S46'!$C:$BQ,29,0)</f>
        <v>585</v>
      </c>
      <c r="Y53" s="66">
        <f>VLOOKUP($A53,'S46'!$C:$BQ,30,0)</f>
        <v>1186</v>
      </c>
      <c r="Z53" s="66">
        <f>VLOOKUP($A53,'S46'!$C:$BQ,52,0)</f>
        <v>183.8</v>
      </c>
      <c r="AA53" s="66">
        <f>VLOOKUP($A53,'S46'!$C:$BQ,59,0)</f>
        <v>0</v>
      </c>
      <c r="AB53" s="66">
        <f>VLOOKUP($A53,'S46'!$C:$BQ,60,0)</f>
        <v>18</v>
      </c>
      <c r="AC53" s="58">
        <f>VLOOKUP($A53,'S47'!$C:$BQ,32,0)</f>
        <v>155.80000000000001</v>
      </c>
      <c r="AD53" s="58">
        <f>VLOOKUP($A53,'S47'!$C:$BQ,39,0)</f>
        <v>175</v>
      </c>
      <c r="AE53" s="58">
        <f>VLOOKUP($A53,'S47'!$C:$BQ,40,0)</f>
        <v>241</v>
      </c>
      <c r="AF53" s="58">
        <f>VLOOKUP($A53,'S47'!$C:$BQ,22,0)</f>
        <v>2477.2899900000002</v>
      </c>
      <c r="AG53" s="66">
        <f>VLOOKUP($A53,'S47'!$C:$BQ,29,0)</f>
        <v>525</v>
      </c>
      <c r="AH53" s="66">
        <f>VLOOKUP($A53,'S47'!$C:$BQ,30,0)</f>
        <v>1126</v>
      </c>
      <c r="AI53" s="66">
        <f>VLOOKUP($A53,'S47'!$C:$BQ,52,0)</f>
        <v>190.8</v>
      </c>
      <c r="AJ53" s="66">
        <f>VLOOKUP($A53,'S47'!$C:$BQ,59,0)</f>
        <v>0</v>
      </c>
      <c r="AK53" s="66">
        <f>VLOOKUP($A53,'S47'!$C:$BQ,60,0)</f>
        <v>11</v>
      </c>
      <c r="AL53" s="58" t="e">
        <f>VLOOKUP($A53,'S48'!$C:$BQ,32,0)</f>
        <v>#N/A</v>
      </c>
      <c r="AM53" s="58" t="e">
        <f>VLOOKUP($A53,'S48'!$C:$BQ,39,0)</f>
        <v>#N/A</v>
      </c>
      <c r="AN53" s="58" t="e">
        <f>VLOOKUP($A53,'S48'!$C:$BQ,40,0)</f>
        <v>#N/A</v>
      </c>
      <c r="AO53" s="58" t="e">
        <f>VLOOKUP($A53,'S48'!$C:$BQ,22,0)</f>
        <v>#N/A</v>
      </c>
      <c r="AP53" s="66" t="e">
        <f>VLOOKUP($A53,'S48'!$C:$BQ,29,0)</f>
        <v>#N/A</v>
      </c>
      <c r="AQ53" s="66" t="e">
        <f>VLOOKUP($A53,'S48'!$C:$BQ,30,0)</f>
        <v>#N/A</v>
      </c>
      <c r="AR53" s="66" t="e">
        <f>VLOOKUP($A53,'S48'!$C:$BQ,52,0)</f>
        <v>#N/A</v>
      </c>
      <c r="AS53" s="66" t="e">
        <f>VLOOKUP($A53,'S48'!$C:$BQ,59,0)</f>
        <v>#N/A</v>
      </c>
      <c r="AT53" s="66" t="e">
        <f>VLOOKUP($A53,'S48'!$C:$BQ,60,0)</f>
        <v>#N/A</v>
      </c>
      <c r="AU53" s="58" t="e">
        <f>VLOOKUP($A53,'S49'!$C:$BQ,32,0)</f>
        <v>#N/A</v>
      </c>
      <c r="AV53" s="58" t="e">
        <f>VLOOKUP($A53,'S49'!$C:$BQ,39,0)</f>
        <v>#N/A</v>
      </c>
      <c r="AW53" s="58" t="e">
        <f>VLOOKUP($A53,'S49'!$C:$BQ,40,0)</f>
        <v>#N/A</v>
      </c>
      <c r="AX53" s="58" t="e">
        <f>VLOOKUP($A53,'S49'!$C:$BQ,22,0)</f>
        <v>#N/A</v>
      </c>
      <c r="AY53" s="66" t="e">
        <f>VLOOKUP($A53,'S49'!$C:$BQ,29,0)</f>
        <v>#N/A</v>
      </c>
      <c r="AZ53" s="66" t="e">
        <f>VLOOKUP($A53,'S49'!$C:$BQ,30,0)</f>
        <v>#N/A</v>
      </c>
      <c r="BA53" s="66" t="e">
        <f>VLOOKUP($A53,'S49'!$C:$BQ,52,0)</f>
        <v>#N/A</v>
      </c>
      <c r="BB53" s="66" t="e">
        <f>VLOOKUP($A53,'S49'!$C:$BQ,59,0)</f>
        <v>#N/A</v>
      </c>
      <c r="BC53" s="66" t="e">
        <f>VLOOKUP($A53,'S49'!$C:$BQ,60,0)</f>
        <v>#N/A</v>
      </c>
      <c r="BD53" s="58" t="e">
        <f>VLOOKUP($A53,'S50'!$C:$BQ,32,0)</f>
        <v>#N/A</v>
      </c>
      <c r="BE53" s="58" t="e">
        <f>VLOOKUP($A53,'S50'!$C:$BQ,39,0)</f>
        <v>#N/A</v>
      </c>
      <c r="BF53" s="58" t="e">
        <f>VLOOKUP($A53,'S50'!$C:$BQ,40,0)</f>
        <v>#N/A</v>
      </c>
      <c r="BG53" s="58" t="e">
        <f>VLOOKUP($A53,'S50'!$C:$BQ,22,0)</f>
        <v>#N/A</v>
      </c>
      <c r="BH53" s="66" t="e">
        <f>VLOOKUP($A53,'S50'!$C:$BQ,29,0)</f>
        <v>#N/A</v>
      </c>
      <c r="BI53" s="66" t="e">
        <f>VLOOKUP($A53,'S50'!$C:$BQ,30,0)</f>
        <v>#N/A</v>
      </c>
      <c r="BJ53" s="66" t="e">
        <f>VLOOKUP($A53,'S50'!$C:$BQ,52,0)</f>
        <v>#N/A</v>
      </c>
      <c r="BK53" s="66" t="e">
        <f>VLOOKUP($A53,'S50'!$C:$BQ,59,0)</f>
        <v>#N/A</v>
      </c>
      <c r="BL53" s="66" t="e">
        <f>VLOOKUP($A53,'S50'!$C:$BQ,60,0)</f>
        <v>#N/A</v>
      </c>
    </row>
    <row r="54" spans="1:64" x14ac:dyDescent="0.2">
      <c r="A54" s="57" t="s">
        <v>110</v>
      </c>
      <c r="B54" s="58">
        <f>VLOOKUP($A54,'S0 remplacer avec S44'!$C:$BQ,32,0)</f>
        <v>147.94999999999999</v>
      </c>
      <c r="C54" s="58">
        <f>VLOOKUP($A54,'S0 remplacer avec S44'!$C:$BQ,39,0)</f>
        <v>19</v>
      </c>
      <c r="D54" s="58">
        <f>VLOOKUP($A54,'S0 remplacer avec S44'!$C:$BQ,40,0)</f>
        <v>52</v>
      </c>
      <c r="E54" s="58">
        <f>VLOOKUP($A54,'S0 remplacer avec S44'!$C:$BQ,22,0)</f>
        <v>1869.7637400000001</v>
      </c>
      <c r="F54" s="66">
        <f>VLOOKUP($A54,'S0 remplacer avec S44'!$C:$BQ,29,0)</f>
        <v>0</v>
      </c>
      <c r="G54" s="66">
        <f>VLOOKUP($A54,'S0 remplacer avec S44'!$C:$BQ,30,0)</f>
        <v>0</v>
      </c>
      <c r="H54" s="66">
        <f>VLOOKUP($A54,'S0 remplacer avec S44'!$C:$BQ,52,0)</f>
        <v>134.80000000000001</v>
      </c>
      <c r="I54" s="66">
        <f>VLOOKUP($A54,'S0 remplacer avec S44'!$C:$BQ,59,0)</f>
        <v>0</v>
      </c>
      <c r="J54" s="66">
        <f>VLOOKUP($A54,'S0 remplacer avec S44'!$C:$BQ,60,0)</f>
        <v>0</v>
      </c>
      <c r="K54" s="58">
        <f>VLOOKUP($A54,'S45'!$C:$BQ,32,0)</f>
        <v>146.94999999999999</v>
      </c>
      <c r="L54" s="58">
        <f>VLOOKUP($A54,'S45'!$C:$BQ,39,0)</f>
        <v>20</v>
      </c>
      <c r="M54" s="58">
        <f>VLOOKUP($A54,'S45'!$C:$BQ,40,0)</f>
        <v>53</v>
      </c>
      <c r="N54" s="58">
        <f>VLOOKUP($A54,'S45'!$C:$BQ,22,0)</f>
        <v>1870.4784400000001</v>
      </c>
      <c r="O54" s="66">
        <f>VLOOKUP($A54,'S45'!$C:$BQ,29,0)</f>
        <v>0</v>
      </c>
      <c r="P54" s="66">
        <f>VLOOKUP($A54,'S45'!$C:$BQ,30,0)</f>
        <v>0</v>
      </c>
      <c r="Q54" s="66">
        <f>VLOOKUP($A54,'S45'!$C:$BQ,52,0)</f>
        <v>137.80000000000001</v>
      </c>
      <c r="R54" s="66">
        <f>VLOOKUP($A54,'S45'!$C:$BQ,59,0)</f>
        <v>0</v>
      </c>
      <c r="S54" s="66">
        <f>VLOOKUP($A54,'S45'!$C:$BQ,60,0)</f>
        <v>0</v>
      </c>
      <c r="T54" s="58">
        <f>VLOOKUP($A54,'S46'!$C:$BQ,32,0)</f>
        <v>147.44999999999999</v>
      </c>
      <c r="U54" s="58">
        <f>VLOOKUP($A54,'S46'!$C:$BQ,39,0)</f>
        <v>19</v>
      </c>
      <c r="V54" s="58">
        <f>VLOOKUP($A54,'S46'!$C:$BQ,40,0)</f>
        <v>52</v>
      </c>
      <c r="W54" s="58">
        <f>VLOOKUP($A54,'S46'!$C:$BQ,22,0)</f>
        <v>1872.1274000000001</v>
      </c>
      <c r="X54" s="66">
        <f>VLOOKUP($A54,'S46'!$C:$BQ,29,0)</f>
        <v>0</v>
      </c>
      <c r="Y54" s="66">
        <f>VLOOKUP($A54,'S46'!$C:$BQ,30,0)</f>
        <v>0</v>
      </c>
      <c r="Z54" s="66">
        <f>VLOOKUP($A54,'S46'!$C:$BQ,52,0)</f>
        <v>137.80000000000001</v>
      </c>
      <c r="AA54" s="66">
        <f>VLOOKUP($A54,'S46'!$C:$BQ,59,0)</f>
        <v>0</v>
      </c>
      <c r="AB54" s="66">
        <f>VLOOKUP($A54,'S46'!$C:$BQ,60,0)</f>
        <v>0</v>
      </c>
      <c r="AC54" s="58">
        <f>VLOOKUP($A54,'S47'!$C:$BQ,32,0)</f>
        <v>151.44999999999999</v>
      </c>
      <c r="AD54" s="58">
        <f>VLOOKUP($A54,'S47'!$C:$BQ,39,0)</f>
        <v>15</v>
      </c>
      <c r="AE54" s="58">
        <f>VLOOKUP($A54,'S47'!$C:$BQ,40,0)</f>
        <v>48</v>
      </c>
      <c r="AF54" s="58">
        <f>VLOOKUP($A54,'S47'!$C:$BQ,22,0)</f>
        <v>1891.59538</v>
      </c>
      <c r="AG54" s="66">
        <f>VLOOKUP($A54,'S47'!$C:$BQ,29,0)</f>
        <v>0</v>
      </c>
      <c r="AH54" s="66">
        <f>VLOOKUP($A54,'S47'!$C:$BQ,30,0)</f>
        <v>0</v>
      </c>
      <c r="AI54" s="66">
        <f>VLOOKUP($A54,'S47'!$C:$BQ,52,0)</f>
        <v>138.80000000000001</v>
      </c>
      <c r="AJ54" s="66">
        <f>VLOOKUP($A54,'S47'!$C:$BQ,59,0)</f>
        <v>0</v>
      </c>
      <c r="AK54" s="66">
        <f>VLOOKUP($A54,'S47'!$C:$BQ,60,0)</f>
        <v>0</v>
      </c>
      <c r="AL54" s="58" t="e">
        <f>VLOOKUP($A54,'S48'!$C:$BQ,32,0)</f>
        <v>#N/A</v>
      </c>
      <c r="AM54" s="58" t="e">
        <f>VLOOKUP($A54,'S48'!$C:$BQ,39,0)</f>
        <v>#N/A</v>
      </c>
      <c r="AN54" s="58" t="e">
        <f>VLOOKUP($A54,'S48'!$C:$BQ,40,0)</f>
        <v>#N/A</v>
      </c>
      <c r="AO54" s="58" t="e">
        <f>VLOOKUP($A54,'S48'!$C:$BQ,22,0)</f>
        <v>#N/A</v>
      </c>
      <c r="AP54" s="66" t="e">
        <f>VLOOKUP($A54,'S48'!$C:$BQ,29,0)</f>
        <v>#N/A</v>
      </c>
      <c r="AQ54" s="66" t="e">
        <f>VLOOKUP($A54,'S48'!$C:$BQ,30,0)</f>
        <v>#N/A</v>
      </c>
      <c r="AR54" s="66" t="e">
        <f>VLOOKUP($A54,'S48'!$C:$BQ,52,0)</f>
        <v>#N/A</v>
      </c>
      <c r="AS54" s="66" t="e">
        <f>VLOOKUP($A54,'S48'!$C:$BQ,59,0)</f>
        <v>#N/A</v>
      </c>
      <c r="AT54" s="66" t="e">
        <f>VLOOKUP($A54,'S48'!$C:$BQ,60,0)</f>
        <v>#N/A</v>
      </c>
      <c r="AU54" s="58" t="e">
        <f>VLOOKUP($A54,'S49'!$C:$BQ,32,0)</f>
        <v>#N/A</v>
      </c>
      <c r="AV54" s="58" t="e">
        <f>VLOOKUP($A54,'S49'!$C:$BQ,39,0)</f>
        <v>#N/A</v>
      </c>
      <c r="AW54" s="58" t="e">
        <f>VLOOKUP($A54,'S49'!$C:$BQ,40,0)</f>
        <v>#N/A</v>
      </c>
      <c r="AX54" s="58" t="e">
        <f>VLOOKUP($A54,'S49'!$C:$BQ,22,0)</f>
        <v>#N/A</v>
      </c>
      <c r="AY54" s="66" t="e">
        <f>VLOOKUP($A54,'S49'!$C:$BQ,29,0)</f>
        <v>#N/A</v>
      </c>
      <c r="AZ54" s="66" t="e">
        <f>VLOOKUP($A54,'S49'!$C:$BQ,30,0)</f>
        <v>#N/A</v>
      </c>
      <c r="BA54" s="66" t="e">
        <f>VLOOKUP($A54,'S49'!$C:$BQ,52,0)</f>
        <v>#N/A</v>
      </c>
      <c r="BB54" s="66" t="e">
        <f>VLOOKUP($A54,'S49'!$C:$BQ,59,0)</f>
        <v>#N/A</v>
      </c>
      <c r="BC54" s="66" t="e">
        <f>VLOOKUP($A54,'S49'!$C:$BQ,60,0)</f>
        <v>#N/A</v>
      </c>
      <c r="BD54" s="58" t="e">
        <f>VLOOKUP($A54,'S50'!$C:$BQ,32,0)</f>
        <v>#N/A</v>
      </c>
      <c r="BE54" s="58" t="e">
        <f>VLOOKUP($A54,'S50'!$C:$BQ,39,0)</f>
        <v>#N/A</v>
      </c>
      <c r="BF54" s="58" t="e">
        <f>VLOOKUP($A54,'S50'!$C:$BQ,40,0)</f>
        <v>#N/A</v>
      </c>
      <c r="BG54" s="58" t="e">
        <f>VLOOKUP($A54,'S50'!$C:$BQ,22,0)</f>
        <v>#N/A</v>
      </c>
      <c r="BH54" s="66" t="e">
        <f>VLOOKUP($A54,'S50'!$C:$BQ,29,0)</f>
        <v>#N/A</v>
      </c>
      <c r="BI54" s="66" t="e">
        <f>VLOOKUP($A54,'S50'!$C:$BQ,30,0)</f>
        <v>#N/A</v>
      </c>
      <c r="BJ54" s="66" t="e">
        <f>VLOOKUP($A54,'S50'!$C:$BQ,52,0)</f>
        <v>#N/A</v>
      </c>
      <c r="BK54" s="66" t="e">
        <f>VLOOKUP($A54,'S50'!$C:$BQ,59,0)</f>
        <v>#N/A</v>
      </c>
      <c r="BL54" s="66" t="e">
        <f>VLOOKUP($A54,'S50'!$C:$BQ,60,0)</f>
        <v>#N/A</v>
      </c>
    </row>
    <row r="55" spans="1:64" x14ac:dyDescent="0.2">
      <c r="A55" s="57" t="s">
        <v>111</v>
      </c>
      <c r="B55" s="58">
        <f>VLOOKUP($A55,'S0 remplacer avec S44'!$C:$BQ,32,0)</f>
        <v>236.2</v>
      </c>
      <c r="C55" s="58">
        <f>VLOOKUP($A55,'S0 remplacer avec S44'!$C:$BQ,39,0)</f>
        <v>102</v>
      </c>
      <c r="D55" s="58">
        <f>VLOOKUP($A55,'S0 remplacer avec S44'!$C:$BQ,40,0)</f>
        <v>169</v>
      </c>
      <c r="E55" s="58">
        <f>VLOOKUP($A55,'S0 remplacer avec S44'!$C:$BQ,22,0)</f>
        <v>1920.2623349999999</v>
      </c>
      <c r="F55" s="66">
        <f>VLOOKUP($A55,'S0 remplacer avec S44'!$C:$BQ,29,0)</f>
        <v>1149</v>
      </c>
      <c r="G55" s="66">
        <f>VLOOKUP($A55,'S0 remplacer avec S44'!$C:$BQ,30,0)</f>
        <v>1763</v>
      </c>
      <c r="H55" s="66">
        <f>VLOOKUP($A55,'S0 remplacer avec S44'!$C:$BQ,52,0)</f>
        <v>199.2</v>
      </c>
      <c r="I55" s="66">
        <f>VLOOKUP($A55,'S0 remplacer avec S44'!$C:$BQ,59,0)</f>
        <v>0</v>
      </c>
      <c r="J55" s="66">
        <f>VLOOKUP($A55,'S0 remplacer avec S44'!$C:$BQ,60,0)</f>
        <v>7</v>
      </c>
      <c r="K55" s="58">
        <f>VLOOKUP($A55,'S45'!$C:$BQ,32,0)</f>
        <v>239.2</v>
      </c>
      <c r="L55" s="58">
        <f>VLOOKUP($A55,'S45'!$C:$BQ,39,0)</f>
        <v>99</v>
      </c>
      <c r="M55" s="58">
        <f>VLOOKUP($A55,'S45'!$C:$BQ,40,0)</f>
        <v>166</v>
      </c>
      <c r="N55" s="58">
        <f>VLOOKUP($A55,'S45'!$C:$BQ,22,0)</f>
        <v>1937.4232850000001</v>
      </c>
      <c r="O55" s="66">
        <f>VLOOKUP($A55,'S45'!$C:$BQ,29,0)</f>
        <v>1132</v>
      </c>
      <c r="P55" s="66">
        <f>VLOOKUP($A55,'S45'!$C:$BQ,30,0)</f>
        <v>1746</v>
      </c>
      <c r="Q55" s="66">
        <f>VLOOKUP($A55,'S45'!$C:$BQ,52,0)</f>
        <v>200.2</v>
      </c>
      <c r="R55" s="66">
        <f>VLOOKUP($A55,'S45'!$C:$BQ,59,0)</f>
        <v>0</v>
      </c>
      <c r="S55" s="66">
        <f>VLOOKUP($A55,'S45'!$C:$BQ,60,0)</f>
        <v>6</v>
      </c>
      <c r="T55" s="58">
        <f>VLOOKUP($A55,'S46'!$C:$BQ,32,0)</f>
        <v>240.2</v>
      </c>
      <c r="U55" s="58">
        <f>VLOOKUP($A55,'S46'!$C:$BQ,39,0)</f>
        <v>98</v>
      </c>
      <c r="V55" s="58">
        <f>VLOOKUP($A55,'S46'!$C:$BQ,40,0)</f>
        <v>165</v>
      </c>
      <c r="W55" s="58">
        <f>VLOOKUP($A55,'S46'!$C:$BQ,22,0)</f>
        <v>1938.418885</v>
      </c>
      <c r="X55" s="66">
        <f>VLOOKUP($A55,'S46'!$C:$BQ,29,0)</f>
        <v>1131</v>
      </c>
      <c r="Y55" s="66">
        <f>VLOOKUP($A55,'S46'!$C:$BQ,30,0)</f>
        <v>1745</v>
      </c>
      <c r="Z55" s="66">
        <f>VLOOKUP($A55,'S46'!$C:$BQ,52,0)</f>
        <v>200.2</v>
      </c>
      <c r="AA55" s="66">
        <f>VLOOKUP($A55,'S46'!$C:$BQ,59,0)</f>
        <v>0</v>
      </c>
      <c r="AB55" s="66">
        <f>VLOOKUP($A55,'S46'!$C:$BQ,60,0)</f>
        <v>6</v>
      </c>
      <c r="AC55" s="58">
        <f>VLOOKUP($A55,'S47'!$C:$BQ,32,0)</f>
        <v>243.7</v>
      </c>
      <c r="AD55" s="58">
        <f>VLOOKUP($A55,'S47'!$C:$BQ,39,0)</f>
        <v>94</v>
      </c>
      <c r="AE55" s="58">
        <f>VLOOKUP($A55,'S47'!$C:$BQ,40,0)</f>
        <v>162</v>
      </c>
      <c r="AF55" s="58">
        <f>VLOOKUP($A55,'S47'!$C:$BQ,22,0)</f>
        <v>1990.3286149999999</v>
      </c>
      <c r="AG55" s="66">
        <f>VLOOKUP($A55,'S47'!$C:$BQ,29,0)</f>
        <v>1079</v>
      </c>
      <c r="AH55" s="66">
        <f>VLOOKUP($A55,'S47'!$C:$BQ,30,0)</f>
        <v>1693</v>
      </c>
      <c r="AI55" s="66">
        <f>VLOOKUP($A55,'S47'!$C:$BQ,52,0)</f>
        <v>208.2</v>
      </c>
      <c r="AJ55" s="66">
        <f>VLOOKUP($A55,'S47'!$C:$BQ,59,0)</f>
        <v>0</v>
      </c>
      <c r="AK55" s="66">
        <f>VLOOKUP($A55,'S47'!$C:$BQ,60,0)</f>
        <v>0</v>
      </c>
      <c r="AL55" s="58" t="e">
        <f>VLOOKUP($A55,'S48'!$C:$BQ,32,0)</f>
        <v>#N/A</v>
      </c>
      <c r="AM55" s="58" t="e">
        <f>VLOOKUP($A55,'S48'!$C:$BQ,39,0)</f>
        <v>#N/A</v>
      </c>
      <c r="AN55" s="58" t="e">
        <f>VLOOKUP($A55,'S48'!$C:$BQ,40,0)</f>
        <v>#N/A</v>
      </c>
      <c r="AO55" s="58" t="e">
        <f>VLOOKUP($A55,'S48'!$C:$BQ,22,0)</f>
        <v>#N/A</v>
      </c>
      <c r="AP55" s="66" t="e">
        <f>VLOOKUP($A55,'S48'!$C:$BQ,29,0)</f>
        <v>#N/A</v>
      </c>
      <c r="AQ55" s="66" t="e">
        <f>VLOOKUP($A55,'S48'!$C:$BQ,30,0)</f>
        <v>#N/A</v>
      </c>
      <c r="AR55" s="66" t="e">
        <f>VLOOKUP($A55,'S48'!$C:$BQ,52,0)</f>
        <v>#N/A</v>
      </c>
      <c r="AS55" s="66" t="e">
        <f>VLOOKUP($A55,'S48'!$C:$BQ,59,0)</f>
        <v>#N/A</v>
      </c>
      <c r="AT55" s="66" t="e">
        <f>VLOOKUP($A55,'S48'!$C:$BQ,60,0)</f>
        <v>#N/A</v>
      </c>
      <c r="AU55" s="58" t="e">
        <f>VLOOKUP($A55,'S49'!$C:$BQ,32,0)</f>
        <v>#N/A</v>
      </c>
      <c r="AV55" s="58" t="e">
        <f>VLOOKUP($A55,'S49'!$C:$BQ,39,0)</f>
        <v>#N/A</v>
      </c>
      <c r="AW55" s="58" t="e">
        <f>VLOOKUP($A55,'S49'!$C:$BQ,40,0)</f>
        <v>#N/A</v>
      </c>
      <c r="AX55" s="58" t="e">
        <f>VLOOKUP($A55,'S49'!$C:$BQ,22,0)</f>
        <v>#N/A</v>
      </c>
      <c r="AY55" s="66" t="e">
        <f>VLOOKUP($A55,'S49'!$C:$BQ,29,0)</f>
        <v>#N/A</v>
      </c>
      <c r="AZ55" s="66" t="e">
        <f>VLOOKUP($A55,'S49'!$C:$BQ,30,0)</f>
        <v>#N/A</v>
      </c>
      <c r="BA55" s="66" t="e">
        <f>VLOOKUP($A55,'S49'!$C:$BQ,52,0)</f>
        <v>#N/A</v>
      </c>
      <c r="BB55" s="66" t="e">
        <f>VLOOKUP($A55,'S49'!$C:$BQ,59,0)</f>
        <v>#N/A</v>
      </c>
      <c r="BC55" s="66" t="e">
        <f>VLOOKUP($A55,'S49'!$C:$BQ,60,0)</f>
        <v>#N/A</v>
      </c>
      <c r="BD55" s="58" t="e">
        <f>VLOOKUP($A55,'S50'!$C:$BQ,32,0)</f>
        <v>#N/A</v>
      </c>
      <c r="BE55" s="58" t="e">
        <f>VLOOKUP($A55,'S50'!$C:$BQ,39,0)</f>
        <v>#N/A</v>
      </c>
      <c r="BF55" s="58" t="e">
        <f>VLOOKUP($A55,'S50'!$C:$BQ,40,0)</f>
        <v>#N/A</v>
      </c>
      <c r="BG55" s="58" t="e">
        <f>VLOOKUP($A55,'S50'!$C:$BQ,22,0)</f>
        <v>#N/A</v>
      </c>
      <c r="BH55" s="66" t="e">
        <f>VLOOKUP($A55,'S50'!$C:$BQ,29,0)</f>
        <v>#N/A</v>
      </c>
      <c r="BI55" s="66" t="e">
        <f>VLOOKUP($A55,'S50'!$C:$BQ,30,0)</f>
        <v>#N/A</v>
      </c>
      <c r="BJ55" s="66" t="e">
        <f>VLOOKUP($A55,'S50'!$C:$BQ,52,0)</f>
        <v>#N/A</v>
      </c>
      <c r="BK55" s="66" t="e">
        <f>VLOOKUP($A55,'S50'!$C:$BQ,59,0)</f>
        <v>#N/A</v>
      </c>
      <c r="BL55" s="66" t="e">
        <f>VLOOKUP($A55,'S50'!$C:$BQ,60,0)</f>
        <v>#N/A</v>
      </c>
    </row>
    <row r="56" spans="1:64" x14ac:dyDescent="0.2">
      <c r="A56" s="57" t="s">
        <v>112</v>
      </c>
      <c r="B56" s="58">
        <f>VLOOKUP($A56,'S0 remplacer avec S44'!$C:$BQ,32,0)</f>
        <v>61.3</v>
      </c>
      <c r="C56" s="58">
        <f>VLOOKUP($A56,'S0 remplacer avec S44'!$C:$BQ,39,0)</f>
        <v>26</v>
      </c>
      <c r="D56" s="58">
        <f>VLOOKUP($A56,'S0 remplacer avec S44'!$C:$BQ,40,0)</f>
        <v>44</v>
      </c>
      <c r="E56" s="58">
        <f>VLOOKUP($A56,'S0 remplacer avec S44'!$C:$BQ,22,0)</f>
        <v>699.18479000000002</v>
      </c>
      <c r="F56" s="66">
        <f>VLOOKUP($A56,'S0 remplacer avec S44'!$C:$BQ,29,0)</f>
        <v>94</v>
      </c>
      <c r="G56" s="66">
        <f>VLOOKUP($A56,'S0 remplacer avec S44'!$C:$BQ,30,0)</f>
        <v>252</v>
      </c>
      <c r="H56" s="66">
        <f>VLOOKUP($A56,'S0 remplacer avec S44'!$C:$BQ,52,0)</f>
        <v>34</v>
      </c>
      <c r="I56" s="66">
        <f>VLOOKUP($A56,'S0 remplacer avec S44'!$C:$BQ,59,0)</f>
        <v>11</v>
      </c>
      <c r="J56" s="66">
        <f>VLOOKUP($A56,'S0 remplacer avec S44'!$C:$BQ,60,0)</f>
        <v>20</v>
      </c>
      <c r="K56" s="58">
        <f>VLOOKUP($A56,'S45'!$C:$BQ,32,0)</f>
        <v>63.3</v>
      </c>
      <c r="L56" s="58">
        <f>VLOOKUP($A56,'S45'!$C:$BQ,39,0)</f>
        <v>24</v>
      </c>
      <c r="M56" s="58">
        <f>VLOOKUP($A56,'S45'!$C:$BQ,40,0)</f>
        <v>42</v>
      </c>
      <c r="N56" s="58">
        <f>VLOOKUP($A56,'S45'!$C:$BQ,22,0)</f>
        <v>699.74478999999997</v>
      </c>
      <c r="O56" s="66">
        <f>VLOOKUP($A56,'S45'!$C:$BQ,29,0)</f>
        <v>93</v>
      </c>
      <c r="P56" s="66">
        <f>VLOOKUP($A56,'S45'!$C:$BQ,30,0)</f>
        <v>252</v>
      </c>
      <c r="Q56" s="66">
        <f>VLOOKUP($A56,'S45'!$C:$BQ,52,0)</f>
        <v>34</v>
      </c>
      <c r="R56" s="66">
        <f>VLOOKUP($A56,'S45'!$C:$BQ,59,0)</f>
        <v>11</v>
      </c>
      <c r="S56" s="66">
        <f>VLOOKUP($A56,'S45'!$C:$BQ,60,0)</f>
        <v>20</v>
      </c>
      <c r="T56" s="58">
        <f>VLOOKUP($A56,'S46'!$C:$BQ,32,0)</f>
        <v>62.8</v>
      </c>
      <c r="U56" s="58">
        <f>VLOOKUP($A56,'S46'!$C:$BQ,39,0)</f>
        <v>25</v>
      </c>
      <c r="V56" s="58">
        <f>VLOOKUP($A56,'S46'!$C:$BQ,40,0)</f>
        <v>42</v>
      </c>
      <c r="W56" s="58">
        <f>VLOOKUP($A56,'S46'!$C:$BQ,22,0)</f>
        <v>700.52949999999998</v>
      </c>
      <c r="X56" s="66">
        <f>VLOOKUP($A56,'S46'!$C:$BQ,29,0)</f>
        <v>92</v>
      </c>
      <c r="Y56" s="66">
        <f>VLOOKUP($A56,'S46'!$C:$BQ,30,0)</f>
        <v>251</v>
      </c>
      <c r="Z56" s="66">
        <f>VLOOKUP($A56,'S46'!$C:$BQ,52,0)</f>
        <v>34</v>
      </c>
      <c r="AA56" s="66">
        <f>VLOOKUP($A56,'S46'!$C:$BQ,59,0)</f>
        <v>11</v>
      </c>
      <c r="AB56" s="66">
        <f>VLOOKUP($A56,'S46'!$C:$BQ,60,0)</f>
        <v>20</v>
      </c>
      <c r="AC56" s="58">
        <f>VLOOKUP($A56,'S47'!$C:$BQ,32,0)</f>
        <v>62.3</v>
      </c>
      <c r="AD56" s="58">
        <f>VLOOKUP($A56,'S47'!$C:$BQ,39,0)</f>
        <v>25</v>
      </c>
      <c r="AE56" s="58">
        <f>VLOOKUP($A56,'S47'!$C:$BQ,40,0)</f>
        <v>43</v>
      </c>
      <c r="AF56" s="58">
        <f>VLOOKUP($A56,'S47'!$C:$BQ,22,0)</f>
        <v>671.06210999999996</v>
      </c>
      <c r="AG56" s="66">
        <f>VLOOKUP($A56,'S47'!$C:$BQ,29,0)</f>
        <v>122</v>
      </c>
      <c r="AH56" s="66">
        <f>VLOOKUP($A56,'S47'!$C:$BQ,30,0)</f>
        <v>280</v>
      </c>
      <c r="AI56" s="66">
        <f>VLOOKUP($A56,'S47'!$C:$BQ,52,0)</f>
        <v>34</v>
      </c>
      <c r="AJ56" s="66">
        <f>VLOOKUP($A56,'S47'!$C:$BQ,59,0)</f>
        <v>11</v>
      </c>
      <c r="AK56" s="66">
        <f>VLOOKUP($A56,'S47'!$C:$BQ,60,0)</f>
        <v>20</v>
      </c>
      <c r="AL56" s="58" t="e">
        <f>VLOOKUP($A56,'S48'!$C:$BQ,32,0)</f>
        <v>#N/A</v>
      </c>
      <c r="AM56" s="58" t="e">
        <f>VLOOKUP($A56,'S48'!$C:$BQ,39,0)</f>
        <v>#N/A</v>
      </c>
      <c r="AN56" s="58" t="e">
        <f>VLOOKUP($A56,'S48'!$C:$BQ,40,0)</f>
        <v>#N/A</v>
      </c>
      <c r="AO56" s="58" t="e">
        <f>VLOOKUP($A56,'S48'!$C:$BQ,22,0)</f>
        <v>#N/A</v>
      </c>
      <c r="AP56" s="66" t="e">
        <f>VLOOKUP($A56,'S48'!$C:$BQ,29,0)</f>
        <v>#N/A</v>
      </c>
      <c r="AQ56" s="66" t="e">
        <f>VLOOKUP($A56,'S48'!$C:$BQ,30,0)</f>
        <v>#N/A</v>
      </c>
      <c r="AR56" s="66" t="e">
        <f>VLOOKUP($A56,'S48'!$C:$BQ,52,0)</f>
        <v>#N/A</v>
      </c>
      <c r="AS56" s="66" t="e">
        <f>VLOOKUP($A56,'S48'!$C:$BQ,59,0)</f>
        <v>#N/A</v>
      </c>
      <c r="AT56" s="66" t="e">
        <f>VLOOKUP($A56,'S48'!$C:$BQ,60,0)</f>
        <v>#N/A</v>
      </c>
      <c r="AU56" s="58" t="e">
        <f>VLOOKUP($A56,'S49'!$C:$BQ,32,0)</f>
        <v>#N/A</v>
      </c>
      <c r="AV56" s="58" t="e">
        <f>VLOOKUP($A56,'S49'!$C:$BQ,39,0)</f>
        <v>#N/A</v>
      </c>
      <c r="AW56" s="58" t="e">
        <f>VLOOKUP($A56,'S49'!$C:$BQ,40,0)</f>
        <v>#N/A</v>
      </c>
      <c r="AX56" s="58" t="e">
        <f>VLOOKUP($A56,'S49'!$C:$BQ,22,0)</f>
        <v>#N/A</v>
      </c>
      <c r="AY56" s="66" t="e">
        <f>VLOOKUP($A56,'S49'!$C:$BQ,29,0)</f>
        <v>#N/A</v>
      </c>
      <c r="AZ56" s="66" t="e">
        <f>VLOOKUP($A56,'S49'!$C:$BQ,30,0)</f>
        <v>#N/A</v>
      </c>
      <c r="BA56" s="66" t="e">
        <f>VLOOKUP($A56,'S49'!$C:$BQ,52,0)</f>
        <v>#N/A</v>
      </c>
      <c r="BB56" s="66" t="e">
        <f>VLOOKUP($A56,'S49'!$C:$BQ,59,0)</f>
        <v>#N/A</v>
      </c>
      <c r="BC56" s="66" t="e">
        <f>VLOOKUP($A56,'S49'!$C:$BQ,60,0)</f>
        <v>#N/A</v>
      </c>
      <c r="BD56" s="58" t="e">
        <f>VLOOKUP($A56,'S50'!$C:$BQ,32,0)</f>
        <v>#N/A</v>
      </c>
      <c r="BE56" s="58" t="e">
        <f>VLOOKUP($A56,'S50'!$C:$BQ,39,0)</f>
        <v>#N/A</v>
      </c>
      <c r="BF56" s="58" t="e">
        <f>VLOOKUP($A56,'S50'!$C:$BQ,40,0)</f>
        <v>#N/A</v>
      </c>
      <c r="BG56" s="58" t="e">
        <f>VLOOKUP($A56,'S50'!$C:$BQ,22,0)</f>
        <v>#N/A</v>
      </c>
      <c r="BH56" s="66" t="e">
        <f>VLOOKUP($A56,'S50'!$C:$BQ,29,0)</f>
        <v>#N/A</v>
      </c>
      <c r="BI56" s="66" t="e">
        <f>VLOOKUP($A56,'S50'!$C:$BQ,30,0)</f>
        <v>#N/A</v>
      </c>
      <c r="BJ56" s="66" t="e">
        <f>VLOOKUP($A56,'S50'!$C:$BQ,52,0)</f>
        <v>#N/A</v>
      </c>
      <c r="BK56" s="66" t="e">
        <f>VLOOKUP($A56,'S50'!$C:$BQ,59,0)</f>
        <v>#N/A</v>
      </c>
      <c r="BL56" s="66" t="e">
        <f>VLOOKUP($A56,'S50'!$C:$BQ,60,0)</f>
        <v>#N/A</v>
      </c>
    </row>
    <row r="57" spans="1:64" x14ac:dyDescent="0.2">
      <c r="A57" s="57" t="s">
        <v>113</v>
      </c>
      <c r="B57" s="58">
        <f>VLOOKUP($A57,'S0 remplacer avec S44'!$C:$BQ,32,0)</f>
        <v>169.8</v>
      </c>
      <c r="C57" s="58">
        <f>VLOOKUP($A57,'S0 remplacer avec S44'!$C:$BQ,39,0)</f>
        <v>20</v>
      </c>
      <c r="D57" s="58">
        <f>VLOOKUP($A57,'S0 remplacer avec S44'!$C:$BQ,40,0)</f>
        <v>58</v>
      </c>
      <c r="E57" s="58">
        <f>VLOOKUP($A57,'S0 remplacer avec S44'!$C:$BQ,22,0)</f>
        <v>2018.4277300000001</v>
      </c>
      <c r="F57" s="66">
        <f>VLOOKUP($A57,'S0 remplacer avec S44'!$C:$BQ,29,0)</f>
        <v>0</v>
      </c>
      <c r="G57" s="66">
        <f>VLOOKUP($A57,'S0 remplacer avec S44'!$C:$BQ,30,0)</f>
        <v>47</v>
      </c>
      <c r="H57" s="66">
        <f>VLOOKUP($A57,'S0 remplacer avec S44'!$C:$BQ,52,0)</f>
        <v>130.80000000000001</v>
      </c>
      <c r="I57" s="66">
        <f>VLOOKUP($A57,'S0 remplacer avec S44'!$C:$BQ,59,0)</f>
        <v>0</v>
      </c>
      <c r="J57" s="66">
        <f>VLOOKUP($A57,'S0 remplacer avec S44'!$C:$BQ,60,0)</f>
        <v>0</v>
      </c>
      <c r="K57" s="58">
        <f>VLOOKUP($A57,'S45'!$C:$BQ,32,0)</f>
        <v>171.8</v>
      </c>
      <c r="L57" s="58">
        <f>VLOOKUP($A57,'S45'!$C:$BQ,39,0)</f>
        <v>18</v>
      </c>
      <c r="M57" s="58">
        <f>VLOOKUP($A57,'S45'!$C:$BQ,40,0)</f>
        <v>56</v>
      </c>
      <c r="N57" s="58">
        <f>VLOOKUP($A57,'S45'!$C:$BQ,22,0)</f>
        <v>2052.01919</v>
      </c>
      <c r="O57" s="66">
        <f>VLOOKUP($A57,'S45'!$C:$BQ,29,0)</f>
        <v>0</v>
      </c>
      <c r="P57" s="66">
        <f>VLOOKUP($A57,'S45'!$C:$BQ,30,0)</f>
        <v>13</v>
      </c>
      <c r="Q57" s="66">
        <f>VLOOKUP($A57,'S45'!$C:$BQ,52,0)</f>
        <v>130.80000000000001</v>
      </c>
      <c r="R57" s="66">
        <f>VLOOKUP($A57,'S45'!$C:$BQ,59,0)</f>
        <v>0</v>
      </c>
      <c r="S57" s="66">
        <f>VLOOKUP($A57,'S45'!$C:$BQ,60,0)</f>
        <v>0</v>
      </c>
      <c r="T57" s="58">
        <f>VLOOKUP($A57,'S46'!$C:$BQ,32,0)</f>
        <v>171.8</v>
      </c>
      <c r="U57" s="58">
        <f>VLOOKUP($A57,'S46'!$C:$BQ,39,0)</f>
        <v>18</v>
      </c>
      <c r="V57" s="58">
        <f>VLOOKUP($A57,'S46'!$C:$BQ,40,0)</f>
        <v>56</v>
      </c>
      <c r="W57" s="58">
        <f>VLOOKUP($A57,'S46'!$C:$BQ,22,0)</f>
        <v>2053.51919</v>
      </c>
      <c r="X57" s="66">
        <f>VLOOKUP($A57,'S46'!$C:$BQ,29,0)</f>
        <v>0</v>
      </c>
      <c r="Y57" s="66">
        <f>VLOOKUP($A57,'S46'!$C:$BQ,30,0)</f>
        <v>12</v>
      </c>
      <c r="Z57" s="66">
        <f>VLOOKUP($A57,'S46'!$C:$BQ,52,0)</f>
        <v>131.80000000000001</v>
      </c>
      <c r="AA57" s="66">
        <f>VLOOKUP($A57,'S46'!$C:$BQ,59,0)</f>
        <v>0</v>
      </c>
      <c r="AB57" s="66">
        <f>VLOOKUP($A57,'S46'!$C:$BQ,60,0)</f>
        <v>0</v>
      </c>
      <c r="AC57" s="58">
        <f>VLOOKUP($A57,'S47'!$C:$BQ,32,0)</f>
        <v>179.3</v>
      </c>
      <c r="AD57" s="58">
        <f>VLOOKUP($A57,'S47'!$C:$BQ,39,0)</f>
        <v>10</v>
      </c>
      <c r="AE57" s="58">
        <f>VLOOKUP($A57,'S47'!$C:$BQ,40,0)</f>
        <v>48</v>
      </c>
      <c r="AF57" s="58">
        <f>VLOOKUP($A57,'S47'!$C:$BQ,22,0)</f>
        <v>2142.1081899999999</v>
      </c>
      <c r="AG57" s="66">
        <f>VLOOKUP($A57,'S47'!$C:$BQ,29,0)</f>
        <v>0</v>
      </c>
      <c r="AH57" s="66">
        <f>VLOOKUP($A57,'S47'!$C:$BQ,30,0)</f>
        <v>0</v>
      </c>
      <c r="AI57" s="66">
        <f>VLOOKUP($A57,'S47'!$C:$BQ,52,0)</f>
        <v>133.80000000000001</v>
      </c>
      <c r="AJ57" s="66">
        <f>VLOOKUP($A57,'S47'!$C:$BQ,59,0)</f>
        <v>0</v>
      </c>
      <c r="AK57" s="66">
        <f>VLOOKUP($A57,'S47'!$C:$BQ,60,0)</f>
        <v>0</v>
      </c>
      <c r="AL57" s="58" t="e">
        <f>VLOOKUP($A57,'S48'!$C:$BQ,32,0)</f>
        <v>#N/A</v>
      </c>
      <c r="AM57" s="58" t="e">
        <f>VLOOKUP($A57,'S48'!$C:$BQ,39,0)</f>
        <v>#N/A</v>
      </c>
      <c r="AN57" s="58" t="e">
        <f>VLOOKUP($A57,'S48'!$C:$BQ,40,0)</f>
        <v>#N/A</v>
      </c>
      <c r="AO57" s="58" t="e">
        <f>VLOOKUP($A57,'S48'!$C:$BQ,22,0)</f>
        <v>#N/A</v>
      </c>
      <c r="AP57" s="66" t="e">
        <f>VLOOKUP($A57,'S48'!$C:$BQ,29,0)</f>
        <v>#N/A</v>
      </c>
      <c r="AQ57" s="66" t="e">
        <f>VLOOKUP($A57,'S48'!$C:$BQ,30,0)</f>
        <v>#N/A</v>
      </c>
      <c r="AR57" s="66" t="e">
        <f>VLOOKUP($A57,'S48'!$C:$BQ,52,0)</f>
        <v>#N/A</v>
      </c>
      <c r="AS57" s="66" t="e">
        <f>VLOOKUP($A57,'S48'!$C:$BQ,59,0)</f>
        <v>#N/A</v>
      </c>
      <c r="AT57" s="66" t="e">
        <f>VLOOKUP($A57,'S48'!$C:$BQ,60,0)</f>
        <v>#N/A</v>
      </c>
      <c r="AU57" s="58" t="e">
        <f>VLOOKUP($A57,'S49'!$C:$BQ,32,0)</f>
        <v>#N/A</v>
      </c>
      <c r="AV57" s="58" t="e">
        <f>VLOOKUP($A57,'S49'!$C:$BQ,39,0)</f>
        <v>#N/A</v>
      </c>
      <c r="AW57" s="58" t="e">
        <f>VLOOKUP($A57,'S49'!$C:$BQ,40,0)</f>
        <v>#N/A</v>
      </c>
      <c r="AX57" s="58" t="e">
        <f>VLOOKUP($A57,'S49'!$C:$BQ,22,0)</f>
        <v>#N/A</v>
      </c>
      <c r="AY57" s="66" t="e">
        <f>VLOOKUP($A57,'S49'!$C:$BQ,29,0)</f>
        <v>#N/A</v>
      </c>
      <c r="AZ57" s="66" t="e">
        <f>VLOOKUP($A57,'S49'!$C:$BQ,30,0)</f>
        <v>#N/A</v>
      </c>
      <c r="BA57" s="66" t="e">
        <f>VLOOKUP($A57,'S49'!$C:$BQ,52,0)</f>
        <v>#N/A</v>
      </c>
      <c r="BB57" s="66" t="e">
        <f>VLOOKUP($A57,'S49'!$C:$BQ,59,0)</f>
        <v>#N/A</v>
      </c>
      <c r="BC57" s="66" t="e">
        <f>VLOOKUP($A57,'S49'!$C:$BQ,60,0)</f>
        <v>#N/A</v>
      </c>
      <c r="BD57" s="58" t="e">
        <f>VLOOKUP($A57,'S50'!$C:$BQ,32,0)</f>
        <v>#N/A</v>
      </c>
      <c r="BE57" s="58" t="e">
        <f>VLOOKUP($A57,'S50'!$C:$BQ,39,0)</f>
        <v>#N/A</v>
      </c>
      <c r="BF57" s="58" t="e">
        <f>VLOOKUP($A57,'S50'!$C:$BQ,40,0)</f>
        <v>#N/A</v>
      </c>
      <c r="BG57" s="58" t="e">
        <f>VLOOKUP($A57,'S50'!$C:$BQ,22,0)</f>
        <v>#N/A</v>
      </c>
      <c r="BH57" s="66" t="e">
        <f>VLOOKUP($A57,'S50'!$C:$BQ,29,0)</f>
        <v>#N/A</v>
      </c>
      <c r="BI57" s="66" t="e">
        <f>VLOOKUP($A57,'S50'!$C:$BQ,30,0)</f>
        <v>#N/A</v>
      </c>
      <c r="BJ57" s="66" t="e">
        <f>VLOOKUP($A57,'S50'!$C:$BQ,52,0)</f>
        <v>#N/A</v>
      </c>
      <c r="BK57" s="66" t="e">
        <f>VLOOKUP($A57,'S50'!$C:$BQ,59,0)</f>
        <v>#N/A</v>
      </c>
      <c r="BL57" s="66" t="e">
        <f>VLOOKUP($A57,'S50'!$C:$BQ,60,0)</f>
        <v>#N/A</v>
      </c>
    </row>
    <row r="58" spans="1:64" x14ac:dyDescent="0.2">
      <c r="A58" s="57" t="s">
        <v>114</v>
      </c>
      <c r="B58" s="58">
        <f>VLOOKUP($A58,'S0 remplacer avec S44'!$C:$BQ,32,0)</f>
        <v>415.3</v>
      </c>
      <c r="C58" s="58">
        <f>VLOOKUP($A58,'S0 remplacer avec S44'!$C:$BQ,39,0)</f>
        <v>95</v>
      </c>
      <c r="D58" s="58">
        <f>VLOOKUP($A58,'S0 remplacer avec S44'!$C:$BQ,40,0)</f>
        <v>197</v>
      </c>
      <c r="E58" s="58">
        <f>VLOOKUP($A58,'S0 remplacer avec S44'!$C:$BQ,22,0)</f>
        <v>4865.2485100000004</v>
      </c>
      <c r="F58" s="66">
        <f>VLOOKUP($A58,'S0 remplacer avec S44'!$C:$BQ,29,0)</f>
        <v>0</v>
      </c>
      <c r="G58" s="66">
        <f>VLOOKUP($A58,'S0 remplacer avec S44'!$C:$BQ,30,0)</f>
        <v>703</v>
      </c>
      <c r="H58" s="66">
        <f>VLOOKUP($A58,'S0 remplacer avec S44'!$C:$BQ,52,0)</f>
        <v>294.60000000000002</v>
      </c>
      <c r="I58" s="66">
        <f>VLOOKUP($A58,'S0 remplacer avec S44'!$C:$BQ,59,0)</f>
        <v>0</v>
      </c>
      <c r="J58" s="66">
        <f>VLOOKUP($A58,'S0 remplacer avec S44'!$C:$BQ,60,0)</f>
        <v>17</v>
      </c>
      <c r="K58" s="58">
        <f>VLOOKUP($A58,'S45'!$C:$BQ,32,0)</f>
        <v>425.8</v>
      </c>
      <c r="L58" s="58">
        <f>VLOOKUP($A58,'S45'!$C:$BQ,39,0)</f>
        <v>85</v>
      </c>
      <c r="M58" s="58">
        <f>VLOOKUP($A58,'S45'!$C:$BQ,40,0)</f>
        <v>187</v>
      </c>
      <c r="N58" s="58">
        <f>VLOOKUP($A58,'S45'!$C:$BQ,22,0)</f>
        <v>4924.0769899999996</v>
      </c>
      <c r="O58" s="66">
        <f>VLOOKUP($A58,'S45'!$C:$BQ,29,0)</f>
        <v>0</v>
      </c>
      <c r="P58" s="66">
        <f>VLOOKUP($A58,'S45'!$C:$BQ,30,0)</f>
        <v>644</v>
      </c>
      <c r="Q58" s="66">
        <f>VLOOKUP($A58,'S45'!$C:$BQ,52,0)</f>
        <v>302.60000000000002</v>
      </c>
      <c r="R58" s="66">
        <f>VLOOKUP($A58,'S45'!$C:$BQ,59,0)</f>
        <v>0</v>
      </c>
      <c r="S58" s="66">
        <f>VLOOKUP($A58,'S45'!$C:$BQ,60,0)</f>
        <v>9</v>
      </c>
      <c r="T58" s="58">
        <f>VLOOKUP($A58,'S46'!$C:$BQ,32,0)</f>
        <v>422.8</v>
      </c>
      <c r="U58" s="58">
        <f>VLOOKUP($A58,'S46'!$C:$BQ,39,0)</f>
        <v>88</v>
      </c>
      <c r="V58" s="58">
        <f>VLOOKUP($A58,'S46'!$C:$BQ,40,0)</f>
        <v>190</v>
      </c>
      <c r="W58" s="58">
        <f>VLOOKUP($A58,'S46'!$C:$BQ,22,0)</f>
        <v>4928.43289</v>
      </c>
      <c r="X58" s="66">
        <f>VLOOKUP($A58,'S46'!$C:$BQ,29,0)</f>
        <v>0</v>
      </c>
      <c r="Y58" s="66">
        <f>VLOOKUP($A58,'S46'!$C:$BQ,30,0)</f>
        <v>640</v>
      </c>
      <c r="Z58" s="66">
        <f>VLOOKUP($A58,'S46'!$C:$BQ,52,0)</f>
        <v>305.60000000000002</v>
      </c>
      <c r="AA58" s="66">
        <f>VLOOKUP($A58,'S46'!$C:$BQ,59,0)</f>
        <v>0</v>
      </c>
      <c r="AB58" s="66">
        <f>VLOOKUP($A58,'S46'!$C:$BQ,60,0)</f>
        <v>6</v>
      </c>
      <c r="AC58" s="58">
        <f>VLOOKUP($A58,'S47'!$C:$BQ,32,0)</f>
        <v>428.3</v>
      </c>
      <c r="AD58" s="58">
        <f>VLOOKUP($A58,'S47'!$C:$BQ,39,0)</f>
        <v>82</v>
      </c>
      <c r="AE58" s="58">
        <f>VLOOKUP($A58,'S47'!$C:$BQ,40,0)</f>
        <v>184</v>
      </c>
      <c r="AF58" s="58">
        <f>VLOOKUP($A58,'S47'!$C:$BQ,22,0)</f>
        <v>4991.95856</v>
      </c>
      <c r="AG58" s="66">
        <f>VLOOKUP($A58,'S47'!$C:$BQ,29,0)</f>
        <v>0</v>
      </c>
      <c r="AH58" s="66">
        <f>VLOOKUP($A58,'S47'!$C:$BQ,30,0)</f>
        <v>576</v>
      </c>
      <c r="AI58" s="66">
        <f>VLOOKUP($A58,'S47'!$C:$BQ,52,0)</f>
        <v>308.60000000000002</v>
      </c>
      <c r="AJ58" s="66">
        <f>VLOOKUP($A58,'S47'!$C:$BQ,59,0)</f>
        <v>0</v>
      </c>
      <c r="AK58" s="66">
        <f>VLOOKUP($A58,'S47'!$C:$BQ,60,0)</f>
        <v>3</v>
      </c>
      <c r="AL58" s="58" t="e">
        <f>VLOOKUP($A58,'S48'!$C:$BQ,32,0)</f>
        <v>#N/A</v>
      </c>
      <c r="AM58" s="58" t="e">
        <f>VLOOKUP($A58,'S48'!$C:$BQ,39,0)</f>
        <v>#N/A</v>
      </c>
      <c r="AN58" s="58" t="e">
        <f>VLOOKUP($A58,'S48'!$C:$BQ,40,0)</f>
        <v>#N/A</v>
      </c>
      <c r="AO58" s="58" t="e">
        <f>VLOOKUP($A58,'S48'!$C:$BQ,22,0)</f>
        <v>#N/A</v>
      </c>
      <c r="AP58" s="66" t="e">
        <f>VLOOKUP($A58,'S48'!$C:$BQ,29,0)</f>
        <v>#N/A</v>
      </c>
      <c r="AQ58" s="66" t="e">
        <f>VLOOKUP($A58,'S48'!$C:$BQ,30,0)</f>
        <v>#N/A</v>
      </c>
      <c r="AR58" s="66" t="e">
        <f>VLOOKUP($A58,'S48'!$C:$BQ,52,0)</f>
        <v>#N/A</v>
      </c>
      <c r="AS58" s="66" t="e">
        <f>VLOOKUP($A58,'S48'!$C:$BQ,59,0)</f>
        <v>#N/A</v>
      </c>
      <c r="AT58" s="66" t="e">
        <f>VLOOKUP($A58,'S48'!$C:$BQ,60,0)</f>
        <v>#N/A</v>
      </c>
      <c r="AU58" s="58" t="e">
        <f>VLOOKUP($A58,'S49'!$C:$BQ,32,0)</f>
        <v>#N/A</v>
      </c>
      <c r="AV58" s="58" t="e">
        <f>VLOOKUP($A58,'S49'!$C:$BQ,39,0)</f>
        <v>#N/A</v>
      </c>
      <c r="AW58" s="58" t="e">
        <f>VLOOKUP($A58,'S49'!$C:$BQ,40,0)</f>
        <v>#N/A</v>
      </c>
      <c r="AX58" s="58" t="e">
        <f>VLOOKUP($A58,'S49'!$C:$BQ,22,0)</f>
        <v>#N/A</v>
      </c>
      <c r="AY58" s="66" t="e">
        <f>VLOOKUP($A58,'S49'!$C:$BQ,29,0)</f>
        <v>#N/A</v>
      </c>
      <c r="AZ58" s="66" t="e">
        <f>VLOOKUP($A58,'S49'!$C:$BQ,30,0)</f>
        <v>#N/A</v>
      </c>
      <c r="BA58" s="66" t="e">
        <f>VLOOKUP($A58,'S49'!$C:$BQ,52,0)</f>
        <v>#N/A</v>
      </c>
      <c r="BB58" s="66" t="e">
        <f>VLOOKUP($A58,'S49'!$C:$BQ,59,0)</f>
        <v>#N/A</v>
      </c>
      <c r="BC58" s="66" t="e">
        <f>VLOOKUP($A58,'S49'!$C:$BQ,60,0)</f>
        <v>#N/A</v>
      </c>
      <c r="BD58" s="58" t="e">
        <f>VLOOKUP($A58,'S50'!$C:$BQ,32,0)</f>
        <v>#N/A</v>
      </c>
      <c r="BE58" s="58" t="e">
        <f>VLOOKUP($A58,'S50'!$C:$BQ,39,0)</f>
        <v>#N/A</v>
      </c>
      <c r="BF58" s="58" t="e">
        <f>VLOOKUP($A58,'S50'!$C:$BQ,40,0)</f>
        <v>#N/A</v>
      </c>
      <c r="BG58" s="58" t="e">
        <f>VLOOKUP($A58,'S50'!$C:$BQ,22,0)</f>
        <v>#N/A</v>
      </c>
      <c r="BH58" s="66" t="e">
        <f>VLOOKUP($A58,'S50'!$C:$BQ,29,0)</f>
        <v>#N/A</v>
      </c>
      <c r="BI58" s="66" t="e">
        <f>VLOOKUP($A58,'S50'!$C:$BQ,30,0)</f>
        <v>#N/A</v>
      </c>
      <c r="BJ58" s="66" t="e">
        <f>VLOOKUP($A58,'S50'!$C:$BQ,52,0)</f>
        <v>#N/A</v>
      </c>
      <c r="BK58" s="66" t="e">
        <f>VLOOKUP($A58,'S50'!$C:$BQ,59,0)</f>
        <v>#N/A</v>
      </c>
      <c r="BL58" s="66" t="e">
        <f>VLOOKUP($A58,'S50'!$C:$BQ,60,0)</f>
        <v>#N/A</v>
      </c>
    </row>
    <row r="59" spans="1:64" x14ac:dyDescent="0.2">
      <c r="A59" s="57" t="s">
        <v>115</v>
      </c>
      <c r="B59" s="58">
        <f>VLOOKUP($A59,'S0 remplacer avec S44'!$C:$BQ,32,0)</f>
        <v>135.9</v>
      </c>
      <c r="C59" s="58">
        <f>VLOOKUP($A59,'S0 remplacer avec S44'!$C:$BQ,39,0)</f>
        <v>0</v>
      </c>
      <c r="D59" s="58">
        <f>VLOOKUP($A59,'S0 remplacer avec S44'!$C:$BQ,40,0)</f>
        <v>8</v>
      </c>
      <c r="E59" s="58">
        <f>VLOOKUP($A59,'S0 remplacer avec S44'!$C:$BQ,22,0)</f>
        <v>1069.90086</v>
      </c>
      <c r="F59" s="66">
        <f>VLOOKUP($A59,'S0 remplacer avec S44'!$C:$BQ,29,0)</f>
        <v>17</v>
      </c>
      <c r="G59" s="66">
        <f>VLOOKUP($A59,'S0 remplacer avec S44'!$C:$BQ,30,0)</f>
        <v>234</v>
      </c>
      <c r="H59" s="66">
        <f>VLOOKUP($A59,'S0 remplacer avec S44'!$C:$BQ,52,0)</f>
        <v>82</v>
      </c>
      <c r="I59" s="66">
        <f>VLOOKUP($A59,'S0 remplacer avec S44'!$C:$BQ,59,0)</f>
        <v>0</v>
      </c>
      <c r="J59" s="66">
        <f>VLOOKUP($A59,'S0 remplacer avec S44'!$C:$BQ,60,0)</f>
        <v>0</v>
      </c>
      <c r="K59" s="58">
        <f>VLOOKUP($A59,'S45'!$C:$BQ,32,0)</f>
        <v>136.9</v>
      </c>
      <c r="L59" s="58">
        <f>VLOOKUP($A59,'S45'!$C:$BQ,39,0)</f>
        <v>0</v>
      </c>
      <c r="M59" s="58">
        <f>VLOOKUP($A59,'S45'!$C:$BQ,40,0)</f>
        <v>7</v>
      </c>
      <c r="N59" s="58">
        <f>VLOOKUP($A59,'S45'!$C:$BQ,22,0)</f>
        <v>1085.8598999999999</v>
      </c>
      <c r="O59" s="66">
        <f>VLOOKUP($A59,'S45'!$C:$BQ,29,0)</f>
        <v>1</v>
      </c>
      <c r="P59" s="66">
        <f>VLOOKUP($A59,'S45'!$C:$BQ,30,0)</f>
        <v>218</v>
      </c>
      <c r="Q59" s="66">
        <f>VLOOKUP($A59,'S45'!$C:$BQ,52,0)</f>
        <v>82</v>
      </c>
      <c r="R59" s="66">
        <f>VLOOKUP($A59,'S45'!$C:$BQ,59,0)</f>
        <v>0</v>
      </c>
      <c r="S59" s="66">
        <f>VLOOKUP($A59,'S45'!$C:$BQ,60,0)</f>
        <v>0</v>
      </c>
      <c r="T59" s="58">
        <f>VLOOKUP($A59,'S46'!$C:$BQ,32,0)</f>
        <v>137.4</v>
      </c>
      <c r="U59" s="58">
        <f>VLOOKUP($A59,'S46'!$C:$BQ,39,0)</f>
        <v>0</v>
      </c>
      <c r="V59" s="58">
        <f>VLOOKUP($A59,'S46'!$C:$BQ,40,0)</f>
        <v>6</v>
      </c>
      <c r="W59" s="58">
        <f>VLOOKUP($A59,'S46'!$C:$BQ,22,0)</f>
        <v>1087.45571</v>
      </c>
      <c r="X59" s="66">
        <f>VLOOKUP($A59,'S46'!$C:$BQ,29,0)</f>
        <v>0</v>
      </c>
      <c r="Y59" s="66">
        <f>VLOOKUP($A59,'S46'!$C:$BQ,30,0)</f>
        <v>216</v>
      </c>
      <c r="Z59" s="66">
        <f>VLOOKUP($A59,'S46'!$C:$BQ,52,0)</f>
        <v>82</v>
      </c>
      <c r="AA59" s="66">
        <f>VLOOKUP($A59,'S46'!$C:$BQ,59,0)</f>
        <v>0</v>
      </c>
      <c r="AB59" s="66">
        <f>VLOOKUP($A59,'S46'!$C:$BQ,60,0)</f>
        <v>0</v>
      </c>
      <c r="AC59" s="58">
        <f>VLOOKUP($A59,'S47'!$C:$BQ,32,0)</f>
        <v>143.4</v>
      </c>
      <c r="AD59" s="58">
        <f>VLOOKUP($A59,'S47'!$C:$BQ,39,0)</f>
        <v>0</v>
      </c>
      <c r="AE59" s="58">
        <f>VLOOKUP($A59,'S47'!$C:$BQ,40,0)</f>
        <v>0</v>
      </c>
      <c r="AF59" s="58">
        <f>VLOOKUP($A59,'S47'!$C:$BQ,22,0)</f>
        <v>1098.8624600000001</v>
      </c>
      <c r="AG59" s="66">
        <f>VLOOKUP($A59,'S47'!$C:$BQ,29,0)</f>
        <v>0</v>
      </c>
      <c r="AH59" s="66">
        <f>VLOOKUP($A59,'S47'!$C:$BQ,30,0)</f>
        <v>205</v>
      </c>
      <c r="AI59" s="66">
        <f>VLOOKUP($A59,'S47'!$C:$BQ,52,0)</f>
        <v>83</v>
      </c>
      <c r="AJ59" s="66">
        <f>VLOOKUP($A59,'S47'!$C:$BQ,59,0)</f>
        <v>0</v>
      </c>
      <c r="AK59" s="66">
        <f>VLOOKUP($A59,'S47'!$C:$BQ,60,0)</f>
        <v>0</v>
      </c>
      <c r="AL59" s="58" t="e">
        <f>VLOOKUP($A59,'S48'!$C:$BQ,32,0)</f>
        <v>#N/A</v>
      </c>
      <c r="AM59" s="58" t="e">
        <f>VLOOKUP($A59,'S48'!$C:$BQ,39,0)</f>
        <v>#N/A</v>
      </c>
      <c r="AN59" s="58" t="e">
        <f>VLOOKUP($A59,'S48'!$C:$BQ,40,0)</f>
        <v>#N/A</v>
      </c>
      <c r="AO59" s="58" t="e">
        <f>VLOOKUP($A59,'S48'!$C:$BQ,22,0)</f>
        <v>#N/A</v>
      </c>
      <c r="AP59" s="66" t="e">
        <f>VLOOKUP($A59,'S48'!$C:$BQ,29,0)</f>
        <v>#N/A</v>
      </c>
      <c r="AQ59" s="66" t="e">
        <f>VLOOKUP($A59,'S48'!$C:$BQ,30,0)</f>
        <v>#N/A</v>
      </c>
      <c r="AR59" s="66" t="e">
        <f>VLOOKUP($A59,'S48'!$C:$BQ,52,0)</f>
        <v>#N/A</v>
      </c>
      <c r="AS59" s="66" t="e">
        <f>VLOOKUP($A59,'S48'!$C:$BQ,59,0)</f>
        <v>#N/A</v>
      </c>
      <c r="AT59" s="66" t="e">
        <f>VLOOKUP($A59,'S48'!$C:$BQ,60,0)</f>
        <v>#N/A</v>
      </c>
      <c r="AU59" s="58" t="e">
        <f>VLOOKUP($A59,'S49'!$C:$BQ,32,0)</f>
        <v>#N/A</v>
      </c>
      <c r="AV59" s="58" t="e">
        <f>VLOOKUP($A59,'S49'!$C:$BQ,39,0)</f>
        <v>#N/A</v>
      </c>
      <c r="AW59" s="58" t="e">
        <f>VLOOKUP($A59,'S49'!$C:$BQ,40,0)</f>
        <v>#N/A</v>
      </c>
      <c r="AX59" s="58" t="e">
        <f>VLOOKUP($A59,'S49'!$C:$BQ,22,0)</f>
        <v>#N/A</v>
      </c>
      <c r="AY59" s="66" t="e">
        <f>VLOOKUP($A59,'S49'!$C:$BQ,29,0)</f>
        <v>#N/A</v>
      </c>
      <c r="AZ59" s="66" t="e">
        <f>VLOOKUP($A59,'S49'!$C:$BQ,30,0)</f>
        <v>#N/A</v>
      </c>
      <c r="BA59" s="66" t="e">
        <f>VLOOKUP($A59,'S49'!$C:$BQ,52,0)</f>
        <v>#N/A</v>
      </c>
      <c r="BB59" s="66" t="e">
        <f>VLOOKUP($A59,'S49'!$C:$BQ,59,0)</f>
        <v>#N/A</v>
      </c>
      <c r="BC59" s="66" t="e">
        <f>VLOOKUP($A59,'S49'!$C:$BQ,60,0)</f>
        <v>#N/A</v>
      </c>
      <c r="BD59" s="58" t="e">
        <f>VLOOKUP($A59,'S50'!$C:$BQ,32,0)</f>
        <v>#N/A</v>
      </c>
      <c r="BE59" s="58" t="e">
        <f>VLOOKUP($A59,'S50'!$C:$BQ,39,0)</f>
        <v>#N/A</v>
      </c>
      <c r="BF59" s="58" t="e">
        <f>VLOOKUP($A59,'S50'!$C:$BQ,40,0)</f>
        <v>#N/A</v>
      </c>
      <c r="BG59" s="58" t="e">
        <f>VLOOKUP($A59,'S50'!$C:$BQ,22,0)</f>
        <v>#N/A</v>
      </c>
      <c r="BH59" s="66" t="e">
        <f>VLOOKUP($A59,'S50'!$C:$BQ,29,0)</f>
        <v>#N/A</v>
      </c>
      <c r="BI59" s="66" t="e">
        <f>VLOOKUP($A59,'S50'!$C:$BQ,30,0)</f>
        <v>#N/A</v>
      </c>
      <c r="BJ59" s="66" t="e">
        <f>VLOOKUP($A59,'S50'!$C:$BQ,52,0)</f>
        <v>#N/A</v>
      </c>
      <c r="BK59" s="66" t="e">
        <f>VLOOKUP($A59,'S50'!$C:$BQ,59,0)</f>
        <v>#N/A</v>
      </c>
      <c r="BL59" s="66" t="e">
        <f>VLOOKUP($A59,'S50'!$C:$BQ,60,0)</f>
        <v>#N/A</v>
      </c>
    </row>
    <row r="60" spans="1:64" x14ac:dyDescent="0.2">
      <c r="A60" s="57" t="s">
        <v>116</v>
      </c>
      <c r="B60" s="58">
        <f>VLOOKUP($A60,'S0 remplacer avec S44'!$C:$BQ,32,0)</f>
        <v>140.5</v>
      </c>
      <c r="C60" s="58">
        <f>VLOOKUP($A60,'S0 remplacer avec S44'!$C:$BQ,39,0)</f>
        <v>0</v>
      </c>
      <c r="D60" s="58">
        <f>VLOOKUP($A60,'S0 remplacer avec S44'!$C:$BQ,40,0)</f>
        <v>20</v>
      </c>
      <c r="E60" s="58">
        <f>VLOOKUP($A60,'S0 remplacer avec S44'!$C:$BQ,22,0)</f>
        <v>1199.2255</v>
      </c>
      <c r="F60" s="66">
        <f>VLOOKUP($A60,'S0 remplacer avec S44'!$C:$BQ,29,0)</f>
        <v>16</v>
      </c>
      <c r="G60" s="66">
        <f>VLOOKUP($A60,'S0 remplacer avec S44'!$C:$BQ,30,0)</f>
        <v>259</v>
      </c>
      <c r="H60" s="66">
        <f>VLOOKUP($A60,'S0 remplacer avec S44'!$C:$BQ,52,0)</f>
        <v>89.8</v>
      </c>
      <c r="I60" s="66">
        <f>VLOOKUP($A60,'S0 remplacer avec S44'!$C:$BQ,59,0)</f>
        <v>0</v>
      </c>
      <c r="J60" s="66">
        <f>VLOOKUP($A60,'S0 remplacer avec S44'!$C:$BQ,60,0)</f>
        <v>0</v>
      </c>
      <c r="K60" s="58">
        <f>VLOOKUP($A60,'S45'!$C:$BQ,32,0)</f>
        <v>141.5</v>
      </c>
      <c r="L60" s="58">
        <f>VLOOKUP($A60,'S45'!$C:$BQ,39,0)</f>
        <v>0</v>
      </c>
      <c r="M60" s="58">
        <f>VLOOKUP($A60,'S45'!$C:$BQ,40,0)</f>
        <v>19</v>
      </c>
      <c r="N60" s="58">
        <f>VLOOKUP($A60,'S45'!$C:$BQ,22,0)</f>
        <v>1199.81549</v>
      </c>
      <c r="O60" s="66">
        <f>VLOOKUP($A60,'S45'!$C:$BQ,29,0)</f>
        <v>16</v>
      </c>
      <c r="P60" s="66">
        <f>VLOOKUP($A60,'S45'!$C:$BQ,30,0)</f>
        <v>259</v>
      </c>
      <c r="Q60" s="66">
        <f>VLOOKUP($A60,'S45'!$C:$BQ,52,0)</f>
        <v>89.8</v>
      </c>
      <c r="R60" s="66">
        <f>VLOOKUP($A60,'S45'!$C:$BQ,59,0)</f>
        <v>0</v>
      </c>
      <c r="S60" s="66">
        <f>VLOOKUP($A60,'S45'!$C:$BQ,60,0)</f>
        <v>0</v>
      </c>
      <c r="T60" s="58">
        <f>VLOOKUP($A60,'S46'!$C:$BQ,32,0)</f>
        <v>141.5</v>
      </c>
      <c r="U60" s="58">
        <f>VLOOKUP($A60,'S46'!$C:$BQ,39,0)</f>
        <v>0</v>
      </c>
      <c r="V60" s="58">
        <f>VLOOKUP($A60,'S46'!$C:$BQ,40,0)</f>
        <v>19</v>
      </c>
      <c r="W60" s="58">
        <f>VLOOKUP($A60,'S46'!$C:$BQ,22,0)</f>
        <v>1200.1435200000001</v>
      </c>
      <c r="X60" s="66">
        <f>VLOOKUP($A60,'S46'!$C:$BQ,29,0)</f>
        <v>15</v>
      </c>
      <c r="Y60" s="66">
        <f>VLOOKUP($A60,'S46'!$C:$BQ,30,0)</f>
        <v>258</v>
      </c>
      <c r="Z60" s="66">
        <f>VLOOKUP($A60,'S46'!$C:$BQ,52,0)</f>
        <v>90.8</v>
      </c>
      <c r="AA60" s="66">
        <f>VLOOKUP($A60,'S46'!$C:$BQ,59,0)</f>
        <v>0</v>
      </c>
      <c r="AB60" s="66">
        <f>VLOOKUP($A60,'S46'!$C:$BQ,60,0)</f>
        <v>0</v>
      </c>
      <c r="AC60" s="58">
        <f>VLOOKUP($A60,'S47'!$C:$BQ,32,0)</f>
        <v>144.30000000000001</v>
      </c>
      <c r="AD60" s="58">
        <f>VLOOKUP($A60,'S47'!$C:$BQ,39,0)</f>
        <v>0</v>
      </c>
      <c r="AE60" s="58">
        <f>VLOOKUP($A60,'S47'!$C:$BQ,40,0)</f>
        <v>17</v>
      </c>
      <c r="AF60" s="58">
        <f>VLOOKUP($A60,'S47'!$C:$BQ,22,0)</f>
        <v>1211.38041</v>
      </c>
      <c r="AG60" s="66">
        <f>VLOOKUP($A60,'S47'!$C:$BQ,29,0)</f>
        <v>4</v>
      </c>
      <c r="AH60" s="66">
        <f>VLOOKUP($A60,'S47'!$C:$BQ,30,0)</f>
        <v>247</v>
      </c>
      <c r="AI60" s="66">
        <f>VLOOKUP($A60,'S47'!$C:$BQ,52,0)</f>
        <v>90.8</v>
      </c>
      <c r="AJ60" s="66">
        <f>VLOOKUP($A60,'S47'!$C:$BQ,59,0)</f>
        <v>0</v>
      </c>
      <c r="AK60" s="66">
        <f>VLOOKUP($A60,'S47'!$C:$BQ,60,0)</f>
        <v>0</v>
      </c>
      <c r="AL60" s="58" t="e">
        <f>VLOOKUP($A60,'S48'!$C:$BQ,32,0)</f>
        <v>#N/A</v>
      </c>
      <c r="AM60" s="58" t="e">
        <f>VLOOKUP($A60,'S48'!$C:$BQ,39,0)</f>
        <v>#N/A</v>
      </c>
      <c r="AN60" s="58" t="e">
        <f>VLOOKUP($A60,'S48'!$C:$BQ,40,0)</f>
        <v>#N/A</v>
      </c>
      <c r="AO60" s="58" t="e">
        <f>VLOOKUP($A60,'S48'!$C:$BQ,22,0)</f>
        <v>#N/A</v>
      </c>
      <c r="AP60" s="66" t="e">
        <f>VLOOKUP($A60,'S48'!$C:$BQ,29,0)</f>
        <v>#N/A</v>
      </c>
      <c r="AQ60" s="66" t="e">
        <f>VLOOKUP($A60,'S48'!$C:$BQ,30,0)</f>
        <v>#N/A</v>
      </c>
      <c r="AR60" s="66" t="e">
        <f>VLOOKUP($A60,'S48'!$C:$BQ,52,0)</f>
        <v>#N/A</v>
      </c>
      <c r="AS60" s="66" t="e">
        <f>VLOOKUP($A60,'S48'!$C:$BQ,59,0)</f>
        <v>#N/A</v>
      </c>
      <c r="AT60" s="66" t="e">
        <f>VLOOKUP($A60,'S48'!$C:$BQ,60,0)</f>
        <v>#N/A</v>
      </c>
      <c r="AU60" s="58" t="e">
        <f>VLOOKUP($A60,'S49'!$C:$BQ,32,0)</f>
        <v>#N/A</v>
      </c>
      <c r="AV60" s="58" t="e">
        <f>VLOOKUP($A60,'S49'!$C:$BQ,39,0)</f>
        <v>#N/A</v>
      </c>
      <c r="AW60" s="58" t="e">
        <f>VLOOKUP($A60,'S49'!$C:$BQ,40,0)</f>
        <v>#N/A</v>
      </c>
      <c r="AX60" s="58" t="e">
        <f>VLOOKUP($A60,'S49'!$C:$BQ,22,0)</f>
        <v>#N/A</v>
      </c>
      <c r="AY60" s="66" t="e">
        <f>VLOOKUP($A60,'S49'!$C:$BQ,29,0)</f>
        <v>#N/A</v>
      </c>
      <c r="AZ60" s="66" t="e">
        <f>VLOOKUP($A60,'S49'!$C:$BQ,30,0)</f>
        <v>#N/A</v>
      </c>
      <c r="BA60" s="66" t="e">
        <f>VLOOKUP($A60,'S49'!$C:$BQ,52,0)</f>
        <v>#N/A</v>
      </c>
      <c r="BB60" s="66" t="e">
        <f>VLOOKUP($A60,'S49'!$C:$BQ,59,0)</f>
        <v>#N/A</v>
      </c>
      <c r="BC60" s="66" t="e">
        <f>VLOOKUP($A60,'S49'!$C:$BQ,60,0)</f>
        <v>#N/A</v>
      </c>
      <c r="BD60" s="58" t="e">
        <f>VLOOKUP($A60,'S50'!$C:$BQ,32,0)</f>
        <v>#N/A</v>
      </c>
      <c r="BE60" s="58" t="e">
        <f>VLOOKUP($A60,'S50'!$C:$BQ,39,0)</f>
        <v>#N/A</v>
      </c>
      <c r="BF60" s="58" t="e">
        <f>VLOOKUP($A60,'S50'!$C:$BQ,40,0)</f>
        <v>#N/A</v>
      </c>
      <c r="BG60" s="58" t="e">
        <f>VLOOKUP($A60,'S50'!$C:$BQ,22,0)</f>
        <v>#N/A</v>
      </c>
      <c r="BH60" s="66" t="e">
        <f>VLOOKUP($A60,'S50'!$C:$BQ,29,0)</f>
        <v>#N/A</v>
      </c>
      <c r="BI60" s="66" t="e">
        <f>VLOOKUP($A60,'S50'!$C:$BQ,30,0)</f>
        <v>#N/A</v>
      </c>
      <c r="BJ60" s="66" t="e">
        <f>VLOOKUP($A60,'S50'!$C:$BQ,52,0)</f>
        <v>#N/A</v>
      </c>
      <c r="BK60" s="66" t="e">
        <f>VLOOKUP($A60,'S50'!$C:$BQ,59,0)</f>
        <v>#N/A</v>
      </c>
      <c r="BL60" s="66" t="e">
        <f>VLOOKUP($A60,'S50'!$C:$BQ,60,0)</f>
        <v>#N/A</v>
      </c>
    </row>
    <row r="61" spans="1:64" x14ac:dyDescent="0.2">
      <c r="A61" s="57" t="s">
        <v>117</v>
      </c>
      <c r="B61" s="58">
        <f>VLOOKUP($A61,'S0 remplacer avec S44'!$C:$BQ,32,0)</f>
        <v>125.45</v>
      </c>
      <c r="C61" s="58">
        <f>VLOOKUP($A61,'S0 remplacer avec S44'!$C:$BQ,39,0)</f>
        <v>36</v>
      </c>
      <c r="D61" s="58">
        <f>VLOOKUP($A61,'S0 remplacer avec S44'!$C:$BQ,40,0)</f>
        <v>68</v>
      </c>
      <c r="E61" s="58">
        <f>VLOOKUP($A61,'S0 remplacer avec S44'!$C:$BQ,22,0)</f>
        <v>1775.12745</v>
      </c>
      <c r="F61" s="66">
        <f>VLOOKUP($A61,'S0 remplacer avec S44'!$C:$BQ,29,0)</f>
        <v>0</v>
      </c>
      <c r="G61" s="66">
        <f>VLOOKUP($A61,'S0 remplacer avec S44'!$C:$BQ,30,0)</f>
        <v>0</v>
      </c>
      <c r="H61" s="66">
        <f>VLOOKUP($A61,'S0 remplacer avec S44'!$C:$BQ,52,0)</f>
        <v>100.8</v>
      </c>
      <c r="I61" s="66">
        <f>VLOOKUP($A61,'S0 remplacer avec S44'!$C:$BQ,59,0)</f>
        <v>0</v>
      </c>
      <c r="J61" s="66">
        <f>VLOOKUP($A61,'S0 remplacer avec S44'!$C:$BQ,60,0)</f>
        <v>0</v>
      </c>
      <c r="K61" s="58">
        <f>VLOOKUP($A61,'S45'!$C:$BQ,32,0)</f>
        <v>124.45</v>
      </c>
      <c r="L61" s="58">
        <f>VLOOKUP($A61,'S45'!$C:$BQ,39,0)</f>
        <v>37</v>
      </c>
      <c r="M61" s="58">
        <f>VLOOKUP($A61,'S45'!$C:$BQ,40,0)</f>
        <v>69</v>
      </c>
      <c r="N61" s="58">
        <f>VLOOKUP($A61,'S45'!$C:$BQ,22,0)</f>
        <v>1785.58034</v>
      </c>
      <c r="O61" s="66">
        <f>VLOOKUP($A61,'S45'!$C:$BQ,29,0)</f>
        <v>0</v>
      </c>
      <c r="P61" s="66">
        <f>VLOOKUP($A61,'S45'!$C:$BQ,30,0)</f>
        <v>0</v>
      </c>
      <c r="Q61" s="66">
        <f>VLOOKUP($A61,'S45'!$C:$BQ,52,0)</f>
        <v>101.8</v>
      </c>
      <c r="R61" s="66">
        <f>VLOOKUP($A61,'S45'!$C:$BQ,59,0)</f>
        <v>0</v>
      </c>
      <c r="S61" s="66">
        <f>VLOOKUP($A61,'S45'!$C:$BQ,60,0)</f>
        <v>0</v>
      </c>
      <c r="T61" s="58">
        <f>VLOOKUP($A61,'S46'!$C:$BQ,32,0)</f>
        <v>124.45</v>
      </c>
      <c r="U61" s="58">
        <f>VLOOKUP($A61,'S46'!$C:$BQ,39,0)</f>
        <v>37</v>
      </c>
      <c r="V61" s="58">
        <f>VLOOKUP($A61,'S46'!$C:$BQ,40,0)</f>
        <v>69</v>
      </c>
      <c r="W61" s="58">
        <f>VLOOKUP($A61,'S46'!$C:$BQ,22,0)</f>
        <v>1786.4096099999999</v>
      </c>
      <c r="X61" s="66">
        <f>VLOOKUP($A61,'S46'!$C:$BQ,29,0)</f>
        <v>0</v>
      </c>
      <c r="Y61" s="66">
        <f>VLOOKUP($A61,'S46'!$C:$BQ,30,0)</f>
        <v>0</v>
      </c>
      <c r="Z61" s="66">
        <f>VLOOKUP($A61,'S46'!$C:$BQ,52,0)</f>
        <v>102.8</v>
      </c>
      <c r="AA61" s="66">
        <f>VLOOKUP($A61,'S46'!$C:$BQ,59,0)</f>
        <v>0</v>
      </c>
      <c r="AB61" s="66">
        <f>VLOOKUP($A61,'S46'!$C:$BQ,60,0)</f>
        <v>0</v>
      </c>
      <c r="AC61" s="58">
        <f>VLOOKUP($A61,'S47'!$C:$BQ,32,0)</f>
        <v>127.45</v>
      </c>
      <c r="AD61" s="58">
        <f>VLOOKUP($A61,'S47'!$C:$BQ,39,0)</f>
        <v>34</v>
      </c>
      <c r="AE61" s="58">
        <f>VLOOKUP($A61,'S47'!$C:$BQ,40,0)</f>
        <v>66</v>
      </c>
      <c r="AF61" s="58">
        <f>VLOOKUP($A61,'S47'!$C:$BQ,22,0)</f>
        <v>1808.5676800000001</v>
      </c>
      <c r="AG61" s="66">
        <f>VLOOKUP($A61,'S47'!$C:$BQ,29,0)</f>
        <v>0</v>
      </c>
      <c r="AH61" s="66">
        <f>VLOOKUP($A61,'S47'!$C:$BQ,30,0)</f>
        <v>0</v>
      </c>
      <c r="AI61" s="66">
        <f>VLOOKUP($A61,'S47'!$C:$BQ,52,0)</f>
        <v>103.8</v>
      </c>
      <c r="AJ61" s="66">
        <f>VLOOKUP($A61,'S47'!$C:$BQ,59,0)</f>
        <v>0</v>
      </c>
      <c r="AK61" s="66">
        <f>VLOOKUP($A61,'S47'!$C:$BQ,60,0)</f>
        <v>0</v>
      </c>
      <c r="AL61" s="58" t="e">
        <f>VLOOKUP($A61,'S48'!$C:$BQ,32,0)</f>
        <v>#N/A</v>
      </c>
      <c r="AM61" s="58" t="e">
        <f>VLOOKUP($A61,'S48'!$C:$BQ,39,0)</f>
        <v>#N/A</v>
      </c>
      <c r="AN61" s="58" t="e">
        <f>VLOOKUP($A61,'S48'!$C:$BQ,40,0)</f>
        <v>#N/A</v>
      </c>
      <c r="AO61" s="58" t="e">
        <f>VLOOKUP($A61,'S48'!$C:$BQ,22,0)</f>
        <v>#N/A</v>
      </c>
      <c r="AP61" s="66" t="e">
        <f>VLOOKUP($A61,'S48'!$C:$BQ,29,0)</f>
        <v>#N/A</v>
      </c>
      <c r="AQ61" s="66" t="e">
        <f>VLOOKUP($A61,'S48'!$C:$BQ,30,0)</f>
        <v>#N/A</v>
      </c>
      <c r="AR61" s="66" t="e">
        <f>VLOOKUP($A61,'S48'!$C:$BQ,52,0)</f>
        <v>#N/A</v>
      </c>
      <c r="AS61" s="66" t="e">
        <f>VLOOKUP($A61,'S48'!$C:$BQ,59,0)</f>
        <v>#N/A</v>
      </c>
      <c r="AT61" s="66" t="e">
        <f>VLOOKUP($A61,'S48'!$C:$BQ,60,0)</f>
        <v>#N/A</v>
      </c>
      <c r="AU61" s="58" t="e">
        <f>VLOOKUP($A61,'S49'!$C:$BQ,32,0)</f>
        <v>#N/A</v>
      </c>
      <c r="AV61" s="58" t="e">
        <f>VLOOKUP($A61,'S49'!$C:$BQ,39,0)</f>
        <v>#N/A</v>
      </c>
      <c r="AW61" s="58" t="e">
        <f>VLOOKUP($A61,'S49'!$C:$BQ,40,0)</f>
        <v>#N/A</v>
      </c>
      <c r="AX61" s="58" t="e">
        <f>VLOOKUP($A61,'S49'!$C:$BQ,22,0)</f>
        <v>#N/A</v>
      </c>
      <c r="AY61" s="66" t="e">
        <f>VLOOKUP($A61,'S49'!$C:$BQ,29,0)</f>
        <v>#N/A</v>
      </c>
      <c r="AZ61" s="66" t="e">
        <f>VLOOKUP($A61,'S49'!$C:$BQ,30,0)</f>
        <v>#N/A</v>
      </c>
      <c r="BA61" s="66" t="e">
        <f>VLOOKUP($A61,'S49'!$C:$BQ,52,0)</f>
        <v>#N/A</v>
      </c>
      <c r="BB61" s="66" t="e">
        <f>VLOOKUP($A61,'S49'!$C:$BQ,59,0)</f>
        <v>#N/A</v>
      </c>
      <c r="BC61" s="66" t="e">
        <f>VLOOKUP($A61,'S49'!$C:$BQ,60,0)</f>
        <v>#N/A</v>
      </c>
      <c r="BD61" s="58" t="e">
        <f>VLOOKUP($A61,'S50'!$C:$BQ,32,0)</f>
        <v>#N/A</v>
      </c>
      <c r="BE61" s="58" t="e">
        <f>VLOOKUP($A61,'S50'!$C:$BQ,39,0)</f>
        <v>#N/A</v>
      </c>
      <c r="BF61" s="58" t="e">
        <f>VLOOKUP($A61,'S50'!$C:$BQ,40,0)</f>
        <v>#N/A</v>
      </c>
      <c r="BG61" s="58" t="e">
        <f>VLOOKUP($A61,'S50'!$C:$BQ,22,0)</f>
        <v>#N/A</v>
      </c>
      <c r="BH61" s="66" t="e">
        <f>VLOOKUP($A61,'S50'!$C:$BQ,29,0)</f>
        <v>#N/A</v>
      </c>
      <c r="BI61" s="66" t="e">
        <f>VLOOKUP($A61,'S50'!$C:$BQ,30,0)</f>
        <v>#N/A</v>
      </c>
      <c r="BJ61" s="66" t="e">
        <f>VLOOKUP($A61,'S50'!$C:$BQ,52,0)</f>
        <v>#N/A</v>
      </c>
      <c r="BK61" s="66" t="e">
        <f>VLOOKUP($A61,'S50'!$C:$BQ,59,0)</f>
        <v>#N/A</v>
      </c>
      <c r="BL61" s="66" t="e">
        <f>VLOOKUP($A61,'S50'!$C:$BQ,60,0)</f>
        <v>#N/A</v>
      </c>
    </row>
    <row r="62" spans="1:64" x14ac:dyDescent="0.2">
      <c r="A62" s="57" t="s">
        <v>119</v>
      </c>
      <c r="B62" s="58">
        <f>VLOOKUP($A62,'S0 remplacer avec S44'!$C:$BQ,32,0)</f>
        <v>150.75</v>
      </c>
      <c r="C62" s="58">
        <f>VLOOKUP($A62,'S0 remplacer avec S44'!$C:$BQ,39,0)</f>
        <v>26</v>
      </c>
      <c r="D62" s="58">
        <f>VLOOKUP($A62,'S0 remplacer avec S44'!$C:$BQ,40,0)</f>
        <v>61</v>
      </c>
      <c r="E62" s="58">
        <f>VLOOKUP($A62,'S0 remplacer avec S44'!$C:$BQ,22,0)</f>
        <v>1389.47047</v>
      </c>
      <c r="F62" s="66">
        <f>VLOOKUP($A62,'S0 remplacer avec S44'!$C:$BQ,29,0)</f>
        <v>213</v>
      </c>
      <c r="G62" s="66">
        <f>VLOOKUP($A62,'S0 remplacer avec S44'!$C:$BQ,30,0)</f>
        <v>533</v>
      </c>
      <c r="H62" s="66">
        <f>VLOOKUP($A62,'S0 remplacer avec S44'!$C:$BQ,52,0)</f>
        <v>124.2</v>
      </c>
      <c r="I62" s="66">
        <f>VLOOKUP($A62,'S0 remplacer avec S44'!$C:$BQ,59,0)</f>
        <v>0</v>
      </c>
      <c r="J62" s="66">
        <f>VLOOKUP($A62,'S0 remplacer avec S44'!$C:$BQ,60,0)</f>
        <v>0</v>
      </c>
      <c r="K62" s="58">
        <f>VLOOKUP($A62,'S45'!$C:$BQ,32,0)</f>
        <v>155.25</v>
      </c>
      <c r="L62" s="58">
        <f>VLOOKUP($A62,'S45'!$C:$BQ,39,0)</f>
        <v>21</v>
      </c>
      <c r="M62" s="58">
        <f>VLOOKUP($A62,'S45'!$C:$BQ,40,0)</f>
        <v>57</v>
      </c>
      <c r="N62" s="58">
        <f>VLOOKUP($A62,'S45'!$C:$BQ,22,0)</f>
        <v>1409.23856</v>
      </c>
      <c r="O62" s="66">
        <f>VLOOKUP($A62,'S45'!$C:$BQ,29,0)</f>
        <v>193</v>
      </c>
      <c r="P62" s="66">
        <f>VLOOKUP($A62,'S45'!$C:$BQ,30,0)</f>
        <v>513</v>
      </c>
      <c r="Q62" s="66">
        <f>VLOOKUP($A62,'S45'!$C:$BQ,52,0)</f>
        <v>124.2</v>
      </c>
      <c r="R62" s="66">
        <f>VLOOKUP($A62,'S45'!$C:$BQ,59,0)</f>
        <v>0</v>
      </c>
      <c r="S62" s="66">
        <f>VLOOKUP($A62,'S45'!$C:$BQ,60,0)</f>
        <v>0</v>
      </c>
      <c r="T62" s="58">
        <f>VLOOKUP($A62,'S46'!$C:$BQ,32,0)</f>
        <v>155.25</v>
      </c>
      <c r="U62" s="58">
        <f>VLOOKUP($A62,'S46'!$C:$BQ,39,0)</f>
        <v>21</v>
      </c>
      <c r="V62" s="58">
        <f>VLOOKUP($A62,'S46'!$C:$BQ,40,0)</f>
        <v>57</v>
      </c>
      <c r="W62" s="58">
        <f>VLOOKUP($A62,'S46'!$C:$BQ,22,0)</f>
        <v>1410.7564199999999</v>
      </c>
      <c r="X62" s="66">
        <f>VLOOKUP($A62,'S46'!$C:$BQ,29,0)</f>
        <v>191</v>
      </c>
      <c r="Y62" s="66">
        <f>VLOOKUP($A62,'S46'!$C:$BQ,30,0)</f>
        <v>512</v>
      </c>
      <c r="Z62" s="66">
        <f>VLOOKUP($A62,'S46'!$C:$BQ,52,0)</f>
        <v>124.2</v>
      </c>
      <c r="AA62" s="66">
        <f>VLOOKUP($A62,'S46'!$C:$BQ,59,0)</f>
        <v>0</v>
      </c>
      <c r="AB62" s="66">
        <f>VLOOKUP($A62,'S46'!$C:$BQ,60,0)</f>
        <v>0</v>
      </c>
      <c r="AC62" s="58">
        <f>VLOOKUP($A62,'S47'!$C:$BQ,32,0)</f>
        <v>155.25</v>
      </c>
      <c r="AD62" s="58">
        <f>VLOOKUP($A62,'S47'!$C:$BQ,39,0)</f>
        <v>21</v>
      </c>
      <c r="AE62" s="58">
        <f>VLOOKUP($A62,'S47'!$C:$BQ,40,0)</f>
        <v>57</v>
      </c>
      <c r="AF62" s="58">
        <f>VLOOKUP($A62,'S47'!$C:$BQ,22,0)</f>
        <v>1429.7104200000001</v>
      </c>
      <c r="AG62" s="66">
        <f>VLOOKUP($A62,'S47'!$C:$BQ,29,0)</f>
        <v>172</v>
      </c>
      <c r="AH62" s="66">
        <f>VLOOKUP($A62,'S47'!$C:$BQ,30,0)</f>
        <v>493</v>
      </c>
      <c r="AI62" s="66">
        <f>VLOOKUP($A62,'S47'!$C:$BQ,52,0)</f>
        <v>126.2</v>
      </c>
      <c r="AJ62" s="66">
        <f>VLOOKUP($A62,'S47'!$C:$BQ,59,0)</f>
        <v>0</v>
      </c>
      <c r="AK62" s="66">
        <f>VLOOKUP($A62,'S47'!$C:$BQ,60,0)</f>
        <v>0</v>
      </c>
      <c r="AL62" s="58" t="e">
        <f>VLOOKUP($A62,'S48'!$C:$BQ,32,0)</f>
        <v>#N/A</v>
      </c>
      <c r="AM62" s="58" t="e">
        <f>VLOOKUP($A62,'S48'!$C:$BQ,39,0)</f>
        <v>#N/A</v>
      </c>
      <c r="AN62" s="58" t="e">
        <f>VLOOKUP($A62,'S48'!$C:$BQ,40,0)</f>
        <v>#N/A</v>
      </c>
      <c r="AO62" s="58" t="e">
        <f>VLOOKUP($A62,'S48'!$C:$BQ,22,0)</f>
        <v>#N/A</v>
      </c>
      <c r="AP62" s="66" t="e">
        <f>VLOOKUP($A62,'S48'!$C:$BQ,29,0)</f>
        <v>#N/A</v>
      </c>
      <c r="AQ62" s="66" t="e">
        <f>VLOOKUP($A62,'S48'!$C:$BQ,30,0)</f>
        <v>#N/A</v>
      </c>
      <c r="AR62" s="66" t="e">
        <f>VLOOKUP($A62,'S48'!$C:$BQ,52,0)</f>
        <v>#N/A</v>
      </c>
      <c r="AS62" s="66" t="e">
        <f>VLOOKUP($A62,'S48'!$C:$BQ,59,0)</f>
        <v>#N/A</v>
      </c>
      <c r="AT62" s="66" t="e">
        <f>VLOOKUP($A62,'S48'!$C:$BQ,60,0)</f>
        <v>#N/A</v>
      </c>
      <c r="AU62" s="58" t="e">
        <f>VLOOKUP($A62,'S49'!$C:$BQ,32,0)</f>
        <v>#N/A</v>
      </c>
      <c r="AV62" s="58" t="e">
        <f>VLOOKUP($A62,'S49'!$C:$BQ,39,0)</f>
        <v>#N/A</v>
      </c>
      <c r="AW62" s="58" t="e">
        <f>VLOOKUP($A62,'S49'!$C:$BQ,40,0)</f>
        <v>#N/A</v>
      </c>
      <c r="AX62" s="58" t="e">
        <f>VLOOKUP($A62,'S49'!$C:$BQ,22,0)</f>
        <v>#N/A</v>
      </c>
      <c r="AY62" s="66" t="e">
        <f>VLOOKUP($A62,'S49'!$C:$BQ,29,0)</f>
        <v>#N/A</v>
      </c>
      <c r="AZ62" s="66" t="e">
        <f>VLOOKUP($A62,'S49'!$C:$BQ,30,0)</f>
        <v>#N/A</v>
      </c>
      <c r="BA62" s="66" t="e">
        <f>VLOOKUP($A62,'S49'!$C:$BQ,52,0)</f>
        <v>#N/A</v>
      </c>
      <c r="BB62" s="66" t="e">
        <f>VLOOKUP($A62,'S49'!$C:$BQ,59,0)</f>
        <v>#N/A</v>
      </c>
      <c r="BC62" s="66" t="e">
        <f>VLOOKUP($A62,'S49'!$C:$BQ,60,0)</f>
        <v>#N/A</v>
      </c>
      <c r="BD62" s="58" t="e">
        <f>VLOOKUP($A62,'S50'!$C:$BQ,32,0)</f>
        <v>#N/A</v>
      </c>
      <c r="BE62" s="58" t="e">
        <f>VLOOKUP($A62,'S50'!$C:$BQ,39,0)</f>
        <v>#N/A</v>
      </c>
      <c r="BF62" s="58" t="e">
        <f>VLOOKUP($A62,'S50'!$C:$BQ,40,0)</f>
        <v>#N/A</v>
      </c>
      <c r="BG62" s="58" t="e">
        <f>VLOOKUP($A62,'S50'!$C:$BQ,22,0)</f>
        <v>#N/A</v>
      </c>
      <c r="BH62" s="66" t="e">
        <f>VLOOKUP($A62,'S50'!$C:$BQ,29,0)</f>
        <v>#N/A</v>
      </c>
      <c r="BI62" s="66" t="e">
        <f>VLOOKUP($A62,'S50'!$C:$BQ,30,0)</f>
        <v>#N/A</v>
      </c>
      <c r="BJ62" s="66" t="e">
        <f>VLOOKUP($A62,'S50'!$C:$BQ,52,0)</f>
        <v>#N/A</v>
      </c>
      <c r="BK62" s="66" t="e">
        <f>VLOOKUP($A62,'S50'!$C:$BQ,59,0)</f>
        <v>#N/A</v>
      </c>
      <c r="BL62" s="66" t="e">
        <f>VLOOKUP($A62,'S50'!$C:$BQ,60,0)</f>
        <v>#N/A</v>
      </c>
    </row>
    <row r="63" spans="1:64" x14ac:dyDescent="0.2">
      <c r="A63" s="57" t="s">
        <v>120</v>
      </c>
      <c r="B63" s="58">
        <f>VLOOKUP($A63,'S0 remplacer avec S44'!$C:$BQ,32,0)</f>
        <v>61.2</v>
      </c>
      <c r="C63" s="58">
        <f>VLOOKUP($A63,'S0 remplacer avec S44'!$C:$BQ,39,0)</f>
        <v>29</v>
      </c>
      <c r="D63" s="58">
        <f>VLOOKUP($A63,'S0 remplacer avec S44'!$C:$BQ,40,0)</f>
        <v>47</v>
      </c>
      <c r="E63" s="58">
        <f>VLOOKUP($A63,'S0 remplacer avec S44'!$C:$BQ,22,0)</f>
        <v>981.08911000000001</v>
      </c>
      <c r="F63" s="66">
        <f>VLOOKUP($A63,'S0 remplacer avec S44'!$C:$BQ,29,0)</f>
        <v>0</v>
      </c>
      <c r="G63" s="66">
        <f>VLOOKUP($A63,'S0 remplacer avec S44'!$C:$BQ,30,0)</f>
        <v>0</v>
      </c>
      <c r="H63" s="66">
        <f>VLOOKUP($A63,'S0 remplacer avec S44'!$C:$BQ,52,0)</f>
        <v>40.6</v>
      </c>
      <c r="I63" s="66">
        <f>VLOOKUP($A63,'S0 remplacer avec S44'!$C:$BQ,59,0)</f>
        <v>5</v>
      </c>
      <c r="J63" s="66">
        <f>VLOOKUP($A63,'S0 remplacer avec S44'!$C:$BQ,60,0)</f>
        <v>14</v>
      </c>
      <c r="K63" s="58">
        <f>VLOOKUP($A63,'S45'!$C:$BQ,32,0)</f>
        <v>63.2</v>
      </c>
      <c r="L63" s="58">
        <f>VLOOKUP($A63,'S45'!$C:$BQ,39,0)</f>
        <v>27</v>
      </c>
      <c r="M63" s="58">
        <f>VLOOKUP($A63,'S45'!$C:$BQ,40,0)</f>
        <v>45</v>
      </c>
      <c r="N63" s="58">
        <f>VLOOKUP($A63,'S45'!$C:$BQ,22,0)</f>
        <v>982.72622999999999</v>
      </c>
      <c r="O63" s="66">
        <f>VLOOKUP($A63,'S45'!$C:$BQ,29,0)</f>
        <v>0</v>
      </c>
      <c r="P63" s="66">
        <f>VLOOKUP($A63,'S45'!$C:$BQ,30,0)</f>
        <v>0</v>
      </c>
      <c r="Q63" s="66">
        <f>VLOOKUP($A63,'S45'!$C:$BQ,52,0)</f>
        <v>42.6</v>
      </c>
      <c r="R63" s="66">
        <f>VLOOKUP($A63,'S45'!$C:$BQ,59,0)</f>
        <v>3</v>
      </c>
      <c r="S63" s="66">
        <f>VLOOKUP($A63,'S45'!$C:$BQ,60,0)</f>
        <v>12</v>
      </c>
      <c r="T63" s="58">
        <f>VLOOKUP($A63,'S46'!$C:$BQ,32,0)</f>
        <v>64.2</v>
      </c>
      <c r="U63" s="58">
        <f>VLOOKUP($A63,'S46'!$C:$BQ,39,0)</f>
        <v>26</v>
      </c>
      <c r="V63" s="58">
        <f>VLOOKUP($A63,'S46'!$C:$BQ,40,0)</f>
        <v>44</v>
      </c>
      <c r="W63" s="58">
        <f>VLOOKUP($A63,'S46'!$C:$BQ,22,0)</f>
        <v>983.22652000000005</v>
      </c>
      <c r="X63" s="66">
        <f>VLOOKUP($A63,'S46'!$C:$BQ,29,0)</f>
        <v>0</v>
      </c>
      <c r="Y63" s="66">
        <f>VLOOKUP($A63,'S46'!$C:$BQ,30,0)</f>
        <v>0</v>
      </c>
      <c r="Z63" s="66">
        <f>VLOOKUP($A63,'S46'!$C:$BQ,52,0)</f>
        <v>43.6</v>
      </c>
      <c r="AA63" s="66">
        <f>VLOOKUP($A63,'S46'!$C:$BQ,59,0)</f>
        <v>2</v>
      </c>
      <c r="AB63" s="66">
        <f>VLOOKUP($A63,'S46'!$C:$BQ,60,0)</f>
        <v>11</v>
      </c>
      <c r="AC63" s="58">
        <f>VLOOKUP($A63,'S47'!$C:$BQ,32,0)</f>
        <v>65.2</v>
      </c>
      <c r="AD63" s="58">
        <f>VLOOKUP($A63,'S47'!$C:$BQ,39,0)</f>
        <v>25</v>
      </c>
      <c r="AE63" s="58">
        <f>VLOOKUP($A63,'S47'!$C:$BQ,40,0)</f>
        <v>43</v>
      </c>
      <c r="AF63" s="58">
        <f>VLOOKUP($A63,'S47'!$C:$BQ,22,0)</f>
        <v>983.43741</v>
      </c>
      <c r="AG63" s="66">
        <f>VLOOKUP($A63,'S47'!$C:$BQ,29,0)</f>
        <v>0</v>
      </c>
      <c r="AH63" s="66">
        <f>VLOOKUP($A63,'S47'!$C:$BQ,30,0)</f>
        <v>0</v>
      </c>
      <c r="AI63" s="66">
        <f>VLOOKUP($A63,'S47'!$C:$BQ,52,0)</f>
        <v>43.6</v>
      </c>
      <c r="AJ63" s="66">
        <f>VLOOKUP($A63,'S47'!$C:$BQ,59,0)</f>
        <v>2</v>
      </c>
      <c r="AK63" s="66">
        <f>VLOOKUP($A63,'S47'!$C:$BQ,60,0)</f>
        <v>11</v>
      </c>
      <c r="AL63" s="58" t="e">
        <f>VLOOKUP($A63,'S48'!$C:$BQ,32,0)</f>
        <v>#N/A</v>
      </c>
      <c r="AM63" s="58" t="e">
        <f>VLOOKUP($A63,'S48'!$C:$BQ,39,0)</f>
        <v>#N/A</v>
      </c>
      <c r="AN63" s="58" t="e">
        <f>VLOOKUP($A63,'S48'!$C:$BQ,40,0)</f>
        <v>#N/A</v>
      </c>
      <c r="AO63" s="58" t="e">
        <f>VLOOKUP($A63,'S48'!$C:$BQ,22,0)</f>
        <v>#N/A</v>
      </c>
      <c r="AP63" s="66" t="e">
        <f>VLOOKUP($A63,'S48'!$C:$BQ,29,0)</f>
        <v>#N/A</v>
      </c>
      <c r="AQ63" s="66" t="e">
        <f>VLOOKUP($A63,'S48'!$C:$BQ,30,0)</f>
        <v>#N/A</v>
      </c>
      <c r="AR63" s="66" t="e">
        <f>VLOOKUP($A63,'S48'!$C:$BQ,52,0)</f>
        <v>#N/A</v>
      </c>
      <c r="AS63" s="66" t="e">
        <f>VLOOKUP($A63,'S48'!$C:$BQ,59,0)</f>
        <v>#N/A</v>
      </c>
      <c r="AT63" s="66" t="e">
        <f>VLOOKUP($A63,'S48'!$C:$BQ,60,0)</f>
        <v>#N/A</v>
      </c>
      <c r="AU63" s="58" t="e">
        <f>VLOOKUP($A63,'S49'!$C:$BQ,32,0)</f>
        <v>#N/A</v>
      </c>
      <c r="AV63" s="58" t="e">
        <f>VLOOKUP($A63,'S49'!$C:$BQ,39,0)</f>
        <v>#N/A</v>
      </c>
      <c r="AW63" s="58" t="e">
        <f>VLOOKUP($A63,'S49'!$C:$BQ,40,0)</f>
        <v>#N/A</v>
      </c>
      <c r="AX63" s="58" t="e">
        <f>VLOOKUP($A63,'S49'!$C:$BQ,22,0)</f>
        <v>#N/A</v>
      </c>
      <c r="AY63" s="66" t="e">
        <f>VLOOKUP($A63,'S49'!$C:$BQ,29,0)</f>
        <v>#N/A</v>
      </c>
      <c r="AZ63" s="66" t="e">
        <f>VLOOKUP($A63,'S49'!$C:$BQ,30,0)</f>
        <v>#N/A</v>
      </c>
      <c r="BA63" s="66" t="e">
        <f>VLOOKUP($A63,'S49'!$C:$BQ,52,0)</f>
        <v>#N/A</v>
      </c>
      <c r="BB63" s="66" t="e">
        <f>VLOOKUP($A63,'S49'!$C:$BQ,59,0)</f>
        <v>#N/A</v>
      </c>
      <c r="BC63" s="66" t="e">
        <f>VLOOKUP($A63,'S49'!$C:$BQ,60,0)</f>
        <v>#N/A</v>
      </c>
      <c r="BD63" s="58" t="e">
        <f>VLOOKUP($A63,'S50'!$C:$BQ,32,0)</f>
        <v>#N/A</v>
      </c>
      <c r="BE63" s="58" t="e">
        <f>VLOOKUP($A63,'S50'!$C:$BQ,39,0)</f>
        <v>#N/A</v>
      </c>
      <c r="BF63" s="58" t="e">
        <f>VLOOKUP($A63,'S50'!$C:$BQ,40,0)</f>
        <v>#N/A</v>
      </c>
      <c r="BG63" s="58" t="e">
        <f>VLOOKUP($A63,'S50'!$C:$BQ,22,0)</f>
        <v>#N/A</v>
      </c>
      <c r="BH63" s="66" t="e">
        <f>VLOOKUP($A63,'S50'!$C:$BQ,29,0)</f>
        <v>#N/A</v>
      </c>
      <c r="BI63" s="66" t="e">
        <f>VLOOKUP($A63,'S50'!$C:$BQ,30,0)</f>
        <v>#N/A</v>
      </c>
      <c r="BJ63" s="66" t="e">
        <f>VLOOKUP($A63,'S50'!$C:$BQ,52,0)</f>
        <v>#N/A</v>
      </c>
      <c r="BK63" s="66" t="e">
        <f>VLOOKUP($A63,'S50'!$C:$BQ,59,0)</f>
        <v>#N/A</v>
      </c>
      <c r="BL63" s="66" t="e">
        <f>VLOOKUP($A63,'S50'!$C:$BQ,60,0)</f>
        <v>#N/A</v>
      </c>
    </row>
    <row r="64" spans="1:64" x14ac:dyDescent="0.2">
      <c r="A64" s="57" t="s">
        <v>121</v>
      </c>
      <c r="B64" s="58">
        <f>VLOOKUP($A64,'S0 remplacer avec S44'!$C:$BQ,32,0)</f>
        <v>153.9</v>
      </c>
      <c r="C64" s="58">
        <f>VLOOKUP($A64,'S0 remplacer avec S44'!$C:$BQ,39,0)</f>
        <v>121</v>
      </c>
      <c r="D64" s="58">
        <f>VLOOKUP($A64,'S0 remplacer avec S44'!$C:$BQ,40,0)</f>
        <v>176</v>
      </c>
      <c r="E64" s="58">
        <f>VLOOKUP($A64,'S0 remplacer avec S44'!$C:$BQ,22,0)</f>
        <v>1955.762305</v>
      </c>
      <c r="F64" s="66">
        <f>VLOOKUP($A64,'S0 remplacer avec S44'!$C:$BQ,29,0)</f>
        <v>541</v>
      </c>
      <c r="G64" s="66">
        <f>VLOOKUP($A64,'S0 remplacer avec S44'!$C:$BQ,30,0)</f>
        <v>1040</v>
      </c>
      <c r="H64" s="66">
        <f>VLOOKUP($A64,'S0 remplacer avec S44'!$C:$BQ,52,0)</f>
        <v>193.6</v>
      </c>
      <c r="I64" s="66">
        <f>VLOOKUP($A64,'S0 remplacer avec S44'!$C:$BQ,59,0)</f>
        <v>0</v>
      </c>
      <c r="J64" s="66">
        <f>VLOOKUP($A64,'S0 remplacer avec S44'!$C:$BQ,60,0)</f>
        <v>0</v>
      </c>
      <c r="K64" s="58">
        <f>VLOOKUP($A64,'S45'!$C:$BQ,32,0)</f>
        <v>160.9</v>
      </c>
      <c r="L64" s="58">
        <f>VLOOKUP($A64,'S45'!$C:$BQ,39,0)</f>
        <v>114</v>
      </c>
      <c r="M64" s="58">
        <f>VLOOKUP($A64,'S45'!$C:$BQ,40,0)</f>
        <v>169</v>
      </c>
      <c r="N64" s="58">
        <f>VLOOKUP($A64,'S45'!$C:$BQ,22,0)</f>
        <v>1969.7687149999999</v>
      </c>
      <c r="O64" s="66">
        <f>VLOOKUP($A64,'S45'!$C:$BQ,29,0)</f>
        <v>527</v>
      </c>
      <c r="P64" s="66">
        <f>VLOOKUP($A64,'S45'!$C:$BQ,30,0)</f>
        <v>1026</v>
      </c>
      <c r="Q64" s="66">
        <f>VLOOKUP($A64,'S45'!$C:$BQ,52,0)</f>
        <v>195.6</v>
      </c>
      <c r="R64" s="66">
        <f>VLOOKUP($A64,'S45'!$C:$BQ,59,0)</f>
        <v>0</v>
      </c>
      <c r="S64" s="66">
        <f>VLOOKUP($A64,'S45'!$C:$BQ,60,0)</f>
        <v>0</v>
      </c>
      <c r="T64" s="58">
        <f>VLOOKUP($A64,'S46'!$C:$BQ,32,0)</f>
        <v>160.9</v>
      </c>
      <c r="U64" s="58">
        <f>VLOOKUP($A64,'S46'!$C:$BQ,39,0)</f>
        <v>114</v>
      </c>
      <c r="V64" s="58">
        <f>VLOOKUP($A64,'S46'!$C:$BQ,40,0)</f>
        <v>169</v>
      </c>
      <c r="W64" s="58">
        <f>VLOOKUP($A64,'S46'!$C:$BQ,22,0)</f>
        <v>1986.975715</v>
      </c>
      <c r="X64" s="66">
        <f>VLOOKUP($A64,'S46'!$C:$BQ,29,0)</f>
        <v>510</v>
      </c>
      <c r="Y64" s="66">
        <f>VLOOKUP($A64,'S46'!$C:$BQ,30,0)</f>
        <v>1009</v>
      </c>
      <c r="Z64" s="66">
        <f>VLOOKUP($A64,'S46'!$C:$BQ,52,0)</f>
        <v>194.6</v>
      </c>
      <c r="AA64" s="66">
        <f>VLOOKUP($A64,'S46'!$C:$BQ,59,0)</f>
        <v>0</v>
      </c>
      <c r="AB64" s="66">
        <f>VLOOKUP($A64,'S46'!$C:$BQ,60,0)</f>
        <v>0</v>
      </c>
      <c r="AC64" s="58">
        <f>VLOOKUP($A64,'S47'!$C:$BQ,32,0)</f>
        <v>162.4</v>
      </c>
      <c r="AD64" s="58">
        <f>VLOOKUP($A64,'S47'!$C:$BQ,39,0)</f>
        <v>113</v>
      </c>
      <c r="AE64" s="58">
        <f>VLOOKUP($A64,'S47'!$C:$BQ,40,0)</f>
        <v>167</v>
      </c>
      <c r="AF64" s="58">
        <f>VLOOKUP($A64,'S47'!$C:$BQ,22,0)</f>
        <v>2019.6243549999999</v>
      </c>
      <c r="AG64" s="66">
        <f>VLOOKUP($A64,'S47'!$C:$BQ,29,0)</f>
        <v>477</v>
      </c>
      <c r="AH64" s="66">
        <f>VLOOKUP($A64,'S47'!$C:$BQ,30,0)</f>
        <v>976</v>
      </c>
      <c r="AI64" s="66">
        <f>VLOOKUP($A64,'S47'!$C:$BQ,52,0)</f>
        <v>197.6</v>
      </c>
      <c r="AJ64" s="66">
        <f>VLOOKUP($A64,'S47'!$C:$BQ,59,0)</f>
        <v>0</v>
      </c>
      <c r="AK64" s="66">
        <f>VLOOKUP($A64,'S47'!$C:$BQ,60,0)</f>
        <v>0</v>
      </c>
      <c r="AL64" s="58" t="e">
        <f>VLOOKUP($A64,'S48'!$C:$BQ,32,0)</f>
        <v>#N/A</v>
      </c>
      <c r="AM64" s="58" t="e">
        <f>VLOOKUP($A64,'S48'!$C:$BQ,39,0)</f>
        <v>#N/A</v>
      </c>
      <c r="AN64" s="58" t="e">
        <f>VLOOKUP($A64,'S48'!$C:$BQ,40,0)</f>
        <v>#N/A</v>
      </c>
      <c r="AO64" s="58" t="e">
        <f>VLOOKUP($A64,'S48'!$C:$BQ,22,0)</f>
        <v>#N/A</v>
      </c>
      <c r="AP64" s="66" t="e">
        <f>VLOOKUP($A64,'S48'!$C:$BQ,29,0)</f>
        <v>#N/A</v>
      </c>
      <c r="AQ64" s="66" t="e">
        <f>VLOOKUP($A64,'S48'!$C:$BQ,30,0)</f>
        <v>#N/A</v>
      </c>
      <c r="AR64" s="66" t="e">
        <f>VLOOKUP($A64,'S48'!$C:$BQ,52,0)</f>
        <v>#N/A</v>
      </c>
      <c r="AS64" s="66" t="e">
        <f>VLOOKUP($A64,'S48'!$C:$BQ,59,0)</f>
        <v>#N/A</v>
      </c>
      <c r="AT64" s="66" t="e">
        <f>VLOOKUP($A64,'S48'!$C:$BQ,60,0)</f>
        <v>#N/A</v>
      </c>
      <c r="AU64" s="58" t="e">
        <f>VLOOKUP($A64,'S49'!$C:$BQ,32,0)</f>
        <v>#N/A</v>
      </c>
      <c r="AV64" s="58" t="e">
        <f>VLOOKUP($A64,'S49'!$C:$BQ,39,0)</f>
        <v>#N/A</v>
      </c>
      <c r="AW64" s="58" t="e">
        <f>VLOOKUP($A64,'S49'!$C:$BQ,40,0)</f>
        <v>#N/A</v>
      </c>
      <c r="AX64" s="58" t="e">
        <f>VLOOKUP($A64,'S49'!$C:$BQ,22,0)</f>
        <v>#N/A</v>
      </c>
      <c r="AY64" s="66" t="e">
        <f>VLOOKUP($A64,'S49'!$C:$BQ,29,0)</f>
        <v>#N/A</v>
      </c>
      <c r="AZ64" s="66" t="e">
        <f>VLOOKUP($A64,'S49'!$C:$BQ,30,0)</f>
        <v>#N/A</v>
      </c>
      <c r="BA64" s="66" t="e">
        <f>VLOOKUP($A64,'S49'!$C:$BQ,52,0)</f>
        <v>#N/A</v>
      </c>
      <c r="BB64" s="66" t="e">
        <f>VLOOKUP($A64,'S49'!$C:$BQ,59,0)</f>
        <v>#N/A</v>
      </c>
      <c r="BC64" s="66" t="e">
        <f>VLOOKUP($A64,'S49'!$C:$BQ,60,0)</f>
        <v>#N/A</v>
      </c>
      <c r="BD64" s="58" t="e">
        <f>VLOOKUP($A64,'S50'!$C:$BQ,32,0)</f>
        <v>#N/A</v>
      </c>
      <c r="BE64" s="58" t="e">
        <f>VLOOKUP($A64,'S50'!$C:$BQ,39,0)</f>
        <v>#N/A</v>
      </c>
      <c r="BF64" s="58" t="e">
        <f>VLOOKUP($A64,'S50'!$C:$BQ,40,0)</f>
        <v>#N/A</v>
      </c>
      <c r="BG64" s="58" t="e">
        <f>VLOOKUP($A64,'S50'!$C:$BQ,22,0)</f>
        <v>#N/A</v>
      </c>
      <c r="BH64" s="66" t="e">
        <f>VLOOKUP($A64,'S50'!$C:$BQ,29,0)</f>
        <v>#N/A</v>
      </c>
      <c r="BI64" s="66" t="e">
        <f>VLOOKUP($A64,'S50'!$C:$BQ,30,0)</f>
        <v>#N/A</v>
      </c>
      <c r="BJ64" s="66" t="e">
        <f>VLOOKUP($A64,'S50'!$C:$BQ,52,0)</f>
        <v>#N/A</v>
      </c>
      <c r="BK64" s="66" t="e">
        <f>VLOOKUP($A64,'S50'!$C:$BQ,59,0)</f>
        <v>#N/A</v>
      </c>
      <c r="BL64" s="66" t="e">
        <f>VLOOKUP($A64,'S50'!$C:$BQ,60,0)</f>
        <v>#N/A</v>
      </c>
    </row>
    <row r="65" spans="1:64" x14ac:dyDescent="0.2">
      <c r="A65" s="57" t="s">
        <v>122</v>
      </c>
      <c r="B65" s="58">
        <f>VLOOKUP($A65,'S0 remplacer avec S44'!$C:$BQ,32,0)</f>
        <v>287.05</v>
      </c>
      <c r="C65" s="58">
        <f>VLOOKUP($A65,'S0 remplacer avec S44'!$C:$BQ,39,0)</f>
        <v>0</v>
      </c>
      <c r="D65" s="58">
        <f>VLOOKUP($A65,'S0 remplacer avec S44'!$C:$BQ,40,0)</f>
        <v>57</v>
      </c>
      <c r="E65" s="58">
        <f>VLOOKUP($A65,'S0 remplacer avec S44'!$C:$BQ,22,0)</f>
        <v>2752.2470450000001</v>
      </c>
      <c r="F65" s="66">
        <f>VLOOKUP($A65,'S0 remplacer avec S44'!$C:$BQ,29,0)</f>
        <v>0</v>
      </c>
      <c r="G65" s="66">
        <f>VLOOKUP($A65,'S0 remplacer avec S44'!$C:$BQ,30,0)</f>
        <v>375</v>
      </c>
      <c r="H65" s="66">
        <f>VLOOKUP($A65,'S0 remplacer avec S44'!$C:$BQ,52,0)</f>
        <v>211.8</v>
      </c>
      <c r="I65" s="66">
        <f>VLOOKUP($A65,'S0 remplacer avec S44'!$C:$BQ,59,0)</f>
        <v>0</v>
      </c>
      <c r="J65" s="66">
        <f>VLOOKUP($A65,'S0 remplacer avec S44'!$C:$BQ,60,0)</f>
        <v>0</v>
      </c>
      <c r="K65" s="58">
        <f>VLOOKUP($A65,'S45'!$C:$BQ,32,0)</f>
        <v>292.55</v>
      </c>
      <c r="L65" s="58">
        <f>VLOOKUP($A65,'S45'!$C:$BQ,39,0)</f>
        <v>0</v>
      </c>
      <c r="M65" s="58">
        <f>VLOOKUP($A65,'S45'!$C:$BQ,40,0)</f>
        <v>52</v>
      </c>
      <c r="N65" s="58">
        <f>VLOOKUP($A65,'S45'!$C:$BQ,22,0)</f>
        <v>2789.6877749999999</v>
      </c>
      <c r="O65" s="66">
        <f>VLOOKUP($A65,'S45'!$C:$BQ,29,0)</f>
        <v>0</v>
      </c>
      <c r="P65" s="66">
        <f>VLOOKUP($A65,'S45'!$C:$BQ,30,0)</f>
        <v>337</v>
      </c>
      <c r="Q65" s="66">
        <f>VLOOKUP($A65,'S45'!$C:$BQ,52,0)</f>
        <v>214.8</v>
      </c>
      <c r="R65" s="66">
        <f>VLOOKUP($A65,'S45'!$C:$BQ,59,0)</f>
        <v>0</v>
      </c>
      <c r="S65" s="66">
        <f>VLOOKUP($A65,'S45'!$C:$BQ,60,0)</f>
        <v>0</v>
      </c>
      <c r="T65" s="58">
        <f>VLOOKUP($A65,'S46'!$C:$BQ,32,0)</f>
        <v>292.55</v>
      </c>
      <c r="U65" s="58">
        <f>VLOOKUP($A65,'S46'!$C:$BQ,39,0)</f>
        <v>0</v>
      </c>
      <c r="V65" s="58">
        <f>VLOOKUP($A65,'S46'!$C:$BQ,40,0)</f>
        <v>52</v>
      </c>
      <c r="W65" s="58">
        <f>VLOOKUP($A65,'S46'!$C:$BQ,22,0)</f>
        <v>2810.4459449999999</v>
      </c>
      <c r="X65" s="66">
        <f>VLOOKUP($A65,'S46'!$C:$BQ,29,0)</f>
        <v>0</v>
      </c>
      <c r="Y65" s="66">
        <f>VLOOKUP($A65,'S46'!$C:$BQ,30,0)</f>
        <v>317</v>
      </c>
      <c r="Z65" s="66">
        <f>VLOOKUP($A65,'S46'!$C:$BQ,52,0)</f>
        <v>215.8</v>
      </c>
      <c r="AA65" s="66">
        <f>VLOOKUP($A65,'S46'!$C:$BQ,59,0)</f>
        <v>0</v>
      </c>
      <c r="AB65" s="66">
        <f>VLOOKUP($A65,'S46'!$C:$BQ,60,0)</f>
        <v>0</v>
      </c>
      <c r="AC65" s="58">
        <f>VLOOKUP($A65,'S47'!$C:$BQ,32,0)</f>
        <v>296.05</v>
      </c>
      <c r="AD65" s="58">
        <f>VLOOKUP($A65,'S47'!$C:$BQ,39,0)</f>
        <v>0</v>
      </c>
      <c r="AE65" s="58">
        <f>VLOOKUP($A65,'S47'!$C:$BQ,40,0)</f>
        <v>48</v>
      </c>
      <c r="AF65" s="58">
        <f>VLOOKUP($A65,'S47'!$C:$BQ,22,0)</f>
        <v>2856.775885</v>
      </c>
      <c r="AG65" s="66">
        <f>VLOOKUP($A65,'S47'!$C:$BQ,29,0)</f>
        <v>0</v>
      </c>
      <c r="AH65" s="66">
        <f>VLOOKUP($A65,'S47'!$C:$BQ,30,0)</f>
        <v>270</v>
      </c>
      <c r="AI65" s="66">
        <f>VLOOKUP($A65,'S47'!$C:$BQ,52,0)</f>
        <v>218.8</v>
      </c>
      <c r="AJ65" s="66">
        <f>VLOOKUP($A65,'S47'!$C:$BQ,59,0)</f>
        <v>0</v>
      </c>
      <c r="AK65" s="66">
        <f>VLOOKUP($A65,'S47'!$C:$BQ,60,0)</f>
        <v>0</v>
      </c>
      <c r="AL65" s="58" t="e">
        <f>VLOOKUP($A65,'S48'!$C:$BQ,32,0)</f>
        <v>#N/A</v>
      </c>
      <c r="AM65" s="58" t="e">
        <f>VLOOKUP($A65,'S48'!$C:$BQ,39,0)</f>
        <v>#N/A</v>
      </c>
      <c r="AN65" s="58" t="e">
        <f>VLOOKUP($A65,'S48'!$C:$BQ,40,0)</f>
        <v>#N/A</v>
      </c>
      <c r="AO65" s="58" t="e">
        <f>VLOOKUP($A65,'S48'!$C:$BQ,22,0)</f>
        <v>#N/A</v>
      </c>
      <c r="AP65" s="66" t="e">
        <f>VLOOKUP($A65,'S48'!$C:$BQ,29,0)</f>
        <v>#N/A</v>
      </c>
      <c r="AQ65" s="66" t="e">
        <f>VLOOKUP($A65,'S48'!$C:$BQ,30,0)</f>
        <v>#N/A</v>
      </c>
      <c r="AR65" s="66" t="e">
        <f>VLOOKUP($A65,'S48'!$C:$BQ,52,0)</f>
        <v>#N/A</v>
      </c>
      <c r="AS65" s="66" t="e">
        <f>VLOOKUP($A65,'S48'!$C:$BQ,59,0)</f>
        <v>#N/A</v>
      </c>
      <c r="AT65" s="66" t="e">
        <f>VLOOKUP($A65,'S48'!$C:$BQ,60,0)</f>
        <v>#N/A</v>
      </c>
      <c r="AU65" s="58" t="e">
        <f>VLOOKUP($A65,'S49'!$C:$BQ,32,0)</f>
        <v>#N/A</v>
      </c>
      <c r="AV65" s="58" t="e">
        <f>VLOOKUP($A65,'S49'!$C:$BQ,39,0)</f>
        <v>#N/A</v>
      </c>
      <c r="AW65" s="58" t="e">
        <f>VLOOKUP($A65,'S49'!$C:$BQ,40,0)</f>
        <v>#N/A</v>
      </c>
      <c r="AX65" s="58" t="e">
        <f>VLOOKUP($A65,'S49'!$C:$BQ,22,0)</f>
        <v>#N/A</v>
      </c>
      <c r="AY65" s="66" t="e">
        <f>VLOOKUP($A65,'S49'!$C:$BQ,29,0)</f>
        <v>#N/A</v>
      </c>
      <c r="AZ65" s="66" t="e">
        <f>VLOOKUP($A65,'S49'!$C:$BQ,30,0)</f>
        <v>#N/A</v>
      </c>
      <c r="BA65" s="66" t="e">
        <f>VLOOKUP($A65,'S49'!$C:$BQ,52,0)</f>
        <v>#N/A</v>
      </c>
      <c r="BB65" s="66" t="e">
        <f>VLOOKUP($A65,'S49'!$C:$BQ,59,0)</f>
        <v>#N/A</v>
      </c>
      <c r="BC65" s="66" t="e">
        <f>VLOOKUP($A65,'S49'!$C:$BQ,60,0)</f>
        <v>#N/A</v>
      </c>
      <c r="BD65" s="58" t="e">
        <f>VLOOKUP($A65,'S50'!$C:$BQ,32,0)</f>
        <v>#N/A</v>
      </c>
      <c r="BE65" s="58" t="e">
        <f>VLOOKUP($A65,'S50'!$C:$BQ,39,0)</f>
        <v>#N/A</v>
      </c>
      <c r="BF65" s="58" t="e">
        <f>VLOOKUP($A65,'S50'!$C:$BQ,40,0)</f>
        <v>#N/A</v>
      </c>
      <c r="BG65" s="58" t="e">
        <f>VLOOKUP($A65,'S50'!$C:$BQ,22,0)</f>
        <v>#N/A</v>
      </c>
      <c r="BH65" s="66" t="e">
        <f>VLOOKUP($A65,'S50'!$C:$BQ,29,0)</f>
        <v>#N/A</v>
      </c>
      <c r="BI65" s="66" t="e">
        <f>VLOOKUP($A65,'S50'!$C:$BQ,30,0)</f>
        <v>#N/A</v>
      </c>
      <c r="BJ65" s="66" t="e">
        <f>VLOOKUP($A65,'S50'!$C:$BQ,52,0)</f>
        <v>#N/A</v>
      </c>
      <c r="BK65" s="66" t="e">
        <f>VLOOKUP($A65,'S50'!$C:$BQ,59,0)</f>
        <v>#N/A</v>
      </c>
      <c r="BL65" s="66" t="e">
        <f>VLOOKUP($A65,'S50'!$C:$BQ,60,0)</f>
        <v>#N/A</v>
      </c>
    </row>
    <row r="66" spans="1:64" x14ac:dyDescent="0.2">
      <c r="A66" s="57" t="s">
        <v>123</v>
      </c>
      <c r="B66" s="58">
        <f>VLOOKUP($A66,'S0 remplacer avec S44'!$C:$BQ,32,0)</f>
        <v>93.65</v>
      </c>
      <c r="C66" s="58">
        <f>VLOOKUP($A66,'S0 remplacer avec S44'!$C:$BQ,39,0)</f>
        <v>2</v>
      </c>
      <c r="D66" s="58">
        <f>VLOOKUP($A66,'S0 remplacer avec S44'!$C:$BQ,40,0)</f>
        <v>21</v>
      </c>
      <c r="E66" s="58">
        <f>VLOOKUP($A66,'S0 remplacer avec S44'!$C:$BQ,22,0)</f>
        <v>620.82729500000005</v>
      </c>
      <c r="F66" s="66">
        <f>VLOOKUP($A66,'S0 remplacer avec S44'!$C:$BQ,29,0)</f>
        <v>245</v>
      </c>
      <c r="G66" s="66">
        <f>VLOOKUP($A66,'S0 remplacer avec S44'!$C:$BQ,30,0)</f>
        <v>418</v>
      </c>
      <c r="H66" s="66">
        <f>VLOOKUP($A66,'S0 remplacer avec S44'!$C:$BQ,52,0)</f>
        <v>53.4</v>
      </c>
      <c r="I66" s="66">
        <f>VLOOKUP($A66,'S0 remplacer avec S44'!$C:$BQ,59,0)</f>
        <v>0</v>
      </c>
      <c r="J66" s="66">
        <f>VLOOKUP($A66,'S0 remplacer avec S44'!$C:$BQ,60,0)</f>
        <v>5</v>
      </c>
      <c r="K66" s="58">
        <f>VLOOKUP($A66,'S45'!$C:$BQ,32,0)</f>
        <v>92.65</v>
      </c>
      <c r="L66" s="58">
        <f>VLOOKUP($A66,'S45'!$C:$BQ,39,0)</f>
        <v>3</v>
      </c>
      <c r="M66" s="58">
        <f>VLOOKUP($A66,'S45'!$C:$BQ,40,0)</f>
        <v>22</v>
      </c>
      <c r="N66" s="58">
        <f>VLOOKUP($A66,'S45'!$C:$BQ,22,0)</f>
        <v>621.54995499999995</v>
      </c>
      <c r="O66" s="66">
        <f>VLOOKUP($A66,'S45'!$C:$BQ,29,0)</f>
        <v>244</v>
      </c>
      <c r="P66" s="66">
        <f>VLOOKUP($A66,'S45'!$C:$BQ,30,0)</f>
        <v>417</v>
      </c>
      <c r="Q66" s="66">
        <f>VLOOKUP($A66,'S45'!$C:$BQ,52,0)</f>
        <v>53.4</v>
      </c>
      <c r="R66" s="66">
        <f>VLOOKUP($A66,'S45'!$C:$BQ,59,0)</f>
        <v>0</v>
      </c>
      <c r="S66" s="66">
        <f>VLOOKUP($A66,'S45'!$C:$BQ,60,0)</f>
        <v>5</v>
      </c>
      <c r="T66" s="58">
        <f>VLOOKUP($A66,'S46'!$C:$BQ,32,0)</f>
        <v>92.65</v>
      </c>
      <c r="U66" s="58">
        <f>VLOOKUP($A66,'S46'!$C:$BQ,39,0)</f>
        <v>3</v>
      </c>
      <c r="V66" s="58">
        <f>VLOOKUP($A66,'S46'!$C:$BQ,40,0)</f>
        <v>22</v>
      </c>
      <c r="W66" s="58">
        <f>VLOOKUP($A66,'S46'!$C:$BQ,22,0)</f>
        <v>643.10995500000001</v>
      </c>
      <c r="X66" s="66">
        <f>VLOOKUP($A66,'S46'!$C:$BQ,29,0)</f>
        <v>223</v>
      </c>
      <c r="Y66" s="66">
        <f>VLOOKUP($A66,'S46'!$C:$BQ,30,0)</f>
        <v>396</v>
      </c>
      <c r="Z66" s="66">
        <f>VLOOKUP($A66,'S46'!$C:$BQ,52,0)</f>
        <v>53.4</v>
      </c>
      <c r="AA66" s="66">
        <f>VLOOKUP($A66,'S46'!$C:$BQ,59,0)</f>
        <v>0</v>
      </c>
      <c r="AB66" s="66">
        <f>VLOOKUP($A66,'S46'!$C:$BQ,60,0)</f>
        <v>5</v>
      </c>
      <c r="AC66" s="58">
        <f>VLOOKUP($A66,'S47'!$C:$BQ,32,0)</f>
        <v>92.65</v>
      </c>
      <c r="AD66" s="58">
        <f>VLOOKUP($A66,'S47'!$C:$BQ,39,0)</f>
        <v>3</v>
      </c>
      <c r="AE66" s="58">
        <f>VLOOKUP($A66,'S47'!$C:$BQ,40,0)</f>
        <v>22</v>
      </c>
      <c r="AF66" s="58">
        <f>VLOOKUP($A66,'S47'!$C:$BQ,22,0)</f>
        <v>653.07995500000004</v>
      </c>
      <c r="AG66" s="66">
        <f>VLOOKUP($A66,'S47'!$C:$BQ,29,0)</f>
        <v>213</v>
      </c>
      <c r="AH66" s="66">
        <f>VLOOKUP($A66,'S47'!$C:$BQ,30,0)</f>
        <v>386</v>
      </c>
      <c r="AI66" s="66">
        <f>VLOOKUP($A66,'S47'!$C:$BQ,52,0)</f>
        <v>53.4</v>
      </c>
      <c r="AJ66" s="66">
        <f>VLOOKUP($A66,'S47'!$C:$BQ,59,0)</f>
        <v>0</v>
      </c>
      <c r="AK66" s="66">
        <f>VLOOKUP($A66,'S47'!$C:$BQ,60,0)</f>
        <v>5</v>
      </c>
      <c r="AL66" s="58" t="e">
        <f>VLOOKUP($A66,'S48'!$C:$BQ,32,0)</f>
        <v>#N/A</v>
      </c>
      <c r="AM66" s="58" t="e">
        <f>VLOOKUP($A66,'S48'!$C:$BQ,39,0)</f>
        <v>#N/A</v>
      </c>
      <c r="AN66" s="58" t="e">
        <f>VLOOKUP($A66,'S48'!$C:$BQ,40,0)</f>
        <v>#N/A</v>
      </c>
      <c r="AO66" s="58" t="e">
        <f>VLOOKUP($A66,'S48'!$C:$BQ,22,0)</f>
        <v>#N/A</v>
      </c>
      <c r="AP66" s="66" t="e">
        <f>VLOOKUP($A66,'S48'!$C:$BQ,29,0)</f>
        <v>#N/A</v>
      </c>
      <c r="AQ66" s="66" t="e">
        <f>VLOOKUP($A66,'S48'!$C:$BQ,30,0)</f>
        <v>#N/A</v>
      </c>
      <c r="AR66" s="66" t="e">
        <f>VLOOKUP($A66,'S48'!$C:$BQ,52,0)</f>
        <v>#N/A</v>
      </c>
      <c r="AS66" s="66" t="e">
        <f>VLOOKUP($A66,'S48'!$C:$BQ,59,0)</f>
        <v>#N/A</v>
      </c>
      <c r="AT66" s="66" t="e">
        <f>VLOOKUP($A66,'S48'!$C:$BQ,60,0)</f>
        <v>#N/A</v>
      </c>
      <c r="AU66" s="58" t="e">
        <f>VLOOKUP($A66,'S49'!$C:$BQ,32,0)</f>
        <v>#N/A</v>
      </c>
      <c r="AV66" s="58" t="e">
        <f>VLOOKUP($A66,'S49'!$C:$BQ,39,0)</f>
        <v>#N/A</v>
      </c>
      <c r="AW66" s="58" t="e">
        <f>VLOOKUP($A66,'S49'!$C:$BQ,40,0)</f>
        <v>#N/A</v>
      </c>
      <c r="AX66" s="58" t="e">
        <f>VLOOKUP($A66,'S49'!$C:$BQ,22,0)</f>
        <v>#N/A</v>
      </c>
      <c r="AY66" s="66" t="e">
        <f>VLOOKUP($A66,'S49'!$C:$BQ,29,0)</f>
        <v>#N/A</v>
      </c>
      <c r="AZ66" s="66" t="e">
        <f>VLOOKUP($A66,'S49'!$C:$BQ,30,0)</f>
        <v>#N/A</v>
      </c>
      <c r="BA66" s="66" t="e">
        <f>VLOOKUP($A66,'S49'!$C:$BQ,52,0)</f>
        <v>#N/A</v>
      </c>
      <c r="BB66" s="66" t="e">
        <f>VLOOKUP($A66,'S49'!$C:$BQ,59,0)</f>
        <v>#N/A</v>
      </c>
      <c r="BC66" s="66" t="e">
        <f>VLOOKUP($A66,'S49'!$C:$BQ,60,0)</f>
        <v>#N/A</v>
      </c>
      <c r="BD66" s="58" t="e">
        <f>VLOOKUP($A66,'S50'!$C:$BQ,32,0)</f>
        <v>#N/A</v>
      </c>
      <c r="BE66" s="58" t="e">
        <f>VLOOKUP($A66,'S50'!$C:$BQ,39,0)</f>
        <v>#N/A</v>
      </c>
      <c r="BF66" s="58" t="e">
        <f>VLOOKUP($A66,'S50'!$C:$BQ,40,0)</f>
        <v>#N/A</v>
      </c>
      <c r="BG66" s="58" t="e">
        <f>VLOOKUP($A66,'S50'!$C:$BQ,22,0)</f>
        <v>#N/A</v>
      </c>
      <c r="BH66" s="66" t="e">
        <f>VLOOKUP($A66,'S50'!$C:$BQ,29,0)</f>
        <v>#N/A</v>
      </c>
      <c r="BI66" s="66" t="e">
        <f>VLOOKUP($A66,'S50'!$C:$BQ,30,0)</f>
        <v>#N/A</v>
      </c>
      <c r="BJ66" s="66" t="e">
        <f>VLOOKUP($A66,'S50'!$C:$BQ,52,0)</f>
        <v>#N/A</v>
      </c>
      <c r="BK66" s="66" t="e">
        <f>VLOOKUP($A66,'S50'!$C:$BQ,59,0)</f>
        <v>#N/A</v>
      </c>
      <c r="BL66" s="66" t="e">
        <f>VLOOKUP($A66,'S50'!$C:$BQ,60,0)</f>
        <v>#N/A</v>
      </c>
    </row>
    <row r="67" spans="1:64" x14ac:dyDescent="0.2">
      <c r="A67" s="57" t="s">
        <v>124</v>
      </c>
      <c r="B67" s="58">
        <f>VLOOKUP($A67,'S0 remplacer avec S44'!$C:$BQ,32,0)</f>
        <v>121.3</v>
      </c>
      <c r="C67" s="58">
        <f>VLOOKUP($A67,'S0 remplacer avec S44'!$C:$BQ,39,0)</f>
        <v>72</v>
      </c>
      <c r="D67" s="58">
        <f>VLOOKUP($A67,'S0 remplacer avec S44'!$C:$BQ,40,0)</f>
        <v>110</v>
      </c>
      <c r="E67" s="58">
        <f>VLOOKUP($A67,'S0 remplacer avec S44'!$C:$BQ,22,0)</f>
        <v>1468.09015</v>
      </c>
      <c r="F67" s="66">
        <f>VLOOKUP($A67,'S0 remplacer avec S44'!$C:$BQ,29,0)</f>
        <v>282</v>
      </c>
      <c r="G67" s="66">
        <f>VLOOKUP($A67,'S0 remplacer avec S44'!$C:$BQ,30,0)</f>
        <v>632</v>
      </c>
      <c r="H67" s="66">
        <f>VLOOKUP($A67,'S0 remplacer avec S44'!$C:$BQ,52,0)</f>
        <v>164</v>
      </c>
      <c r="I67" s="66">
        <f>VLOOKUP($A67,'S0 remplacer avec S44'!$C:$BQ,59,0)</f>
        <v>0</v>
      </c>
      <c r="J67" s="66">
        <f>VLOOKUP($A67,'S0 remplacer avec S44'!$C:$BQ,60,0)</f>
        <v>0</v>
      </c>
      <c r="K67" s="58">
        <f>VLOOKUP($A67,'S45'!$C:$BQ,32,0)</f>
        <v>121.3</v>
      </c>
      <c r="L67" s="58">
        <f>VLOOKUP($A67,'S45'!$C:$BQ,39,0)</f>
        <v>72</v>
      </c>
      <c r="M67" s="58">
        <f>VLOOKUP($A67,'S45'!$C:$BQ,40,0)</f>
        <v>110</v>
      </c>
      <c r="N67" s="58">
        <f>VLOOKUP($A67,'S45'!$C:$BQ,22,0)</f>
        <v>1485.2112500000001</v>
      </c>
      <c r="O67" s="66">
        <f>VLOOKUP($A67,'S45'!$C:$BQ,29,0)</f>
        <v>265</v>
      </c>
      <c r="P67" s="66">
        <f>VLOOKUP($A67,'S45'!$C:$BQ,30,0)</f>
        <v>615</v>
      </c>
      <c r="Q67" s="66">
        <f>VLOOKUP($A67,'S45'!$C:$BQ,52,0)</f>
        <v>166</v>
      </c>
      <c r="R67" s="66">
        <f>VLOOKUP($A67,'S45'!$C:$BQ,59,0)</f>
        <v>0</v>
      </c>
      <c r="S67" s="66">
        <f>VLOOKUP($A67,'S45'!$C:$BQ,60,0)</f>
        <v>0</v>
      </c>
      <c r="T67" s="58">
        <f>VLOOKUP($A67,'S46'!$C:$BQ,32,0)</f>
        <v>120.3</v>
      </c>
      <c r="U67" s="58">
        <f>VLOOKUP($A67,'S46'!$C:$BQ,39,0)</f>
        <v>73</v>
      </c>
      <c r="V67" s="58">
        <f>VLOOKUP($A67,'S46'!$C:$BQ,40,0)</f>
        <v>111</v>
      </c>
      <c r="W67" s="58">
        <f>VLOOKUP($A67,'S46'!$C:$BQ,22,0)</f>
        <v>1494.71325</v>
      </c>
      <c r="X67" s="66">
        <f>VLOOKUP($A67,'S46'!$C:$BQ,29,0)</f>
        <v>256</v>
      </c>
      <c r="Y67" s="66">
        <f>VLOOKUP($A67,'S46'!$C:$BQ,30,0)</f>
        <v>606</v>
      </c>
      <c r="Z67" s="66">
        <f>VLOOKUP($A67,'S46'!$C:$BQ,52,0)</f>
        <v>166</v>
      </c>
      <c r="AA67" s="66">
        <f>VLOOKUP($A67,'S46'!$C:$BQ,59,0)</f>
        <v>0</v>
      </c>
      <c r="AB67" s="66">
        <f>VLOOKUP($A67,'S46'!$C:$BQ,60,0)</f>
        <v>0</v>
      </c>
      <c r="AC67" s="58">
        <f>VLOOKUP($A67,'S47'!$C:$BQ,32,0)</f>
        <v>120.3</v>
      </c>
      <c r="AD67" s="58">
        <f>VLOOKUP($A67,'S47'!$C:$BQ,39,0)</f>
        <v>73</v>
      </c>
      <c r="AE67" s="58">
        <f>VLOOKUP($A67,'S47'!$C:$BQ,40,0)</f>
        <v>111</v>
      </c>
      <c r="AF67" s="58">
        <f>VLOOKUP($A67,'S47'!$C:$BQ,22,0)</f>
        <v>1503.70715</v>
      </c>
      <c r="AG67" s="66">
        <f>VLOOKUP($A67,'S47'!$C:$BQ,29,0)</f>
        <v>247</v>
      </c>
      <c r="AH67" s="66">
        <f>VLOOKUP($A67,'S47'!$C:$BQ,30,0)</f>
        <v>597</v>
      </c>
      <c r="AI67" s="66">
        <f>VLOOKUP($A67,'S47'!$C:$BQ,52,0)</f>
        <v>166</v>
      </c>
      <c r="AJ67" s="66">
        <f>VLOOKUP($A67,'S47'!$C:$BQ,59,0)</f>
        <v>0</v>
      </c>
      <c r="AK67" s="66">
        <f>VLOOKUP($A67,'S47'!$C:$BQ,60,0)</f>
        <v>0</v>
      </c>
      <c r="AL67" s="58" t="e">
        <f>VLOOKUP($A67,'S48'!$C:$BQ,32,0)</f>
        <v>#N/A</v>
      </c>
      <c r="AM67" s="58" t="e">
        <f>VLOOKUP($A67,'S48'!$C:$BQ,39,0)</f>
        <v>#N/A</v>
      </c>
      <c r="AN67" s="58" t="e">
        <f>VLOOKUP($A67,'S48'!$C:$BQ,40,0)</f>
        <v>#N/A</v>
      </c>
      <c r="AO67" s="58" t="e">
        <f>VLOOKUP($A67,'S48'!$C:$BQ,22,0)</f>
        <v>#N/A</v>
      </c>
      <c r="AP67" s="66" t="e">
        <f>VLOOKUP($A67,'S48'!$C:$BQ,29,0)</f>
        <v>#N/A</v>
      </c>
      <c r="AQ67" s="66" t="e">
        <f>VLOOKUP($A67,'S48'!$C:$BQ,30,0)</f>
        <v>#N/A</v>
      </c>
      <c r="AR67" s="66" t="e">
        <f>VLOOKUP($A67,'S48'!$C:$BQ,52,0)</f>
        <v>#N/A</v>
      </c>
      <c r="AS67" s="66" t="e">
        <f>VLOOKUP($A67,'S48'!$C:$BQ,59,0)</f>
        <v>#N/A</v>
      </c>
      <c r="AT67" s="66" t="e">
        <f>VLOOKUP($A67,'S48'!$C:$BQ,60,0)</f>
        <v>#N/A</v>
      </c>
      <c r="AU67" s="58" t="e">
        <f>VLOOKUP($A67,'S49'!$C:$BQ,32,0)</f>
        <v>#N/A</v>
      </c>
      <c r="AV67" s="58" t="e">
        <f>VLOOKUP($A67,'S49'!$C:$BQ,39,0)</f>
        <v>#N/A</v>
      </c>
      <c r="AW67" s="58" t="e">
        <f>VLOOKUP($A67,'S49'!$C:$BQ,40,0)</f>
        <v>#N/A</v>
      </c>
      <c r="AX67" s="58" t="e">
        <f>VLOOKUP($A67,'S49'!$C:$BQ,22,0)</f>
        <v>#N/A</v>
      </c>
      <c r="AY67" s="66" t="e">
        <f>VLOOKUP($A67,'S49'!$C:$BQ,29,0)</f>
        <v>#N/A</v>
      </c>
      <c r="AZ67" s="66" t="e">
        <f>VLOOKUP($A67,'S49'!$C:$BQ,30,0)</f>
        <v>#N/A</v>
      </c>
      <c r="BA67" s="66" t="e">
        <f>VLOOKUP($A67,'S49'!$C:$BQ,52,0)</f>
        <v>#N/A</v>
      </c>
      <c r="BB67" s="66" t="e">
        <f>VLOOKUP($A67,'S49'!$C:$BQ,59,0)</f>
        <v>#N/A</v>
      </c>
      <c r="BC67" s="66" t="e">
        <f>VLOOKUP($A67,'S49'!$C:$BQ,60,0)</f>
        <v>#N/A</v>
      </c>
      <c r="BD67" s="58" t="e">
        <f>VLOOKUP($A67,'S50'!$C:$BQ,32,0)</f>
        <v>#N/A</v>
      </c>
      <c r="BE67" s="58" t="e">
        <f>VLOOKUP($A67,'S50'!$C:$BQ,39,0)</f>
        <v>#N/A</v>
      </c>
      <c r="BF67" s="58" t="e">
        <f>VLOOKUP($A67,'S50'!$C:$BQ,40,0)</f>
        <v>#N/A</v>
      </c>
      <c r="BG67" s="58" t="e">
        <f>VLOOKUP($A67,'S50'!$C:$BQ,22,0)</f>
        <v>#N/A</v>
      </c>
      <c r="BH67" s="66" t="e">
        <f>VLOOKUP($A67,'S50'!$C:$BQ,29,0)</f>
        <v>#N/A</v>
      </c>
      <c r="BI67" s="66" t="e">
        <f>VLOOKUP($A67,'S50'!$C:$BQ,30,0)</f>
        <v>#N/A</v>
      </c>
      <c r="BJ67" s="66" t="e">
        <f>VLOOKUP($A67,'S50'!$C:$BQ,52,0)</f>
        <v>#N/A</v>
      </c>
      <c r="BK67" s="66" t="e">
        <f>VLOOKUP($A67,'S50'!$C:$BQ,59,0)</f>
        <v>#N/A</v>
      </c>
      <c r="BL67" s="66" t="e">
        <f>VLOOKUP($A67,'S50'!$C:$BQ,60,0)</f>
        <v>#N/A</v>
      </c>
    </row>
    <row r="68" spans="1:64" x14ac:dyDescent="0.2">
      <c r="A68" s="57" t="s">
        <v>125</v>
      </c>
      <c r="B68" s="58">
        <f>VLOOKUP($A68,'S0 remplacer avec S44'!$C:$BQ,32,0)</f>
        <v>118.9</v>
      </c>
      <c r="C68" s="58">
        <f>VLOOKUP($A68,'S0 remplacer avec S44'!$C:$BQ,39,0)</f>
        <v>20</v>
      </c>
      <c r="D68" s="58">
        <f>VLOOKUP($A68,'S0 remplacer avec S44'!$C:$BQ,40,0)</f>
        <v>47</v>
      </c>
      <c r="E68" s="58">
        <f>VLOOKUP($A68,'S0 remplacer avec S44'!$C:$BQ,22,0)</f>
        <v>1317.896555</v>
      </c>
      <c r="F68" s="66">
        <f>VLOOKUP($A68,'S0 remplacer avec S44'!$C:$BQ,29,0)</f>
        <v>0</v>
      </c>
      <c r="G68" s="66">
        <f>VLOOKUP($A68,'S0 remplacer avec S44'!$C:$BQ,30,0)</f>
        <v>191</v>
      </c>
      <c r="H68" s="66">
        <f>VLOOKUP($A68,'S0 remplacer avec S44'!$C:$BQ,52,0)</f>
        <v>85.4</v>
      </c>
      <c r="I68" s="66">
        <f>VLOOKUP($A68,'S0 remplacer avec S44'!$C:$BQ,59,0)</f>
        <v>0</v>
      </c>
      <c r="J68" s="66">
        <f>VLOOKUP($A68,'S0 remplacer avec S44'!$C:$BQ,60,0)</f>
        <v>0</v>
      </c>
      <c r="K68" s="58">
        <f>VLOOKUP($A68,'S45'!$C:$BQ,32,0)</f>
        <v>116.9</v>
      </c>
      <c r="L68" s="58">
        <f>VLOOKUP($A68,'S45'!$C:$BQ,39,0)</f>
        <v>22</v>
      </c>
      <c r="M68" s="58">
        <f>VLOOKUP($A68,'S45'!$C:$BQ,40,0)</f>
        <v>49</v>
      </c>
      <c r="N68" s="58">
        <f>VLOOKUP($A68,'S45'!$C:$BQ,22,0)</f>
        <v>1326.4126550000001</v>
      </c>
      <c r="O68" s="66">
        <f>VLOOKUP($A68,'S45'!$C:$BQ,29,0)</f>
        <v>0</v>
      </c>
      <c r="P68" s="66">
        <f>VLOOKUP($A68,'S45'!$C:$BQ,30,0)</f>
        <v>183</v>
      </c>
      <c r="Q68" s="66">
        <f>VLOOKUP($A68,'S45'!$C:$BQ,52,0)</f>
        <v>86.4</v>
      </c>
      <c r="R68" s="66">
        <f>VLOOKUP($A68,'S45'!$C:$BQ,59,0)</f>
        <v>0</v>
      </c>
      <c r="S68" s="66">
        <f>VLOOKUP($A68,'S45'!$C:$BQ,60,0)</f>
        <v>0</v>
      </c>
      <c r="T68" s="58">
        <f>VLOOKUP($A68,'S46'!$C:$BQ,32,0)</f>
        <v>116.9</v>
      </c>
      <c r="U68" s="58">
        <f>VLOOKUP($A68,'S46'!$C:$BQ,39,0)</f>
        <v>22</v>
      </c>
      <c r="V68" s="58">
        <f>VLOOKUP($A68,'S46'!$C:$BQ,40,0)</f>
        <v>49</v>
      </c>
      <c r="W68" s="58">
        <f>VLOOKUP($A68,'S46'!$C:$BQ,22,0)</f>
        <v>1327.3366149999999</v>
      </c>
      <c r="X68" s="66">
        <f>VLOOKUP($A68,'S46'!$C:$BQ,29,0)</f>
        <v>0</v>
      </c>
      <c r="Y68" s="66">
        <f>VLOOKUP($A68,'S46'!$C:$BQ,30,0)</f>
        <v>182</v>
      </c>
      <c r="Z68" s="66">
        <f>VLOOKUP($A68,'S46'!$C:$BQ,52,0)</f>
        <v>87.4</v>
      </c>
      <c r="AA68" s="66">
        <f>VLOOKUP($A68,'S46'!$C:$BQ,59,0)</f>
        <v>0</v>
      </c>
      <c r="AB68" s="66">
        <f>VLOOKUP($A68,'S46'!$C:$BQ,60,0)</f>
        <v>0</v>
      </c>
      <c r="AC68" s="58">
        <f>VLOOKUP($A68,'S47'!$C:$BQ,32,0)</f>
        <v>120.9</v>
      </c>
      <c r="AD68" s="58">
        <f>VLOOKUP($A68,'S47'!$C:$BQ,39,0)</f>
        <v>18</v>
      </c>
      <c r="AE68" s="58">
        <f>VLOOKUP($A68,'S47'!$C:$BQ,40,0)</f>
        <v>45</v>
      </c>
      <c r="AF68" s="58">
        <f>VLOOKUP($A68,'S47'!$C:$BQ,22,0)</f>
        <v>1338.7217949999999</v>
      </c>
      <c r="AG68" s="66">
        <f>VLOOKUP($A68,'S47'!$C:$BQ,29,0)</f>
        <v>0</v>
      </c>
      <c r="AH68" s="66">
        <f>VLOOKUP($A68,'S47'!$C:$BQ,30,0)</f>
        <v>170</v>
      </c>
      <c r="AI68" s="66">
        <f>VLOOKUP($A68,'S47'!$C:$BQ,52,0)</f>
        <v>91.4</v>
      </c>
      <c r="AJ68" s="66">
        <f>VLOOKUP($A68,'S47'!$C:$BQ,59,0)</f>
        <v>0</v>
      </c>
      <c r="AK68" s="66">
        <f>VLOOKUP($A68,'S47'!$C:$BQ,60,0)</f>
        <v>0</v>
      </c>
      <c r="AL68" s="58" t="e">
        <f>VLOOKUP($A68,'S48'!$C:$BQ,32,0)</f>
        <v>#N/A</v>
      </c>
      <c r="AM68" s="58" t="e">
        <f>VLOOKUP($A68,'S48'!$C:$BQ,39,0)</f>
        <v>#N/A</v>
      </c>
      <c r="AN68" s="58" t="e">
        <f>VLOOKUP($A68,'S48'!$C:$BQ,40,0)</f>
        <v>#N/A</v>
      </c>
      <c r="AO68" s="58" t="e">
        <f>VLOOKUP($A68,'S48'!$C:$BQ,22,0)</f>
        <v>#N/A</v>
      </c>
      <c r="AP68" s="66" t="e">
        <f>VLOOKUP($A68,'S48'!$C:$BQ,29,0)</f>
        <v>#N/A</v>
      </c>
      <c r="AQ68" s="66" t="e">
        <f>VLOOKUP($A68,'S48'!$C:$BQ,30,0)</f>
        <v>#N/A</v>
      </c>
      <c r="AR68" s="66" t="e">
        <f>VLOOKUP($A68,'S48'!$C:$BQ,52,0)</f>
        <v>#N/A</v>
      </c>
      <c r="AS68" s="66" t="e">
        <f>VLOOKUP($A68,'S48'!$C:$BQ,59,0)</f>
        <v>#N/A</v>
      </c>
      <c r="AT68" s="66" t="e">
        <f>VLOOKUP($A68,'S48'!$C:$BQ,60,0)</f>
        <v>#N/A</v>
      </c>
      <c r="AU68" s="58" t="e">
        <f>VLOOKUP($A68,'S49'!$C:$BQ,32,0)</f>
        <v>#N/A</v>
      </c>
      <c r="AV68" s="58" t="e">
        <f>VLOOKUP($A68,'S49'!$C:$BQ,39,0)</f>
        <v>#N/A</v>
      </c>
      <c r="AW68" s="58" t="e">
        <f>VLOOKUP($A68,'S49'!$C:$BQ,40,0)</f>
        <v>#N/A</v>
      </c>
      <c r="AX68" s="58" t="e">
        <f>VLOOKUP($A68,'S49'!$C:$BQ,22,0)</f>
        <v>#N/A</v>
      </c>
      <c r="AY68" s="66" t="e">
        <f>VLOOKUP($A68,'S49'!$C:$BQ,29,0)</f>
        <v>#N/A</v>
      </c>
      <c r="AZ68" s="66" t="e">
        <f>VLOOKUP($A68,'S49'!$C:$BQ,30,0)</f>
        <v>#N/A</v>
      </c>
      <c r="BA68" s="66" t="e">
        <f>VLOOKUP($A68,'S49'!$C:$BQ,52,0)</f>
        <v>#N/A</v>
      </c>
      <c r="BB68" s="66" t="e">
        <f>VLOOKUP($A68,'S49'!$C:$BQ,59,0)</f>
        <v>#N/A</v>
      </c>
      <c r="BC68" s="66" t="e">
        <f>VLOOKUP($A68,'S49'!$C:$BQ,60,0)</f>
        <v>#N/A</v>
      </c>
      <c r="BD68" s="58" t="e">
        <f>VLOOKUP($A68,'S50'!$C:$BQ,32,0)</f>
        <v>#N/A</v>
      </c>
      <c r="BE68" s="58" t="e">
        <f>VLOOKUP($A68,'S50'!$C:$BQ,39,0)</f>
        <v>#N/A</v>
      </c>
      <c r="BF68" s="58" t="e">
        <f>VLOOKUP($A68,'S50'!$C:$BQ,40,0)</f>
        <v>#N/A</v>
      </c>
      <c r="BG68" s="58" t="e">
        <f>VLOOKUP($A68,'S50'!$C:$BQ,22,0)</f>
        <v>#N/A</v>
      </c>
      <c r="BH68" s="66" t="e">
        <f>VLOOKUP($A68,'S50'!$C:$BQ,29,0)</f>
        <v>#N/A</v>
      </c>
      <c r="BI68" s="66" t="e">
        <f>VLOOKUP($A68,'S50'!$C:$BQ,30,0)</f>
        <v>#N/A</v>
      </c>
      <c r="BJ68" s="66" t="e">
        <f>VLOOKUP($A68,'S50'!$C:$BQ,52,0)</f>
        <v>#N/A</v>
      </c>
      <c r="BK68" s="66" t="e">
        <f>VLOOKUP($A68,'S50'!$C:$BQ,59,0)</f>
        <v>#N/A</v>
      </c>
      <c r="BL68" s="66" t="e">
        <f>VLOOKUP($A68,'S50'!$C:$BQ,60,0)</f>
        <v>#N/A</v>
      </c>
    </row>
    <row r="69" spans="1:64" x14ac:dyDescent="0.2">
      <c r="A69" s="57" t="s">
        <v>126</v>
      </c>
      <c r="B69" s="58">
        <f>VLOOKUP($A69,'S0 remplacer avec S44'!$C:$BQ,32,0)</f>
        <v>367.75</v>
      </c>
      <c r="C69" s="58">
        <f>VLOOKUP($A69,'S0 remplacer avec S44'!$C:$BQ,39,0)</f>
        <v>0</v>
      </c>
      <c r="D69" s="58">
        <f>VLOOKUP($A69,'S0 remplacer avec S44'!$C:$BQ,40,0)</f>
        <v>0</v>
      </c>
      <c r="E69" s="58">
        <f>VLOOKUP($A69,'S0 remplacer avec S44'!$C:$BQ,22,0)</f>
        <v>2932.2169349999999</v>
      </c>
      <c r="F69" s="66">
        <f>VLOOKUP($A69,'S0 remplacer avec S44'!$C:$BQ,29,0)</f>
        <v>0</v>
      </c>
      <c r="G69" s="66">
        <f>VLOOKUP($A69,'S0 remplacer avec S44'!$C:$BQ,30,0)</f>
        <v>226</v>
      </c>
      <c r="H69" s="66">
        <f>VLOOKUP($A69,'S0 remplacer avec S44'!$C:$BQ,52,0)</f>
        <v>232.8</v>
      </c>
      <c r="I69" s="66">
        <f>VLOOKUP($A69,'S0 remplacer avec S44'!$C:$BQ,59,0)</f>
        <v>0</v>
      </c>
      <c r="J69" s="66">
        <f>VLOOKUP($A69,'S0 remplacer avec S44'!$C:$BQ,60,0)</f>
        <v>0</v>
      </c>
      <c r="K69" s="58">
        <f>VLOOKUP($A69,'S45'!$C:$BQ,32,0)</f>
        <v>371.25</v>
      </c>
      <c r="L69" s="58">
        <f>VLOOKUP($A69,'S45'!$C:$BQ,39,0)</f>
        <v>0</v>
      </c>
      <c r="M69" s="58">
        <f>VLOOKUP($A69,'S45'!$C:$BQ,40,0)</f>
        <v>0</v>
      </c>
      <c r="N69" s="58">
        <f>VLOOKUP($A69,'S45'!$C:$BQ,22,0)</f>
        <v>2949.8634649999999</v>
      </c>
      <c r="O69" s="66">
        <f>VLOOKUP($A69,'S45'!$C:$BQ,29,0)</f>
        <v>0</v>
      </c>
      <c r="P69" s="66">
        <f>VLOOKUP($A69,'S45'!$C:$BQ,30,0)</f>
        <v>208</v>
      </c>
      <c r="Q69" s="66">
        <f>VLOOKUP($A69,'S45'!$C:$BQ,52,0)</f>
        <v>237.8</v>
      </c>
      <c r="R69" s="66">
        <f>VLOOKUP($A69,'S45'!$C:$BQ,59,0)</f>
        <v>0</v>
      </c>
      <c r="S69" s="66">
        <f>VLOOKUP($A69,'S45'!$C:$BQ,60,0)</f>
        <v>0</v>
      </c>
      <c r="T69" s="58">
        <f>VLOOKUP($A69,'S46'!$C:$BQ,32,0)</f>
        <v>371.35</v>
      </c>
      <c r="U69" s="58">
        <f>VLOOKUP($A69,'S46'!$C:$BQ,39,0)</f>
        <v>0</v>
      </c>
      <c r="V69" s="58">
        <f>VLOOKUP($A69,'S46'!$C:$BQ,40,0)</f>
        <v>0</v>
      </c>
      <c r="W69" s="58">
        <f>VLOOKUP($A69,'S46'!$C:$BQ,22,0)</f>
        <v>2938.8595949999999</v>
      </c>
      <c r="X69" s="66">
        <f>VLOOKUP($A69,'S46'!$C:$BQ,29,0)</f>
        <v>0</v>
      </c>
      <c r="Y69" s="66">
        <f>VLOOKUP($A69,'S46'!$C:$BQ,30,0)</f>
        <v>219</v>
      </c>
      <c r="Z69" s="66">
        <f>VLOOKUP($A69,'S46'!$C:$BQ,52,0)</f>
        <v>240.8</v>
      </c>
      <c r="AA69" s="66">
        <f>VLOOKUP($A69,'S46'!$C:$BQ,59,0)</f>
        <v>0</v>
      </c>
      <c r="AB69" s="66">
        <f>VLOOKUP($A69,'S46'!$C:$BQ,60,0)</f>
        <v>0</v>
      </c>
      <c r="AC69" s="58">
        <f>VLOOKUP($A69,'S47'!$C:$BQ,32,0)</f>
        <v>376.85</v>
      </c>
      <c r="AD69" s="58">
        <f>VLOOKUP($A69,'S47'!$C:$BQ,39,0)</f>
        <v>0</v>
      </c>
      <c r="AE69" s="58">
        <f>VLOOKUP($A69,'S47'!$C:$BQ,40,0)</f>
        <v>0</v>
      </c>
      <c r="AF69" s="58">
        <f>VLOOKUP($A69,'S47'!$C:$BQ,22,0)</f>
        <v>3011.7508349999998</v>
      </c>
      <c r="AG69" s="66">
        <f>VLOOKUP($A69,'S47'!$C:$BQ,29,0)</f>
        <v>0</v>
      </c>
      <c r="AH69" s="66">
        <f>VLOOKUP($A69,'S47'!$C:$BQ,30,0)</f>
        <v>146</v>
      </c>
      <c r="AI69" s="66">
        <f>VLOOKUP($A69,'S47'!$C:$BQ,52,0)</f>
        <v>248.8</v>
      </c>
      <c r="AJ69" s="66">
        <f>VLOOKUP($A69,'S47'!$C:$BQ,59,0)</f>
        <v>0</v>
      </c>
      <c r="AK69" s="66">
        <f>VLOOKUP($A69,'S47'!$C:$BQ,60,0)</f>
        <v>0</v>
      </c>
      <c r="AL69" s="58" t="e">
        <f>VLOOKUP($A69,'S48'!$C:$BQ,32,0)</f>
        <v>#N/A</v>
      </c>
      <c r="AM69" s="58" t="e">
        <f>VLOOKUP($A69,'S48'!$C:$BQ,39,0)</f>
        <v>#N/A</v>
      </c>
      <c r="AN69" s="58" t="e">
        <f>VLOOKUP($A69,'S48'!$C:$BQ,40,0)</f>
        <v>#N/A</v>
      </c>
      <c r="AO69" s="58" t="e">
        <f>VLOOKUP($A69,'S48'!$C:$BQ,22,0)</f>
        <v>#N/A</v>
      </c>
      <c r="AP69" s="66" t="e">
        <f>VLOOKUP($A69,'S48'!$C:$BQ,29,0)</f>
        <v>#N/A</v>
      </c>
      <c r="AQ69" s="66" t="e">
        <f>VLOOKUP($A69,'S48'!$C:$BQ,30,0)</f>
        <v>#N/A</v>
      </c>
      <c r="AR69" s="66" t="e">
        <f>VLOOKUP($A69,'S48'!$C:$BQ,52,0)</f>
        <v>#N/A</v>
      </c>
      <c r="AS69" s="66" t="e">
        <f>VLOOKUP($A69,'S48'!$C:$BQ,59,0)</f>
        <v>#N/A</v>
      </c>
      <c r="AT69" s="66" t="e">
        <f>VLOOKUP($A69,'S48'!$C:$BQ,60,0)</f>
        <v>#N/A</v>
      </c>
      <c r="AU69" s="58" t="e">
        <f>VLOOKUP($A69,'S49'!$C:$BQ,32,0)</f>
        <v>#N/A</v>
      </c>
      <c r="AV69" s="58" t="e">
        <f>VLOOKUP($A69,'S49'!$C:$BQ,39,0)</f>
        <v>#N/A</v>
      </c>
      <c r="AW69" s="58" t="e">
        <f>VLOOKUP($A69,'S49'!$C:$BQ,40,0)</f>
        <v>#N/A</v>
      </c>
      <c r="AX69" s="58" t="e">
        <f>VLOOKUP($A69,'S49'!$C:$BQ,22,0)</f>
        <v>#N/A</v>
      </c>
      <c r="AY69" s="66" t="e">
        <f>VLOOKUP($A69,'S49'!$C:$BQ,29,0)</f>
        <v>#N/A</v>
      </c>
      <c r="AZ69" s="66" t="e">
        <f>VLOOKUP($A69,'S49'!$C:$BQ,30,0)</f>
        <v>#N/A</v>
      </c>
      <c r="BA69" s="66" t="e">
        <f>VLOOKUP($A69,'S49'!$C:$BQ,52,0)</f>
        <v>#N/A</v>
      </c>
      <c r="BB69" s="66" t="e">
        <f>VLOOKUP($A69,'S49'!$C:$BQ,59,0)</f>
        <v>#N/A</v>
      </c>
      <c r="BC69" s="66" t="e">
        <f>VLOOKUP($A69,'S49'!$C:$BQ,60,0)</f>
        <v>#N/A</v>
      </c>
      <c r="BD69" s="58" t="e">
        <f>VLOOKUP($A69,'S50'!$C:$BQ,32,0)</f>
        <v>#N/A</v>
      </c>
      <c r="BE69" s="58" t="e">
        <f>VLOOKUP($A69,'S50'!$C:$BQ,39,0)</f>
        <v>#N/A</v>
      </c>
      <c r="BF69" s="58" t="e">
        <f>VLOOKUP($A69,'S50'!$C:$BQ,40,0)</f>
        <v>#N/A</v>
      </c>
      <c r="BG69" s="58" t="e">
        <f>VLOOKUP($A69,'S50'!$C:$BQ,22,0)</f>
        <v>#N/A</v>
      </c>
      <c r="BH69" s="66" t="e">
        <f>VLOOKUP($A69,'S50'!$C:$BQ,29,0)</f>
        <v>#N/A</v>
      </c>
      <c r="BI69" s="66" t="e">
        <f>VLOOKUP($A69,'S50'!$C:$BQ,30,0)</f>
        <v>#N/A</v>
      </c>
      <c r="BJ69" s="66" t="e">
        <f>VLOOKUP($A69,'S50'!$C:$BQ,52,0)</f>
        <v>#N/A</v>
      </c>
      <c r="BK69" s="66" t="e">
        <f>VLOOKUP($A69,'S50'!$C:$BQ,59,0)</f>
        <v>#N/A</v>
      </c>
      <c r="BL69" s="66" t="e">
        <f>VLOOKUP($A69,'S50'!$C:$BQ,60,0)</f>
        <v>#N/A</v>
      </c>
    </row>
    <row r="70" spans="1:64" x14ac:dyDescent="0.2">
      <c r="A70" s="57" t="s">
        <v>127</v>
      </c>
      <c r="B70" s="58">
        <f>VLOOKUP($A70,'S0 remplacer avec S44'!$C:$BQ,32,0)</f>
        <v>160.9</v>
      </c>
      <c r="C70" s="58">
        <f>VLOOKUP($A70,'S0 remplacer avec S44'!$C:$BQ,39,0)</f>
        <v>14</v>
      </c>
      <c r="D70" s="58">
        <f>VLOOKUP($A70,'S0 remplacer avec S44'!$C:$BQ,40,0)</f>
        <v>48</v>
      </c>
      <c r="E70" s="58">
        <f>VLOOKUP($A70,'S0 remplacer avec S44'!$C:$BQ,22,0)</f>
        <v>1765.9622449999999</v>
      </c>
      <c r="F70" s="66">
        <f>VLOOKUP($A70,'S0 remplacer avec S44'!$C:$BQ,29,0)</f>
        <v>0</v>
      </c>
      <c r="G70" s="66">
        <f>VLOOKUP($A70,'S0 remplacer avec S44'!$C:$BQ,30,0)</f>
        <v>133</v>
      </c>
      <c r="H70" s="66">
        <f>VLOOKUP($A70,'S0 remplacer avec S44'!$C:$BQ,52,0)</f>
        <v>104</v>
      </c>
      <c r="I70" s="66">
        <f>VLOOKUP($A70,'S0 remplacer avec S44'!$C:$BQ,59,0)</f>
        <v>0</v>
      </c>
      <c r="J70" s="66">
        <f>VLOOKUP($A70,'S0 remplacer avec S44'!$C:$BQ,60,0)</f>
        <v>3</v>
      </c>
      <c r="K70" s="58">
        <f>VLOOKUP($A70,'S45'!$C:$BQ,32,0)</f>
        <v>161.9</v>
      </c>
      <c r="L70" s="58">
        <f>VLOOKUP($A70,'S45'!$C:$BQ,39,0)</f>
        <v>13</v>
      </c>
      <c r="M70" s="58">
        <f>VLOOKUP($A70,'S45'!$C:$BQ,40,0)</f>
        <v>47</v>
      </c>
      <c r="N70" s="58">
        <f>VLOOKUP($A70,'S45'!$C:$BQ,22,0)</f>
        <v>1794.743385</v>
      </c>
      <c r="O70" s="66">
        <f>VLOOKUP($A70,'S45'!$C:$BQ,29,0)</f>
        <v>0</v>
      </c>
      <c r="P70" s="66">
        <f>VLOOKUP($A70,'S45'!$C:$BQ,30,0)</f>
        <v>104</v>
      </c>
      <c r="Q70" s="66">
        <f>VLOOKUP($A70,'S45'!$C:$BQ,52,0)</f>
        <v>108</v>
      </c>
      <c r="R70" s="66">
        <f>VLOOKUP($A70,'S45'!$C:$BQ,59,0)</f>
        <v>0</v>
      </c>
      <c r="S70" s="66">
        <f>VLOOKUP($A70,'S45'!$C:$BQ,60,0)</f>
        <v>0</v>
      </c>
      <c r="T70" s="58">
        <f>VLOOKUP($A70,'S46'!$C:$BQ,32,0)</f>
        <v>161.9</v>
      </c>
      <c r="U70" s="58">
        <f>VLOOKUP($A70,'S46'!$C:$BQ,39,0)</f>
        <v>13</v>
      </c>
      <c r="V70" s="58">
        <f>VLOOKUP($A70,'S46'!$C:$BQ,40,0)</f>
        <v>47</v>
      </c>
      <c r="W70" s="58">
        <f>VLOOKUP($A70,'S46'!$C:$BQ,22,0)</f>
        <v>1802.933385</v>
      </c>
      <c r="X70" s="66">
        <f>VLOOKUP($A70,'S46'!$C:$BQ,29,0)</f>
        <v>0</v>
      </c>
      <c r="Y70" s="66">
        <f>VLOOKUP($A70,'S46'!$C:$BQ,30,0)</f>
        <v>96</v>
      </c>
      <c r="Z70" s="66">
        <f>VLOOKUP($A70,'S46'!$C:$BQ,52,0)</f>
        <v>108</v>
      </c>
      <c r="AA70" s="66">
        <f>VLOOKUP($A70,'S46'!$C:$BQ,59,0)</f>
        <v>0</v>
      </c>
      <c r="AB70" s="66">
        <f>VLOOKUP($A70,'S46'!$C:$BQ,60,0)</f>
        <v>0</v>
      </c>
      <c r="AC70" s="58">
        <f>VLOOKUP($A70,'S47'!$C:$BQ,32,0)</f>
        <v>166.9</v>
      </c>
      <c r="AD70" s="58">
        <f>VLOOKUP($A70,'S47'!$C:$BQ,39,0)</f>
        <v>8</v>
      </c>
      <c r="AE70" s="58">
        <f>VLOOKUP($A70,'S47'!$C:$BQ,40,0)</f>
        <v>42</v>
      </c>
      <c r="AF70" s="58">
        <f>VLOOKUP($A70,'S47'!$C:$BQ,22,0)</f>
        <v>1807.8513849999999</v>
      </c>
      <c r="AG70" s="66">
        <f>VLOOKUP($A70,'S47'!$C:$BQ,29,0)</f>
        <v>0</v>
      </c>
      <c r="AH70" s="66">
        <f>VLOOKUP($A70,'S47'!$C:$BQ,30,0)</f>
        <v>91</v>
      </c>
      <c r="AI70" s="66">
        <f>VLOOKUP($A70,'S47'!$C:$BQ,52,0)</f>
        <v>110</v>
      </c>
      <c r="AJ70" s="66">
        <f>VLOOKUP($A70,'S47'!$C:$BQ,59,0)</f>
        <v>0</v>
      </c>
      <c r="AK70" s="66">
        <f>VLOOKUP($A70,'S47'!$C:$BQ,60,0)</f>
        <v>0</v>
      </c>
      <c r="AL70" s="58" t="e">
        <f>VLOOKUP($A70,'S48'!$C:$BQ,32,0)</f>
        <v>#N/A</v>
      </c>
      <c r="AM70" s="58" t="e">
        <f>VLOOKUP($A70,'S48'!$C:$BQ,39,0)</f>
        <v>#N/A</v>
      </c>
      <c r="AN70" s="58" t="e">
        <f>VLOOKUP($A70,'S48'!$C:$BQ,40,0)</f>
        <v>#N/A</v>
      </c>
      <c r="AO70" s="58" t="e">
        <f>VLOOKUP($A70,'S48'!$C:$BQ,22,0)</f>
        <v>#N/A</v>
      </c>
      <c r="AP70" s="66" t="e">
        <f>VLOOKUP($A70,'S48'!$C:$BQ,29,0)</f>
        <v>#N/A</v>
      </c>
      <c r="AQ70" s="66" t="e">
        <f>VLOOKUP($A70,'S48'!$C:$BQ,30,0)</f>
        <v>#N/A</v>
      </c>
      <c r="AR70" s="66" t="e">
        <f>VLOOKUP($A70,'S48'!$C:$BQ,52,0)</f>
        <v>#N/A</v>
      </c>
      <c r="AS70" s="66" t="e">
        <f>VLOOKUP($A70,'S48'!$C:$BQ,59,0)</f>
        <v>#N/A</v>
      </c>
      <c r="AT70" s="66" t="e">
        <f>VLOOKUP($A70,'S48'!$C:$BQ,60,0)</f>
        <v>#N/A</v>
      </c>
      <c r="AU70" s="58" t="e">
        <f>VLOOKUP($A70,'S49'!$C:$BQ,32,0)</f>
        <v>#N/A</v>
      </c>
      <c r="AV70" s="58" t="e">
        <f>VLOOKUP($A70,'S49'!$C:$BQ,39,0)</f>
        <v>#N/A</v>
      </c>
      <c r="AW70" s="58" t="e">
        <f>VLOOKUP($A70,'S49'!$C:$BQ,40,0)</f>
        <v>#N/A</v>
      </c>
      <c r="AX70" s="58" t="e">
        <f>VLOOKUP($A70,'S49'!$C:$BQ,22,0)</f>
        <v>#N/A</v>
      </c>
      <c r="AY70" s="66" t="e">
        <f>VLOOKUP($A70,'S49'!$C:$BQ,29,0)</f>
        <v>#N/A</v>
      </c>
      <c r="AZ70" s="66" t="e">
        <f>VLOOKUP($A70,'S49'!$C:$BQ,30,0)</f>
        <v>#N/A</v>
      </c>
      <c r="BA70" s="66" t="e">
        <f>VLOOKUP($A70,'S49'!$C:$BQ,52,0)</f>
        <v>#N/A</v>
      </c>
      <c r="BB70" s="66" t="e">
        <f>VLOOKUP($A70,'S49'!$C:$BQ,59,0)</f>
        <v>#N/A</v>
      </c>
      <c r="BC70" s="66" t="e">
        <f>VLOOKUP($A70,'S49'!$C:$BQ,60,0)</f>
        <v>#N/A</v>
      </c>
      <c r="BD70" s="58" t="e">
        <f>VLOOKUP($A70,'S50'!$C:$BQ,32,0)</f>
        <v>#N/A</v>
      </c>
      <c r="BE70" s="58" t="e">
        <f>VLOOKUP($A70,'S50'!$C:$BQ,39,0)</f>
        <v>#N/A</v>
      </c>
      <c r="BF70" s="58" t="e">
        <f>VLOOKUP($A70,'S50'!$C:$BQ,40,0)</f>
        <v>#N/A</v>
      </c>
      <c r="BG70" s="58" t="e">
        <f>VLOOKUP($A70,'S50'!$C:$BQ,22,0)</f>
        <v>#N/A</v>
      </c>
      <c r="BH70" s="66" t="e">
        <f>VLOOKUP($A70,'S50'!$C:$BQ,29,0)</f>
        <v>#N/A</v>
      </c>
      <c r="BI70" s="66" t="e">
        <f>VLOOKUP($A70,'S50'!$C:$BQ,30,0)</f>
        <v>#N/A</v>
      </c>
      <c r="BJ70" s="66" t="e">
        <f>VLOOKUP($A70,'S50'!$C:$BQ,52,0)</f>
        <v>#N/A</v>
      </c>
      <c r="BK70" s="66" t="e">
        <f>VLOOKUP($A70,'S50'!$C:$BQ,59,0)</f>
        <v>#N/A</v>
      </c>
      <c r="BL70" s="66" t="e">
        <f>VLOOKUP($A70,'S50'!$C:$BQ,60,0)</f>
        <v>#N/A</v>
      </c>
    </row>
    <row r="71" spans="1:64" x14ac:dyDescent="0.2">
      <c r="A71" s="57" t="s">
        <v>128</v>
      </c>
      <c r="B71" s="58">
        <f>VLOOKUP($A71,'S0 remplacer avec S44'!$C:$BQ,32,0)</f>
        <v>275.8</v>
      </c>
      <c r="C71" s="58">
        <f>VLOOKUP($A71,'S0 remplacer avec S44'!$C:$BQ,39,0)</f>
        <v>77</v>
      </c>
      <c r="D71" s="58">
        <f>VLOOKUP($A71,'S0 remplacer avec S44'!$C:$BQ,40,0)</f>
        <v>148</v>
      </c>
      <c r="E71" s="58">
        <f>VLOOKUP($A71,'S0 remplacer avec S44'!$C:$BQ,22,0)</f>
        <v>2075.1427800000001</v>
      </c>
      <c r="F71" s="66">
        <f>VLOOKUP($A71,'S0 remplacer avec S44'!$C:$BQ,29,0)</f>
        <v>1132</v>
      </c>
      <c r="G71" s="66">
        <f>VLOOKUP($A71,'S0 remplacer avec S44'!$C:$BQ,30,0)</f>
        <v>1774</v>
      </c>
      <c r="H71" s="66">
        <f>VLOOKUP($A71,'S0 remplacer avec S44'!$C:$BQ,52,0)</f>
        <v>264.60000000000002</v>
      </c>
      <c r="I71" s="66">
        <f>VLOOKUP($A71,'S0 remplacer avec S44'!$C:$BQ,59,0)</f>
        <v>0</v>
      </c>
      <c r="J71" s="66">
        <f>VLOOKUP($A71,'S0 remplacer avec S44'!$C:$BQ,60,0)</f>
        <v>0</v>
      </c>
      <c r="K71" s="58">
        <f>VLOOKUP($A71,'S45'!$C:$BQ,32,0)</f>
        <v>281.8</v>
      </c>
      <c r="L71" s="58">
        <f>VLOOKUP($A71,'S45'!$C:$BQ,39,0)</f>
        <v>71</v>
      </c>
      <c r="M71" s="58">
        <f>VLOOKUP($A71,'S45'!$C:$BQ,40,0)</f>
        <v>142</v>
      </c>
      <c r="N71" s="58">
        <f>VLOOKUP($A71,'S45'!$C:$BQ,22,0)</f>
        <v>2141.6549100000002</v>
      </c>
      <c r="O71" s="66">
        <f>VLOOKUP($A71,'S45'!$C:$BQ,29,0)</f>
        <v>1066</v>
      </c>
      <c r="P71" s="66">
        <f>VLOOKUP($A71,'S45'!$C:$BQ,30,0)</f>
        <v>1707</v>
      </c>
      <c r="Q71" s="66">
        <f>VLOOKUP($A71,'S45'!$C:$BQ,52,0)</f>
        <v>265.60000000000002</v>
      </c>
      <c r="R71" s="66">
        <f>VLOOKUP($A71,'S45'!$C:$BQ,59,0)</f>
        <v>0</v>
      </c>
      <c r="S71" s="66">
        <f>VLOOKUP($A71,'S45'!$C:$BQ,60,0)</f>
        <v>0</v>
      </c>
      <c r="T71" s="58">
        <f>VLOOKUP($A71,'S46'!$C:$BQ,32,0)</f>
        <v>276.7</v>
      </c>
      <c r="U71" s="58">
        <f>VLOOKUP($A71,'S46'!$C:$BQ,39,0)</f>
        <v>76</v>
      </c>
      <c r="V71" s="58">
        <f>VLOOKUP($A71,'S46'!$C:$BQ,40,0)</f>
        <v>147</v>
      </c>
      <c r="W71" s="58">
        <f>VLOOKUP($A71,'S46'!$C:$BQ,22,0)</f>
        <v>2384.00342</v>
      </c>
      <c r="X71" s="66">
        <f>VLOOKUP($A71,'S46'!$C:$BQ,29,0)</f>
        <v>823</v>
      </c>
      <c r="Y71" s="66">
        <f>VLOOKUP($A71,'S46'!$C:$BQ,30,0)</f>
        <v>1465</v>
      </c>
      <c r="Z71" s="66">
        <f>VLOOKUP($A71,'S46'!$C:$BQ,52,0)</f>
        <v>265.60000000000002</v>
      </c>
      <c r="AA71" s="66">
        <f>VLOOKUP($A71,'S46'!$C:$BQ,59,0)</f>
        <v>0</v>
      </c>
      <c r="AB71" s="66">
        <f>VLOOKUP($A71,'S46'!$C:$BQ,60,0)</f>
        <v>0</v>
      </c>
      <c r="AC71" s="58">
        <f>VLOOKUP($A71,'S47'!$C:$BQ,32,0)</f>
        <v>277.2</v>
      </c>
      <c r="AD71" s="58">
        <f>VLOOKUP($A71,'S47'!$C:$BQ,39,0)</f>
        <v>76</v>
      </c>
      <c r="AE71" s="58">
        <f>VLOOKUP($A71,'S47'!$C:$BQ,40,0)</f>
        <v>146</v>
      </c>
      <c r="AF71" s="58">
        <f>VLOOKUP($A71,'S47'!$C:$BQ,22,0)</f>
        <v>2406.3740400000002</v>
      </c>
      <c r="AG71" s="66">
        <f>VLOOKUP($A71,'S47'!$C:$BQ,29,0)</f>
        <v>801</v>
      </c>
      <c r="AH71" s="66">
        <f>VLOOKUP($A71,'S47'!$C:$BQ,30,0)</f>
        <v>1442</v>
      </c>
      <c r="AI71" s="66">
        <f>VLOOKUP($A71,'S47'!$C:$BQ,52,0)</f>
        <v>265.60000000000002</v>
      </c>
      <c r="AJ71" s="66">
        <f>VLOOKUP($A71,'S47'!$C:$BQ,59,0)</f>
        <v>0</v>
      </c>
      <c r="AK71" s="66">
        <f>VLOOKUP($A71,'S47'!$C:$BQ,60,0)</f>
        <v>0</v>
      </c>
      <c r="AL71" s="58" t="e">
        <f>VLOOKUP($A71,'S48'!$C:$BQ,32,0)</f>
        <v>#N/A</v>
      </c>
      <c r="AM71" s="58" t="e">
        <f>VLOOKUP($A71,'S48'!$C:$BQ,39,0)</f>
        <v>#N/A</v>
      </c>
      <c r="AN71" s="58" t="e">
        <f>VLOOKUP($A71,'S48'!$C:$BQ,40,0)</f>
        <v>#N/A</v>
      </c>
      <c r="AO71" s="58" t="e">
        <f>VLOOKUP($A71,'S48'!$C:$BQ,22,0)</f>
        <v>#N/A</v>
      </c>
      <c r="AP71" s="66" t="e">
        <f>VLOOKUP($A71,'S48'!$C:$BQ,29,0)</f>
        <v>#N/A</v>
      </c>
      <c r="AQ71" s="66" t="e">
        <f>VLOOKUP($A71,'S48'!$C:$BQ,30,0)</f>
        <v>#N/A</v>
      </c>
      <c r="AR71" s="66" t="e">
        <f>VLOOKUP($A71,'S48'!$C:$BQ,52,0)</f>
        <v>#N/A</v>
      </c>
      <c r="AS71" s="66" t="e">
        <f>VLOOKUP($A71,'S48'!$C:$BQ,59,0)</f>
        <v>#N/A</v>
      </c>
      <c r="AT71" s="66" t="e">
        <f>VLOOKUP($A71,'S48'!$C:$BQ,60,0)</f>
        <v>#N/A</v>
      </c>
      <c r="AU71" s="58" t="e">
        <f>VLOOKUP($A71,'S49'!$C:$BQ,32,0)</f>
        <v>#N/A</v>
      </c>
      <c r="AV71" s="58" t="e">
        <f>VLOOKUP($A71,'S49'!$C:$BQ,39,0)</f>
        <v>#N/A</v>
      </c>
      <c r="AW71" s="58" t="e">
        <f>VLOOKUP($A71,'S49'!$C:$BQ,40,0)</f>
        <v>#N/A</v>
      </c>
      <c r="AX71" s="58" t="e">
        <f>VLOOKUP($A71,'S49'!$C:$BQ,22,0)</f>
        <v>#N/A</v>
      </c>
      <c r="AY71" s="66" t="e">
        <f>VLOOKUP($A71,'S49'!$C:$BQ,29,0)</f>
        <v>#N/A</v>
      </c>
      <c r="AZ71" s="66" t="e">
        <f>VLOOKUP($A71,'S49'!$C:$BQ,30,0)</f>
        <v>#N/A</v>
      </c>
      <c r="BA71" s="66" t="e">
        <f>VLOOKUP($A71,'S49'!$C:$BQ,52,0)</f>
        <v>#N/A</v>
      </c>
      <c r="BB71" s="66" t="e">
        <f>VLOOKUP($A71,'S49'!$C:$BQ,59,0)</f>
        <v>#N/A</v>
      </c>
      <c r="BC71" s="66" t="e">
        <f>VLOOKUP($A71,'S49'!$C:$BQ,60,0)</f>
        <v>#N/A</v>
      </c>
      <c r="BD71" s="58" t="e">
        <f>VLOOKUP($A71,'S50'!$C:$BQ,32,0)</f>
        <v>#N/A</v>
      </c>
      <c r="BE71" s="58" t="e">
        <f>VLOOKUP($A71,'S50'!$C:$BQ,39,0)</f>
        <v>#N/A</v>
      </c>
      <c r="BF71" s="58" t="e">
        <f>VLOOKUP($A71,'S50'!$C:$BQ,40,0)</f>
        <v>#N/A</v>
      </c>
      <c r="BG71" s="58" t="e">
        <f>VLOOKUP($A71,'S50'!$C:$BQ,22,0)</f>
        <v>#N/A</v>
      </c>
      <c r="BH71" s="66" t="e">
        <f>VLOOKUP($A71,'S50'!$C:$BQ,29,0)</f>
        <v>#N/A</v>
      </c>
      <c r="BI71" s="66" t="e">
        <f>VLOOKUP($A71,'S50'!$C:$BQ,30,0)</f>
        <v>#N/A</v>
      </c>
      <c r="BJ71" s="66" t="e">
        <f>VLOOKUP($A71,'S50'!$C:$BQ,52,0)</f>
        <v>#N/A</v>
      </c>
      <c r="BK71" s="66" t="e">
        <f>VLOOKUP($A71,'S50'!$C:$BQ,59,0)</f>
        <v>#N/A</v>
      </c>
      <c r="BL71" s="66" t="e">
        <f>VLOOKUP($A71,'S50'!$C:$BQ,60,0)</f>
        <v>#N/A</v>
      </c>
    </row>
    <row r="72" spans="1:64" x14ac:dyDescent="0.2">
      <c r="A72" s="57" t="s">
        <v>129</v>
      </c>
      <c r="B72" s="58">
        <f>VLOOKUP($A72,'S0 remplacer avec S44'!$C:$BQ,32,0)</f>
        <v>164.4</v>
      </c>
      <c r="C72" s="58">
        <f>VLOOKUP($A72,'S0 remplacer avec S44'!$C:$BQ,39,0)</f>
        <v>106</v>
      </c>
      <c r="D72" s="58">
        <f>VLOOKUP($A72,'S0 remplacer avec S44'!$C:$BQ,40,0)</f>
        <v>160</v>
      </c>
      <c r="E72" s="58">
        <f>VLOOKUP($A72,'S0 remplacer avec S44'!$C:$BQ,22,0)</f>
        <v>2294.0540299999998</v>
      </c>
      <c r="F72" s="66">
        <f>VLOOKUP($A72,'S0 remplacer avec S44'!$C:$BQ,29,0)</f>
        <v>163</v>
      </c>
      <c r="G72" s="66">
        <f>VLOOKUP($A72,'S0 remplacer avec S44'!$C:$BQ,30,0)</f>
        <v>654</v>
      </c>
      <c r="H72" s="66">
        <f>VLOOKUP($A72,'S0 remplacer avec S44'!$C:$BQ,52,0)</f>
        <v>123.4</v>
      </c>
      <c r="I72" s="66">
        <f>VLOOKUP($A72,'S0 remplacer avec S44'!$C:$BQ,59,0)</f>
        <v>14</v>
      </c>
      <c r="J72" s="66">
        <f>VLOOKUP($A72,'S0 remplacer avec S44'!$C:$BQ,60,0)</f>
        <v>42</v>
      </c>
      <c r="K72" s="58">
        <f>VLOOKUP($A72,'S45'!$C:$BQ,32,0)</f>
        <v>168.9</v>
      </c>
      <c r="L72" s="58">
        <f>VLOOKUP($A72,'S45'!$C:$BQ,39,0)</f>
        <v>102</v>
      </c>
      <c r="M72" s="58">
        <f>VLOOKUP($A72,'S45'!$C:$BQ,40,0)</f>
        <v>156</v>
      </c>
      <c r="N72" s="58">
        <f>VLOOKUP($A72,'S45'!$C:$BQ,22,0)</f>
        <v>2323.22325</v>
      </c>
      <c r="O72" s="66">
        <f>VLOOKUP($A72,'S45'!$C:$BQ,29,0)</f>
        <v>134</v>
      </c>
      <c r="P72" s="66">
        <f>VLOOKUP($A72,'S45'!$C:$BQ,30,0)</f>
        <v>625</v>
      </c>
      <c r="Q72" s="66">
        <f>VLOOKUP($A72,'S45'!$C:$BQ,52,0)</f>
        <v>125.4</v>
      </c>
      <c r="R72" s="66">
        <f>VLOOKUP($A72,'S45'!$C:$BQ,59,0)</f>
        <v>12</v>
      </c>
      <c r="S72" s="66">
        <f>VLOOKUP($A72,'S45'!$C:$BQ,60,0)</f>
        <v>40</v>
      </c>
      <c r="T72" s="58">
        <f>VLOOKUP($A72,'S46'!$C:$BQ,32,0)</f>
        <v>170.9</v>
      </c>
      <c r="U72" s="58">
        <f>VLOOKUP($A72,'S46'!$C:$BQ,39,0)</f>
        <v>100</v>
      </c>
      <c r="V72" s="58">
        <f>VLOOKUP($A72,'S46'!$C:$BQ,40,0)</f>
        <v>154</v>
      </c>
      <c r="W72" s="58">
        <f>VLOOKUP($A72,'S46'!$C:$BQ,22,0)</f>
        <v>2330.24368</v>
      </c>
      <c r="X72" s="66">
        <f>VLOOKUP($A72,'S46'!$C:$BQ,29,0)</f>
        <v>127</v>
      </c>
      <c r="Y72" s="66">
        <f>VLOOKUP($A72,'S46'!$C:$BQ,30,0)</f>
        <v>618</v>
      </c>
      <c r="Z72" s="66">
        <f>VLOOKUP($A72,'S46'!$C:$BQ,52,0)</f>
        <v>126.4</v>
      </c>
      <c r="AA72" s="66">
        <f>VLOOKUP($A72,'S46'!$C:$BQ,59,0)</f>
        <v>11</v>
      </c>
      <c r="AB72" s="66">
        <f>VLOOKUP($A72,'S46'!$C:$BQ,60,0)</f>
        <v>39</v>
      </c>
      <c r="AC72" s="58">
        <f>VLOOKUP($A72,'S47'!$C:$BQ,32,0)</f>
        <v>172.4</v>
      </c>
      <c r="AD72" s="58">
        <f>VLOOKUP($A72,'S47'!$C:$BQ,39,0)</f>
        <v>98</v>
      </c>
      <c r="AE72" s="58">
        <f>VLOOKUP($A72,'S47'!$C:$BQ,40,0)</f>
        <v>152</v>
      </c>
      <c r="AF72" s="58">
        <f>VLOOKUP($A72,'S47'!$C:$BQ,22,0)</f>
        <v>2473.3466800000001</v>
      </c>
      <c r="AG72" s="66">
        <f>VLOOKUP($A72,'S47'!$C:$BQ,29,0)</f>
        <v>0</v>
      </c>
      <c r="AH72" s="66">
        <f>VLOOKUP($A72,'S47'!$C:$BQ,30,0)</f>
        <v>475</v>
      </c>
      <c r="AI72" s="66">
        <f>VLOOKUP($A72,'S47'!$C:$BQ,52,0)</f>
        <v>133.4</v>
      </c>
      <c r="AJ72" s="66">
        <f>VLOOKUP($A72,'S47'!$C:$BQ,59,0)</f>
        <v>4</v>
      </c>
      <c r="AK72" s="66">
        <f>VLOOKUP($A72,'S47'!$C:$BQ,60,0)</f>
        <v>32</v>
      </c>
      <c r="AL72" s="58" t="e">
        <f>VLOOKUP($A72,'S48'!$C:$BQ,32,0)</f>
        <v>#N/A</v>
      </c>
      <c r="AM72" s="58" t="e">
        <f>VLOOKUP($A72,'S48'!$C:$BQ,39,0)</f>
        <v>#N/A</v>
      </c>
      <c r="AN72" s="58" t="e">
        <f>VLOOKUP($A72,'S48'!$C:$BQ,40,0)</f>
        <v>#N/A</v>
      </c>
      <c r="AO72" s="58" t="e">
        <f>VLOOKUP($A72,'S48'!$C:$BQ,22,0)</f>
        <v>#N/A</v>
      </c>
      <c r="AP72" s="66" t="e">
        <f>VLOOKUP($A72,'S48'!$C:$BQ,29,0)</f>
        <v>#N/A</v>
      </c>
      <c r="AQ72" s="66" t="e">
        <f>VLOOKUP($A72,'S48'!$C:$BQ,30,0)</f>
        <v>#N/A</v>
      </c>
      <c r="AR72" s="66" t="e">
        <f>VLOOKUP($A72,'S48'!$C:$BQ,52,0)</f>
        <v>#N/A</v>
      </c>
      <c r="AS72" s="66" t="e">
        <f>VLOOKUP($A72,'S48'!$C:$BQ,59,0)</f>
        <v>#N/A</v>
      </c>
      <c r="AT72" s="66" t="e">
        <f>VLOOKUP($A72,'S48'!$C:$BQ,60,0)</f>
        <v>#N/A</v>
      </c>
      <c r="AU72" s="58" t="e">
        <f>VLOOKUP($A72,'S49'!$C:$BQ,32,0)</f>
        <v>#N/A</v>
      </c>
      <c r="AV72" s="58" t="e">
        <f>VLOOKUP($A72,'S49'!$C:$BQ,39,0)</f>
        <v>#N/A</v>
      </c>
      <c r="AW72" s="58" t="e">
        <f>VLOOKUP($A72,'S49'!$C:$BQ,40,0)</f>
        <v>#N/A</v>
      </c>
      <c r="AX72" s="58" t="e">
        <f>VLOOKUP($A72,'S49'!$C:$BQ,22,0)</f>
        <v>#N/A</v>
      </c>
      <c r="AY72" s="66" t="e">
        <f>VLOOKUP($A72,'S49'!$C:$BQ,29,0)</f>
        <v>#N/A</v>
      </c>
      <c r="AZ72" s="66" t="e">
        <f>VLOOKUP($A72,'S49'!$C:$BQ,30,0)</f>
        <v>#N/A</v>
      </c>
      <c r="BA72" s="66" t="e">
        <f>VLOOKUP($A72,'S49'!$C:$BQ,52,0)</f>
        <v>#N/A</v>
      </c>
      <c r="BB72" s="66" t="e">
        <f>VLOOKUP($A72,'S49'!$C:$BQ,59,0)</f>
        <v>#N/A</v>
      </c>
      <c r="BC72" s="66" t="e">
        <f>VLOOKUP($A72,'S49'!$C:$BQ,60,0)</f>
        <v>#N/A</v>
      </c>
      <c r="BD72" s="58" t="e">
        <f>VLOOKUP($A72,'S50'!$C:$BQ,32,0)</f>
        <v>#N/A</v>
      </c>
      <c r="BE72" s="58" t="e">
        <f>VLOOKUP($A72,'S50'!$C:$BQ,39,0)</f>
        <v>#N/A</v>
      </c>
      <c r="BF72" s="58" t="e">
        <f>VLOOKUP($A72,'S50'!$C:$BQ,40,0)</f>
        <v>#N/A</v>
      </c>
      <c r="BG72" s="58" t="e">
        <f>VLOOKUP($A72,'S50'!$C:$BQ,22,0)</f>
        <v>#N/A</v>
      </c>
      <c r="BH72" s="66" t="e">
        <f>VLOOKUP($A72,'S50'!$C:$BQ,29,0)</f>
        <v>#N/A</v>
      </c>
      <c r="BI72" s="66" t="e">
        <f>VLOOKUP($A72,'S50'!$C:$BQ,30,0)</f>
        <v>#N/A</v>
      </c>
      <c r="BJ72" s="66" t="e">
        <f>VLOOKUP($A72,'S50'!$C:$BQ,52,0)</f>
        <v>#N/A</v>
      </c>
      <c r="BK72" s="66" t="e">
        <f>VLOOKUP($A72,'S50'!$C:$BQ,59,0)</f>
        <v>#N/A</v>
      </c>
      <c r="BL72" s="66" t="e">
        <f>VLOOKUP($A72,'S50'!$C:$BQ,60,0)</f>
        <v>#N/A</v>
      </c>
    </row>
    <row r="73" spans="1:64" x14ac:dyDescent="0.2">
      <c r="A73" s="57" t="s">
        <v>130</v>
      </c>
      <c r="B73" s="58">
        <f>VLOOKUP($A73,'S0 remplacer avec S44'!$C:$BQ,32,0)</f>
        <v>257</v>
      </c>
      <c r="C73" s="58">
        <f>VLOOKUP($A73,'S0 remplacer avec S44'!$C:$BQ,39,0)</f>
        <v>119</v>
      </c>
      <c r="D73" s="58">
        <f>VLOOKUP($A73,'S0 remplacer avec S44'!$C:$BQ,40,0)</f>
        <v>194</v>
      </c>
      <c r="E73" s="58">
        <f>VLOOKUP($A73,'S0 remplacer avec S44'!$C:$BQ,22,0)</f>
        <v>3350.6094199999998</v>
      </c>
      <c r="F73" s="66">
        <f>VLOOKUP($A73,'S0 remplacer avec S44'!$C:$BQ,29,0)</f>
        <v>65</v>
      </c>
      <c r="G73" s="66">
        <f>VLOOKUP($A73,'S0 remplacer avec S44'!$C:$BQ,30,0)</f>
        <v>748</v>
      </c>
      <c r="H73" s="66">
        <f>VLOOKUP($A73,'S0 remplacer avec S44'!$C:$BQ,52,0)</f>
        <v>206</v>
      </c>
      <c r="I73" s="66">
        <f>VLOOKUP($A73,'S0 remplacer avec S44'!$C:$BQ,59,0)</f>
        <v>0</v>
      </c>
      <c r="J73" s="66">
        <f>VLOOKUP($A73,'S0 remplacer avec S44'!$C:$BQ,60,0)</f>
        <v>23</v>
      </c>
      <c r="K73" s="58">
        <f>VLOOKUP($A73,'S45'!$C:$BQ,32,0)</f>
        <v>258</v>
      </c>
      <c r="L73" s="58">
        <f>VLOOKUP($A73,'S45'!$C:$BQ,39,0)</f>
        <v>118</v>
      </c>
      <c r="M73" s="58">
        <f>VLOOKUP($A73,'S45'!$C:$BQ,40,0)</f>
        <v>193</v>
      </c>
      <c r="N73" s="58">
        <f>VLOOKUP($A73,'S45'!$C:$BQ,22,0)</f>
        <v>3389.68199</v>
      </c>
      <c r="O73" s="66">
        <f>VLOOKUP($A73,'S45'!$C:$BQ,29,0)</f>
        <v>26</v>
      </c>
      <c r="P73" s="66">
        <f>VLOOKUP($A73,'S45'!$C:$BQ,30,0)</f>
        <v>709</v>
      </c>
      <c r="Q73" s="66">
        <f>VLOOKUP($A73,'S45'!$C:$BQ,52,0)</f>
        <v>212</v>
      </c>
      <c r="R73" s="66">
        <f>VLOOKUP($A73,'S45'!$C:$BQ,59,0)</f>
        <v>0</v>
      </c>
      <c r="S73" s="66">
        <f>VLOOKUP($A73,'S45'!$C:$BQ,60,0)</f>
        <v>17</v>
      </c>
      <c r="T73" s="58">
        <f>VLOOKUP($A73,'S46'!$C:$BQ,32,0)</f>
        <v>257.5</v>
      </c>
      <c r="U73" s="58">
        <f>VLOOKUP($A73,'S46'!$C:$BQ,39,0)</f>
        <v>118</v>
      </c>
      <c r="V73" s="58">
        <f>VLOOKUP($A73,'S46'!$C:$BQ,40,0)</f>
        <v>194</v>
      </c>
      <c r="W73" s="58">
        <f>VLOOKUP($A73,'S46'!$C:$BQ,22,0)</f>
        <v>3398.10059</v>
      </c>
      <c r="X73" s="66">
        <f>VLOOKUP($A73,'S46'!$C:$BQ,29,0)</f>
        <v>17</v>
      </c>
      <c r="Y73" s="66">
        <f>VLOOKUP($A73,'S46'!$C:$BQ,30,0)</f>
        <v>700</v>
      </c>
      <c r="Z73" s="66">
        <f>VLOOKUP($A73,'S46'!$C:$BQ,52,0)</f>
        <v>213</v>
      </c>
      <c r="AA73" s="66">
        <f>VLOOKUP($A73,'S46'!$C:$BQ,59,0)</f>
        <v>0</v>
      </c>
      <c r="AB73" s="66">
        <f>VLOOKUP($A73,'S46'!$C:$BQ,60,0)</f>
        <v>16</v>
      </c>
      <c r="AC73" s="58">
        <f>VLOOKUP($A73,'S47'!$C:$BQ,32,0)</f>
        <v>258.5</v>
      </c>
      <c r="AD73" s="58">
        <f>VLOOKUP($A73,'S47'!$C:$BQ,39,0)</f>
        <v>117</v>
      </c>
      <c r="AE73" s="58">
        <f>VLOOKUP($A73,'S47'!$C:$BQ,40,0)</f>
        <v>193</v>
      </c>
      <c r="AF73" s="58">
        <f>VLOOKUP($A73,'S47'!$C:$BQ,22,0)</f>
        <v>3462.32681</v>
      </c>
      <c r="AG73" s="66">
        <f>VLOOKUP($A73,'S47'!$C:$BQ,29,0)</f>
        <v>0</v>
      </c>
      <c r="AH73" s="66">
        <f>VLOOKUP($A73,'S47'!$C:$BQ,30,0)</f>
        <v>636</v>
      </c>
      <c r="AI73" s="66">
        <f>VLOOKUP($A73,'S47'!$C:$BQ,52,0)</f>
        <v>216</v>
      </c>
      <c r="AJ73" s="66">
        <f>VLOOKUP($A73,'S47'!$C:$BQ,59,0)</f>
        <v>0</v>
      </c>
      <c r="AK73" s="66">
        <f>VLOOKUP($A73,'S47'!$C:$BQ,60,0)</f>
        <v>13</v>
      </c>
      <c r="AL73" s="58" t="e">
        <f>VLOOKUP($A73,'S48'!$C:$BQ,32,0)</f>
        <v>#N/A</v>
      </c>
      <c r="AM73" s="58" t="e">
        <f>VLOOKUP($A73,'S48'!$C:$BQ,39,0)</f>
        <v>#N/A</v>
      </c>
      <c r="AN73" s="58" t="e">
        <f>VLOOKUP($A73,'S48'!$C:$BQ,40,0)</f>
        <v>#N/A</v>
      </c>
      <c r="AO73" s="58" t="e">
        <f>VLOOKUP($A73,'S48'!$C:$BQ,22,0)</f>
        <v>#N/A</v>
      </c>
      <c r="AP73" s="66" t="e">
        <f>VLOOKUP($A73,'S48'!$C:$BQ,29,0)</f>
        <v>#N/A</v>
      </c>
      <c r="AQ73" s="66" t="e">
        <f>VLOOKUP($A73,'S48'!$C:$BQ,30,0)</f>
        <v>#N/A</v>
      </c>
      <c r="AR73" s="66" t="e">
        <f>VLOOKUP($A73,'S48'!$C:$BQ,52,0)</f>
        <v>#N/A</v>
      </c>
      <c r="AS73" s="66" t="e">
        <f>VLOOKUP($A73,'S48'!$C:$BQ,59,0)</f>
        <v>#N/A</v>
      </c>
      <c r="AT73" s="66" t="e">
        <f>VLOOKUP($A73,'S48'!$C:$BQ,60,0)</f>
        <v>#N/A</v>
      </c>
      <c r="AU73" s="58" t="e">
        <f>VLOOKUP($A73,'S49'!$C:$BQ,32,0)</f>
        <v>#N/A</v>
      </c>
      <c r="AV73" s="58" t="e">
        <f>VLOOKUP($A73,'S49'!$C:$BQ,39,0)</f>
        <v>#N/A</v>
      </c>
      <c r="AW73" s="58" t="e">
        <f>VLOOKUP($A73,'S49'!$C:$BQ,40,0)</f>
        <v>#N/A</v>
      </c>
      <c r="AX73" s="58" t="e">
        <f>VLOOKUP($A73,'S49'!$C:$BQ,22,0)</f>
        <v>#N/A</v>
      </c>
      <c r="AY73" s="66" t="e">
        <f>VLOOKUP($A73,'S49'!$C:$BQ,29,0)</f>
        <v>#N/A</v>
      </c>
      <c r="AZ73" s="66" t="e">
        <f>VLOOKUP($A73,'S49'!$C:$BQ,30,0)</f>
        <v>#N/A</v>
      </c>
      <c r="BA73" s="66" t="e">
        <f>VLOOKUP($A73,'S49'!$C:$BQ,52,0)</f>
        <v>#N/A</v>
      </c>
      <c r="BB73" s="66" t="e">
        <f>VLOOKUP($A73,'S49'!$C:$BQ,59,0)</f>
        <v>#N/A</v>
      </c>
      <c r="BC73" s="66" t="e">
        <f>VLOOKUP($A73,'S49'!$C:$BQ,60,0)</f>
        <v>#N/A</v>
      </c>
      <c r="BD73" s="58" t="e">
        <f>VLOOKUP($A73,'S50'!$C:$BQ,32,0)</f>
        <v>#N/A</v>
      </c>
      <c r="BE73" s="58" t="e">
        <f>VLOOKUP($A73,'S50'!$C:$BQ,39,0)</f>
        <v>#N/A</v>
      </c>
      <c r="BF73" s="58" t="e">
        <f>VLOOKUP($A73,'S50'!$C:$BQ,40,0)</f>
        <v>#N/A</v>
      </c>
      <c r="BG73" s="58" t="e">
        <f>VLOOKUP($A73,'S50'!$C:$BQ,22,0)</f>
        <v>#N/A</v>
      </c>
      <c r="BH73" s="66" t="e">
        <f>VLOOKUP($A73,'S50'!$C:$BQ,29,0)</f>
        <v>#N/A</v>
      </c>
      <c r="BI73" s="66" t="e">
        <f>VLOOKUP($A73,'S50'!$C:$BQ,30,0)</f>
        <v>#N/A</v>
      </c>
      <c r="BJ73" s="66" t="e">
        <f>VLOOKUP($A73,'S50'!$C:$BQ,52,0)</f>
        <v>#N/A</v>
      </c>
      <c r="BK73" s="66" t="e">
        <f>VLOOKUP($A73,'S50'!$C:$BQ,59,0)</f>
        <v>#N/A</v>
      </c>
      <c r="BL73" s="66" t="e">
        <f>VLOOKUP($A73,'S50'!$C:$BQ,60,0)</f>
        <v>#N/A</v>
      </c>
    </row>
    <row r="74" spans="1:64" x14ac:dyDescent="0.2">
      <c r="A74" s="57" t="s">
        <v>131</v>
      </c>
      <c r="B74" s="58">
        <f>VLOOKUP($A74,'S0 remplacer avec S44'!$C:$BQ,32,0)</f>
        <v>517.6</v>
      </c>
      <c r="C74" s="58">
        <f>VLOOKUP($A74,'S0 remplacer avec S44'!$C:$BQ,39,0)</f>
        <v>17</v>
      </c>
      <c r="D74" s="58">
        <f>VLOOKUP($A74,'S0 remplacer avec S44'!$C:$BQ,40,0)</f>
        <v>124</v>
      </c>
      <c r="E74" s="58">
        <f>VLOOKUP($A74,'S0 remplacer avec S44'!$C:$BQ,22,0)</f>
        <v>3411.2687799999999</v>
      </c>
      <c r="F74" s="66">
        <f>VLOOKUP($A74,'S0 remplacer avec S44'!$C:$BQ,29,0)</f>
        <v>1445</v>
      </c>
      <c r="G74" s="66">
        <f>VLOOKUP($A74,'S0 remplacer avec S44'!$C:$BQ,30,0)</f>
        <v>2416</v>
      </c>
      <c r="H74" s="66">
        <f>VLOOKUP($A74,'S0 remplacer avec S44'!$C:$BQ,52,0)</f>
        <v>674.8</v>
      </c>
      <c r="I74" s="66">
        <f>VLOOKUP($A74,'S0 remplacer avec S44'!$C:$BQ,59,0)</f>
        <v>0</v>
      </c>
      <c r="J74" s="66">
        <f>VLOOKUP($A74,'S0 remplacer avec S44'!$C:$BQ,60,0)</f>
        <v>0</v>
      </c>
      <c r="K74" s="58">
        <f>VLOOKUP($A74,'S45'!$C:$BQ,32,0)</f>
        <v>523.6</v>
      </c>
      <c r="L74" s="58">
        <f>VLOOKUP($A74,'S45'!$C:$BQ,39,0)</f>
        <v>11</v>
      </c>
      <c r="M74" s="58">
        <f>VLOOKUP($A74,'S45'!$C:$BQ,40,0)</f>
        <v>118</v>
      </c>
      <c r="N74" s="58">
        <f>VLOOKUP($A74,'S45'!$C:$BQ,22,0)</f>
        <v>3394.5190299999999</v>
      </c>
      <c r="O74" s="66">
        <f>VLOOKUP($A74,'S45'!$C:$BQ,29,0)</f>
        <v>1461</v>
      </c>
      <c r="P74" s="66">
        <f>VLOOKUP($A74,'S45'!$C:$BQ,30,0)</f>
        <v>2433</v>
      </c>
      <c r="Q74" s="66">
        <f>VLOOKUP($A74,'S45'!$C:$BQ,52,0)</f>
        <v>689.8</v>
      </c>
      <c r="R74" s="66">
        <f>VLOOKUP($A74,'S45'!$C:$BQ,59,0)</f>
        <v>0</v>
      </c>
      <c r="S74" s="66">
        <f>VLOOKUP($A74,'S45'!$C:$BQ,60,0)</f>
        <v>0</v>
      </c>
      <c r="T74" s="58">
        <f>VLOOKUP($A74,'S46'!$C:$BQ,32,0)</f>
        <v>524.6</v>
      </c>
      <c r="U74" s="58">
        <f>VLOOKUP($A74,'S46'!$C:$BQ,39,0)</f>
        <v>10</v>
      </c>
      <c r="V74" s="58">
        <f>VLOOKUP($A74,'S46'!$C:$BQ,40,0)</f>
        <v>117</v>
      </c>
      <c r="W74" s="58">
        <f>VLOOKUP($A74,'S46'!$C:$BQ,22,0)</f>
        <v>3394.1264000000001</v>
      </c>
      <c r="X74" s="66">
        <f>VLOOKUP($A74,'S46'!$C:$BQ,29,0)</f>
        <v>1462</v>
      </c>
      <c r="Y74" s="66">
        <f>VLOOKUP($A74,'S46'!$C:$BQ,30,0)</f>
        <v>2433</v>
      </c>
      <c r="Z74" s="66">
        <f>VLOOKUP($A74,'S46'!$C:$BQ,52,0)</f>
        <v>697.8</v>
      </c>
      <c r="AA74" s="66">
        <f>VLOOKUP($A74,'S46'!$C:$BQ,59,0)</f>
        <v>0</v>
      </c>
      <c r="AB74" s="66">
        <f>VLOOKUP($A74,'S46'!$C:$BQ,60,0)</f>
        <v>0</v>
      </c>
      <c r="AC74" s="58">
        <f>VLOOKUP($A74,'S47'!$C:$BQ,32,0)</f>
        <v>526.6</v>
      </c>
      <c r="AD74" s="58">
        <f>VLOOKUP($A74,'S47'!$C:$BQ,39,0)</f>
        <v>8</v>
      </c>
      <c r="AE74" s="58">
        <f>VLOOKUP($A74,'S47'!$C:$BQ,40,0)</f>
        <v>115</v>
      </c>
      <c r="AF74" s="58">
        <f>VLOOKUP($A74,'S47'!$C:$BQ,22,0)</f>
        <v>3483.6713300000001</v>
      </c>
      <c r="AG74" s="66">
        <f>VLOOKUP($A74,'S47'!$C:$BQ,29,0)</f>
        <v>1372</v>
      </c>
      <c r="AH74" s="66">
        <f>VLOOKUP($A74,'S47'!$C:$BQ,30,0)</f>
        <v>2343</v>
      </c>
      <c r="AI74" s="66">
        <f>VLOOKUP($A74,'S47'!$C:$BQ,52,0)</f>
        <v>716</v>
      </c>
      <c r="AJ74" s="66">
        <f>VLOOKUP($A74,'S47'!$C:$BQ,59,0)</f>
        <v>0</v>
      </c>
      <c r="AK74" s="66">
        <f>VLOOKUP($A74,'S47'!$C:$BQ,60,0)</f>
        <v>0</v>
      </c>
      <c r="AL74" s="58" t="e">
        <f>VLOOKUP($A74,'S48'!$C:$BQ,32,0)</f>
        <v>#N/A</v>
      </c>
      <c r="AM74" s="58" t="e">
        <f>VLOOKUP($A74,'S48'!$C:$BQ,39,0)</f>
        <v>#N/A</v>
      </c>
      <c r="AN74" s="58" t="e">
        <f>VLOOKUP($A74,'S48'!$C:$BQ,40,0)</f>
        <v>#N/A</v>
      </c>
      <c r="AO74" s="58" t="e">
        <f>VLOOKUP($A74,'S48'!$C:$BQ,22,0)</f>
        <v>#N/A</v>
      </c>
      <c r="AP74" s="66" t="e">
        <f>VLOOKUP($A74,'S48'!$C:$BQ,29,0)</f>
        <v>#N/A</v>
      </c>
      <c r="AQ74" s="66" t="e">
        <f>VLOOKUP($A74,'S48'!$C:$BQ,30,0)</f>
        <v>#N/A</v>
      </c>
      <c r="AR74" s="66" t="e">
        <f>VLOOKUP($A74,'S48'!$C:$BQ,52,0)</f>
        <v>#N/A</v>
      </c>
      <c r="AS74" s="66" t="e">
        <f>VLOOKUP($A74,'S48'!$C:$BQ,59,0)</f>
        <v>#N/A</v>
      </c>
      <c r="AT74" s="66" t="e">
        <f>VLOOKUP($A74,'S48'!$C:$BQ,60,0)</f>
        <v>#N/A</v>
      </c>
      <c r="AU74" s="58" t="e">
        <f>VLOOKUP($A74,'S49'!$C:$BQ,32,0)</f>
        <v>#N/A</v>
      </c>
      <c r="AV74" s="58" t="e">
        <f>VLOOKUP($A74,'S49'!$C:$BQ,39,0)</f>
        <v>#N/A</v>
      </c>
      <c r="AW74" s="58" t="e">
        <f>VLOOKUP($A74,'S49'!$C:$BQ,40,0)</f>
        <v>#N/A</v>
      </c>
      <c r="AX74" s="58" t="e">
        <f>VLOOKUP($A74,'S49'!$C:$BQ,22,0)</f>
        <v>#N/A</v>
      </c>
      <c r="AY74" s="66" t="e">
        <f>VLOOKUP($A74,'S49'!$C:$BQ,29,0)</f>
        <v>#N/A</v>
      </c>
      <c r="AZ74" s="66" t="e">
        <f>VLOOKUP($A74,'S49'!$C:$BQ,30,0)</f>
        <v>#N/A</v>
      </c>
      <c r="BA74" s="66" t="e">
        <f>VLOOKUP($A74,'S49'!$C:$BQ,52,0)</f>
        <v>#N/A</v>
      </c>
      <c r="BB74" s="66" t="e">
        <f>VLOOKUP($A74,'S49'!$C:$BQ,59,0)</f>
        <v>#N/A</v>
      </c>
      <c r="BC74" s="66" t="e">
        <f>VLOOKUP($A74,'S49'!$C:$BQ,60,0)</f>
        <v>#N/A</v>
      </c>
      <c r="BD74" s="58" t="e">
        <f>VLOOKUP($A74,'S50'!$C:$BQ,32,0)</f>
        <v>#N/A</v>
      </c>
      <c r="BE74" s="58" t="e">
        <f>VLOOKUP($A74,'S50'!$C:$BQ,39,0)</f>
        <v>#N/A</v>
      </c>
      <c r="BF74" s="58" t="e">
        <f>VLOOKUP($A74,'S50'!$C:$BQ,40,0)</f>
        <v>#N/A</v>
      </c>
      <c r="BG74" s="58" t="e">
        <f>VLOOKUP($A74,'S50'!$C:$BQ,22,0)</f>
        <v>#N/A</v>
      </c>
      <c r="BH74" s="66" t="e">
        <f>VLOOKUP($A74,'S50'!$C:$BQ,29,0)</f>
        <v>#N/A</v>
      </c>
      <c r="BI74" s="66" t="e">
        <f>VLOOKUP($A74,'S50'!$C:$BQ,30,0)</f>
        <v>#N/A</v>
      </c>
      <c r="BJ74" s="66" t="e">
        <f>VLOOKUP($A74,'S50'!$C:$BQ,52,0)</f>
        <v>#N/A</v>
      </c>
      <c r="BK74" s="66" t="e">
        <f>VLOOKUP($A74,'S50'!$C:$BQ,59,0)</f>
        <v>#N/A</v>
      </c>
      <c r="BL74" s="66" t="e">
        <f>VLOOKUP($A74,'S50'!$C:$BQ,60,0)</f>
        <v>#N/A</v>
      </c>
    </row>
    <row r="75" spans="1:64" x14ac:dyDescent="0.2">
      <c r="A75" s="57" t="s">
        <v>132</v>
      </c>
      <c r="B75" s="58">
        <f>VLOOKUP($A75,'S0 remplacer avec S44'!$C:$BQ,32,0)</f>
        <v>129.94999999999999</v>
      </c>
      <c r="C75" s="58">
        <f>VLOOKUP($A75,'S0 remplacer avec S44'!$C:$BQ,39,0)</f>
        <v>46</v>
      </c>
      <c r="D75" s="58">
        <f>VLOOKUP($A75,'S0 remplacer avec S44'!$C:$BQ,40,0)</f>
        <v>81</v>
      </c>
      <c r="E75" s="58">
        <f>VLOOKUP($A75,'S0 remplacer avec S44'!$C:$BQ,22,0)</f>
        <v>630.70265500000005</v>
      </c>
      <c r="F75" s="66">
        <f>VLOOKUP($A75,'S0 remplacer avec S44'!$C:$BQ,29,0)</f>
        <v>969</v>
      </c>
      <c r="G75" s="66">
        <f>VLOOKUP($A75,'S0 remplacer avec S44'!$C:$BQ,30,0)</f>
        <v>1288</v>
      </c>
      <c r="H75" s="66">
        <f>VLOOKUP($A75,'S0 remplacer avec S44'!$C:$BQ,52,0)</f>
        <v>95.4</v>
      </c>
      <c r="I75" s="66">
        <f>VLOOKUP($A75,'S0 remplacer avec S44'!$C:$BQ,59,0)</f>
        <v>0</v>
      </c>
      <c r="J75" s="66">
        <f>VLOOKUP($A75,'S0 remplacer avec S44'!$C:$BQ,60,0)</f>
        <v>12</v>
      </c>
      <c r="K75" s="58">
        <f>VLOOKUP($A75,'S45'!$C:$BQ,32,0)</f>
        <v>130.44999999999999</v>
      </c>
      <c r="L75" s="58">
        <f>VLOOKUP($A75,'S45'!$C:$BQ,39,0)</f>
        <v>46</v>
      </c>
      <c r="M75" s="58">
        <f>VLOOKUP($A75,'S45'!$C:$BQ,40,0)</f>
        <v>81</v>
      </c>
      <c r="N75" s="58">
        <f>VLOOKUP($A75,'S45'!$C:$BQ,22,0)</f>
        <v>630.87840500000004</v>
      </c>
      <c r="O75" s="66">
        <f>VLOOKUP($A75,'S45'!$C:$BQ,29,0)</f>
        <v>968</v>
      </c>
      <c r="P75" s="66">
        <f>VLOOKUP($A75,'S45'!$C:$BQ,30,0)</f>
        <v>1288</v>
      </c>
      <c r="Q75" s="66">
        <f>VLOOKUP($A75,'S45'!$C:$BQ,52,0)</f>
        <v>96.4</v>
      </c>
      <c r="R75" s="66">
        <f>VLOOKUP($A75,'S45'!$C:$BQ,59,0)</f>
        <v>0</v>
      </c>
      <c r="S75" s="66">
        <f>VLOOKUP($A75,'S45'!$C:$BQ,60,0)</f>
        <v>11</v>
      </c>
      <c r="T75" s="58">
        <f>VLOOKUP($A75,'S46'!$C:$BQ,32,0)</f>
        <v>131.44999999999999</v>
      </c>
      <c r="U75" s="58">
        <f>VLOOKUP($A75,'S46'!$C:$BQ,39,0)</f>
        <v>45</v>
      </c>
      <c r="V75" s="58">
        <f>VLOOKUP($A75,'S46'!$C:$BQ,40,0)</f>
        <v>80</v>
      </c>
      <c r="W75" s="58">
        <f>VLOOKUP($A75,'S46'!$C:$BQ,22,0)</f>
        <v>631.27008499999999</v>
      </c>
      <c r="X75" s="66">
        <f>VLOOKUP($A75,'S46'!$C:$BQ,29,0)</f>
        <v>968</v>
      </c>
      <c r="Y75" s="66">
        <f>VLOOKUP($A75,'S46'!$C:$BQ,30,0)</f>
        <v>1288</v>
      </c>
      <c r="Z75" s="66">
        <f>VLOOKUP($A75,'S46'!$C:$BQ,52,0)</f>
        <v>96.4</v>
      </c>
      <c r="AA75" s="66">
        <f>VLOOKUP($A75,'S46'!$C:$BQ,59,0)</f>
        <v>0</v>
      </c>
      <c r="AB75" s="66">
        <f>VLOOKUP($A75,'S46'!$C:$BQ,60,0)</f>
        <v>11</v>
      </c>
      <c r="AC75" s="58">
        <f>VLOOKUP($A75,'S47'!$C:$BQ,32,0)</f>
        <v>131.94999999999999</v>
      </c>
      <c r="AD75" s="58">
        <f>VLOOKUP($A75,'S47'!$C:$BQ,39,0)</f>
        <v>44</v>
      </c>
      <c r="AE75" s="58">
        <f>VLOOKUP($A75,'S47'!$C:$BQ,40,0)</f>
        <v>79</v>
      </c>
      <c r="AF75" s="58">
        <f>VLOOKUP($A75,'S47'!$C:$BQ,22,0)</f>
        <v>718.69268499999998</v>
      </c>
      <c r="AG75" s="66">
        <f>VLOOKUP($A75,'S47'!$C:$BQ,29,0)</f>
        <v>881</v>
      </c>
      <c r="AH75" s="66">
        <f>VLOOKUP($A75,'S47'!$C:$BQ,30,0)</f>
        <v>1200</v>
      </c>
      <c r="AI75" s="66">
        <f>VLOOKUP($A75,'S47'!$C:$BQ,52,0)</f>
        <v>98.4</v>
      </c>
      <c r="AJ75" s="66">
        <f>VLOOKUP($A75,'S47'!$C:$BQ,59,0)</f>
        <v>0</v>
      </c>
      <c r="AK75" s="66">
        <f>VLOOKUP($A75,'S47'!$C:$BQ,60,0)</f>
        <v>9</v>
      </c>
      <c r="AL75" s="58" t="e">
        <f>VLOOKUP($A75,'S48'!$C:$BQ,32,0)</f>
        <v>#N/A</v>
      </c>
      <c r="AM75" s="58" t="e">
        <f>VLOOKUP($A75,'S48'!$C:$BQ,39,0)</f>
        <v>#N/A</v>
      </c>
      <c r="AN75" s="58" t="e">
        <f>VLOOKUP($A75,'S48'!$C:$BQ,40,0)</f>
        <v>#N/A</v>
      </c>
      <c r="AO75" s="58" t="e">
        <f>VLOOKUP($A75,'S48'!$C:$BQ,22,0)</f>
        <v>#N/A</v>
      </c>
      <c r="AP75" s="66" t="e">
        <f>VLOOKUP($A75,'S48'!$C:$BQ,29,0)</f>
        <v>#N/A</v>
      </c>
      <c r="AQ75" s="66" t="e">
        <f>VLOOKUP($A75,'S48'!$C:$BQ,30,0)</f>
        <v>#N/A</v>
      </c>
      <c r="AR75" s="66" t="e">
        <f>VLOOKUP($A75,'S48'!$C:$BQ,52,0)</f>
        <v>#N/A</v>
      </c>
      <c r="AS75" s="66" t="e">
        <f>VLOOKUP($A75,'S48'!$C:$BQ,59,0)</f>
        <v>#N/A</v>
      </c>
      <c r="AT75" s="66" t="e">
        <f>VLOOKUP($A75,'S48'!$C:$BQ,60,0)</f>
        <v>#N/A</v>
      </c>
      <c r="AU75" s="58" t="e">
        <f>VLOOKUP($A75,'S49'!$C:$BQ,32,0)</f>
        <v>#N/A</v>
      </c>
      <c r="AV75" s="58" t="e">
        <f>VLOOKUP($A75,'S49'!$C:$BQ,39,0)</f>
        <v>#N/A</v>
      </c>
      <c r="AW75" s="58" t="e">
        <f>VLOOKUP($A75,'S49'!$C:$BQ,40,0)</f>
        <v>#N/A</v>
      </c>
      <c r="AX75" s="58" t="e">
        <f>VLOOKUP($A75,'S49'!$C:$BQ,22,0)</f>
        <v>#N/A</v>
      </c>
      <c r="AY75" s="66" t="e">
        <f>VLOOKUP($A75,'S49'!$C:$BQ,29,0)</f>
        <v>#N/A</v>
      </c>
      <c r="AZ75" s="66" t="e">
        <f>VLOOKUP($A75,'S49'!$C:$BQ,30,0)</f>
        <v>#N/A</v>
      </c>
      <c r="BA75" s="66" t="e">
        <f>VLOOKUP($A75,'S49'!$C:$BQ,52,0)</f>
        <v>#N/A</v>
      </c>
      <c r="BB75" s="66" t="e">
        <f>VLOOKUP($A75,'S49'!$C:$BQ,59,0)</f>
        <v>#N/A</v>
      </c>
      <c r="BC75" s="66" t="e">
        <f>VLOOKUP($A75,'S49'!$C:$BQ,60,0)</f>
        <v>#N/A</v>
      </c>
      <c r="BD75" s="58" t="e">
        <f>VLOOKUP($A75,'S50'!$C:$BQ,32,0)</f>
        <v>#N/A</v>
      </c>
      <c r="BE75" s="58" t="e">
        <f>VLOOKUP($A75,'S50'!$C:$BQ,39,0)</f>
        <v>#N/A</v>
      </c>
      <c r="BF75" s="58" t="e">
        <f>VLOOKUP($A75,'S50'!$C:$BQ,40,0)</f>
        <v>#N/A</v>
      </c>
      <c r="BG75" s="58" t="e">
        <f>VLOOKUP($A75,'S50'!$C:$BQ,22,0)</f>
        <v>#N/A</v>
      </c>
      <c r="BH75" s="66" t="e">
        <f>VLOOKUP($A75,'S50'!$C:$BQ,29,0)</f>
        <v>#N/A</v>
      </c>
      <c r="BI75" s="66" t="e">
        <f>VLOOKUP($A75,'S50'!$C:$BQ,30,0)</f>
        <v>#N/A</v>
      </c>
      <c r="BJ75" s="66" t="e">
        <f>VLOOKUP($A75,'S50'!$C:$BQ,52,0)</f>
        <v>#N/A</v>
      </c>
      <c r="BK75" s="66" t="e">
        <f>VLOOKUP($A75,'S50'!$C:$BQ,59,0)</f>
        <v>#N/A</v>
      </c>
      <c r="BL75" s="66" t="e">
        <f>VLOOKUP($A75,'S50'!$C:$BQ,60,0)</f>
        <v>#N/A</v>
      </c>
    </row>
    <row r="76" spans="1:64" x14ac:dyDescent="0.2">
      <c r="A76" s="57" t="s">
        <v>133</v>
      </c>
      <c r="B76" s="58">
        <f>VLOOKUP($A76,'S0 remplacer avec S44'!$C:$BQ,32,0)</f>
        <v>205.9</v>
      </c>
      <c r="C76" s="58">
        <f>VLOOKUP($A76,'S0 remplacer avec S44'!$C:$BQ,39,0)</f>
        <v>0</v>
      </c>
      <c r="D76" s="58">
        <f>VLOOKUP($A76,'S0 remplacer avec S44'!$C:$BQ,40,0)</f>
        <v>0</v>
      </c>
      <c r="E76" s="58">
        <f>VLOOKUP($A76,'S0 remplacer avec S44'!$C:$BQ,22,0)</f>
        <v>1695.3282300000001</v>
      </c>
      <c r="F76" s="66">
        <f>VLOOKUP($A76,'S0 remplacer avec S44'!$C:$BQ,29,0)</f>
        <v>0</v>
      </c>
      <c r="G76" s="66">
        <f>VLOOKUP($A76,'S0 remplacer avec S44'!$C:$BQ,30,0)</f>
        <v>0</v>
      </c>
      <c r="H76" s="66">
        <f>VLOOKUP($A76,'S0 remplacer avec S44'!$C:$BQ,52,0)</f>
        <v>140</v>
      </c>
      <c r="I76" s="66">
        <f>VLOOKUP($A76,'S0 remplacer avec S44'!$C:$BQ,59,0)</f>
        <v>0</v>
      </c>
      <c r="J76" s="66">
        <f>VLOOKUP($A76,'S0 remplacer avec S44'!$C:$BQ,60,0)</f>
        <v>0</v>
      </c>
      <c r="K76" s="58">
        <f>VLOOKUP($A76,'S45'!$C:$BQ,32,0)</f>
        <v>209.4</v>
      </c>
      <c r="L76" s="58">
        <f>VLOOKUP($A76,'S45'!$C:$BQ,39,0)</f>
        <v>0</v>
      </c>
      <c r="M76" s="58">
        <f>VLOOKUP($A76,'S45'!$C:$BQ,40,0)</f>
        <v>0</v>
      </c>
      <c r="N76" s="58">
        <f>VLOOKUP($A76,'S45'!$C:$BQ,22,0)</f>
        <v>1701.0354</v>
      </c>
      <c r="O76" s="66">
        <f>VLOOKUP($A76,'S45'!$C:$BQ,29,0)</f>
        <v>0</v>
      </c>
      <c r="P76" s="66">
        <f>VLOOKUP($A76,'S45'!$C:$BQ,30,0)</f>
        <v>0</v>
      </c>
      <c r="Q76" s="66">
        <f>VLOOKUP($A76,'S45'!$C:$BQ,52,0)</f>
        <v>144</v>
      </c>
      <c r="R76" s="66">
        <f>VLOOKUP($A76,'S45'!$C:$BQ,59,0)</f>
        <v>0</v>
      </c>
      <c r="S76" s="66">
        <f>VLOOKUP($A76,'S45'!$C:$BQ,60,0)</f>
        <v>0</v>
      </c>
      <c r="T76" s="58">
        <f>VLOOKUP($A76,'S46'!$C:$BQ,32,0)</f>
        <v>209.9</v>
      </c>
      <c r="U76" s="58">
        <f>VLOOKUP($A76,'S46'!$C:$BQ,39,0)</f>
        <v>0</v>
      </c>
      <c r="V76" s="58">
        <f>VLOOKUP($A76,'S46'!$C:$BQ,40,0)</f>
        <v>0</v>
      </c>
      <c r="W76" s="58">
        <f>VLOOKUP($A76,'S46'!$C:$BQ,22,0)</f>
        <v>1702.55332</v>
      </c>
      <c r="X76" s="66">
        <f>VLOOKUP($A76,'S46'!$C:$BQ,29,0)</f>
        <v>0</v>
      </c>
      <c r="Y76" s="66">
        <f>VLOOKUP($A76,'S46'!$C:$BQ,30,0)</f>
        <v>0</v>
      </c>
      <c r="Z76" s="66">
        <f>VLOOKUP($A76,'S46'!$C:$BQ,52,0)</f>
        <v>145</v>
      </c>
      <c r="AA76" s="66">
        <f>VLOOKUP($A76,'S46'!$C:$BQ,59,0)</f>
        <v>0</v>
      </c>
      <c r="AB76" s="66">
        <f>VLOOKUP($A76,'S46'!$C:$BQ,60,0)</f>
        <v>0</v>
      </c>
      <c r="AC76" s="58">
        <f>VLOOKUP($A76,'S47'!$C:$BQ,32,0)</f>
        <v>213.4</v>
      </c>
      <c r="AD76" s="58">
        <f>VLOOKUP($A76,'S47'!$C:$BQ,39,0)</f>
        <v>0</v>
      </c>
      <c r="AE76" s="58">
        <f>VLOOKUP($A76,'S47'!$C:$BQ,40,0)</f>
        <v>0</v>
      </c>
      <c r="AF76" s="58">
        <f>VLOOKUP($A76,'S47'!$C:$BQ,22,0)</f>
        <v>1844.61907</v>
      </c>
      <c r="AG76" s="66">
        <f>VLOOKUP($A76,'S47'!$C:$BQ,29,0)</f>
        <v>0</v>
      </c>
      <c r="AH76" s="66">
        <f>VLOOKUP($A76,'S47'!$C:$BQ,30,0)</f>
        <v>0</v>
      </c>
      <c r="AI76" s="66">
        <f>VLOOKUP($A76,'S47'!$C:$BQ,52,0)</f>
        <v>147</v>
      </c>
      <c r="AJ76" s="66">
        <f>VLOOKUP($A76,'S47'!$C:$BQ,59,0)</f>
        <v>0</v>
      </c>
      <c r="AK76" s="66">
        <f>VLOOKUP($A76,'S47'!$C:$BQ,60,0)</f>
        <v>0</v>
      </c>
      <c r="AL76" s="58" t="e">
        <f>VLOOKUP($A76,'S48'!$C:$BQ,32,0)</f>
        <v>#N/A</v>
      </c>
      <c r="AM76" s="58" t="e">
        <f>VLOOKUP($A76,'S48'!$C:$BQ,39,0)</f>
        <v>#N/A</v>
      </c>
      <c r="AN76" s="58" t="e">
        <f>VLOOKUP($A76,'S48'!$C:$BQ,40,0)</f>
        <v>#N/A</v>
      </c>
      <c r="AO76" s="58" t="e">
        <f>VLOOKUP($A76,'S48'!$C:$BQ,22,0)</f>
        <v>#N/A</v>
      </c>
      <c r="AP76" s="66" t="e">
        <f>VLOOKUP($A76,'S48'!$C:$BQ,29,0)</f>
        <v>#N/A</v>
      </c>
      <c r="AQ76" s="66" t="e">
        <f>VLOOKUP($A76,'S48'!$C:$BQ,30,0)</f>
        <v>#N/A</v>
      </c>
      <c r="AR76" s="66" t="e">
        <f>VLOOKUP($A76,'S48'!$C:$BQ,52,0)</f>
        <v>#N/A</v>
      </c>
      <c r="AS76" s="66" t="e">
        <f>VLOOKUP($A76,'S48'!$C:$BQ,59,0)</f>
        <v>#N/A</v>
      </c>
      <c r="AT76" s="66" t="e">
        <f>VLOOKUP($A76,'S48'!$C:$BQ,60,0)</f>
        <v>#N/A</v>
      </c>
      <c r="AU76" s="58" t="e">
        <f>VLOOKUP($A76,'S49'!$C:$BQ,32,0)</f>
        <v>#N/A</v>
      </c>
      <c r="AV76" s="58" t="e">
        <f>VLOOKUP($A76,'S49'!$C:$BQ,39,0)</f>
        <v>#N/A</v>
      </c>
      <c r="AW76" s="58" t="e">
        <f>VLOOKUP($A76,'S49'!$C:$BQ,40,0)</f>
        <v>#N/A</v>
      </c>
      <c r="AX76" s="58" t="e">
        <f>VLOOKUP($A76,'S49'!$C:$BQ,22,0)</f>
        <v>#N/A</v>
      </c>
      <c r="AY76" s="66" t="e">
        <f>VLOOKUP($A76,'S49'!$C:$BQ,29,0)</f>
        <v>#N/A</v>
      </c>
      <c r="AZ76" s="66" t="e">
        <f>VLOOKUP($A76,'S49'!$C:$BQ,30,0)</f>
        <v>#N/A</v>
      </c>
      <c r="BA76" s="66" t="e">
        <f>VLOOKUP($A76,'S49'!$C:$BQ,52,0)</f>
        <v>#N/A</v>
      </c>
      <c r="BB76" s="66" t="e">
        <f>VLOOKUP($A76,'S49'!$C:$BQ,59,0)</f>
        <v>#N/A</v>
      </c>
      <c r="BC76" s="66" t="e">
        <f>VLOOKUP($A76,'S49'!$C:$BQ,60,0)</f>
        <v>#N/A</v>
      </c>
      <c r="BD76" s="58" t="e">
        <f>VLOOKUP($A76,'S50'!$C:$BQ,32,0)</f>
        <v>#N/A</v>
      </c>
      <c r="BE76" s="58" t="e">
        <f>VLOOKUP($A76,'S50'!$C:$BQ,39,0)</f>
        <v>#N/A</v>
      </c>
      <c r="BF76" s="58" t="e">
        <f>VLOOKUP($A76,'S50'!$C:$BQ,40,0)</f>
        <v>#N/A</v>
      </c>
      <c r="BG76" s="58" t="e">
        <f>VLOOKUP($A76,'S50'!$C:$BQ,22,0)</f>
        <v>#N/A</v>
      </c>
      <c r="BH76" s="66" t="e">
        <f>VLOOKUP($A76,'S50'!$C:$BQ,29,0)</f>
        <v>#N/A</v>
      </c>
      <c r="BI76" s="66" t="e">
        <f>VLOOKUP($A76,'S50'!$C:$BQ,30,0)</f>
        <v>#N/A</v>
      </c>
      <c r="BJ76" s="66" t="e">
        <f>VLOOKUP($A76,'S50'!$C:$BQ,52,0)</f>
        <v>#N/A</v>
      </c>
      <c r="BK76" s="66" t="e">
        <f>VLOOKUP($A76,'S50'!$C:$BQ,59,0)</f>
        <v>#N/A</v>
      </c>
      <c r="BL76" s="66" t="e">
        <f>VLOOKUP($A76,'S50'!$C:$BQ,60,0)</f>
        <v>#N/A</v>
      </c>
    </row>
    <row r="77" spans="1:64" x14ac:dyDescent="0.2">
      <c r="A77" s="57" t="s">
        <v>134</v>
      </c>
      <c r="B77" s="58">
        <f>VLOOKUP($A77,'S0 remplacer avec S44'!$C:$BQ,32,0)</f>
        <v>193.55</v>
      </c>
      <c r="C77" s="58">
        <f>VLOOKUP($A77,'S0 remplacer avec S44'!$C:$BQ,39,0)</f>
        <v>0</v>
      </c>
      <c r="D77" s="58">
        <f>VLOOKUP($A77,'S0 remplacer avec S44'!$C:$BQ,40,0)</f>
        <v>9</v>
      </c>
      <c r="E77" s="58">
        <f>VLOOKUP($A77,'S0 remplacer avec S44'!$C:$BQ,22,0)</f>
        <v>1459.97866</v>
      </c>
      <c r="F77" s="66">
        <f>VLOOKUP($A77,'S0 remplacer avec S44'!$C:$BQ,29,0)</f>
        <v>75</v>
      </c>
      <c r="G77" s="66">
        <f>VLOOKUP($A77,'S0 remplacer avec S44'!$C:$BQ,30,0)</f>
        <v>382</v>
      </c>
      <c r="H77" s="66">
        <f>VLOOKUP($A77,'S0 remplacer avec S44'!$C:$BQ,52,0)</f>
        <v>134.6</v>
      </c>
      <c r="I77" s="66">
        <f>VLOOKUP($A77,'S0 remplacer avec S44'!$C:$BQ,59,0)</f>
        <v>0</v>
      </c>
      <c r="J77" s="66">
        <f>VLOOKUP($A77,'S0 remplacer avec S44'!$C:$BQ,60,0)</f>
        <v>0</v>
      </c>
      <c r="K77" s="58">
        <f>VLOOKUP($A77,'S45'!$C:$BQ,32,0)</f>
        <v>194.55</v>
      </c>
      <c r="L77" s="58">
        <f>VLOOKUP($A77,'S45'!$C:$BQ,39,0)</f>
        <v>0</v>
      </c>
      <c r="M77" s="58">
        <f>VLOOKUP($A77,'S45'!$C:$BQ,40,0)</f>
        <v>8</v>
      </c>
      <c r="N77" s="58">
        <f>VLOOKUP($A77,'S45'!$C:$BQ,22,0)</f>
        <v>1458.6537800000001</v>
      </c>
      <c r="O77" s="66">
        <f>VLOOKUP($A77,'S45'!$C:$BQ,29,0)</f>
        <v>76</v>
      </c>
      <c r="P77" s="66">
        <f>VLOOKUP($A77,'S45'!$C:$BQ,30,0)</f>
        <v>383</v>
      </c>
      <c r="Q77" s="66">
        <f>VLOOKUP($A77,'S45'!$C:$BQ,52,0)</f>
        <v>137.6</v>
      </c>
      <c r="R77" s="66">
        <f>VLOOKUP($A77,'S45'!$C:$BQ,59,0)</f>
        <v>0</v>
      </c>
      <c r="S77" s="66">
        <f>VLOOKUP($A77,'S45'!$C:$BQ,60,0)</f>
        <v>0</v>
      </c>
      <c r="T77" s="58">
        <f>VLOOKUP($A77,'S46'!$C:$BQ,32,0)</f>
        <v>194.55</v>
      </c>
      <c r="U77" s="58">
        <f>VLOOKUP($A77,'S46'!$C:$BQ,39,0)</f>
        <v>0</v>
      </c>
      <c r="V77" s="58">
        <f>VLOOKUP($A77,'S46'!$C:$BQ,40,0)</f>
        <v>8</v>
      </c>
      <c r="W77" s="58">
        <f>VLOOKUP($A77,'S46'!$C:$BQ,22,0)</f>
        <v>1461.0555300000001</v>
      </c>
      <c r="X77" s="66">
        <f>VLOOKUP($A77,'S46'!$C:$BQ,29,0)</f>
        <v>74</v>
      </c>
      <c r="Y77" s="66">
        <f>VLOOKUP($A77,'S46'!$C:$BQ,30,0)</f>
        <v>380</v>
      </c>
      <c r="Z77" s="66">
        <f>VLOOKUP($A77,'S46'!$C:$BQ,52,0)</f>
        <v>138.6</v>
      </c>
      <c r="AA77" s="66">
        <f>VLOOKUP($A77,'S46'!$C:$BQ,59,0)</f>
        <v>0</v>
      </c>
      <c r="AB77" s="66">
        <f>VLOOKUP($A77,'S46'!$C:$BQ,60,0)</f>
        <v>0</v>
      </c>
      <c r="AC77" s="58">
        <f>VLOOKUP($A77,'S47'!$C:$BQ,32,0)</f>
        <v>193.55</v>
      </c>
      <c r="AD77" s="58">
        <f>VLOOKUP($A77,'S47'!$C:$BQ,39,0)</f>
        <v>0</v>
      </c>
      <c r="AE77" s="58">
        <f>VLOOKUP($A77,'S47'!$C:$BQ,40,0)</f>
        <v>9</v>
      </c>
      <c r="AF77" s="58">
        <f>VLOOKUP($A77,'S47'!$C:$BQ,22,0)</f>
        <v>1462.75891</v>
      </c>
      <c r="AG77" s="66">
        <f>VLOOKUP($A77,'S47'!$C:$BQ,29,0)</f>
        <v>72</v>
      </c>
      <c r="AH77" s="66">
        <f>VLOOKUP($A77,'S47'!$C:$BQ,30,0)</f>
        <v>379</v>
      </c>
      <c r="AI77" s="66">
        <f>VLOOKUP($A77,'S47'!$C:$BQ,52,0)</f>
        <v>140.6</v>
      </c>
      <c r="AJ77" s="66">
        <f>VLOOKUP($A77,'S47'!$C:$BQ,59,0)</f>
        <v>0</v>
      </c>
      <c r="AK77" s="66">
        <f>VLOOKUP($A77,'S47'!$C:$BQ,60,0)</f>
        <v>0</v>
      </c>
      <c r="AL77" s="58" t="e">
        <f>VLOOKUP($A77,'S48'!$C:$BQ,32,0)</f>
        <v>#N/A</v>
      </c>
      <c r="AM77" s="58" t="e">
        <f>VLOOKUP($A77,'S48'!$C:$BQ,39,0)</f>
        <v>#N/A</v>
      </c>
      <c r="AN77" s="58" t="e">
        <f>VLOOKUP($A77,'S48'!$C:$BQ,40,0)</f>
        <v>#N/A</v>
      </c>
      <c r="AO77" s="58" t="e">
        <f>VLOOKUP($A77,'S48'!$C:$BQ,22,0)</f>
        <v>#N/A</v>
      </c>
      <c r="AP77" s="66" t="e">
        <f>VLOOKUP($A77,'S48'!$C:$BQ,29,0)</f>
        <v>#N/A</v>
      </c>
      <c r="AQ77" s="66" t="e">
        <f>VLOOKUP($A77,'S48'!$C:$BQ,30,0)</f>
        <v>#N/A</v>
      </c>
      <c r="AR77" s="66" t="e">
        <f>VLOOKUP($A77,'S48'!$C:$BQ,52,0)</f>
        <v>#N/A</v>
      </c>
      <c r="AS77" s="66" t="e">
        <f>VLOOKUP($A77,'S48'!$C:$BQ,59,0)</f>
        <v>#N/A</v>
      </c>
      <c r="AT77" s="66" t="e">
        <f>VLOOKUP($A77,'S48'!$C:$BQ,60,0)</f>
        <v>#N/A</v>
      </c>
      <c r="AU77" s="58" t="e">
        <f>VLOOKUP($A77,'S49'!$C:$BQ,32,0)</f>
        <v>#N/A</v>
      </c>
      <c r="AV77" s="58" t="e">
        <f>VLOOKUP($A77,'S49'!$C:$BQ,39,0)</f>
        <v>#N/A</v>
      </c>
      <c r="AW77" s="58" t="e">
        <f>VLOOKUP($A77,'S49'!$C:$BQ,40,0)</f>
        <v>#N/A</v>
      </c>
      <c r="AX77" s="58" t="e">
        <f>VLOOKUP($A77,'S49'!$C:$BQ,22,0)</f>
        <v>#N/A</v>
      </c>
      <c r="AY77" s="66" t="e">
        <f>VLOOKUP($A77,'S49'!$C:$BQ,29,0)</f>
        <v>#N/A</v>
      </c>
      <c r="AZ77" s="66" t="e">
        <f>VLOOKUP($A77,'S49'!$C:$BQ,30,0)</f>
        <v>#N/A</v>
      </c>
      <c r="BA77" s="66" t="e">
        <f>VLOOKUP($A77,'S49'!$C:$BQ,52,0)</f>
        <v>#N/A</v>
      </c>
      <c r="BB77" s="66" t="e">
        <f>VLOOKUP($A77,'S49'!$C:$BQ,59,0)</f>
        <v>#N/A</v>
      </c>
      <c r="BC77" s="66" t="e">
        <f>VLOOKUP($A77,'S49'!$C:$BQ,60,0)</f>
        <v>#N/A</v>
      </c>
      <c r="BD77" s="58" t="e">
        <f>VLOOKUP($A77,'S50'!$C:$BQ,32,0)</f>
        <v>#N/A</v>
      </c>
      <c r="BE77" s="58" t="e">
        <f>VLOOKUP($A77,'S50'!$C:$BQ,39,0)</f>
        <v>#N/A</v>
      </c>
      <c r="BF77" s="58" t="e">
        <f>VLOOKUP($A77,'S50'!$C:$BQ,40,0)</f>
        <v>#N/A</v>
      </c>
      <c r="BG77" s="58" t="e">
        <f>VLOOKUP($A77,'S50'!$C:$BQ,22,0)</f>
        <v>#N/A</v>
      </c>
      <c r="BH77" s="66" t="e">
        <f>VLOOKUP($A77,'S50'!$C:$BQ,29,0)</f>
        <v>#N/A</v>
      </c>
      <c r="BI77" s="66" t="e">
        <f>VLOOKUP($A77,'S50'!$C:$BQ,30,0)</f>
        <v>#N/A</v>
      </c>
      <c r="BJ77" s="66" t="e">
        <f>VLOOKUP($A77,'S50'!$C:$BQ,52,0)</f>
        <v>#N/A</v>
      </c>
      <c r="BK77" s="66" t="e">
        <f>VLOOKUP($A77,'S50'!$C:$BQ,59,0)</f>
        <v>#N/A</v>
      </c>
      <c r="BL77" s="66" t="e">
        <f>VLOOKUP($A77,'S50'!$C:$BQ,60,0)</f>
        <v>#N/A</v>
      </c>
    </row>
    <row r="78" spans="1:64" x14ac:dyDescent="0.2">
      <c r="A78" s="57" t="s">
        <v>135</v>
      </c>
      <c r="B78" s="58">
        <f>VLOOKUP($A78,'S0 remplacer avec S44'!$C:$BQ,32,0)</f>
        <v>255</v>
      </c>
      <c r="C78" s="58">
        <f>VLOOKUP($A78,'S0 remplacer avec S44'!$C:$BQ,39,0)</f>
        <v>96</v>
      </c>
      <c r="D78" s="58">
        <f>VLOOKUP($A78,'S0 remplacer avec S44'!$C:$BQ,40,0)</f>
        <v>166</v>
      </c>
      <c r="E78" s="58">
        <f>VLOOKUP($A78,'S0 remplacer avec S44'!$C:$BQ,22,0)</f>
        <v>2342.6053449999999</v>
      </c>
      <c r="F78" s="66">
        <f>VLOOKUP($A78,'S0 remplacer avec S44'!$C:$BQ,29,0)</f>
        <v>845</v>
      </c>
      <c r="G78" s="66">
        <f>VLOOKUP($A78,'S0 remplacer avec S44'!$C:$BQ,30,0)</f>
        <v>1482</v>
      </c>
      <c r="H78" s="66">
        <f>VLOOKUP($A78,'S0 remplacer avec S44'!$C:$BQ,52,0)</f>
        <v>219.2</v>
      </c>
      <c r="I78" s="66">
        <f>VLOOKUP($A78,'S0 remplacer avec S44'!$C:$BQ,59,0)</f>
        <v>0</v>
      </c>
      <c r="J78" s="66">
        <f>VLOOKUP($A78,'S0 remplacer avec S44'!$C:$BQ,60,0)</f>
        <v>0</v>
      </c>
      <c r="K78" s="58">
        <f>VLOOKUP($A78,'S45'!$C:$BQ,32,0)</f>
        <v>254</v>
      </c>
      <c r="L78" s="58">
        <f>VLOOKUP($A78,'S45'!$C:$BQ,39,0)</f>
        <v>97</v>
      </c>
      <c r="M78" s="58">
        <f>VLOOKUP($A78,'S45'!$C:$BQ,40,0)</f>
        <v>167</v>
      </c>
      <c r="N78" s="58">
        <f>VLOOKUP($A78,'S45'!$C:$BQ,22,0)</f>
        <v>2332.4125949999998</v>
      </c>
      <c r="O78" s="66">
        <f>VLOOKUP($A78,'S45'!$C:$BQ,29,0)</f>
        <v>855</v>
      </c>
      <c r="P78" s="66">
        <f>VLOOKUP($A78,'S45'!$C:$BQ,30,0)</f>
        <v>1492</v>
      </c>
      <c r="Q78" s="66">
        <f>VLOOKUP($A78,'S45'!$C:$BQ,52,0)</f>
        <v>220.2</v>
      </c>
      <c r="R78" s="66">
        <f>VLOOKUP($A78,'S45'!$C:$BQ,59,0)</f>
        <v>0</v>
      </c>
      <c r="S78" s="66">
        <f>VLOOKUP($A78,'S45'!$C:$BQ,60,0)</f>
        <v>0</v>
      </c>
      <c r="T78" s="58">
        <f>VLOOKUP($A78,'S46'!$C:$BQ,32,0)</f>
        <v>253.5</v>
      </c>
      <c r="U78" s="58">
        <f>VLOOKUP($A78,'S46'!$C:$BQ,39,0)</f>
        <v>97</v>
      </c>
      <c r="V78" s="58">
        <f>VLOOKUP($A78,'S46'!$C:$BQ,40,0)</f>
        <v>167</v>
      </c>
      <c r="W78" s="58">
        <f>VLOOKUP($A78,'S46'!$C:$BQ,22,0)</f>
        <v>2409.0119549999999</v>
      </c>
      <c r="X78" s="66">
        <f>VLOOKUP($A78,'S46'!$C:$BQ,29,0)</f>
        <v>778</v>
      </c>
      <c r="Y78" s="66">
        <f>VLOOKUP($A78,'S46'!$C:$BQ,30,0)</f>
        <v>1415</v>
      </c>
      <c r="Z78" s="66">
        <f>VLOOKUP($A78,'S46'!$C:$BQ,52,0)</f>
        <v>220.2</v>
      </c>
      <c r="AA78" s="66">
        <f>VLOOKUP($A78,'S46'!$C:$BQ,59,0)</f>
        <v>0</v>
      </c>
      <c r="AB78" s="66">
        <f>VLOOKUP($A78,'S46'!$C:$BQ,60,0)</f>
        <v>0</v>
      </c>
      <c r="AC78" s="58">
        <f>VLOOKUP($A78,'S47'!$C:$BQ,32,0)</f>
        <v>254</v>
      </c>
      <c r="AD78" s="58">
        <f>VLOOKUP($A78,'S47'!$C:$BQ,39,0)</f>
        <v>97</v>
      </c>
      <c r="AE78" s="58">
        <f>VLOOKUP($A78,'S47'!$C:$BQ,40,0)</f>
        <v>167</v>
      </c>
      <c r="AF78" s="58">
        <f>VLOOKUP($A78,'S47'!$C:$BQ,22,0)</f>
        <v>2443.4441649999999</v>
      </c>
      <c r="AG78" s="66">
        <f>VLOOKUP($A78,'S47'!$C:$BQ,29,0)</f>
        <v>744</v>
      </c>
      <c r="AH78" s="66">
        <f>VLOOKUP($A78,'S47'!$C:$BQ,30,0)</f>
        <v>1381</v>
      </c>
      <c r="AI78" s="66">
        <f>VLOOKUP($A78,'S47'!$C:$BQ,52,0)</f>
        <v>223.2</v>
      </c>
      <c r="AJ78" s="66">
        <f>VLOOKUP($A78,'S47'!$C:$BQ,59,0)</f>
        <v>0</v>
      </c>
      <c r="AK78" s="66">
        <f>VLOOKUP($A78,'S47'!$C:$BQ,60,0)</f>
        <v>0</v>
      </c>
      <c r="AL78" s="58" t="e">
        <f>VLOOKUP($A78,'S48'!$C:$BQ,32,0)</f>
        <v>#N/A</v>
      </c>
      <c r="AM78" s="58" t="e">
        <f>VLOOKUP($A78,'S48'!$C:$BQ,39,0)</f>
        <v>#N/A</v>
      </c>
      <c r="AN78" s="58" t="e">
        <f>VLOOKUP($A78,'S48'!$C:$BQ,40,0)</f>
        <v>#N/A</v>
      </c>
      <c r="AO78" s="58" t="e">
        <f>VLOOKUP($A78,'S48'!$C:$BQ,22,0)</f>
        <v>#N/A</v>
      </c>
      <c r="AP78" s="66" t="e">
        <f>VLOOKUP($A78,'S48'!$C:$BQ,29,0)</f>
        <v>#N/A</v>
      </c>
      <c r="AQ78" s="66" t="e">
        <f>VLOOKUP($A78,'S48'!$C:$BQ,30,0)</f>
        <v>#N/A</v>
      </c>
      <c r="AR78" s="66" t="e">
        <f>VLOOKUP($A78,'S48'!$C:$BQ,52,0)</f>
        <v>#N/A</v>
      </c>
      <c r="AS78" s="66" t="e">
        <f>VLOOKUP($A78,'S48'!$C:$BQ,59,0)</f>
        <v>#N/A</v>
      </c>
      <c r="AT78" s="66" t="e">
        <f>VLOOKUP($A78,'S48'!$C:$BQ,60,0)</f>
        <v>#N/A</v>
      </c>
      <c r="AU78" s="58" t="e">
        <f>VLOOKUP($A78,'S49'!$C:$BQ,32,0)</f>
        <v>#N/A</v>
      </c>
      <c r="AV78" s="58" t="e">
        <f>VLOOKUP($A78,'S49'!$C:$BQ,39,0)</f>
        <v>#N/A</v>
      </c>
      <c r="AW78" s="58" t="e">
        <f>VLOOKUP($A78,'S49'!$C:$BQ,40,0)</f>
        <v>#N/A</v>
      </c>
      <c r="AX78" s="58" t="e">
        <f>VLOOKUP($A78,'S49'!$C:$BQ,22,0)</f>
        <v>#N/A</v>
      </c>
      <c r="AY78" s="66" t="e">
        <f>VLOOKUP($A78,'S49'!$C:$BQ,29,0)</f>
        <v>#N/A</v>
      </c>
      <c r="AZ78" s="66" t="e">
        <f>VLOOKUP($A78,'S49'!$C:$BQ,30,0)</f>
        <v>#N/A</v>
      </c>
      <c r="BA78" s="66" t="e">
        <f>VLOOKUP($A78,'S49'!$C:$BQ,52,0)</f>
        <v>#N/A</v>
      </c>
      <c r="BB78" s="66" t="e">
        <f>VLOOKUP($A78,'S49'!$C:$BQ,59,0)</f>
        <v>#N/A</v>
      </c>
      <c r="BC78" s="66" t="e">
        <f>VLOOKUP($A78,'S49'!$C:$BQ,60,0)</f>
        <v>#N/A</v>
      </c>
      <c r="BD78" s="58" t="e">
        <f>VLOOKUP($A78,'S50'!$C:$BQ,32,0)</f>
        <v>#N/A</v>
      </c>
      <c r="BE78" s="58" t="e">
        <f>VLOOKUP($A78,'S50'!$C:$BQ,39,0)</f>
        <v>#N/A</v>
      </c>
      <c r="BF78" s="58" t="e">
        <f>VLOOKUP($A78,'S50'!$C:$BQ,40,0)</f>
        <v>#N/A</v>
      </c>
      <c r="BG78" s="58" t="e">
        <f>VLOOKUP($A78,'S50'!$C:$BQ,22,0)</f>
        <v>#N/A</v>
      </c>
      <c r="BH78" s="66" t="e">
        <f>VLOOKUP($A78,'S50'!$C:$BQ,29,0)</f>
        <v>#N/A</v>
      </c>
      <c r="BI78" s="66" t="e">
        <f>VLOOKUP($A78,'S50'!$C:$BQ,30,0)</f>
        <v>#N/A</v>
      </c>
      <c r="BJ78" s="66" t="e">
        <f>VLOOKUP($A78,'S50'!$C:$BQ,52,0)</f>
        <v>#N/A</v>
      </c>
      <c r="BK78" s="66" t="e">
        <f>VLOOKUP($A78,'S50'!$C:$BQ,59,0)</f>
        <v>#N/A</v>
      </c>
      <c r="BL78" s="66" t="e">
        <f>VLOOKUP($A78,'S50'!$C:$BQ,60,0)</f>
        <v>#N/A</v>
      </c>
    </row>
    <row r="79" spans="1:64" x14ac:dyDescent="0.2">
      <c r="A79" s="57" t="s">
        <v>136</v>
      </c>
      <c r="B79" s="58">
        <f>VLOOKUP($A79,'S0 remplacer avec S44'!$C:$BQ,32,0)</f>
        <v>189.2</v>
      </c>
      <c r="C79" s="58">
        <f>VLOOKUP($A79,'S0 remplacer avec S44'!$C:$BQ,39,0)</f>
        <v>106</v>
      </c>
      <c r="D79" s="58">
        <f>VLOOKUP($A79,'S0 remplacer avec S44'!$C:$BQ,40,0)</f>
        <v>165</v>
      </c>
      <c r="E79" s="58">
        <f>VLOOKUP($A79,'S0 remplacer avec S44'!$C:$BQ,22,0)</f>
        <v>2291.9000900000001</v>
      </c>
      <c r="F79" s="66">
        <f>VLOOKUP($A79,'S0 remplacer avec S44'!$C:$BQ,29,0)</f>
        <v>391</v>
      </c>
      <c r="G79" s="66">
        <f>VLOOKUP($A79,'S0 remplacer avec S44'!$C:$BQ,30,0)</f>
        <v>928</v>
      </c>
      <c r="H79" s="66">
        <f>VLOOKUP($A79,'S0 remplacer avec S44'!$C:$BQ,52,0)</f>
        <v>209.2</v>
      </c>
      <c r="I79" s="66">
        <f>VLOOKUP($A79,'S0 remplacer avec S44'!$C:$BQ,59,0)</f>
        <v>0</v>
      </c>
      <c r="J79" s="66">
        <f>VLOOKUP($A79,'S0 remplacer avec S44'!$C:$BQ,60,0)</f>
        <v>0</v>
      </c>
      <c r="K79" s="58">
        <f>VLOOKUP($A79,'S45'!$C:$BQ,32,0)</f>
        <v>190.7</v>
      </c>
      <c r="L79" s="58">
        <f>VLOOKUP($A79,'S45'!$C:$BQ,39,0)</f>
        <v>105</v>
      </c>
      <c r="M79" s="58">
        <f>VLOOKUP($A79,'S45'!$C:$BQ,40,0)</f>
        <v>164</v>
      </c>
      <c r="N79" s="58">
        <f>VLOOKUP($A79,'S45'!$C:$BQ,22,0)</f>
        <v>2299.1474400000002</v>
      </c>
      <c r="O79" s="66">
        <f>VLOOKUP($A79,'S45'!$C:$BQ,29,0)</f>
        <v>384</v>
      </c>
      <c r="P79" s="66">
        <f>VLOOKUP($A79,'S45'!$C:$BQ,30,0)</f>
        <v>920</v>
      </c>
      <c r="Q79" s="66">
        <f>VLOOKUP($A79,'S45'!$C:$BQ,52,0)</f>
        <v>212.2</v>
      </c>
      <c r="R79" s="66">
        <f>VLOOKUP($A79,'S45'!$C:$BQ,59,0)</f>
        <v>0</v>
      </c>
      <c r="S79" s="66">
        <f>VLOOKUP($A79,'S45'!$C:$BQ,60,0)</f>
        <v>0</v>
      </c>
      <c r="T79" s="58">
        <f>VLOOKUP($A79,'S46'!$C:$BQ,32,0)</f>
        <v>189.7</v>
      </c>
      <c r="U79" s="58">
        <f>VLOOKUP($A79,'S46'!$C:$BQ,39,0)</f>
        <v>106</v>
      </c>
      <c r="V79" s="58">
        <f>VLOOKUP($A79,'S46'!$C:$BQ,40,0)</f>
        <v>165</v>
      </c>
      <c r="W79" s="58">
        <f>VLOOKUP($A79,'S46'!$C:$BQ,22,0)</f>
        <v>2300.87041</v>
      </c>
      <c r="X79" s="66">
        <f>VLOOKUP($A79,'S46'!$C:$BQ,29,0)</f>
        <v>382</v>
      </c>
      <c r="Y79" s="66">
        <f>VLOOKUP($A79,'S46'!$C:$BQ,30,0)</f>
        <v>919</v>
      </c>
      <c r="Z79" s="66">
        <f>VLOOKUP($A79,'S46'!$C:$BQ,52,0)</f>
        <v>213.2</v>
      </c>
      <c r="AA79" s="66">
        <f>VLOOKUP($A79,'S46'!$C:$BQ,59,0)</f>
        <v>0</v>
      </c>
      <c r="AB79" s="66">
        <f>VLOOKUP($A79,'S46'!$C:$BQ,60,0)</f>
        <v>0</v>
      </c>
      <c r="AC79" s="58">
        <f>VLOOKUP($A79,'S47'!$C:$BQ,32,0)</f>
        <v>194.2</v>
      </c>
      <c r="AD79" s="58">
        <f>VLOOKUP($A79,'S47'!$C:$BQ,39,0)</f>
        <v>101</v>
      </c>
      <c r="AE79" s="58">
        <f>VLOOKUP($A79,'S47'!$C:$BQ,40,0)</f>
        <v>160</v>
      </c>
      <c r="AF79" s="58">
        <f>VLOOKUP($A79,'S47'!$C:$BQ,22,0)</f>
        <v>2341.9377399999998</v>
      </c>
      <c r="AG79" s="66">
        <f>VLOOKUP($A79,'S47'!$C:$BQ,29,0)</f>
        <v>341</v>
      </c>
      <c r="AH79" s="66">
        <f>VLOOKUP($A79,'S47'!$C:$BQ,30,0)</f>
        <v>878</v>
      </c>
      <c r="AI79" s="66">
        <f>VLOOKUP($A79,'S47'!$C:$BQ,52,0)</f>
        <v>220.2</v>
      </c>
      <c r="AJ79" s="66">
        <f>VLOOKUP($A79,'S47'!$C:$BQ,59,0)</f>
        <v>0</v>
      </c>
      <c r="AK79" s="66">
        <f>VLOOKUP($A79,'S47'!$C:$BQ,60,0)</f>
        <v>0</v>
      </c>
      <c r="AL79" s="58" t="e">
        <f>VLOOKUP($A79,'S48'!$C:$BQ,32,0)</f>
        <v>#N/A</v>
      </c>
      <c r="AM79" s="58" t="e">
        <f>VLOOKUP($A79,'S48'!$C:$BQ,39,0)</f>
        <v>#N/A</v>
      </c>
      <c r="AN79" s="58" t="e">
        <f>VLOOKUP($A79,'S48'!$C:$BQ,40,0)</f>
        <v>#N/A</v>
      </c>
      <c r="AO79" s="58" t="e">
        <f>VLOOKUP($A79,'S48'!$C:$BQ,22,0)</f>
        <v>#N/A</v>
      </c>
      <c r="AP79" s="66" t="e">
        <f>VLOOKUP($A79,'S48'!$C:$BQ,29,0)</f>
        <v>#N/A</v>
      </c>
      <c r="AQ79" s="66" t="e">
        <f>VLOOKUP($A79,'S48'!$C:$BQ,30,0)</f>
        <v>#N/A</v>
      </c>
      <c r="AR79" s="66" t="e">
        <f>VLOOKUP($A79,'S48'!$C:$BQ,52,0)</f>
        <v>#N/A</v>
      </c>
      <c r="AS79" s="66" t="e">
        <f>VLOOKUP($A79,'S48'!$C:$BQ,59,0)</f>
        <v>#N/A</v>
      </c>
      <c r="AT79" s="66" t="e">
        <f>VLOOKUP($A79,'S48'!$C:$BQ,60,0)</f>
        <v>#N/A</v>
      </c>
      <c r="AU79" s="58" t="e">
        <f>VLOOKUP($A79,'S49'!$C:$BQ,32,0)</f>
        <v>#N/A</v>
      </c>
      <c r="AV79" s="58" t="e">
        <f>VLOOKUP($A79,'S49'!$C:$BQ,39,0)</f>
        <v>#N/A</v>
      </c>
      <c r="AW79" s="58" t="e">
        <f>VLOOKUP($A79,'S49'!$C:$BQ,40,0)</f>
        <v>#N/A</v>
      </c>
      <c r="AX79" s="58" t="e">
        <f>VLOOKUP($A79,'S49'!$C:$BQ,22,0)</f>
        <v>#N/A</v>
      </c>
      <c r="AY79" s="66" t="e">
        <f>VLOOKUP($A79,'S49'!$C:$BQ,29,0)</f>
        <v>#N/A</v>
      </c>
      <c r="AZ79" s="66" t="e">
        <f>VLOOKUP($A79,'S49'!$C:$BQ,30,0)</f>
        <v>#N/A</v>
      </c>
      <c r="BA79" s="66" t="e">
        <f>VLOOKUP($A79,'S49'!$C:$BQ,52,0)</f>
        <v>#N/A</v>
      </c>
      <c r="BB79" s="66" t="e">
        <f>VLOOKUP($A79,'S49'!$C:$BQ,59,0)</f>
        <v>#N/A</v>
      </c>
      <c r="BC79" s="66" t="e">
        <f>VLOOKUP($A79,'S49'!$C:$BQ,60,0)</f>
        <v>#N/A</v>
      </c>
      <c r="BD79" s="58" t="e">
        <f>VLOOKUP($A79,'S50'!$C:$BQ,32,0)</f>
        <v>#N/A</v>
      </c>
      <c r="BE79" s="58" t="e">
        <f>VLOOKUP($A79,'S50'!$C:$BQ,39,0)</f>
        <v>#N/A</v>
      </c>
      <c r="BF79" s="58" t="e">
        <f>VLOOKUP($A79,'S50'!$C:$BQ,40,0)</f>
        <v>#N/A</v>
      </c>
      <c r="BG79" s="58" t="e">
        <f>VLOOKUP($A79,'S50'!$C:$BQ,22,0)</f>
        <v>#N/A</v>
      </c>
      <c r="BH79" s="66" t="e">
        <f>VLOOKUP($A79,'S50'!$C:$BQ,29,0)</f>
        <v>#N/A</v>
      </c>
      <c r="BI79" s="66" t="e">
        <f>VLOOKUP($A79,'S50'!$C:$BQ,30,0)</f>
        <v>#N/A</v>
      </c>
      <c r="BJ79" s="66" t="e">
        <f>VLOOKUP($A79,'S50'!$C:$BQ,52,0)</f>
        <v>#N/A</v>
      </c>
      <c r="BK79" s="66" t="e">
        <f>VLOOKUP($A79,'S50'!$C:$BQ,59,0)</f>
        <v>#N/A</v>
      </c>
      <c r="BL79" s="66" t="e">
        <f>VLOOKUP($A79,'S50'!$C:$BQ,60,0)</f>
        <v>#N/A</v>
      </c>
    </row>
    <row r="80" spans="1:64" x14ac:dyDescent="0.2">
      <c r="A80" s="57" t="s">
        <v>137</v>
      </c>
      <c r="B80" s="58">
        <f>VLOOKUP($A80,'S0 remplacer avec S44'!$C:$BQ,32,0)</f>
        <v>145.1</v>
      </c>
      <c r="C80" s="58">
        <f>VLOOKUP($A80,'S0 remplacer avec S44'!$C:$BQ,39,0)</f>
        <v>35</v>
      </c>
      <c r="D80" s="58">
        <f>VLOOKUP($A80,'S0 remplacer avec S44'!$C:$BQ,40,0)</f>
        <v>71</v>
      </c>
      <c r="E80" s="58">
        <f>VLOOKUP($A80,'S0 remplacer avec S44'!$C:$BQ,22,0)</f>
        <v>604.84105</v>
      </c>
      <c r="F80" s="66">
        <f>VLOOKUP($A80,'S0 remplacer avec S44'!$C:$BQ,29,0)</f>
        <v>1033</v>
      </c>
      <c r="G80" s="66">
        <f>VLOOKUP($A80,'S0 remplacer avec S44'!$C:$BQ,30,0)</f>
        <v>1360</v>
      </c>
      <c r="H80" s="66">
        <f>VLOOKUP($A80,'S0 remplacer avec S44'!$C:$BQ,52,0)</f>
        <v>118.4</v>
      </c>
      <c r="I80" s="66">
        <f>VLOOKUP($A80,'S0 remplacer avec S44'!$C:$BQ,59,0)</f>
        <v>0</v>
      </c>
      <c r="J80" s="66">
        <f>VLOOKUP($A80,'S0 remplacer avec S44'!$C:$BQ,60,0)</f>
        <v>0</v>
      </c>
      <c r="K80" s="58">
        <f>VLOOKUP($A80,'S45'!$C:$BQ,32,0)</f>
        <v>145.1</v>
      </c>
      <c r="L80" s="58">
        <f>VLOOKUP($A80,'S45'!$C:$BQ,39,0)</f>
        <v>35</v>
      </c>
      <c r="M80" s="58">
        <f>VLOOKUP($A80,'S45'!$C:$BQ,40,0)</f>
        <v>71</v>
      </c>
      <c r="N80" s="58">
        <f>VLOOKUP($A80,'S45'!$C:$BQ,22,0)</f>
        <v>607.12163999999996</v>
      </c>
      <c r="O80" s="66">
        <f>VLOOKUP($A80,'S45'!$C:$BQ,29,0)</f>
        <v>1031</v>
      </c>
      <c r="P80" s="66">
        <f>VLOOKUP($A80,'S45'!$C:$BQ,30,0)</f>
        <v>1358</v>
      </c>
      <c r="Q80" s="66">
        <f>VLOOKUP($A80,'S45'!$C:$BQ,52,0)</f>
        <v>121.4</v>
      </c>
      <c r="R80" s="66">
        <f>VLOOKUP($A80,'S45'!$C:$BQ,59,0)</f>
        <v>0</v>
      </c>
      <c r="S80" s="66">
        <f>VLOOKUP($A80,'S45'!$C:$BQ,60,0)</f>
        <v>0</v>
      </c>
      <c r="T80" s="58">
        <f>VLOOKUP($A80,'S46'!$C:$BQ,32,0)</f>
        <v>145.1</v>
      </c>
      <c r="U80" s="58">
        <f>VLOOKUP($A80,'S46'!$C:$BQ,39,0)</f>
        <v>35</v>
      </c>
      <c r="V80" s="58">
        <f>VLOOKUP($A80,'S46'!$C:$BQ,40,0)</f>
        <v>71</v>
      </c>
      <c r="W80" s="58">
        <f>VLOOKUP($A80,'S46'!$C:$BQ,22,0)</f>
        <v>610.28142000000003</v>
      </c>
      <c r="X80" s="66">
        <f>VLOOKUP($A80,'S46'!$C:$BQ,29,0)</f>
        <v>1027</v>
      </c>
      <c r="Y80" s="66">
        <f>VLOOKUP($A80,'S46'!$C:$BQ,30,0)</f>
        <v>1355</v>
      </c>
      <c r="Z80" s="66">
        <f>VLOOKUP($A80,'S46'!$C:$BQ,52,0)</f>
        <v>121.4</v>
      </c>
      <c r="AA80" s="66">
        <f>VLOOKUP($A80,'S46'!$C:$BQ,59,0)</f>
        <v>0</v>
      </c>
      <c r="AB80" s="66">
        <f>VLOOKUP($A80,'S46'!$C:$BQ,60,0)</f>
        <v>0</v>
      </c>
      <c r="AC80" s="58">
        <f>VLOOKUP($A80,'S47'!$C:$BQ,32,0)</f>
        <v>148.6</v>
      </c>
      <c r="AD80" s="58">
        <f>VLOOKUP($A80,'S47'!$C:$BQ,39,0)</f>
        <v>32</v>
      </c>
      <c r="AE80" s="58">
        <f>VLOOKUP($A80,'S47'!$C:$BQ,40,0)</f>
        <v>68</v>
      </c>
      <c r="AF80" s="58">
        <f>VLOOKUP($A80,'S47'!$C:$BQ,22,0)</f>
        <v>623.03121999999996</v>
      </c>
      <c r="AG80" s="66">
        <f>VLOOKUP($A80,'S47'!$C:$BQ,29,0)</f>
        <v>1015</v>
      </c>
      <c r="AH80" s="66">
        <f>VLOOKUP($A80,'S47'!$C:$BQ,30,0)</f>
        <v>1342</v>
      </c>
      <c r="AI80" s="66">
        <f>VLOOKUP($A80,'S47'!$C:$BQ,52,0)</f>
        <v>124.4</v>
      </c>
      <c r="AJ80" s="66">
        <f>VLOOKUP($A80,'S47'!$C:$BQ,59,0)</f>
        <v>0</v>
      </c>
      <c r="AK80" s="66">
        <f>VLOOKUP($A80,'S47'!$C:$BQ,60,0)</f>
        <v>0</v>
      </c>
      <c r="AL80" s="58" t="e">
        <f>VLOOKUP($A80,'S48'!$C:$BQ,32,0)</f>
        <v>#N/A</v>
      </c>
      <c r="AM80" s="58" t="e">
        <f>VLOOKUP($A80,'S48'!$C:$BQ,39,0)</f>
        <v>#N/A</v>
      </c>
      <c r="AN80" s="58" t="e">
        <f>VLOOKUP($A80,'S48'!$C:$BQ,40,0)</f>
        <v>#N/A</v>
      </c>
      <c r="AO80" s="58" t="e">
        <f>VLOOKUP($A80,'S48'!$C:$BQ,22,0)</f>
        <v>#N/A</v>
      </c>
      <c r="AP80" s="66" t="e">
        <f>VLOOKUP($A80,'S48'!$C:$BQ,29,0)</f>
        <v>#N/A</v>
      </c>
      <c r="AQ80" s="66" t="e">
        <f>VLOOKUP($A80,'S48'!$C:$BQ,30,0)</f>
        <v>#N/A</v>
      </c>
      <c r="AR80" s="66" t="e">
        <f>VLOOKUP($A80,'S48'!$C:$BQ,52,0)</f>
        <v>#N/A</v>
      </c>
      <c r="AS80" s="66" t="e">
        <f>VLOOKUP($A80,'S48'!$C:$BQ,59,0)</f>
        <v>#N/A</v>
      </c>
      <c r="AT80" s="66" t="e">
        <f>VLOOKUP($A80,'S48'!$C:$BQ,60,0)</f>
        <v>#N/A</v>
      </c>
      <c r="AU80" s="58" t="e">
        <f>VLOOKUP($A80,'S49'!$C:$BQ,32,0)</f>
        <v>#N/A</v>
      </c>
      <c r="AV80" s="58" t="e">
        <f>VLOOKUP($A80,'S49'!$C:$BQ,39,0)</f>
        <v>#N/A</v>
      </c>
      <c r="AW80" s="58" t="e">
        <f>VLOOKUP($A80,'S49'!$C:$BQ,40,0)</f>
        <v>#N/A</v>
      </c>
      <c r="AX80" s="58" t="e">
        <f>VLOOKUP($A80,'S49'!$C:$BQ,22,0)</f>
        <v>#N/A</v>
      </c>
      <c r="AY80" s="66" t="e">
        <f>VLOOKUP($A80,'S49'!$C:$BQ,29,0)</f>
        <v>#N/A</v>
      </c>
      <c r="AZ80" s="66" t="e">
        <f>VLOOKUP($A80,'S49'!$C:$BQ,30,0)</f>
        <v>#N/A</v>
      </c>
      <c r="BA80" s="66" t="e">
        <f>VLOOKUP($A80,'S49'!$C:$BQ,52,0)</f>
        <v>#N/A</v>
      </c>
      <c r="BB80" s="66" t="e">
        <f>VLOOKUP($A80,'S49'!$C:$BQ,59,0)</f>
        <v>#N/A</v>
      </c>
      <c r="BC80" s="66" t="e">
        <f>VLOOKUP($A80,'S49'!$C:$BQ,60,0)</f>
        <v>#N/A</v>
      </c>
      <c r="BD80" s="58" t="e">
        <f>VLOOKUP($A80,'S50'!$C:$BQ,32,0)</f>
        <v>#N/A</v>
      </c>
      <c r="BE80" s="58" t="e">
        <f>VLOOKUP($A80,'S50'!$C:$BQ,39,0)</f>
        <v>#N/A</v>
      </c>
      <c r="BF80" s="58" t="e">
        <f>VLOOKUP($A80,'S50'!$C:$BQ,40,0)</f>
        <v>#N/A</v>
      </c>
      <c r="BG80" s="58" t="e">
        <f>VLOOKUP($A80,'S50'!$C:$BQ,22,0)</f>
        <v>#N/A</v>
      </c>
      <c r="BH80" s="66" t="e">
        <f>VLOOKUP($A80,'S50'!$C:$BQ,29,0)</f>
        <v>#N/A</v>
      </c>
      <c r="BI80" s="66" t="e">
        <f>VLOOKUP($A80,'S50'!$C:$BQ,30,0)</f>
        <v>#N/A</v>
      </c>
      <c r="BJ80" s="66" t="e">
        <f>VLOOKUP($A80,'S50'!$C:$BQ,52,0)</f>
        <v>#N/A</v>
      </c>
      <c r="BK80" s="66" t="e">
        <f>VLOOKUP($A80,'S50'!$C:$BQ,59,0)</f>
        <v>#N/A</v>
      </c>
      <c r="BL80" s="66" t="e">
        <f>VLOOKUP($A80,'S50'!$C:$BQ,60,0)</f>
        <v>#N/A</v>
      </c>
    </row>
    <row r="81" spans="1:64" x14ac:dyDescent="0.2">
      <c r="A81" s="57" t="s">
        <v>138</v>
      </c>
      <c r="B81" s="58">
        <f>VLOOKUP($A81,'S0 remplacer avec S44'!$C:$BQ,32,0)</f>
        <v>63.05</v>
      </c>
      <c r="C81" s="58">
        <f>VLOOKUP($A81,'S0 remplacer avec S44'!$C:$BQ,39,0)</f>
        <v>143</v>
      </c>
      <c r="D81" s="58">
        <f>VLOOKUP($A81,'S0 remplacer avec S44'!$C:$BQ,40,0)</f>
        <v>184</v>
      </c>
      <c r="E81" s="58">
        <f>VLOOKUP($A81,'S0 remplacer avec S44'!$C:$BQ,22,0)</f>
        <v>1271.31799</v>
      </c>
      <c r="F81" s="66">
        <f>VLOOKUP($A81,'S0 remplacer avec S44'!$C:$BQ,29,0)</f>
        <v>596</v>
      </c>
      <c r="G81" s="66">
        <f>VLOOKUP($A81,'S0 remplacer avec S44'!$C:$BQ,30,0)</f>
        <v>970</v>
      </c>
      <c r="H81" s="66">
        <f>VLOOKUP($A81,'S0 remplacer avec S44'!$C:$BQ,52,0)</f>
        <v>81.2</v>
      </c>
      <c r="I81" s="66">
        <f>VLOOKUP($A81,'S0 remplacer avec S44'!$C:$BQ,59,0)</f>
        <v>24</v>
      </c>
      <c r="J81" s="66">
        <f>VLOOKUP($A81,'S0 remplacer avec S44'!$C:$BQ,60,0)</f>
        <v>44</v>
      </c>
      <c r="K81" s="58">
        <f>VLOOKUP($A81,'S45'!$C:$BQ,32,0)</f>
        <v>63.05</v>
      </c>
      <c r="L81" s="58">
        <f>VLOOKUP($A81,'S45'!$C:$BQ,39,0)</f>
        <v>143</v>
      </c>
      <c r="M81" s="58">
        <f>VLOOKUP($A81,'S45'!$C:$BQ,40,0)</f>
        <v>184</v>
      </c>
      <c r="N81" s="58">
        <f>VLOOKUP($A81,'S45'!$C:$BQ,22,0)</f>
        <v>1253.2079900000001</v>
      </c>
      <c r="O81" s="66">
        <f>VLOOKUP($A81,'S45'!$C:$BQ,29,0)</f>
        <v>614</v>
      </c>
      <c r="P81" s="66">
        <f>VLOOKUP($A81,'S45'!$C:$BQ,30,0)</f>
        <v>988</v>
      </c>
      <c r="Q81" s="66">
        <f>VLOOKUP($A81,'S45'!$C:$BQ,52,0)</f>
        <v>82.2</v>
      </c>
      <c r="R81" s="66">
        <f>VLOOKUP($A81,'S45'!$C:$BQ,59,0)</f>
        <v>23</v>
      </c>
      <c r="S81" s="66">
        <f>VLOOKUP($A81,'S45'!$C:$BQ,60,0)</f>
        <v>43</v>
      </c>
      <c r="T81" s="58">
        <f>VLOOKUP($A81,'S46'!$C:$BQ,32,0)</f>
        <v>63.55</v>
      </c>
      <c r="U81" s="58">
        <f>VLOOKUP($A81,'S46'!$C:$BQ,39,0)</f>
        <v>142</v>
      </c>
      <c r="V81" s="58">
        <f>VLOOKUP($A81,'S46'!$C:$BQ,40,0)</f>
        <v>183</v>
      </c>
      <c r="W81" s="58">
        <f>VLOOKUP($A81,'S46'!$C:$BQ,22,0)</f>
        <v>1253.4839999999999</v>
      </c>
      <c r="X81" s="66">
        <f>VLOOKUP($A81,'S46'!$C:$BQ,29,0)</f>
        <v>614</v>
      </c>
      <c r="Y81" s="66">
        <f>VLOOKUP($A81,'S46'!$C:$BQ,30,0)</f>
        <v>987</v>
      </c>
      <c r="Z81" s="66">
        <f>VLOOKUP($A81,'S46'!$C:$BQ,52,0)</f>
        <v>83.2</v>
      </c>
      <c r="AA81" s="66">
        <f>VLOOKUP($A81,'S46'!$C:$BQ,59,0)</f>
        <v>22</v>
      </c>
      <c r="AB81" s="66">
        <f>VLOOKUP($A81,'S46'!$C:$BQ,60,0)</f>
        <v>42</v>
      </c>
      <c r="AC81" s="58">
        <f>VLOOKUP($A81,'S47'!$C:$BQ,32,0)</f>
        <v>66.05</v>
      </c>
      <c r="AD81" s="58">
        <f>VLOOKUP($A81,'S47'!$C:$BQ,39,0)</f>
        <v>140</v>
      </c>
      <c r="AE81" s="58">
        <f>VLOOKUP($A81,'S47'!$C:$BQ,40,0)</f>
        <v>181</v>
      </c>
      <c r="AF81" s="58">
        <f>VLOOKUP($A81,'S47'!$C:$BQ,22,0)</f>
        <v>1283.85959</v>
      </c>
      <c r="AG81" s="66">
        <f>VLOOKUP($A81,'S47'!$C:$BQ,29,0)</f>
        <v>584</v>
      </c>
      <c r="AH81" s="66">
        <f>VLOOKUP($A81,'S47'!$C:$BQ,30,0)</f>
        <v>957</v>
      </c>
      <c r="AI81" s="66">
        <f>VLOOKUP($A81,'S47'!$C:$BQ,52,0)</f>
        <v>84.2</v>
      </c>
      <c r="AJ81" s="66">
        <f>VLOOKUP($A81,'S47'!$C:$BQ,59,0)</f>
        <v>21</v>
      </c>
      <c r="AK81" s="66">
        <f>VLOOKUP($A81,'S47'!$C:$BQ,60,0)</f>
        <v>41</v>
      </c>
      <c r="AL81" s="58" t="e">
        <f>VLOOKUP($A81,'S48'!$C:$BQ,32,0)</f>
        <v>#N/A</v>
      </c>
      <c r="AM81" s="58" t="e">
        <f>VLOOKUP($A81,'S48'!$C:$BQ,39,0)</f>
        <v>#N/A</v>
      </c>
      <c r="AN81" s="58" t="e">
        <f>VLOOKUP($A81,'S48'!$C:$BQ,40,0)</f>
        <v>#N/A</v>
      </c>
      <c r="AO81" s="58" t="e">
        <f>VLOOKUP($A81,'S48'!$C:$BQ,22,0)</f>
        <v>#N/A</v>
      </c>
      <c r="AP81" s="66" t="e">
        <f>VLOOKUP($A81,'S48'!$C:$BQ,29,0)</f>
        <v>#N/A</v>
      </c>
      <c r="AQ81" s="66" t="e">
        <f>VLOOKUP($A81,'S48'!$C:$BQ,30,0)</f>
        <v>#N/A</v>
      </c>
      <c r="AR81" s="66" t="e">
        <f>VLOOKUP($A81,'S48'!$C:$BQ,52,0)</f>
        <v>#N/A</v>
      </c>
      <c r="AS81" s="66" t="e">
        <f>VLOOKUP($A81,'S48'!$C:$BQ,59,0)</f>
        <v>#N/A</v>
      </c>
      <c r="AT81" s="66" t="e">
        <f>VLOOKUP($A81,'S48'!$C:$BQ,60,0)</f>
        <v>#N/A</v>
      </c>
      <c r="AU81" s="58" t="e">
        <f>VLOOKUP($A81,'S49'!$C:$BQ,32,0)</f>
        <v>#N/A</v>
      </c>
      <c r="AV81" s="58" t="e">
        <f>VLOOKUP($A81,'S49'!$C:$BQ,39,0)</f>
        <v>#N/A</v>
      </c>
      <c r="AW81" s="58" t="e">
        <f>VLOOKUP($A81,'S49'!$C:$BQ,40,0)</f>
        <v>#N/A</v>
      </c>
      <c r="AX81" s="58" t="e">
        <f>VLOOKUP($A81,'S49'!$C:$BQ,22,0)</f>
        <v>#N/A</v>
      </c>
      <c r="AY81" s="66" t="e">
        <f>VLOOKUP($A81,'S49'!$C:$BQ,29,0)</f>
        <v>#N/A</v>
      </c>
      <c r="AZ81" s="66" t="e">
        <f>VLOOKUP($A81,'S49'!$C:$BQ,30,0)</f>
        <v>#N/A</v>
      </c>
      <c r="BA81" s="66" t="e">
        <f>VLOOKUP($A81,'S49'!$C:$BQ,52,0)</f>
        <v>#N/A</v>
      </c>
      <c r="BB81" s="66" t="e">
        <f>VLOOKUP($A81,'S49'!$C:$BQ,59,0)</f>
        <v>#N/A</v>
      </c>
      <c r="BC81" s="66" t="e">
        <f>VLOOKUP($A81,'S49'!$C:$BQ,60,0)</f>
        <v>#N/A</v>
      </c>
      <c r="BD81" s="58" t="e">
        <f>VLOOKUP($A81,'S50'!$C:$BQ,32,0)</f>
        <v>#N/A</v>
      </c>
      <c r="BE81" s="58" t="e">
        <f>VLOOKUP($A81,'S50'!$C:$BQ,39,0)</f>
        <v>#N/A</v>
      </c>
      <c r="BF81" s="58" t="e">
        <f>VLOOKUP($A81,'S50'!$C:$BQ,40,0)</f>
        <v>#N/A</v>
      </c>
      <c r="BG81" s="58" t="e">
        <f>VLOOKUP($A81,'S50'!$C:$BQ,22,0)</f>
        <v>#N/A</v>
      </c>
      <c r="BH81" s="66" t="e">
        <f>VLOOKUP($A81,'S50'!$C:$BQ,29,0)</f>
        <v>#N/A</v>
      </c>
      <c r="BI81" s="66" t="e">
        <f>VLOOKUP($A81,'S50'!$C:$BQ,30,0)</f>
        <v>#N/A</v>
      </c>
      <c r="BJ81" s="66" t="e">
        <f>VLOOKUP($A81,'S50'!$C:$BQ,52,0)</f>
        <v>#N/A</v>
      </c>
      <c r="BK81" s="66" t="e">
        <f>VLOOKUP($A81,'S50'!$C:$BQ,59,0)</f>
        <v>#N/A</v>
      </c>
      <c r="BL81" s="66" t="e">
        <f>VLOOKUP($A81,'S50'!$C:$BQ,60,0)</f>
        <v>#N/A</v>
      </c>
    </row>
    <row r="82" spans="1:64" x14ac:dyDescent="0.2">
      <c r="A82" s="57" t="s">
        <v>141</v>
      </c>
      <c r="B82" s="58">
        <f>VLOOKUP($A82,'S0 remplacer avec S44'!$C:$BQ,32,0)</f>
        <v>161.4</v>
      </c>
      <c r="C82" s="58">
        <f>VLOOKUP($A82,'S0 remplacer avec S44'!$C:$BQ,39,0)</f>
        <v>73</v>
      </c>
      <c r="D82" s="58">
        <f>VLOOKUP($A82,'S0 remplacer avec S44'!$C:$BQ,40,0)</f>
        <v>120</v>
      </c>
      <c r="E82" s="58">
        <f>VLOOKUP($A82,'S0 remplacer avec S44'!$C:$BQ,22,0)</f>
        <v>2262.3280650000002</v>
      </c>
      <c r="F82" s="66">
        <f>VLOOKUP($A82,'S0 remplacer avec S44'!$C:$BQ,29,0)</f>
        <v>0</v>
      </c>
      <c r="G82" s="66">
        <f>VLOOKUP($A82,'S0 remplacer avec S44'!$C:$BQ,30,0)</f>
        <v>295</v>
      </c>
      <c r="H82" s="66">
        <f>VLOOKUP($A82,'S0 remplacer avec S44'!$C:$BQ,52,0)</f>
        <v>110.4</v>
      </c>
      <c r="I82" s="66">
        <f>VLOOKUP($A82,'S0 remplacer avec S44'!$C:$BQ,59,0)</f>
        <v>9</v>
      </c>
      <c r="J82" s="66">
        <f>VLOOKUP($A82,'S0 remplacer avec S44'!$C:$BQ,60,0)</f>
        <v>33</v>
      </c>
      <c r="K82" s="58">
        <f>VLOOKUP($A82,'S45'!$C:$BQ,32,0)</f>
        <v>162.4</v>
      </c>
      <c r="L82" s="58">
        <f>VLOOKUP($A82,'S45'!$C:$BQ,39,0)</f>
        <v>72</v>
      </c>
      <c r="M82" s="58">
        <f>VLOOKUP($A82,'S45'!$C:$BQ,40,0)</f>
        <v>119</v>
      </c>
      <c r="N82" s="58">
        <f>VLOOKUP($A82,'S45'!$C:$BQ,22,0)</f>
        <v>2319.1927150000001</v>
      </c>
      <c r="O82" s="66">
        <f>VLOOKUP($A82,'S45'!$C:$BQ,29,0)</f>
        <v>0</v>
      </c>
      <c r="P82" s="66">
        <f>VLOOKUP($A82,'S45'!$C:$BQ,30,0)</f>
        <v>238</v>
      </c>
      <c r="Q82" s="66">
        <f>VLOOKUP($A82,'S45'!$C:$BQ,52,0)</f>
        <v>115.4</v>
      </c>
      <c r="R82" s="66">
        <f>VLOOKUP($A82,'S45'!$C:$BQ,59,0)</f>
        <v>4</v>
      </c>
      <c r="S82" s="66">
        <f>VLOOKUP($A82,'S45'!$C:$BQ,60,0)</f>
        <v>28</v>
      </c>
      <c r="T82" s="58">
        <f>VLOOKUP($A82,'S46'!$C:$BQ,32,0)</f>
        <v>161.4</v>
      </c>
      <c r="U82" s="58">
        <f>VLOOKUP($A82,'S46'!$C:$BQ,39,0)</f>
        <v>73</v>
      </c>
      <c r="V82" s="58">
        <f>VLOOKUP($A82,'S46'!$C:$BQ,40,0)</f>
        <v>120</v>
      </c>
      <c r="W82" s="58">
        <f>VLOOKUP($A82,'S46'!$C:$BQ,22,0)</f>
        <v>2324.6242649999999</v>
      </c>
      <c r="X82" s="66">
        <f>VLOOKUP($A82,'S46'!$C:$BQ,29,0)</f>
        <v>0</v>
      </c>
      <c r="Y82" s="66">
        <f>VLOOKUP($A82,'S46'!$C:$BQ,30,0)</f>
        <v>233</v>
      </c>
      <c r="Z82" s="66">
        <f>VLOOKUP($A82,'S46'!$C:$BQ,52,0)</f>
        <v>115.4</v>
      </c>
      <c r="AA82" s="66">
        <f>VLOOKUP($A82,'S46'!$C:$BQ,59,0)</f>
        <v>4</v>
      </c>
      <c r="AB82" s="66">
        <f>VLOOKUP($A82,'S46'!$C:$BQ,60,0)</f>
        <v>28</v>
      </c>
      <c r="AC82" s="58">
        <f>VLOOKUP($A82,'S47'!$C:$BQ,32,0)</f>
        <v>161.9</v>
      </c>
      <c r="AD82" s="58">
        <f>VLOOKUP($A82,'S47'!$C:$BQ,39,0)</f>
        <v>73</v>
      </c>
      <c r="AE82" s="58">
        <f>VLOOKUP($A82,'S47'!$C:$BQ,40,0)</f>
        <v>120</v>
      </c>
      <c r="AF82" s="58">
        <f>VLOOKUP($A82,'S47'!$C:$BQ,22,0)</f>
        <v>2366.821195</v>
      </c>
      <c r="AG82" s="66">
        <f>VLOOKUP($A82,'S47'!$C:$BQ,29,0)</f>
        <v>0</v>
      </c>
      <c r="AH82" s="66">
        <f>VLOOKUP($A82,'S47'!$C:$BQ,30,0)</f>
        <v>191</v>
      </c>
      <c r="AI82" s="66">
        <f>VLOOKUP($A82,'S47'!$C:$BQ,52,0)</f>
        <v>120.4</v>
      </c>
      <c r="AJ82" s="66">
        <f>VLOOKUP($A82,'S47'!$C:$BQ,59,0)</f>
        <v>0</v>
      </c>
      <c r="AK82" s="66">
        <f>VLOOKUP($A82,'S47'!$C:$BQ,60,0)</f>
        <v>23</v>
      </c>
      <c r="AL82" s="58" t="e">
        <f>VLOOKUP($A82,'S48'!$C:$BQ,32,0)</f>
        <v>#N/A</v>
      </c>
      <c r="AM82" s="58" t="e">
        <f>VLOOKUP($A82,'S48'!$C:$BQ,39,0)</f>
        <v>#N/A</v>
      </c>
      <c r="AN82" s="58" t="e">
        <f>VLOOKUP($A82,'S48'!$C:$BQ,40,0)</f>
        <v>#N/A</v>
      </c>
      <c r="AO82" s="58" t="e">
        <f>VLOOKUP($A82,'S48'!$C:$BQ,22,0)</f>
        <v>#N/A</v>
      </c>
      <c r="AP82" s="66" t="e">
        <f>VLOOKUP($A82,'S48'!$C:$BQ,29,0)</f>
        <v>#N/A</v>
      </c>
      <c r="AQ82" s="66" t="e">
        <f>VLOOKUP($A82,'S48'!$C:$BQ,30,0)</f>
        <v>#N/A</v>
      </c>
      <c r="AR82" s="66" t="e">
        <f>VLOOKUP($A82,'S48'!$C:$BQ,52,0)</f>
        <v>#N/A</v>
      </c>
      <c r="AS82" s="66" t="e">
        <f>VLOOKUP($A82,'S48'!$C:$BQ,59,0)</f>
        <v>#N/A</v>
      </c>
      <c r="AT82" s="66" t="e">
        <f>VLOOKUP($A82,'S48'!$C:$BQ,60,0)</f>
        <v>#N/A</v>
      </c>
      <c r="AU82" s="58" t="e">
        <f>VLOOKUP($A82,'S49'!$C:$BQ,32,0)</f>
        <v>#N/A</v>
      </c>
      <c r="AV82" s="58" t="e">
        <f>VLOOKUP($A82,'S49'!$C:$BQ,39,0)</f>
        <v>#N/A</v>
      </c>
      <c r="AW82" s="58" t="e">
        <f>VLOOKUP($A82,'S49'!$C:$BQ,40,0)</f>
        <v>#N/A</v>
      </c>
      <c r="AX82" s="58" t="e">
        <f>VLOOKUP($A82,'S49'!$C:$BQ,22,0)</f>
        <v>#N/A</v>
      </c>
      <c r="AY82" s="66" t="e">
        <f>VLOOKUP($A82,'S49'!$C:$BQ,29,0)</f>
        <v>#N/A</v>
      </c>
      <c r="AZ82" s="66" t="e">
        <f>VLOOKUP($A82,'S49'!$C:$BQ,30,0)</f>
        <v>#N/A</v>
      </c>
      <c r="BA82" s="66" t="e">
        <f>VLOOKUP($A82,'S49'!$C:$BQ,52,0)</f>
        <v>#N/A</v>
      </c>
      <c r="BB82" s="66" t="e">
        <f>VLOOKUP($A82,'S49'!$C:$BQ,59,0)</f>
        <v>#N/A</v>
      </c>
      <c r="BC82" s="66" t="e">
        <f>VLOOKUP($A82,'S49'!$C:$BQ,60,0)</f>
        <v>#N/A</v>
      </c>
      <c r="BD82" s="58" t="e">
        <f>VLOOKUP($A82,'S50'!$C:$BQ,32,0)</f>
        <v>#N/A</v>
      </c>
      <c r="BE82" s="58" t="e">
        <f>VLOOKUP($A82,'S50'!$C:$BQ,39,0)</f>
        <v>#N/A</v>
      </c>
      <c r="BF82" s="58" t="e">
        <f>VLOOKUP($A82,'S50'!$C:$BQ,40,0)</f>
        <v>#N/A</v>
      </c>
      <c r="BG82" s="58" t="e">
        <f>VLOOKUP($A82,'S50'!$C:$BQ,22,0)</f>
        <v>#N/A</v>
      </c>
      <c r="BH82" s="66" t="e">
        <f>VLOOKUP($A82,'S50'!$C:$BQ,29,0)</f>
        <v>#N/A</v>
      </c>
      <c r="BI82" s="66" t="e">
        <f>VLOOKUP($A82,'S50'!$C:$BQ,30,0)</f>
        <v>#N/A</v>
      </c>
      <c r="BJ82" s="66" t="e">
        <f>VLOOKUP($A82,'S50'!$C:$BQ,52,0)</f>
        <v>#N/A</v>
      </c>
      <c r="BK82" s="66" t="e">
        <f>VLOOKUP($A82,'S50'!$C:$BQ,59,0)</f>
        <v>#N/A</v>
      </c>
      <c r="BL82" s="66" t="e">
        <f>VLOOKUP($A82,'S50'!$C:$BQ,60,0)</f>
        <v>#N/A</v>
      </c>
    </row>
    <row r="83" spans="1:64" x14ac:dyDescent="0.2">
      <c r="A83" s="57" t="s">
        <v>142</v>
      </c>
      <c r="B83" s="58">
        <f>VLOOKUP($A83,'S0 remplacer avec S44'!$C:$BQ,32,0)</f>
        <v>293.39999999999998</v>
      </c>
      <c r="C83" s="58">
        <f>VLOOKUP($A83,'S0 remplacer avec S44'!$C:$BQ,39,0)</f>
        <v>215</v>
      </c>
      <c r="D83" s="58">
        <f>VLOOKUP($A83,'S0 remplacer avec S44'!$C:$BQ,40,0)</f>
        <v>317</v>
      </c>
      <c r="E83" s="58">
        <f>VLOOKUP($A83,'S0 remplacer avec S44'!$C:$BQ,22,0)</f>
        <v>2734.83212</v>
      </c>
      <c r="F83" s="66">
        <f>VLOOKUP($A83,'S0 remplacer avec S44'!$C:$BQ,29,0)</f>
        <v>1885</v>
      </c>
      <c r="G83" s="66">
        <f>VLOOKUP($A83,'S0 remplacer avec S44'!$C:$BQ,30,0)</f>
        <v>2808</v>
      </c>
      <c r="H83" s="66">
        <f>VLOOKUP($A83,'S0 remplacer avec S44'!$C:$BQ,52,0)</f>
        <v>288.39999999999998</v>
      </c>
      <c r="I83" s="66">
        <f>VLOOKUP($A83,'S0 remplacer avec S44'!$C:$BQ,59,0)</f>
        <v>0</v>
      </c>
      <c r="J83" s="66">
        <f>VLOOKUP($A83,'S0 remplacer avec S44'!$C:$BQ,60,0)</f>
        <v>22</v>
      </c>
      <c r="K83" s="58">
        <f>VLOOKUP($A83,'S45'!$C:$BQ,32,0)</f>
        <v>298.39999999999998</v>
      </c>
      <c r="L83" s="58">
        <f>VLOOKUP($A83,'S45'!$C:$BQ,39,0)</f>
        <v>210</v>
      </c>
      <c r="M83" s="58">
        <f>VLOOKUP($A83,'S45'!$C:$BQ,40,0)</f>
        <v>312</v>
      </c>
      <c r="N83" s="58">
        <f>VLOOKUP($A83,'S45'!$C:$BQ,22,0)</f>
        <v>2746.0294199999998</v>
      </c>
      <c r="O83" s="66">
        <f>VLOOKUP($A83,'S45'!$C:$BQ,29,0)</f>
        <v>1873</v>
      </c>
      <c r="P83" s="66">
        <f>VLOOKUP($A83,'S45'!$C:$BQ,30,0)</f>
        <v>2797</v>
      </c>
      <c r="Q83" s="66">
        <f>VLOOKUP($A83,'S45'!$C:$BQ,52,0)</f>
        <v>296.39999999999998</v>
      </c>
      <c r="R83" s="66">
        <f>VLOOKUP($A83,'S45'!$C:$BQ,59,0)</f>
        <v>0</v>
      </c>
      <c r="S83" s="66">
        <f>VLOOKUP($A83,'S45'!$C:$BQ,60,0)</f>
        <v>14</v>
      </c>
      <c r="T83" s="58">
        <f>VLOOKUP($A83,'S46'!$C:$BQ,32,0)</f>
        <v>297.89999999999998</v>
      </c>
      <c r="U83" s="58">
        <f>VLOOKUP($A83,'S46'!$C:$BQ,39,0)</f>
        <v>210</v>
      </c>
      <c r="V83" s="58">
        <f>VLOOKUP($A83,'S46'!$C:$BQ,40,0)</f>
        <v>312</v>
      </c>
      <c r="W83" s="58">
        <f>VLOOKUP($A83,'S46'!$C:$BQ,22,0)</f>
        <v>2733.32629</v>
      </c>
      <c r="X83" s="66">
        <f>VLOOKUP($A83,'S46'!$C:$BQ,29,0)</f>
        <v>1886</v>
      </c>
      <c r="Y83" s="66">
        <f>VLOOKUP($A83,'S46'!$C:$BQ,30,0)</f>
        <v>2810</v>
      </c>
      <c r="Z83" s="66">
        <f>VLOOKUP($A83,'S46'!$C:$BQ,52,0)</f>
        <v>298.39999999999998</v>
      </c>
      <c r="AA83" s="66">
        <f>VLOOKUP($A83,'S46'!$C:$BQ,59,0)</f>
        <v>0</v>
      </c>
      <c r="AB83" s="66">
        <f>VLOOKUP($A83,'S46'!$C:$BQ,60,0)</f>
        <v>12</v>
      </c>
      <c r="AC83" s="58">
        <f>VLOOKUP($A83,'S47'!$C:$BQ,32,0)</f>
        <v>304.39999999999998</v>
      </c>
      <c r="AD83" s="58">
        <f>VLOOKUP($A83,'S47'!$C:$BQ,39,0)</f>
        <v>204</v>
      </c>
      <c r="AE83" s="58">
        <f>VLOOKUP($A83,'S47'!$C:$BQ,40,0)</f>
        <v>306</v>
      </c>
      <c r="AF83" s="58">
        <f>VLOOKUP($A83,'S47'!$C:$BQ,22,0)</f>
        <v>2769.8413999999998</v>
      </c>
      <c r="AG83" s="66">
        <f>VLOOKUP($A83,'S47'!$C:$BQ,29,0)</f>
        <v>1850</v>
      </c>
      <c r="AH83" s="66">
        <f>VLOOKUP($A83,'S47'!$C:$BQ,30,0)</f>
        <v>2773</v>
      </c>
      <c r="AI83" s="66">
        <f>VLOOKUP($A83,'S47'!$C:$BQ,52,0)</f>
        <v>307.39999999999998</v>
      </c>
      <c r="AJ83" s="66">
        <f>VLOOKUP($A83,'S47'!$C:$BQ,59,0)</f>
        <v>0</v>
      </c>
      <c r="AK83" s="66">
        <f>VLOOKUP($A83,'S47'!$C:$BQ,60,0)</f>
        <v>3</v>
      </c>
      <c r="AL83" s="58" t="e">
        <f>VLOOKUP($A83,'S48'!$C:$BQ,32,0)</f>
        <v>#N/A</v>
      </c>
      <c r="AM83" s="58" t="e">
        <f>VLOOKUP($A83,'S48'!$C:$BQ,39,0)</f>
        <v>#N/A</v>
      </c>
      <c r="AN83" s="58" t="e">
        <f>VLOOKUP($A83,'S48'!$C:$BQ,40,0)</f>
        <v>#N/A</v>
      </c>
      <c r="AO83" s="58" t="e">
        <f>VLOOKUP($A83,'S48'!$C:$BQ,22,0)</f>
        <v>#N/A</v>
      </c>
      <c r="AP83" s="66" t="e">
        <f>VLOOKUP($A83,'S48'!$C:$BQ,29,0)</f>
        <v>#N/A</v>
      </c>
      <c r="AQ83" s="66" t="e">
        <f>VLOOKUP($A83,'S48'!$C:$BQ,30,0)</f>
        <v>#N/A</v>
      </c>
      <c r="AR83" s="66" t="e">
        <f>VLOOKUP($A83,'S48'!$C:$BQ,52,0)</f>
        <v>#N/A</v>
      </c>
      <c r="AS83" s="66" t="e">
        <f>VLOOKUP($A83,'S48'!$C:$BQ,59,0)</f>
        <v>#N/A</v>
      </c>
      <c r="AT83" s="66" t="e">
        <f>VLOOKUP($A83,'S48'!$C:$BQ,60,0)</f>
        <v>#N/A</v>
      </c>
      <c r="AU83" s="58" t="e">
        <f>VLOOKUP($A83,'S49'!$C:$BQ,32,0)</f>
        <v>#N/A</v>
      </c>
      <c r="AV83" s="58" t="e">
        <f>VLOOKUP($A83,'S49'!$C:$BQ,39,0)</f>
        <v>#N/A</v>
      </c>
      <c r="AW83" s="58" t="e">
        <f>VLOOKUP($A83,'S49'!$C:$BQ,40,0)</f>
        <v>#N/A</v>
      </c>
      <c r="AX83" s="58" t="e">
        <f>VLOOKUP($A83,'S49'!$C:$BQ,22,0)</f>
        <v>#N/A</v>
      </c>
      <c r="AY83" s="66" t="e">
        <f>VLOOKUP($A83,'S49'!$C:$BQ,29,0)</f>
        <v>#N/A</v>
      </c>
      <c r="AZ83" s="66" t="e">
        <f>VLOOKUP($A83,'S49'!$C:$BQ,30,0)</f>
        <v>#N/A</v>
      </c>
      <c r="BA83" s="66" t="e">
        <f>VLOOKUP($A83,'S49'!$C:$BQ,52,0)</f>
        <v>#N/A</v>
      </c>
      <c r="BB83" s="66" t="e">
        <f>VLOOKUP($A83,'S49'!$C:$BQ,59,0)</f>
        <v>#N/A</v>
      </c>
      <c r="BC83" s="66" t="e">
        <f>VLOOKUP($A83,'S49'!$C:$BQ,60,0)</f>
        <v>#N/A</v>
      </c>
      <c r="BD83" s="58" t="e">
        <f>VLOOKUP($A83,'S50'!$C:$BQ,32,0)</f>
        <v>#N/A</v>
      </c>
      <c r="BE83" s="58" t="e">
        <f>VLOOKUP($A83,'S50'!$C:$BQ,39,0)</f>
        <v>#N/A</v>
      </c>
      <c r="BF83" s="58" t="e">
        <f>VLOOKUP($A83,'S50'!$C:$BQ,40,0)</f>
        <v>#N/A</v>
      </c>
      <c r="BG83" s="58" t="e">
        <f>VLOOKUP($A83,'S50'!$C:$BQ,22,0)</f>
        <v>#N/A</v>
      </c>
      <c r="BH83" s="66" t="e">
        <f>VLOOKUP($A83,'S50'!$C:$BQ,29,0)</f>
        <v>#N/A</v>
      </c>
      <c r="BI83" s="66" t="e">
        <f>VLOOKUP($A83,'S50'!$C:$BQ,30,0)</f>
        <v>#N/A</v>
      </c>
      <c r="BJ83" s="66" t="e">
        <f>VLOOKUP($A83,'S50'!$C:$BQ,52,0)</f>
        <v>#N/A</v>
      </c>
      <c r="BK83" s="66" t="e">
        <f>VLOOKUP($A83,'S50'!$C:$BQ,59,0)</f>
        <v>#N/A</v>
      </c>
      <c r="BL83" s="66" t="e">
        <f>VLOOKUP($A83,'S50'!$C:$BQ,60,0)</f>
        <v>#N/A</v>
      </c>
    </row>
    <row r="84" spans="1:64" x14ac:dyDescent="0.2">
      <c r="A84" s="57" t="s">
        <v>143</v>
      </c>
      <c r="B84" s="58">
        <f>VLOOKUP($A84,'S0 remplacer avec S44'!$C:$BQ,32,0)</f>
        <v>306.8</v>
      </c>
      <c r="C84" s="58">
        <f>VLOOKUP($A84,'S0 remplacer avec S44'!$C:$BQ,39,0)</f>
        <v>109</v>
      </c>
      <c r="D84" s="58">
        <f>VLOOKUP($A84,'S0 remplacer avec S44'!$C:$BQ,40,0)</f>
        <v>192</v>
      </c>
      <c r="E84" s="58">
        <f>VLOOKUP($A84,'S0 remplacer avec S44'!$C:$BQ,22,0)</f>
        <v>3078.0458199999998</v>
      </c>
      <c r="F84" s="66">
        <f>VLOOKUP($A84,'S0 remplacer avec S44'!$C:$BQ,29,0)</f>
        <v>703</v>
      </c>
      <c r="G84" s="66">
        <f>VLOOKUP($A84,'S0 remplacer avec S44'!$C:$BQ,30,0)</f>
        <v>1459</v>
      </c>
      <c r="H84" s="66">
        <f>VLOOKUP($A84,'S0 remplacer avec S44'!$C:$BQ,52,0)</f>
        <v>250.4</v>
      </c>
      <c r="I84" s="66">
        <f>VLOOKUP($A84,'S0 remplacer avec S44'!$C:$BQ,59,0)</f>
        <v>0</v>
      </c>
      <c r="J84" s="66">
        <f>VLOOKUP($A84,'S0 remplacer avec S44'!$C:$BQ,60,0)</f>
        <v>3</v>
      </c>
      <c r="K84" s="58">
        <f>VLOOKUP($A84,'S45'!$C:$BQ,32,0)</f>
        <v>311.3</v>
      </c>
      <c r="L84" s="58">
        <f>VLOOKUP($A84,'S45'!$C:$BQ,39,0)</f>
        <v>105</v>
      </c>
      <c r="M84" s="58">
        <f>VLOOKUP($A84,'S45'!$C:$BQ,40,0)</f>
        <v>188</v>
      </c>
      <c r="N84" s="58">
        <f>VLOOKUP($A84,'S45'!$C:$BQ,22,0)</f>
        <v>3101.2228799999998</v>
      </c>
      <c r="O84" s="66">
        <f>VLOOKUP($A84,'S45'!$C:$BQ,29,0)</f>
        <v>680</v>
      </c>
      <c r="P84" s="66">
        <f>VLOOKUP($A84,'S45'!$C:$BQ,30,0)</f>
        <v>1436</v>
      </c>
      <c r="Q84" s="66">
        <f>VLOOKUP($A84,'S45'!$C:$BQ,52,0)</f>
        <v>255.4</v>
      </c>
      <c r="R84" s="66">
        <f>VLOOKUP($A84,'S45'!$C:$BQ,59,0)</f>
        <v>0</v>
      </c>
      <c r="S84" s="66">
        <f>VLOOKUP($A84,'S45'!$C:$BQ,60,0)</f>
        <v>0</v>
      </c>
      <c r="T84" s="58">
        <f>VLOOKUP($A84,'S46'!$C:$BQ,32,0)</f>
        <v>312.8</v>
      </c>
      <c r="U84" s="58">
        <f>VLOOKUP($A84,'S46'!$C:$BQ,39,0)</f>
        <v>103</v>
      </c>
      <c r="V84" s="58">
        <f>VLOOKUP($A84,'S46'!$C:$BQ,40,0)</f>
        <v>186</v>
      </c>
      <c r="W84" s="58">
        <f>VLOOKUP($A84,'S46'!$C:$BQ,22,0)</f>
        <v>3046.65852</v>
      </c>
      <c r="X84" s="66">
        <f>VLOOKUP($A84,'S46'!$C:$BQ,29,0)</f>
        <v>734</v>
      </c>
      <c r="Y84" s="66">
        <f>VLOOKUP($A84,'S46'!$C:$BQ,30,0)</f>
        <v>1490</v>
      </c>
      <c r="Z84" s="66">
        <f>VLOOKUP($A84,'S46'!$C:$BQ,52,0)</f>
        <v>256.39999999999998</v>
      </c>
      <c r="AA84" s="66">
        <f>VLOOKUP($A84,'S46'!$C:$BQ,59,0)</f>
        <v>0</v>
      </c>
      <c r="AB84" s="66">
        <f>VLOOKUP($A84,'S46'!$C:$BQ,60,0)</f>
        <v>0</v>
      </c>
      <c r="AC84" s="58">
        <f>VLOOKUP($A84,'S47'!$C:$BQ,32,0)</f>
        <v>318.8</v>
      </c>
      <c r="AD84" s="58">
        <f>VLOOKUP($A84,'S47'!$C:$BQ,39,0)</f>
        <v>97</v>
      </c>
      <c r="AE84" s="58">
        <f>VLOOKUP($A84,'S47'!$C:$BQ,40,0)</f>
        <v>180</v>
      </c>
      <c r="AF84" s="58">
        <f>VLOOKUP($A84,'S47'!$C:$BQ,22,0)</f>
        <v>3113.3211900000001</v>
      </c>
      <c r="AG84" s="66">
        <f>VLOOKUP($A84,'S47'!$C:$BQ,29,0)</f>
        <v>667</v>
      </c>
      <c r="AH84" s="66">
        <f>VLOOKUP($A84,'S47'!$C:$BQ,30,0)</f>
        <v>1424</v>
      </c>
      <c r="AI84" s="66">
        <f>VLOOKUP($A84,'S47'!$C:$BQ,52,0)</f>
        <v>264.39999999999998</v>
      </c>
      <c r="AJ84" s="66">
        <f>VLOOKUP($A84,'S47'!$C:$BQ,59,0)</f>
        <v>0</v>
      </c>
      <c r="AK84" s="66">
        <f>VLOOKUP($A84,'S47'!$C:$BQ,60,0)</f>
        <v>0</v>
      </c>
      <c r="AL84" s="58" t="e">
        <f>VLOOKUP($A84,'S48'!$C:$BQ,32,0)</f>
        <v>#N/A</v>
      </c>
      <c r="AM84" s="58" t="e">
        <f>VLOOKUP($A84,'S48'!$C:$BQ,39,0)</f>
        <v>#N/A</v>
      </c>
      <c r="AN84" s="58" t="e">
        <f>VLOOKUP($A84,'S48'!$C:$BQ,40,0)</f>
        <v>#N/A</v>
      </c>
      <c r="AO84" s="58" t="e">
        <f>VLOOKUP($A84,'S48'!$C:$BQ,22,0)</f>
        <v>#N/A</v>
      </c>
      <c r="AP84" s="66" t="e">
        <f>VLOOKUP($A84,'S48'!$C:$BQ,29,0)</f>
        <v>#N/A</v>
      </c>
      <c r="AQ84" s="66" t="e">
        <f>VLOOKUP($A84,'S48'!$C:$BQ,30,0)</f>
        <v>#N/A</v>
      </c>
      <c r="AR84" s="66" t="e">
        <f>VLOOKUP($A84,'S48'!$C:$BQ,52,0)</f>
        <v>#N/A</v>
      </c>
      <c r="AS84" s="66" t="e">
        <f>VLOOKUP($A84,'S48'!$C:$BQ,59,0)</f>
        <v>#N/A</v>
      </c>
      <c r="AT84" s="66" t="e">
        <f>VLOOKUP($A84,'S48'!$C:$BQ,60,0)</f>
        <v>#N/A</v>
      </c>
      <c r="AU84" s="58" t="e">
        <f>VLOOKUP($A84,'S49'!$C:$BQ,32,0)</f>
        <v>#N/A</v>
      </c>
      <c r="AV84" s="58" t="e">
        <f>VLOOKUP($A84,'S49'!$C:$BQ,39,0)</f>
        <v>#N/A</v>
      </c>
      <c r="AW84" s="58" t="e">
        <f>VLOOKUP($A84,'S49'!$C:$BQ,40,0)</f>
        <v>#N/A</v>
      </c>
      <c r="AX84" s="58" t="e">
        <f>VLOOKUP($A84,'S49'!$C:$BQ,22,0)</f>
        <v>#N/A</v>
      </c>
      <c r="AY84" s="66" t="e">
        <f>VLOOKUP($A84,'S49'!$C:$BQ,29,0)</f>
        <v>#N/A</v>
      </c>
      <c r="AZ84" s="66" t="e">
        <f>VLOOKUP($A84,'S49'!$C:$BQ,30,0)</f>
        <v>#N/A</v>
      </c>
      <c r="BA84" s="66" t="e">
        <f>VLOOKUP($A84,'S49'!$C:$BQ,52,0)</f>
        <v>#N/A</v>
      </c>
      <c r="BB84" s="66" t="e">
        <f>VLOOKUP($A84,'S49'!$C:$BQ,59,0)</f>
        <v>#N/A</v>
      </c>
      <c r="BC84" s="66" t="e">
        <f>VLOOKUP($A84,'S49'!$C:$BQ,60,0)</f>
        <v>#N/A</v>
      </c>
      <c r="BD84" s="58" t="e">
        <f>VLOOKUP($A84,'S50'!$C:$BQ,32,0)</f>
        <v>#N/A</v>
      </c>
      <c r="BE84" s="58" t="e">
        <f>VLOOKUP($A84,'S50'!$C:$BQ,39,0)</f>
        <v>#N/A</v>
      </c>
      <c r="BF84" s="58" t="e">
        <f>VLOOKUP($A84,'S50'!$C:$BQ,40,0)</f>
        <v>#N/A</v>
      </c>
      <c r="BG84" s="58" t="e">
        <f>VLOOKUP($A84,'S50'!$C:$BQ,22,0)</f>
        <v>#N/A</v>
      </c>
      <c r="BH84" s="66" t="e">
        <f>VLOOKUP($A84,'S50'!$C:$BQ,29,0)</f>
        <v>#N/A</v>
      </c>
      <c r="BI84" s="66" t="e">
        <f>VLOOKUP($A84,'S50'!$C:$BQ,30,0)</f>
        <v>#N/A</v>
      </c>
      <c r="BJ84" s="66" t="e">
        <f>VLOOKUP($A84,'S50'!$C:$BQ,52,0)</f>
        <v>#N/A</v>
      </c>
      <c r="BK84" s="66" t="e">
        <f>VLOOKUP($A84,'S50'!$C:$BQ,59,0)</f>
        <v>#N/A</v>
      </c>
      <c r="BL84" s="66" t="e">
        <f>VLOOKUP($A84,'S50'!$C:$BQ,60,0)</f>
        <v>#N/A</v>
      </c>
    </row>
    <row r="85" spans="1:64" x14ac:dyDescent="0.2">
      <c r="A85" s="57" t="s">
        <v>144</v>
      </c>
      <c r="B85" s="58">
        <f>VLOOKUP($A85,'S0 remplacer avec S44'!$C:$BQ,32,0)</f>
        <v>23.6</v>
      </c>
      <c r="C85" s="58">
        <f>VLOOKUP($A85,'S0 remplacer avec S44'!$C:$BQ,39,0)</f>
        <v>40</v>
      </c>
      <c r="D85" s="58">
        <f>VLOOKUP($A85,'S0 remplacer avec S44'!$C:$BQ,40,0)</f>
        <v>53</v>
      </c>
      <c r="E85" s="58">
        <f>VLOOKUP($A85,'S0 remplacer avec S44'!$C:$BQ,22,0)</f>
        <v>354.96262000000002</v>
      </c>
      <c r="F85" s="66">
        <f>VLOOKUP($A85,'S0 remplacer avec S44'!$C:$BQ,29,0)</f>
        <v>224</v>
      </c>
      <c r="G85" s="66">
        <f>VLOOKUP($A85,'S0 remplacer avec S44'!$C:$BQ,30,0)</f>
        <v>339</v>
      </c>
      <c r="H85" s="66">
        <f>VLOOKUP($A85,'S0 remplacer avec S44'!$C:$BQ,52,0)</f>
        <v>60.4</v>
      </c>
      <c r="I85" s="66">
        <f>VLOOKUP($A85,'S0 remplacer avec S44'!$C:$BQ,59,0)</f>
        <v>0</v>
      </c>
      <c r="J85" s="66">
        <f>VLOOKUP($A85,'S0 remplacer avec S44'!$C:$BQ,60,0)</f>
        <v>0</v>
      </c>
      <c r="K85" s="58">
        <f>VLOOKUP($A85,'S45'!$C:$BQ,32,0)</f>
        <v>23.6</v>
      </c>
      <c r="L85" s="58">
        <f>VLOOKUP($A85,'S45'!$C:$BQ,39,0)</f>
        <v>40</v>
      </c>
      <c r="M85" s="58">
        <f>VLOOKUP($A85,'S45'!$C:$BQ,40,0)</f>
        <v>53</v>
      </c>
      <c r="N85" s="58">
        <f>VLOOKUP($A85,'S45'!$C:$BQ,22,0)</f>
        <v>354.96262000000002</v>
      </c>
      <c r="O85" s="66">
        <f>VLOOKUP($A85,'S45'!$C:$BQ,29,0)</f>
        <v>224</v>
      </c>
      <c r="P85" s="66">
        <f>VLOOKUP($A85,'S45'!$C:$BQ,30,0)</f>
        <v>339</v>
      </c>
      <c r="Q85" s="66">
        <f>VLOOKUP($A85,'S45'!$C:$BQ,52,0)</f>
        <v>60.4</v>
      </c>
      <c r="R85" s="66">
        <f>VLOOKUP($A85,'S45'!$C:$BQ,59,0)</f>
        <v>0</v>
      </c>
      <c r="S85" s="66">
        <f>VLOOKUP($A85,'S45'!$C:$BQ,60,0)</f>
        <v>0</v>
      </c>
      <c r="T85" s="58">
        <f>VLOOKUP($A85,'S46'!$C:$BQ,32,0)</f>
        <v>23.6</v>
      </c>
      <c r="U85" s="58">
        <f>VLOOKUP($A85,'S46'!$C:$BQ,39,0)</f>
        <v>40</v>
      </c>
      <c r="V85" s="58">
        <f>VLOOKUP($A85,'S46'!$C:$BQ,40,0)</f>
        <v>53</v>
      </c>
      <c r="W85" s="58">
        <f>VLOOKUP($A85,'S46'!$C:$BQ,22,0)</f>
        <v>354.96262000000002</v>
      </c>
      <c r="X85" s="66">
        <f>VLOOKUP($A85,'S46'!$C:$BQ,29,0)</f>
        <v>224</v>
      </c>
      <c r="Y85" s="66">
        <f>VLOOKUP($A85,'S46'!$C:$BQ,30,0)</f>
        <v>339</v>
      </c>
      <c r="Z85" s="66">
        <f>VLOOKUP($A85,'S46'!$C:$BQ,52,0)</f>
        <v>60.4</v>
      </c>
      <c r="AA85" s="66">
        <f>VLOOKUP($A85,'S46'!$C:$BQ,59,0)</f>
        <v>0</v>
      </c>
      <c r="AB85" s="66">
        <f>VLOOKUP($A85,'S46'!$C:$BQ,60,0)</f>
        <v>0</v>
      </c>
      <c r="AC85" s="58">
        <f>VLOOKUP($A85,'S47'!$C:$BQ,32,0)</f>
        <v>23.6</v>
      </c>
      <c r="AD85" s="58">
        <f>VLOOKUP($A85,'S47'!$C:$BQ,39,0)</f>
        <v>40</v>
      </c>
      <c r="AE85" s="58">
        <f>VLOOKUP($A85,'S47'!$C:$BQ,40,0)</f>
        <v>53</v>
      </c>
      <c r="AF85" s="58">
        <f>VLOOKUP($A85,'S47'!$C:$BQ,22,0)</f>
        <v>354.96262000000002</v>
      </c>
      <c r="AG85" s="66">
        <f>VLOOKUP($A85,'S47'!$C:$BQ,29,0)</f>
        <v>224</v>
      </c>
      <c r="AH85" s="66">
        <f>VLOOKUP($A85,'S47'!$C:$BQ,30,0)</f>
        <v>339</v>
      </c>
      <c r="AI85" s="66">
        <f>VLOOKUP($A85,'S47'!$C:$BQ,52,0)</f>
        <v>60.4</v>
      </c>
      <c r="AJ85" s="66">
        <f>VLOOKUP($A85,'S47'!$C:$BQ,59,0)</f>
        <v>0</v>
      </c>
      <c r="AK85" s="66">
        <f>VLOOKUP($A85,'S47'!$C:$BQ,60,0)</f>
        <v>0</v>
      </c>
      <c r="AL85" s="58" t="e">
        <f>VLOOKUP($A85,'S48'!$C:$BQ,32,0)</f>
        <v>#N/A</v>
      </c>
      <c r="AM85" s="58" t="e">
        <f>VLOOKUP($A85,'S48'!$C:$BQ,39,0)</f>
        <v>#N/A</v>
      </c>
      <c r="AN85" s="58" t="e">
        <f>VLOOKUP($A85,'S48'!$C:$BQ,40,0)</f>
        <v>#N/A</v>
      </c>
      <c r="AO85" s="58" t="e">
        <f>VLOOKUP($A85,'S48'!$C:$BQ,22,0)</f>
        <v>#N/A</v>
      </c>
      <c r="AP85" s="66" t="e">
        <f>VLOOKUP($A85,'S48'!$C:$BQ,29,0)</f>
        <v>#N/A</v>
      </c>
      <c r="AQ85" s="66" t="e">
        <f>VLOOKUP($A85,'S48'!$C:$BQ,30,0)</f>
        <v>#N/A</v>
      </c>
      <c r="AR85" s="66" t="e">
        <f>VLOOKUP($A85,'S48'!$C:$BQ,52,0)</f>
        <v>#N/A</v>
      </c>
      <c r="AS85" s="66" t="e">
        <f>VLOOKUP($A85,'S48'!$C:$BQ,59,0)</f>
        <v>#N/A</v>
      </c>
      <c r="AT85" s="66" t="e">
        <f>VLOOKUP($A85,'S48'!$C:$BQ,60,0)</f>
        <v>#N/A</v>
      </c>
      <c r="AU85" s="58" t="e">
        <f>VLOOKUP($A85,'S49'!$C:$BQ,32,0)</f>
        <v>#N/A</v>
      </c>
      <c r="AV85" s="58" t="e">
        <f>VLOOKUP($A85,'S49'!$C:$BQ,39,0)</f>
        <v>#N/A</v>
      </c>
      <c r="AW85" s="58" t="e">
        <f>VLOOKUP($A85,'S49'!$C:$BQ,40,0)</f>
        <v>#N/A</v>
      </c>
      <c r="AX85" s="58" t="e">
        <f>VLOOKUP($A85,'S49'!$C:$BQ,22,0)</f>
        <v>#N/A</v>
      </c>
      <c r="AY85" s="66" t="e">
        <f>VLOOKUP($A85,'S49'!$C:$BQ,29,0)</f>
        <v>#N/A</v>
      </c>
      <c r="AZ85" s="66" t="e">
        <f>VLOOKUP($A85,'S49'!$C:$BQ,30,0)</f>
        <v>#N/A</v>
      </c>
      <c r="BA85" s="66" t="e">
        <f>VLOOKUP($A85,'S49'!$C:$BQ,52,0)</f>
        <v>#N/A</v>
      </c>
      <c r="BB85" s="66" t="e">
        <f>VLOOKUP($A85,'S49'!$C:$BQ,59,0)</f>
        <v>#N/A</v>
      </c>
      <c r="BC85" s="66" t="e">
        <f>VLOOKUP($A85,'S49'!$C:$BQ,60,0)</f>
        <v>#N/A</v>
      </c>
      <c r="BD85" s="58" t="e">
        <f>VLOOKUP($A85,'S50'!$C:$BQ,32,0)</f>
        <v>#N/A</v>
      </c>
      <c r="BE85" s="58" t="e">
        <f>VLOOKUP($A85,'S50'!$C:$BQ,39,0)</f>
        <v>#N/A</v>
      </c>
      <c r="BF85" s="58" t="e">
        <f>VLOOKUP($A85,'S50'!$C:$BQ,40,0)</f>
        <v>#N/A</v>
      </c>
      <c r="BG85" s="58" t="e">
        <f>VLOOKUP($A85,'S50'!$C:$BQ,22,0)</f>
        <v>#N/A</v>
      </c>
      <c r="BH85" s="66" t="e">
        <f>VLOOKUP($A85,'S50'!$C:$BQ,29,0)</f>
        <v>#N/A</v>
      </c>
      <c r="BI85" s="66" t="e">
        <f>VLOOKUP($A85,'S50'!$C:$BQ,30,0)</f>
        <v>#N/A</v>
      </c>
      <c r="BJ85" s="66" t="e">
        <f>VLOOKUP($A85,'S50'!$C:$BQ,52,0)</f>
        <v>#N/A</v>
      </c>
      <c r="BK85" s="66" t="e">
        <f>VLOOKUP($A85,'S50'!$C:$BQ,59,0)</f>
        <v>#N/A</v>
      </c>
      <c r="BL85" s="66" t="e">
        <f>VLOOKUP($A85,'S50'!$C:$BQ,60,0)</f>
        <v>#N/A</v>
      </c>
    </row>
    <row r="86" spans="1:64" x14ac:dyDescent="0.2">
      <c r="A86" s="57" t="s">
        <v>146</v>
      </c>
      <c r="B86" s="58">
        <f>VLOOKUP($A86,'S0 remplacer avec S44'!$C:$BQ,32,0)</f>
        <v>65.2</v>
      </c>
      <c r="C86" s="58">
        <f>VLOOKUP($A86,'S0 remplacer avec S44'!$C:$BQ,39,0)</f>
        <v>38</v>
      </c>
      <c r="D86" s="58">
        <f>VLOOKUP($A86,'S0 remplacer avec S44'!$C:$BQ,40,0)</f>
        <v>59</v>
      </c>
      <c r="E86" s="58">
        <f>VLOOKUP($A86,'S0 remplacer avec S44'!$C:$BQ,22,0)</f>
        <v>368.50261</v>
      </c>
      <c r="F86" s="66">
        <f>VLOOKUP($A86,'S0 remplacer avec S44'!$C:$BQ,29,0)</f>
        <v>566</v>
      </c>
      <c r="G86" s="66">
        <f>VLOOKUP($A86,'S0 remplacer avec S44'!$C:$BQ,30,0)</f>
        <v>753</v>
      </c>
      <c r="H86" s="66">
        <f>VLOOKUP($A86,'S0 remplacer avec S44'!$C:$BQ,52,0)</f>
        <v>26</v>
      </c>
      <c r="I86" s="66">
        <f>VLOOKUP($A86,'S0 remplacer avec S44'!$C:$BQ,59,0)</f>
        <v>27</v>
      </c>
      <c r="J86" s="66">
        <f>VLOOKUP($A86,'S0 remplacer avec S44'!$C:$BQ,60,0)</f>
        <v>37</v>
      </c>
      <c r="K86" s="58">
        <f>VLOOKUP($A86,'S45'!$C:$BQ,32,0)</f>
        <v>65.2</v>
      </c>
      <c r="L86" s="58">
        <f>VLOOKUP($A86,'S45'!$C:$BQ,39,0)</f>
        <v>38</v>
      </c>
      <c r="M86" s="58">
        <f>VLOOKUP($A86,'S45'!$C:$BQ,40,0)</f>
        <v>59</v>
      </c>
      <c r="N86" s="58">
        <f>VLOOKUP($A86,'S45'!$C:$BQ,22,0)</f>
        <v>368.50261</v>
      </c>
      <c r="O86" s="66">
        <f>VLOOKUP($A86,'S45'!$C:$BQ,29,0)</f>
        <v>566</v>
      </c>
      <c r="P86" s="66">
        <f>VLOOKUP($A86,'S45'!$C:$BQ,30,0)</f>
        <v>753</v>
      </c>
      <c r="Q86" s="66">
        <f>VLOOKUP($A86,'S45'!$C:$BQ,52,0)</f>
        <v>26</v>
      </c>
      <c r="R86" s="66">
        <f>VLOOKUP($A86,'S45'!$C:$BQ,59,0)</f>
        <v>27</v>
      </c>
      <c r="S86" s="66">
        <f>VLOOKUP($A86,'S45'!$C:$BQ,60,0)</f>
        <v>37</v>
      </c>
      <c r="T86" s="58">
        <f>VLOOKUP($A86,'S46'!$C:$BQ,32,0)</f>
        <v>65.2</v>
      </c>
      <c r="U86" s="58">
        <f>VLOOKUP($A86,'S46'!$C:$BQ,39,0)</f>
        <v>38</v>
      </c>
      <c r="V86" s="58">
        <f>VLOOKUP($A86,'S46'!$C:$BQ,40,0)</f>
        <v>59</v>
      </c>
      <c r="W86" s="58">
        <f>VLOOKUP($A86,'S46'!$C:$BQ,22,0)</f>
        <v>368.50261</v>
      </c>
      <c r="X86" s="66">
        <f>VLOOKUP($A86,'S46'!$C:$BQ,29,0)</f>
        <v>566</v>
      </c>
      <c r="Y86" s="66">
        <f>VLOOKUP($A86,'S46'!$C:$BQ,30,0)</f>
        <v>753</v>
      </c>
      <c r="Z86" s="66">
        <f>VLOOKUP($A86,'S46'!$C:$BQ,52,0)</f>
        <v>26</v>
      </c>
      <c r="AA86" s="66">
        <f>VLOOKUP($A86,'S46'!$C:$BQ,59,0)</f>
        <v>27</v>
      </c>
      <c r="AB86" s="66">
        <f>VLOOKUP($A86,'S46'!$C:$BQ,60,0)</f>
        <v>37</v>
      </c>
      <c r="AC86" s="58">
        <f>VLOOKUP($A86,'S47'!$C:$BQ,32,0)</f>
        <v>65.2</v>
      </c>
      <c r="AD86" s="58">
        <f>VLOOKUP($A86,'S47'!$C:$BQ,39,0)</f>
        <v>38</v>
      </c>
      <c r="AE86" s="58">
        <f>VLOOKUP($A86,'S47'!$C:$BQ,40,0)</f>
        <v>59</v>
      </c>
      <c r="AF86" s="58">
        <f>VLOOKUP($A86,'S47'!$C:$BQ,22,0)</f>
        <v>368.50261</v>
      </c>
      <c r="AG86" s="66">
        <f>VLOOKUP($A86,'S47'!$C:$BQ,29,0)</f>
        <v>566</v>
      </c>
      <c r="AH86" s="66">
        <f>VLOOKUP($A86,'S47'!$C:$BQ,30,0)</f>
        <v>753</v>
      </c>
      <c r="AI86" s="66">
        <f>VLOOKUP($A86,'S47'!$C:$BQ,52,0)</f>
        <v>26</v>
      </c>
      <c r="AJ86" s="66">
        <f>VLOOKUP($A86,'S47'!$C:$BQ,59,0)</f>
        <v>27</v>
      </c>
      <c r="AK86" s="66">
        <f>VLOOKUP($A86,'S47'!$C:$BQ,60,0)</f>
        <v>37</v>
      </c>
      <c r="AL86" s="58" t="e">
        <f>VLOOKUP($A86,'S48'!$C:$BQ,32,0)</f>
        <v>#N/A</v>
      </c>
      <c r="AM86" s="58" t="e">
        <f>VLOOKUP($A86,'S48'!$C:$BQ,39,0)</f>
        <v>#N/A</v>
      </c>
      <c r="AN86" s="58" t="e">
        <f>VLOOKUP($A86,'S48'!$C:$BQ,40,0)</f>
        <v>#N/A</v>
      </c>
      <c r="AO86" s="58" t="e">
        <f>VLOOKUP($A86,'S48'!$C:$BQ,22,0)</f>
        <v>#N/A</v>
      </c>
      <c r="AP86" s="66" t="e">
        <f>VLOOKUP($A86,'S48'!$C:$BQ,29,0)</f>
        <v>#N/A</v>
      </c>
      <c r="AQ86" s="66" t="e">
        <f>VLOOKUP($A86,'S48'!$C:$BQ,30,0)</f>
        <v>#N/A</v>
      </c>
      <c r="AR86" s="66" t="e">
        <f>VLOOKUP($A86,'S48'!$C:$BQ,52,0)</f>
        <v>#N/A</v>
      </c>
      <c r="AS86" s="66" t="e">
        <f>VLOOKUP($A86,'S48'!$C:$BQ,59,0)</f>
        <v>#N/A</v>
      </c>
      <c r="AT86" s="66" t="e">
        <f>VLOOKUP($A86,'S48'!$C:$BQ,60,0)</f>
        <v>#N/A</v>
      </c>
      <c r="AU86" s="58" t="e">
        <f>VLOOKUP($A86,'S49'!$C:$BQ,32,0)</f>
        <v>#N/A</v>
      </c>
      <c r="AV86" s="58" t="e">
        <f>VLOOKUP($A86,'S49'!$C:$BQ,39,0)</f>
        <v>#N/A</v>
      </c>
      <c r="AW86" s="58" t="e">
        <f>VLOOKUP($A86,'S49'!$C:$BQ,40,0)</f>
        <v>#N/A</v>
      </c>
      <c r="AX86" s="58" t="e">
        <f>VLOOKUP($A86,'S49'!$C:$BQ,22,0)</f>
        <v>#N/A</v>
      </c>
      <c r="AY86" s="66" t="e">
        <f>VLOOKUP($A86,'S49'!$C:$BQ,29,0)</f>
        <v>#N/A</v>
      </c>
      <c r="AZ86" s="66" t="e">
        <f>VLOOKUP($A86,'S49'!$C:$BQ,30,0)</f>
        <v>#N/A</v>
      </c>
      <c r="BA86" s="66" t="e">
        <f>VLOOKUP($A86,'S49'!$C:$BQ,52,0)</f>
        <v>#N/A</v>
      </c>
      <c r="BB86" s="66" t="e">
        <f>VLOOKUP($A86,'S49'!$C:$BQ,59,0)</f>
        <v>#N/A</v>
      </c>
      <c r="BC86" s="66" t="e">
        <f>VLOOKUP($A86,'S49'!$C:$BQ,60,0)</f>
        <v>#N/A</v>
      </c>
      <c r="BD86" s="58" t="e">
        <f>VLOOKUP($A86,'S50'!$C:$BQ,32,0)</f>
        <v>#N/A</v>
      </c>
      <c r="BE86" s="58" t="e">
        <f>VLOOKUP($A86,'S50'!$C:$BQ,39,0)</f>
        <v>#N/A</v>
      </c>
      <c r="BF86" s="58" t="e">
        <f>VLOOKUP($A86,'S50'!$C:$BQ,40,0)</f>
        <v>#N/A</v>
      </c>
      <c r="BG86" s="58" t="e">
        <f>VLOOKUP($A86,'S50'!$C:$BQ,22,0)</f>
        <v>#N/A</v>
      </c>
      <c r="BH86" s="66" t="e">
        <f>VLOOKUP($A86,'S50'!$C:$BQ,29,0)</f>
        <v>#N/A</v>
      </c>
      <c r="BI86" s="66" t="e">
        <f>VLOOKUP($A86,'S50'!$C:$BQ,30,0)</f>
        <v>#N/A</v>
      </c>
      <c r="BJ86" s="66" t="e">
        <f>VLOOKUP($A86,'S50'!$C:$BQ,52,0)</f>
        <v>#N/A</v>
      </c>
      <c r="BK86" s="66" t="e">
        <f>VLOOKUP($A86,'S50'!$C:$BQ,59,0)</f>
        <v>#N/A</v>
      </c>
      <c r="BL86" s="66" t="e">
        <f>VLOOKUP($A86,'S50'!$C:$BQ,60,0)</f>
        <v>#N/A</v>
      </c>
    </row>
    <row r="87" spans="1:64" x14ac:dyDescent="0.2">
      <c r="A87" s="57" t="s">
        <v>147</v>
      </c>
      <c r="B87" s="58">
        <f>VLOOKUP($A87,'S0 remplacer avec S44'!$C:$BQ,32,0)</f>
        <v>264.39999999999998</v>
      </c>
      <c r="C87" s="58">
        <f>VLOOKUP($A87,'S0 remplacer avec S44'!$C:$BQ,39,0)</f>
        <v>26</v>
      </c>
      <c r="D87" s="58">
        <f>VLOOKUP($A87,'S0 remplacer avec S44'!$C:$BQ,40,0)</f>
        <v>84</v>
      </c>
      <c r="E87" s="58">
        <f>VLOOKUP($A87,'S0 remplacer avec S44'!$C:$BQ,22,0)</f>
        <v>2314.3428950000002</v>
      </c>
      <c r="F87" s="66">
        <f>VLOOKUP($A87,'S0 remplacer avec S44'!$C:$BQ,29,0)</f>
        <v>321</v>
      </c>
      <c r="G87" s="66">
        <f>VLOOKUP($A87,'S0 remplacer avec S44'!$C:$BQ,30,0)</f>
        <v>849</v>
      </c>
      <c r="H87" s="66">
        <f>VLOOKUP($A87,'S0 remplacer avec S44'!$C:$BQ,52,0)</f>
        <v>168.4</v>
      </c>
      <c r="I87" s="66">
        <f>VLOOKUP($A87,'S0 remplacer avec S44'!$C:$BQ,59,0)</f>
        <v>0</v>
      </c>
      <c r="J87" s="66">
        <f>VLOOKUP($A87,'S0 remplacer avec S44'!$C:$BQ,60,0)</f>
        <v>9</v>
      </c>
      <c r="K87" s="58">
        <f>VLOOKUP($A87,'S45'!$C:$BQ,32,0)</f>
        <v>263.89999999999998</v>
      </c>
      <c r="L87" s="58">
        <f>VLOOKUP($A87,'S45'!$C:$BQ,39,0)</f>
        <v>26</v>
      </c>
      <c r="M87" s="58">
        <f>VLOOKUP($A87,'S45'!$C:$BQ,40,0)</f>
        <v>84</v>
      </c>
      <c r="N87" s="58">
        <f>VLOOKUP($A87,'S45'!$C:$BQ,22,0)</f>
        <v>2341.4848050000001</v>
      </c>
      <c r="O87" s="66">
        <f>VLOOKUP($A87,'S45'!$C:$BQ,29,0)</f>
        <v>294</v>
      </c>
      <c r="P87" s="66">
        <f>VLOOKUP($A87,'S45'!$C:$BQ,30,0)</f>
        <v>821</v>
      </c>
      <c r="Q87" s="66">
        <f>VLOOKUP($A87,'S45'!$C:$BQ,52,0)</f>
        <v>169.4</v>
      </c>
      <c r="R87" s="66">
        <f>VLOOKUP($A87,'S45'!$C:$BQ,59,0)</f>
        <v>0</v>
      </c>
      <c r="S87" s="66">
        <f>VLOOKUP($A87,'S45'!$C:$BQ,60,0)</f>
        <v>8</v>
      </c>
      <c r="T87" s="58">
        <f>VLOOKUP($A87,'S46'!$C:$BQ,32,0)</f>
        <v>262.89999999999998</v>
      </c>
      <c r="U87" s="58">
        <f>VLOOKUP($A87,'S46'!$C:$BQ,39,0)</f>
        <v>27</v>
      </c>
      <c r="V87" s="58">
        <f>VLOOKUP($A87,'S46'!$C:$BQ,40,0)</f>
        <v>85</v>
      </c>
      <c r="W87" s="58">
        <f>VLOOKUP($A87,'S46'!$C:$BQ,22,0)</f>
        <v>2340.2378050000002</v>
      </c>
      <c r="X87" s="66">
        <f>VLOOKUP($A87,'S46'!$C:$BQ,29,0)</f>
        <v>296</v>
      </c>
      <c r="Y87" s="66">
        <f>VLOOKUP($A87,'S46'!$C:$BQ,30,0)</f>
        <v>823</v>
      </c>
      <c r="Z87" s="66">
        <f>VLOOKUP($A87,'S46'!$C:$BQ,52,0)</f>
        <v>169.4</v>
      </c>
      <c r="AA87" s="66">
        <f>VLOOKUP($A87,'S46'!$C:$BQ,59,0)</f>
        <v>0</v>
      </c>
      <c r="AB87" s="66">
        <f>VLOOKUP($A87,'S46'!$C:$BQ,60,0)</f>
        <v>8</v>
      </c>
      <c r="AC87" s="58">
        <f>VLOOKUP($A87,'S47'!$C:$BQ,32,0)</f>
        <v>263.89999999999998</v>
      </c>
      <c r="AD87" s="58">
        <f>VLOOKUP($A87,'S47'!$C:$BQ,39,0)</f>
        <v>26</v>
      </c>
      <c r="AE87" s="58">
        <f>VLOOKUP($A87,'S47'!$C:$BQ,40,0)</f>
        <v>84</v>
      </c>
      <c r="AF87" s="58">
        <f>VLOOKUP($A87,'S47'!$C:$BQ,22,0)</f>
        <v>2366.277705</v>
      </c>
      <c r="AG87" s="66">
        <f>VLOOKUP($A87,'S47'!$C:$BQ,29,0)</f>
        <v>270</v>
      </c>
      <c r="AH87" s="66">
        <f>VLOOKUP($A87,'S47'!$C:$BQ,30,0)</f>
        <v>797</v>
      </c>
      <c r="AI87" s="66">
        <f>VLOOKUP($A87,'S47'!$C:$BQ,52,0)</f>
        <v>172.4</v>
      </c>
      <c r="AJ87" s="66">
        <f>VLOOKUP($A87,'S47'!$C:$BQ,59,0)</f>
        <v>0</v>
      </c>
      <c r="AK87" s="66">
        <f>VLOOKUP($A87,'S47'!$C:$BQ,60,0)</f>
        <v>5</v>
      </c>
      <c r="AL87" s="58" t="e">
        <f>VLOOKUP($A87,'S48'!$C:$BQ,32,0)</f>
        <v>#N/A</v>
      </c>
      <c r="AM87" s="58" t="e">
        <f>VLOOKUP($A87,'S48'!$C:$BQ,39,0)</f>
        <v>#N/A</v>
      </c>
      <c r="AN87" s="58" t="e">
        <f>VLOOKUP($A87,'S48'!$C:$BQ,40,0)</f>
        <v>#N/A</v>
      </c>
      <c r="AO87" s="58" t="e">
        <f>VLOOKUP($A87,'S48'!$C:$BQ,22,0)</f>
        <v>#N/A</v>
      </c>
      <c r="AP87" s="66" t="e">
        <f>VLOOKUP($A87,'S48'!$C:$BQ,29,0)</f>
        <v>#N/A</v>
      </c>
      <c r="AQ87" s="66" t="e">
        <f>VLOOKUP($A87,'S48'!$C:$BQ,30,0)</f>
        <v>#N/A</v>
      </c>
      <c r="AR87" s="66" t="e">
        <f>VLOOKUP($A87,'S48'!$C:$BQ,52,0)</f>
        <v>#N/A</v>
      </c>
      <c r="AS87" s="66" t="e">
        <f>VLOOKUP($A87,'S48'!$C:$BQ,59,0)</f>
        <v>#N/A</v>
      </c>
      <c r="AT87" s="66" t="e">
        <f>VLOOKUP($A87,'S48'!$C:$BQ,60,0)</f>
        <v>#N/A</v>
      </c>
      <c r="AU87" s="58" t="e">
        <f>VLOOKUP($A87,'S49'!$C:$BQ,32,0)</f>
        <v>#N/A</v>
      </c>
      <c r="AV87" s="58" t="e">
        <f>VLOOKUP($A87,'S49'!$C:$BQ,39,0)</f>
        <v>#N/A</v>
      </c>
      <c r="AW87" s="58" t="e">
        <f>VLOOKUP($A87,'S49'!$C:$BQ,40,0)</f>
        <v>#N/A</v>
      </c>
      <c r="AX87" s="58" t="e">
        <f>VLOOKUP($A87,'S49'!$C:$BQ,22,0)</f>
        <v>#N/A</v>
      </c>
      <c r="AY87" s="66" t="e">
        <f>VLOOKUP($A87,'S49'!$C:$BQ,29,0)</f>
        <v>#N/A</v>
      </c>
      <c r="AZ87" s="66" t="e">
        <f>VLOOKUP($A87,'S49'!$C:$BQ,30,0)</f>
        <v>#N/A</v>
      </c>
      <c r="BA87" s="66" t="e">
        <f>VLOOKUP($A87,'S49'!$C:$BQ,52,0)</f>
        <v>#N/A</v>
      </c>
      <c r="BB87" s="66" t="e">
        <f>VLOOKUP($A87,'S49'!$C:$BQ,59,0)</f>
        <v>#N/A</v>
      </c>
      <c r="BC87" s="66" t="e">
        <f>VLOOKUP($A87,'S49'!$C:$BQ,60,0)</f>
        <v>#N/A</v>
      </c>
      <c r="BD87" s="58" t="e">
        <f>VLOOKUP($A87,'S50'!$C:$BQ,32,0)</f>
        <v>#N/A</v>
      </c>
      <c r="BE87" s="58" t="e">
        <f>VLOOKUP($A87,'S50'!$C:$BQ,39,0)</f>
        <v>#N/A</v>
      </c>
      <c r="BF87" s="58" t="e">
        <f>VLOOKUP($A87,'S50'!$C:$BQ,40,0)</f>
        <v>#N/A</v>
      </c>
      <c r="BG87" s="58" t="e">
        <f>VLOOKUP($A87,'S50'!$C:$BQ,22,0)</f>
        <v>#N/A</v>
      </c>
      <c r="BH87" s="66" t="e">
        <f>VLOOKUP($A87,'S50'!$C:$BQ,29,0)</f>
        <v>#N/A</v>
      </c>
      <c r="BI87" s="66" t="e">
        <f>VLOOKUP($A87,'S50'!$C:$BQ,30,0)</f>
        <v>#N/A</v>
      </c>
      <c r="BJ87" s="66" t="e">
        <f>VLOOKUP($A87,'S50'!$C:$BQ,52,0)</f>
        <v>#N/A</v>
      </c>
      <c r="BK87" s="66" t="e">
        <f>VLOOKUP($A87,'S50'!$C:$BQ,59,0)</f>
        <v>#N/A</v>
      </c>
      <c r="BL87" s="66" t="e">
        <f>VLOOKUP($A87,'S50'!$C:$BQ,60,0)</f>
        <v>#N/A</v>
      </c>
    </row>
    <row r="88" spans="1:64" x14ac:dyDescent="0.2">
      <c r="A88" s="57" t="s">
        <v>148</v>
      </c>
      <c r="B88" s="58">
        <f>VLOOKUP($A88,'S0 remplacer avec S44'!$C:$BQ,32,0)</f>
        <v>290.7</v>
      </c>
      <c r="C88" s="58">
        <f>VLOOKUP($A88,'S0 remplacer avec S44'!$C:$BQ,39,0)</f>
        <v>79</v>
      </c>
      <c r="D88" s="58">
        <f>VLOOKUP($A88,'S0 remplacer avec S44'!$C:$BQ,40,0)</f>
        <v>153</v>
      </c>
      <c r="E88" s="58">
        <f>VLOOKUP($A88,'S0 remplacer avec S44'!$C:$BQ,22,0)</f>
        <v>2473.6033050000001</v>
      </c>
      <c r="F88" s="66">
        <f>VLOOKUP($A88,'S0 remplacer avec S44'!$C:$BQ,29,0)</f>
        <v>884</v>
      </c>
      <c r="G88" s="66">
        <f>VLOOKUP($A88,'S0 remplacer avec S44'!$C:$BQ,30,0)</f>
        <v>1555</v>
      </c>
      <c r="H88" s="66">
        <f>VLOOKUP($A88,'S0 remplacer avec S44'!$C:$BQ,52,0)</f>
        <v>229</v>
      </c>
      <c r="I88" s="66">
        <f>VLOOKUP($A88,'S0 remplacer avec S44'!$C:$BQ,59,0)</f>
        <v>0</v>
      </c>
      <c r="J88" s="66">
        <f>VLOOKUP($A88,'S0 remplacer avec S44'!$C:$BQ,60,0)</f>
        <v>0</v>
      </c>
      <c r="K88" s="58">
        <f>VLOOKUP($A88,'S45'!$C:$BQ,32,0)</f>
        <v>291.7</v>
      </c>
      <c r="L88" s="58">
        <f>VLOOKUP($A88,'S45'!$C:$BQ,39,0)</f>
        <v>78</v>
      </c>
      <c r="M88" s="58">
        <f>VLOOKUP($A88,'S45'!$C:$BQ,40,0)</f>
        <v>152</v>
      </c>
      <c r="N88" s="58">
        <f>VLOOKUP($A88,'S45'!$C:$BQ,22,0)</f>
        <v>2507.2538450000002</v>
      </c>
      <c r="O88" s="66">
        <f>VLOOKUP($A88,'S45'!$C:$BQ,29,0)</f>
        <v>850</v>
      </c>
      <c r="P88" s="66">
        <f>VLOOKUP($A88,'S45'!$C:$BQ,30,0)</f>
        <v>1522</v>
      </c>
      <c r="Q88" s="66">
        <f>VLOOKUP($A88,'S45'!$C:$BQ,52,0)</f>
        <v>233</v>
      </c>
      <c r="R88" s="66">
        <f>VLOOKUP($A88,'S45'!$C:$BQ,59,0)</f>
        <v>0</v>
      </c>
      <c r="S88" s="66">
        <f>VLOOKUP($A88,'S45'!$C:$BQ,60,0)</f>
        <v>0</v>
      </c>
      <c r="T88" s="58">
        <f>VLOOKUP($A88,'S46'!$C:$BQ,32,0)</f>
        <v>293.2</v>
      </c>
      <c r="U88" s="58">
        <f>VLOOKUP($A88,'S46'!$C:$BQ,39,0)</f>
        <v>76</v>
      </c>
      <c r="V88" s="58">
        <f>VLOOKUP($A88,'S46'!$C:$BQ,40,0)</f>
        <v>150</v>
      </c>
      <c r="W88" s="58">
        <f>VLOOKUP($A88,'S46'!$C:$BQ,22,0)</f>
        <v>2511.7253449999998</v>
      </c>
      <c r="X88" s="66">
        <f>VLOOKUP($A88,'S46'!$C:$BQ,29,0)</f>
        <v>846</v>
      </c>
      <c r="Y88" s="66">
        <f>VLOOKUP($A88,'S46'!$C:$BQ,30,0)</f>
        <v>1517</v>
      </c>
      <c r="Z88" s="66">
        <f>VLOOKUP($A88,'S46'!$C:$BQ,52,0)</f>
        <v>236</v>
      </c>
      <c r="AA88" s="66">
        <f>VLOOKUP($A88,'S46'!$C:$BQ,59,0)</f>
        <v>0</v>
      </c>
      <c r="AB88" s="66">
        <f>VLOOKUP($A88,'S46'!$C:$BQ,60,0)</f>
        <v>0</v>
      </c>
      <c r="AC88" s="58">
        <f>VLOOKUP($A88,'S47'!$C:$BQ,32,0)</f>
        <v>296.7</v>
      </c>
      <c r="AD88" s="58">
        <f>VLOOKUP($A88,'S47'!$C:$BQ,39,0)</f>
        <v>73</v>
      </c>
      <c r="AE88" s="58">
        <f>VLOOKUP($A88,'S47'!$C:$BQ,40,0)</f>
        <v>147</v>
      </c>
      <c r="AF88" s="58">
        <f>VLOOKUP($A88,'S47'!$C:$BQ,22,0)</f>
        <v>2522.5543050000001</v>
      </c>
      <c r="AG88" s="66">
        <f>VLOOKUP($A88,'S47'!$C:$BQ,29,0)</f>
        <v>835</v>
      </c>
      <c r="AH88" s="66">
        <f>VLOOKUP($A88,'S47'!$C:$BQ,30,0)</f>
        <v>1506</v>
      </c>
      <c r="AI88" s="66">
        <f>VLOOKUP($A88,'S47'!$C:$BQ,52,0)</f>
        <v>242</v>
      </c>
      <c r="AJ88" s="66">
        <f>VLOOKUP($A88,'S47'!$C:$BQ,59,0)</f>
        <v>0</v>
      </c>
      <c r="AK88" s="66">
        <f>VLOOKUP($A88,'S47'!$C:$BQ,60,0)</f>
        <v>0</v>
      </c>
      <c r="AL88" s="58" t="e">
        <f>VLOOKUP($A88,'S48'!$C:$BQ,32,0)</f>
        <v>#N/A</v>
      </c>
      <c r="AM88" s="58" t="e">
        <f>VLOOKUP($A88,'S48'!$C:$BQ,39,0)</f>
        <v>#N/A</v>
      </c>
      <c r="AN88" s="58" t="e">
        <f>VLOOKUP($A88,'S48'!$C:$BQ,40,0)</f>
        <v>#N/A</v>
      </c>
      <c r="AO88" s="58" t="e">
        <f>VLOOKUP($A88,'S48'!$C:$BQ,22,0)</f>
        <v>#N/A</v>
      </c>
      <c r="AP88" s="66" t="e">
        <f>VLOOKUP($A88,'S48'!$C:$BQ,29,0)</f>
        <v>#N/A</v>
      </c>
      <c r="AQ88" s="66" t="e">
        <f>VLOOKUP($A88,'S48'!$C:$BQ,30,0)</f>
        <v>#N/A</v>
      </c>
      <c r="AR88" s="66" t="e">
        <f>VLOOKUP($A88,'S48'!$C:$BQ,52,0)</f>
        <v>#N/A</v>
      </c>
      <c r="AS88" s="66" t="e">
        <f>VLOOKUP($A88,'S48'!$C:$BQ,59,0)</f>
        <v>#N/A</v>
      </c>
      <c r="AT88" s="66" t="e">
        <f>VLOOKUP($A88,'S48'!$C:$BQ,60,0)</f>
        <v>#N/A</v>
      </c>
      <c r="AU88" s="58" t="e">
        <f>VLOOKUP($A88,'S49'!$C:$BQ,32,0)</f>
        <v>#N/A</v>
      </c>
      <c r="AV88" s="58" t="e">
        <f>VLOOKUP($A88,'S49'!$C:$BQ,39,0)</f>
        <v>#N/A</v>
      </c>
      <c r="AW88" s="58" t="e">
        <f>VLOOKUP($A88,'S49'!$C:$BQ,40,0)</f>
        <v>#N/A</v>
      </c>
      <c r="AX88" s="58" t="e">
        <f>VLOOKUP($A88,'S49'!$C:$BQ,22,0)</f>
        <v>#N/A</v>
      </c>
      <c r="AY88" s="66" t="e">
        <f>VLOOKUP($A88,'S49'!$C:$BQ,29,0)</f>
        <v>#N/A</v>
      </c>
      <c r="AZ88" s="66" t="e">
        <f>VLOOKUP($A88,'S49'!$C:$BQ,30,0)</f>
        <v>#N/A</v>
      </c>
      <c r="BA88" s="66" t="e">
        <f>VLOOKUP($A88,'S49'!$C:$BQ,52,0)</f>
        <v>#N/A</v>
      </c>
      <c r="BB88" s="66" t="e">
        <f>VLOOKUP($A88,'S49'!$C:$BQ,59,0)</f>
        <v>#N/A</v>
      </c>
      <c r="BC88" s="66" t="e">
        <f>VLOOKUP($A88,'S49'!$C:$BQ,60,0)</f>
        <v>#N/A</v>
      </c>
      <c r="BD88" s="58" t="e">
        <f>VLOOKUP($A88,'S50'!$C:$BQ,32,0)</f>
        <v>#N/A</v>
      </c>
      <c r="BE88" s="58" t="e">
        <f>VLOOKUP($A88,'S50'!$C:$BQ,39,0)</f>
        <v>#N/A</v>
      </c>
      <c r="BF88" s="58" t="e">
        <f>VLOOKUP($A88,'S50'!$C:$BQ,40,0)</f>
        <v>#N/A</v>
      </c>
      <c r="BG88" s="58" t="e">
        <f>VLOOKUP($A88,'S50'!$C:$BQ,22,0)</f>
        <v>#N/A</v>
      </c>
      <c r="BH88" s="66" t="e">
        <f>VLOOKUP($A88,'S50'!$C:$BQ,29,0)</f>
        <v>#N/A</v>
      </c>
      <c r="BI88" s="66" t="e">
        <f>VLOOKUP($A88,'S50'!$C:$BQ,30,0)</f>
        <v>#N/A</v>
      </c>
      <c r="BJ88" s="66" t="e">
        <f>VLOOKUP($A88,'S50'!$C:$BQ,52,0)</f>
        <v>#N/A</v>
      </c>
      <c r="BK88" s="66" t="e">
        <f>VLOOKUP($A88,'S50'!$C:$BQ,59,0)</f>
        <v>#N/A</v>
      </c>
      <c r="BL88" s="66" t="e">
        <f>VLOOKUP($A88,'S50'!$C:$BQ,60,0)</f>
        <v>#N/A</v>
      </c>
    </row>
    <row r="89" spans="1:64" x14ac:dyDescent="0.2">
      <c r="A89" s="57" t="s">
        <v>149</v>
      </c>
      <c r="B89" s="58">
        <f>VLOOKUP($A89,'S0 remplacer avec S44'!$C:$BQ,32,0)</f>
        <v>195.8</v>
      </c>
      <c r="C89" s="58">
        <f>VLOOKUP($A89,'S0 remplacer avec S44'!$C:$BQ,39,0)</f>
        <v>9</v>
      </c>
      <c r="D89" s="58">
        <f>VLOOKUP($A89,'S0 remplacer avec S44'!$C:$BQ,40,0)</f>
        <v>50</v>
      </c>
      <c r="E89" s="58">
        <f>VLOOKUP($A89,'S0 remplacer avec S44'!$C:$BQ,22,0)</f>
        <v>1780.5033900000001</v>
      </c>
      <c r="F89" s="66">
        <f>VLOOKUP($A89,'S0 remplacer avec S44'!$C:$BQ,29,0)</f>
        <v>80</v>
      </c>
      <c r="G89" s="66">
        <f>VLOOKUP($A89,'S0 remplacer avec S44'!$C:$BQ,30,0)</f>
        <v>452</v>
      </c>
      <c r="H89" s="66">
        <f>VLOOKUP($A89,'S0 remplacer avec S44'!$C:$BQ,52,0)</f>
        <v>142.6</v>
      </c>
      <c r="I89" s="66">
        <f>VLOOKUP($A89,'S0 remplacer avec S44'!$C:$BQ,59,0)</f>
        <v>0</v>
      </c>
      <c r="J89" s="66">
        <f>VLOOKUP($A89,'S0 remplacer avec S44'!$C:$BQ,60,0)</f>
        <v>0</v>
      </c>
      <c r="K89" s="58">
        <f>VLOOKUP($A89,'S45'!$C:$BQ,32,0)</f>
        <v>196.8</v>
      </c>
      <c r="L89" s="58">
        <f>VLOOKUP($A89,'S45'!$C:$BQ,39,0)</f>
        <v>8</v>
      </c>
      <c r="M89" s="58">
        <f>VLOOKUP($A89,'S45'!$C:$BQ,40,0)</f>
        <v>49</v>
      </c>
      <c r="N89" s="58">
        <f>VLOOKUP($A89,'S45'!$C:$BQ,22,0)</f>
        <v>1856.69579</v>
      </c>
      <c r="O89" s="66">
        <f>VLOOKUP($A89,'S45'!$C:$BQ,29,0)</f>
        <v>4</v>
      </c>
      <c r="P89" s="66">
        <f>VLOOKUP($A89,'S45'!$C:$BQ,30,0)</f>
        <v>376</v>
      </c>
      <c r="Q89" s="66">
        <f>VLOOKUP($A89,'S45'!$C:$BQ,52,0)</f>
        <v>144.6</v>
      </c>
      <c r="R89" s="66">
        <f>VLOOKUP($A89,'S45'!$C:$BQ,59,0)</f>
        <v>0</v>
      </c>
      <c r="S89" s="66">
        <f>VLOOKUP($A89,'S45'!$C:$BQ,60,0)</f>
        <v>0</v>
      </c>
      <c r="T89" s="58">
        <f>VLOOKUP($A89,'S46'!$C:$BQ,32,0)</f>
        <v>196.3</v>
      </c>
      <c r="U89" s="58">
        <f>VLOOKUP($A89,'S46'!$C:$BQ,39,0)</f>
        <v>9</v>
      </c>
      <c r="V89" s="58">
        <f>VLOOKUP($A89,'S46'!$C:$BQ,40,0)</f>
        <v>50</v>
      </c>
      <c r="W89" s="58">
        <f>VLOOKUP($A89,'S46'!$C:$BQ,22,0)</f>
        <v>1858.2697900000001</v>
      </c>
      <c r="X89" s="66">
        <f>VLOOKUP($A89,'S46'!$C:$BQ,29,0)</f>
        <v>2</v>
      </c>
      <c r="Y89" s="66">
        <f>VLOOKUP($A89,'S46'!$C:$BQ,30,0)</f>
        <v>374</v>
      </c>
      <c r="Z89" s="66">
        <f>VLOOKUP($A89,'S46'!$C:$BQ,52,0)</f>
        <v>145.6</v>
      </c>
      <c r="AA89" s="66">
        <f>VLOOKUP($A89,'S46'!$C:$BQ,59,0)</f>
        <v>0</v>
      </c>
      <c r="AB89" s="66">
        <f>VLOOKUP($A89,'S46'!$C:$BQ,60,0)</f>
        <v>0</v>
      </c>
      <c r="AC89" s="58">
        <f>VLOOKUP($A89,'S47'!$C:$BQ,32,0)</f>
        <v>204.3</v>
      </c>
      <c r="AD89" s="58">
        <f>VLOOKUP($A89,'S47'!$C:$BQ,39,0)</f>
        <v>1</v>
      </c>
      <c r="AE89" s="58">
        <f>VLOOKUP($A89,'S47'!$C:$BQ,40,0)</f>
        <v>42</v>
      </c>
      <c r="AF89" s="58">
        <f>VLOOKUP($A89,'S47'!$C:$BQ,22,0)</f>
        <v>1957.8344999999999</v>
      </c>
      <c r="AG89" s="66">
        <f>VLOOKUP($A89,'S47'!$C:$BQ,29,0)</f>
        <v>0</v>
      </c>
      <c r="AH89" s="66">
        <f>VLOOKUP($A89,'S47'!$C:$BQ,30,0)</f>
        <v>275</v>
      </c>
      <c r="AI89" s="66">
        <f>VLOOKUP($A89,'S47'!$C:$BQ,52,0)</f>
        <v>148.6</v>
      </c>
      <c r="AJ89" s="66">
        <f>VLOOKUP($A89,'S47'!$C:$BQ,59,0)</f>
        <v>0</v>
      </c>
      <c r="AK89" s="66">
        <f>VLOOKUP($A89,'S47'!$C:$BQ,60,0)</f>
        <v>0</v>
      </c>
      <c r="AL89" s="58" t="e">
        <f>VLOOKUP($A89,'S48'!$C:$BQ,32,0)</f>
        <v>#N/A</v>
      </c>
      <c r="AM89" s="58" t="e">
        <f>VLOOKUP($A89,'S48'!$C:$BQ,39,0)</f>
        <v>#N/A</v>
      </c>
      <c r="AN89" s="58" t="e">
        <f>VLOOKUP($A89,'S48'!$C:$BQ,40,0)</f>
        <v>#N/A</v>
      </c>
      <c r="AO89" s="58" t="e">
        <f>VLOOKUP($A89,'S48'!$C:$BQ,22,0)</f>
        <v>#N/A</v>
      </c>
      <c r="AP89" s="66" t="e">
        <f>VLOOKUP($A89,'S48'!$C:$BQ,29,0)</f>
        <v>#N/A</v>
      </c>
      <c r="AQ89" s="66" t="e">
        <f>VLOOKUP($A89,'S48'!$C:$BQ,30,0)</f>
        <v>#N/A</v>
      </c>
      <c r="AR89" s="66" t="e">
        <f>VLOOKUP($A89,'S48'!$C:$BQ,52,0)</f>
        <v>#N/A</v>
      </c>
      <c r="AS89" s="66" t="e">
        <f>VLOOKUP($A89,'S48'!$C:$BQ,59,0)</f>
        <v>#N/A</v>
      </c>
      <c r="AT89" s="66" t="e">
        <f>VLOOKUP($A89,'S48'!$C:$BQ,60,0)</f>
        <v>#N/A</v>
      </c>
      <c r="AU89" s="58" t="e">
        <f>VLOOKUP($A89,'S49'!$C:$BQ,32,0)</f>
        <v>#N/A</v>
      </c>
      <c r="AV89" s="58" t="e">
        <f>VLOOKUP($A89,'S49'!$C:$BQ,39,0)</f>
        <v>#N/A</v>
      </c>
      <c r="AW89" s="58" t="e">
        <f>VLOOKUP($A89,'S49'!$C:$BQ,40,0)</f>
        <v>#N/A</v>
      </c>
      <c r="AX89" s="58" t="e">
        <f>VLOOKUP($A89,'S49'!$C:$BQ,22,0)</f>
        <v>#N/A</v>
      </c>
      <c r="AY89" s="66" t="e">
        <f>VLOOKUP($A89,'S49'!$C:$BQ,29,0)</f>
        <v>#N/A</v>
      </c>
      <c r="AZ89" s="66" t="e">
        <f>VLOOKUP($A89,'S49'!$C:$BQ,30,0)</f>
        <v>#N/A</v>
      </c>
      <c r="BA89" s="66" t="e">
        <f>VLOOKUP($A89,'S49'!$C:$BQ,52,0)</f>
        <v>#N/A</v>
      </c>
      <c r="BB89" s="66" t="e">
        <f>VLOOKUP($A89,'S49'!$C:$BQ,59,0)</f>
        <v>#N/A</v>
      </c>
      <c r="BC89" s="66" t="e">
        <f>VLOOKUP($A89,'S49'!$C:$BQ,60,0)</f>
        <v>#N/A</v>
      </c>
      <c r="BD89" s="58" t="e">
        <f>VLOOKUP($A89,'S50'!$C:$BQ,32,0)</f>
        <v>#N/A</v>
      </c>
      <c r="BE89" s="58" t="e">
        <f>VLOOKUP($A89,'S50'!$C:$BQ,39,0)</f>
        <v>#N/A</v>
      </c>
      <c r="BF89" s="58" t="e">
        <f>VLOOKUP($A89,'S50'!$C:$BQ,40,0)</f>
        <v>#N/A</v>
      </c>
      <c r="BG89" s="58" t="e">
        <f>VLOOKUP($A89,'S50'!$C:$BQ,22,0)</f>
        <v>#N/A</v>
      </c>
      <c r="BH89" s="66" t="e">
        <f>VLOOKUP($A89,'S50'!$C:$BQ,29,0)</f>
        <v>#N/A</v>
      </c>
      <c r="BI89" s="66" t="e">
        <f>VLOOKUP($A89,'S50'!$C:$BQ,30,0)</f>
        <v>#N/A</v>
      </c>
      <c r="BJ89" s="66" t="e">
        <f>VLOOKUP($A89,'S50'!$C:$BQ,52,0)</f>
        <v>#N/A</v>
      </c>
      <c r="BK89" s="66" t="e">
        <f>VLOOKUP($A89,'S50'!$C:$BQ,59,0)</f>
        <v>#N/A</v>
      </c>
      <c r="BL89" s="66" t="e">
        <f>VLOOKUP($A89,'S50'!$C:$BQ,60,0)</f>
        <v>#N/A</v>
      </c>
    </row>
    <row r="90" spans="1:64" x14ac:dyDescent="0.2">
      <c r="A90" s="57" t="s">
        <v>150</v>
      </c>
      <c r="B90" s="58">
        <f>VLOOKUP($A90,'S0 remplacer avec S44'!$C:$BQ,32,0)</f>
        <v>320.60000000000002</v>
      </c>
      <c r="C90" s="58">
        <f>VLOOKUP($A90,'S0 remplacer avec S44'!$C:$BQ,39,0)</f>
        <v>56</v>
      </c>
      <c r="D90" s="58">
        <f>VLOOKUP($A90,'S0 remplacer avec S44'!$C:$BQ,40,0)</f>
        <v>132</v>
      </c>
      <c r="E90" s="58">
        <f>VLOOKUP($A90,'S0 remplacer avec S44'!$C:$BQ,22,0)</f>
        <v>2211.465655</v>
      </c>
      <c r="F90" s="66">
        <f>VLOOKUP($A90,'S0 remplacer avec S44'!$C:$BQ,29,0)</f>
        <v>1212</v>
      </c>
      <c r="G90" s="66">
        <f>VLOOKUP($A90,'S0 remplacer avec S44'!$C:$BQ,30,0)</f>
        <v>1896</v>
      </c>
      <c r="H90" s="66">
        <f>VLOOKUP($A90,'S0 remplacer avec S44'!$C:$BQ,52,0)</f>
        <v>143.19999999999999</v>
      </c>
      <c r="I90" s="66">
        <f>VLOOKUP($A90,'S0 remplacer avec S44'!$C:$BQ,59,0)</f>
        <v>48</v>
      </c>
      <c r="J90" s="66">
        <f>VLOOKUP($A90,'S0 remplacer avec S44'!$C:$BQ,60,0)</f>
        <v>87</v>
      </c>
      <c r="K90" s="58">
        <f>VLOOKUP($A90,'S45'!$C:$BQ,32,0)</f>
        <v>326.60000000000002</v>
      </c>
      <c r="L90" s="58">
        <f>VLOOKUP($A90,'S45'!$C:$BQ,39,0)</f>
        <v>50</v>
      </c>
      <c r="M90" s="58">
        <f>VLOOKUP($A90,'S45'!$C:$BQ,40,0)</f>
        <v>126</v>
      </c>
      <c r="N90" s="58">
        <f>VLOOKUP($A90,'S45'!$C:$BQ,22,0)</f>
        <v>2280.0541149999999</v>
      </c>
      <c r="O90" s="66">
        <f>VLOOKUP($A90,'S45'!$C:$BQ,29,0)</f>
        <v>1143</v>
      </c>
      <c r="P90" s="66">
        <f>VLOOKUP($A90,'S45'!$C:$BQ,30,0)</f>
        <v>1828</v>
      </c>
      <c r="Q90" s="66">
        <f>VLOOKUP($A90,'S45'!$C:$BQ,52,0)</f>
        <v>146.19999999999999</v>
      </c>
      <c r="R90" s="66">
        <f>VLOOKUP($A90,'S45'!$C:$BQ,59,0)</f>
        <v>45</v>
      </c>
      <c r="S90" s="66">
        <f>VLOOKUP($A90,'S45'!$C:$BQ,60,0)</f>
        <v>84</v>
      </c>
      <c r="T90" s="58">
        <f>VLOOKUP($A90,'S46'!$C:$BQ,32,0)</f>
        <v>327.10000000000002</v>
      </c>
      <c r="U90" s="58">
        <f>VLOOKUP($A90,'S46'!$C:$BQ,39,0)</f>
        <v>50</v>
      </c>
      <c r="V90" s="58">
        <f>VLOOKUP($A90,'S46'!$C:$BQ,40,0)</f>
        <v>125</v>
      </c>
      <c r="W90" s="58">
        <f>VLOOKUP($A90,'S46'!$C:$BQ,22,0)</f>
        <v>2283.9616850000002</v>
      </c>
      <c r="X90" s="66">
        <f>VLOOKUP($A90,'S46'!$C:$BQ,29,0)</f>
        <v>1139</v>
      </c>
      <c r="Y90" s="66">
        <f>VLOOKUP($A90,'S46'!$C:$BQ,30,0)</f>
        <v>1824</v>
      </c>
      <c r="Z90" s="66">
        <f>VLOOKUP($A90,'S46'!$C:$BQ,52,0)</f>
        <v>146.19999999999999</v>
      </c>
      <c r="AA90" s="66">
        <f>VLOOKUP($A90,'S46'!$C:$BQ,59,0)</f>
        <v>45</v>
      </c>
      <c r="AB90" s="66">
        <f>VLOOKUP($A90,'S46'!$C:$BQ,60,0)</f>
        <v>84</v>
      </c>
      <c r="AC90" s="58">
        <f>VLOOKUP($A90,'S47'!$C:$BQ,32,0)</f>
        <v>331.6</v>
      </c>
      <c r="AD90" s="58">
        <f>VLOOKUP($A90,'S47'!$C:$BQ,39,0)</f>
        <v>45</v>
      </c>
      <c r="AE90" s="58">
        <f>VLOOKUP($A90,'S47'!$C:$BQ,40,0)</f>
        <v>121</v>
      </c>
      <c r="AF90" s="58">
        <f>VLOOKUP($A90,'S47'!$C:$BQ,22,0)</f>
        <v>2316.2298350000001</v>
      </c>
      <c r="AG90" s="66">
        <f>VLOOKUP($A90,'S47'!$C:$BQ,29,0)</f>
        <v>1107</v>
      </c>
      <c r="AH90" s="66">
        <f>VLOOKUP($A90,'S47'!$C:$BQ,30,0)</f>
        <v>1792</v>
      </c>
      <c r="AI90" s="66">
        <f>VLOOKUP($A90,'S47'!$C:$BQ,52,0)</f>
        <v>149.19999999999999</v>
      </c>
      <c r="AJ90" s="66">
        <f>VLOOKUP($A90,'S47'!$C:$BQ,59,0)</f>
        <v>42</v>
      </c>
      <c r="AK90" s="66">
        <f>VLOOKUP($A90,'S47'!$C:$BQ,60,0)</f>
        <v>81</v>
      </c>
      <c r="AL90" s="58" t="e">
        <f>VLOOKUP($A90,'S48'!$C:$BQ,32,0)</f>
        <v>#N/A</v>
      </c>
      <c r="AM90" s="58" t="e">
        <f>VLOOKUP($A90,'S48'!$C:$BQ,39,0)</f>
        <v>#N/A</v>
      </c>
      <c r="AN90" s="58" t="e">
        <f>VLOOKUP($A90,'S48'!$C:$BQ,40,0)</f>
        <v>#N/A</v>
      </c>
      <c r="AO90" s="58" t="e">
        <f>VLOOKUP($A90,'S48'!$C:$BQ,22,0)</f>
        <v>#N/A</v>
      </c>
      <c r="AP90" s="66" t="e">
        <f>VLOOKUP($A90,'S48'!$C:$BQ,29,0)</f>
        <v>#N/A</v>
      </c>
      <c r="AQ90" s="66" t="e">
        <f>VLOOKUP($A90,'S48'!$C:$BQ,30,0)</f>
        <v>#N/A</v>
      </c>
      <c r="AR90" s="66" t="e">
        <f>VLOOKUP($A90,'S48'!$C:$BQ,52,0)</f>
        <v>#N/A</v>
      </c>
      <c r="AS90" s="66" t="e">
        <f>VLOOKUP($A90,'S48'!$C:$BQ,59,0)</f>
        <v>#N/A</v>
      </c>
      <c r="AT90" s="66" t="e">
        <f>VLOOKUP($A90,'S48'!$C:$BQ,60,0)</f>
        <v>#N/A</v>
      </c>
      <c r="AU90" s="58" t="e">
        <f>VLOOKUP($A90,'S49'!$C:$BQ,32,0)</f>
        <v>#N/A</v>
      </c>
      <c r="AV90" s="58" t="e">
        <f>VLOOKUP($A90,'S49'!$C:$BQ,39,0)</f>
        <v>#N/A</v>
      </c>
      <c r="AW90" s="58" t="e">
        <f>VLOOKUP($A90,'S49'!$C:$BQ,40,0)</f>
        <v>#N/A</v>
      </c>
      <c r="AX90" s="58" t="e">
        <f>VLOOKUP($A90,'S49'!$C:$BQ,22,0)</f>
        <v>#N/A</v>
      </c>
      <c r="AY90" s="66" t="e">
        <f>VLOOKUP($A90,'S49'!$C:$BQ,29,0)</f>
        <v>#N/A</v>
      </c>
      <c r="AZ90" s="66" t="e">
        <f>VLOOKUP($A90,'S49'!$C:$BQ,30,0)</f>
        <v>#N/A</v>
      </c>
      <c r="BA90" s="66" t="e">
        <f>VLOOKUP($A90,'S49'!$C:$BQ,52,0)</f>
        <v>#N/A</v>
      </c>
      <c r="BB90" s="66" t="e">
        <f>VLOOKUP($A90,'S49'!$C:$BQ,59,0)</f>
        <v>#N/A</v>
      </c>
      <c r="BC90" s="66" t="e">
        <f>VLOOKUP($A90,'S49'!$C:$BQ,60,0)</f>
        <v>#N/A</v>
      </c>
      <c r="BD90" s="58" t="e">
        <f>VLOOKUP($A90,'S50'!$C:$BQ,32,0)</f>
        <v>#N/A</v>
      </c>
      <c r="BE90" s="58" t="e">
        <f>VLOOKUP($A90,'S50'!$C:$BQ,39,0)</f>
        <v>#N/A</v>
      </c>
      <c r="BF90" s="58" t="e">
        <f>VLOOKUP($A90,'S50'!$C:$BQ,40,0)</f>
        <v>#N/A</v>
      </c>
      <c r="BG90" s="58" t="e">
        <f>VLOOKUP($A90,'S50'!$C:$BQ,22,0)</f>
        <v>#N/A</v>
      </c>
      <c r="BH90" s="66" t="e">
        <f>VLOOKUP($A90,'S50'!$C:$BQ,29,0)</f>
        <v>#N/A</v>
      </c>
      <c r="BI90" s="66" t="e">
        <f>VLOOKUP($A90,'S50'!$C:$BQ,30,0)</f>
        <v>#N/A</v>
      </c>
      <c r="BJ90" s="66" t="e">
        <f>VLOOKUP($A90,'S50'!$C:$BQ,52,0)</f>
        <v>#N/A</v>
      </c>
      <c r="BK90" s="66" t="e">
        <f>VLOOKUP($A90,'S50'!$C:$BQ,59,0)</f>
        <v>#N/A</v>
      </c>
      <c r="BL90" s="66" t="e">
        <f>VLOOKUP($A90,'S50'!$C:$BQ,60,0)</f>
        <v>#N/A</v>
      </c>
    </row>
    <row r="91" spans="1:64" x14ac:dyDescent="0.2">
      <c r="A91" s="57" t="s">
        <v>151</v>
      </c>
      <c r="B91" s="58">
        <f>VLOOKUP($A91,'S0 remplacer avec S44'!$C:$BQ,32,0)</f>
        <v>302.45</v>
      </c>
      <c r="C91" s="58">
        <f>VLOOKUP($A91,'S0 remplacer avec S44'!$C:$BQ,39,0)</f>
        <v>35</v>
      </c>
      <c r="D91" s="58">
        <f>VLOOKUP($A91,'S0 remplacer avec S44'!$C:$BQ,40,0)</f>
        <v>102</v>
      </c>
      <c r="E91" s="58">
        <f>VLOOKUP($A91,'S0 remplacer avec S44'!$C:$BQ,22,0)</f>
        <v>2406.7459749999998</v>
      </c>
      <c r="F91" s="66">
        <f>VLOOKUP($A91,'S0 remplacer avec S44'!$C:$BQ,29,0)</f>
        <v>658</v>
      </c>
      <c r="G91" s="66">
        <f>VLOOKUP($A91,'S0 remplacer avec S44'!$C:$BQ,30,0)</f>
        <v>1271</v>
      </c>
      <c r="H91" s="66">
        <f>VLOOKUP($A91,'S0 remplacer avec S44'!$C:$BQ,52,0)</f>
        <v>142</v>
      </c>
      <c r="I91" s="66">
        <f>VLOOKUP($A91,'S0 remplacer avec S44'!$C:$BQ,59,0)</f>
        <v>30</v>
      </c>
      <c r="J91" s="66">
        <f>VLOOKUP($A91,'S0 remplacer avec S44'!$C:$BQ,60,0)</f>
        <v>64</v>
      </c>
      <c r="K91" s="58">
        <f>VLOOKUP($A91,'S45'!$C:$BQ,32,0)</f>
        <v>307.95</v>
      </c>
      <c r="L91" s="58">
        <f>VLOOKUP($A91,'S45'!$C:$BQ,39,0)</f>
        <v>29</v>
      </c>
      <c r="M91" s="58">
        <f>VLOOKUP($A91,'S45'!$C:$BQ,40,0)</f>
        <v>97</v>
      </c>
      <c r="N91" s="58">
        <f>VLOOKUP($A91,'S45'!$C:$BQ,22,0)</f>
        <v>2527.419985</v>
      </c>
      <c r="O91" s="66">
        <f>VLOOKUP($A91,'S45'!$C:$BQ,29,0)</f>
        <v>537</v>
      </c>
      <c r="P91" s="66">
        <f>VLOOKUP($A91,'S45'!$C:$BQ,30,0)</f>
        <v>1150</v>
      </c>
      <c r="Q91" s="66">
        <f>VLOOKUP($A91,'S45'!$C:$BQ,52,0)</f>
        <v>154</v>
      </c>
      <c r="R91" s="66">
        <f>VLOOKUP($A91,'S45'!$C:$BQ,59,0)</f>
        <v>18</v>
      </c>
      <c r="S91" s="66">
        <f>VLOOKUP($A91,'S45'!$C:$BQ,60,0)</f>
        <v>52</v>
      </c>
      <c r="T91" s="58">
        <f>VLOOKUP($A91,'S46'!$C:$BQ,32,0)</f>
        <v>307.45</v>
      </c>
      <c r="U91" s="58">
        <f>VLOOKUP($A91,'S46'!$C:$BQ,39,0)</f>
        <v>30</v>
      </c>
      <c r="V91" s="58">
        <f>VLOOKUP($A91,'S46'!$C:$BQ,40,0)</f>
        <v>97</v>
      </c>
      <c r="W91" s="58">
        <f>VLOOKUP($A91,'S46'!$C:$BQ,22,0)</f>
        <v>2528.8302650000001</v>
      </c>
      <c r="X91" s="66">
        <f>VLOOKUP($A91,'S46'!$C:$BQ,29,0)</f>
        <v>536</v>
      </c>
      <c r="Y91" s="66">
        <f>VLOOKUP($A91,'S46'!$C:$BQ,30,0)</f>
        <v>1148</v>
      </c>
      <c r="Z91" s="66">
        <f>VLOOKUP($A91,'S46'!$C:$BQ,52,0)</f>
        <v>159</v>
      </c>
      <c r="AA91" s="66">
        <f>VLOOKUP($A91,'S46'!$C:$BQ,59,0)</f>
        <v>13</v>
      </c>
      <c r="AB91" s="66">
        <f>VLOOKUP($A91,'S46'!$C:$BQ,60,0)</f>
        <v>47</v>
      </c>
      <c r="AC91" s="58">
        <f>VLOOKUP($A91,'S47'!$C:$BQ,32,0)</f>
        <v>315.45</v>
      </c>
      <c r="AD91" s="58">
        <f>VLOOKUP($A91,'S47'!$C:$BQ,39,0)</f>
        <v>22</v>
      </c>
      <c r="AE91" s="58">
        <f>VLOOKUP($A91,'S47'!$C:$BQ,40,0)</f>
        <v>89</v>
      </c>
      <c r="AF91" s="58">
        <f>VLOOKUP($A91,'S47'!$C:$BQ,22,0)</f>
        <v>2534.1461450000002</v>
      </c>
      <c r="AG91" s="66">
        <f>VLOOKUP($A91,'S47'!$C:$BQ,29,0)</f>
        <v>530</v>
      </c>
      <c r="AH91" s="66">
        <f>VLOOKUP($A91,'S47'!$C:$BQ,30,0)</f>
        <v>1143</v>
      </c>
      <c r="AI91" s="66">
        <f>VLOOKUP($A91,'S47'!$C:$BQ,52,0)</f>
        <v>183</v>
      </c>
      <c r="AJ91" s="66">
        <f>VLOOKUP($A91,'S47'!$C:$BQ,59,0)</f>
        <v>0</v>
      </c>
      <c r="AK91" s="66">
        <f>VLOOKUP($A91,'S47'!$C:$BQ,60,0)</f>
        <v>23</v>
      </c>
      <c r="AL91" s="58" t="e">
        <f>VLOOKUP($A91,'S48'!$C:$BQ,32,0)</f>
        <v>#N/A</v>
      </c>
      <c r="AM91" s="58" t="e">
        <f>VLOOKUP($A91,'S48'!$C:$BQ,39,0)</f>
        <v>#N/A</v>
      </c>
      <c r="AN91" s="58" t="e">
        <f>VLOOKUP($A91,'S48'!$C:$BQ,40,0)</f>
        <v>#N/A</v>
      </c>
      <c r="AO91" s="58" t="e">
        <f>VLOOKUP($A91,'S48'!$C:$BQ,22,0)</f>
        <v>#N/A</v>
      </c>
      <c r="AP91" s="66" t="e">
        <f>VLOOKUP($A91,'S48'!$C:$BQ,29,0)</f>
        <v>#N/A</v>
      </c>
      <c r="AQ91" s="66" t="e">
        <f>VLOOKUP($A91,'S48'!$C:$BQ,30,0)</f>
        <v>#N/A</v>
      </c>
      <c r="AR91" s="66" t="e">
        <f>VLOOKUP($A91,'S48'!$C:$BQ,52,0)</f>
        <v>#N/A</v>
      </c>
      <c r="AS91" s="66" t="e">
        <f>VLOOKUP($A91,'S48'!$C:$BQ,59,0)</f>
        <v>#N/A</v>
      </c>
      <c r="AT91" s="66" t="e">
        <f>VLOOKUP($A91,'S48'!$C:$BQ,60,0)</f>
        <v>#N/A</v>
      </c>
      <c r="AU91" s="58" t="e">
        <f>VLOOKUP($A91,'S49'!$C:$BQ,32,0)</f>
        <v>#N/A</v>
      </c>
      <c r="AV91" s="58" t="e">
        <f>VLOOKUP($A91,'S49'!$C:$BQ,39,0)</f>
        <v>#N/A</v>
      </c>
      <c r="AW91" s="58" t="e">
        <f>VLOOKUP($A91,'S49'!$C:$BQ,40,0)</f>
        <v>#N/A</v>
      </c>
      <c r="AX91" s="58" t="e">
        <f>VLOOKUP($A91,'S49'!$C:$BQ,22,0)</f>
        <v>#N/A</v>
      </c>
      <c r="AY91" s="66" t="e">
        <f>VLOOKUP($A91,'S49'!$C:$BQ,29,0)</f>
        <v>#N/A</v>
      </c>
      <c r="AZ91" s="66" t="e">
        <f>VLOOKUP($A91,'S49'!$C:$BQ,30,0)</f>
        <v>#N/A</v>
      </c>
      <c r="BA91" s="66" t="e">
        <f>VLOOKUP($A91,'S49'!$C:$BQ,52,0)</f>
        <v>#N/A</v>
      </c>
      <c r="BB91" s="66" t="e">
        <f>VLOOKUP($A91,'S49'!$C:$BQ,59,0)</f>
        <v>#N/A</v>
      </c>
      <c r="BC91" s="66" t="e">
        <f>VLOOKUP($A91,'S49'!$C:$BQ,60,0)</f>
        <v>#N/A</v>
      </c>
      <c r="BD91" s="58" t="e">
        <f>VLOOKUP($A91,'S50'!$C:$BQ,32,0)</f>
        <v>#N/A</v>
      </c>
      <c r="BE91" s="58" t="e">
        <f>VLOOKUP($A91,'S50'!$C:$BQ,39,0)</f>
        <v>#N/A</v>
      </c>
      <c r="BF91" s="58" t="e">
        <f>VLOOKUP($A91,'S50'!$C:$BQ,40,0)</f>
        <v>#N/A</v>
      </c>
      <c r="BG91" s="58" t="e">
        <f>VLOOKUP($A91,'S50'!$C:$BQ,22,0)</f>
        <v>#N/A</v>
      </c>
      <c r="BH91" s="66" t="e">
        <f>VLOOKUP($A91,'S50'!$C:$BQ,29,0)</f>
        <v>#N/A</v>
      </c>
      <c r="BI91" s="66" t="e">
        <f>VLOOKUP($A91,'S50'!$C:$BQ,30,0)</f>
        <v>#N/A</v>
      </c>
      <c r="BJ91" s="66" t="e">
        <f>VLOOKUP($A91,'S50'!$C:$BQ,52,0)</f>
        <v>#N/A</v>
      </c>
      <c r="BK91" s="66" t="e">
        <f>VLOOKUP($A91,'S50'!$C:$BQ,59,0)</f>
        <v>#N/A</v>
      </c>
      <c r="BL91" s="66" t="e">
        <f>VLOOKUP($A91,'S50'!$C:$BQ,60,0)</f>
        <v>#N/A</v>
      </c>
    </row>
    <row r="92" spans="1:64" x14ac:dyDescent="0.2">
      <c r="A92" s="57" t="s">
        <v>152</v>
      </c>
      <c r="B92" s="58">
        <f>VLOOKUP($A92,'S0 remplacer avec S44'!$C:$BQ,32,0)</f>
        <v>100.7</v>
      </c>
      <c r="C92" s="58">
        <f>VLOOKUP($A92,'S0 remplacer avec S44'!$C:$BQ,39,0)</f>
        <v>17</v>
      </c>
      <c r="D92" s="58">
        <f>VLOOKUP($A92,'S0 remplacer avec S44'!$C:$BQ,40,0)</f>
        <v>40</v>
      </c>
      <c r="E92" s="58">
        <f>VLOOKUP($A92,'S0 remplacer avec S44'!$C:$BQ,22,0)</f>
        <v>1074.056</v>
      </c>
      <c r="F92" s="66">
        <f>VLOOKUP($A92,'S0 remplacer avec S44'!$C:$BQ,29,0)</f>
        <v>0</v>
      </c>
      <c r="G92" s="66">
        <f>VLOOKUP($A92,'S0 remplacer avec S44'!$C:$BQ,30,0)</f>
        <v>204</v>
      </c>
      <c r="H92" s="66">
        <f>VLOOKUP($A92,'S0 remplacer avec S44'!$C:$BQ,52,0)</f>
        <v>93</v>
      </c>
      <c r="I92" s="66">
        <f>VLOOKUP($A92,'S0 remplacer avec S44'!$C:$BQ,59,0)</f>
        <v>0</v>
      </c>
      <c r="J92" s="66">
        <f>VLOOKUP($A92,'S0 remplacer avec S44'!$C:$BQ,60,0)</f>
        <v>0</v>
      </c>
      <c r="K92" s="58">
        <f>VLOOKUP($A92,'S45'!$C:$BQ,32,0)</f>
        <v>101.7</v>
      </c>
      <c r="L92" s="58">
        <f>VLOOKUP($A92,'S45'!$C:$BQ,39,0)</f>
        <v>16</v>
      </c>
      <c r="M92" s="58">
        <f>VLOOKUP($A92,'S45'!$C:$BQ,40,0)</f>
        <v>39</v>
      </c>
      <c r="N92" s="58">
        <f>VLOOKUP($A92,'S45'!$C:$BQ,22,0)</f>
        <v>1068.4842799999999</v>
      </c>
      <c r="O92" s="66">
        <f>VLOOKUP($A92,'S45'!$C:$BQ,29,0)</f>
        <v>0</v>
      </c>
      <c r="P92" s="66">
        <f>VLOOKUP($A92,'S45'!$C:$BQ,30,0)</f>
        <v>209</v>
      </c>
      <c r="Q92" s="66">
        <f>VLOOKUP($A92,'S45'!$C:$BQ,52,0)</f>
        <v>93</v>
      </c>
      <c r="R92" s="66">
        <f>VLOOKUP($A92,'S45'!$C:$BQ,59,0)</f>
        <v>0</v>
      </c>
      <c r="S92" s="66">
        <f>VLOOKUP($A92,'S45'!$C:$BQ,60,0)</f>
        <v>0</v>
      </c>
      <c r="T92" s="58">
        <f>VLOOKUP($A92,'S46'!$C:$BQ,32,0)</f>
        <v>101.7</v>
      </c>
      <c r="U92" s="58">
        <f>VLOOKUP($A92,'S46'!$C:$BQ,39,0)</f>
        <v>16</v>
      </c>
      <c r="V92" s="58">
        <f>VLOOKUP($A92,'S46'!$C:$BQ,40,0)</f>
        <v>39</v>
      </c>
      <c r="W92" s="58">
        <f>VLOOKUP($A92,'S46'!$C:$BQ,22,0)</f>
        <v>1069.0662500000001</v>
      </c>
      <c r="X92" s="66">
        <f>VLOOKUP($A92,'S46'!$C:$BQ,29,0)</f>
        <v>0</v>
      </c>
      <c r="Y92" s="66">
        <f>VLOOKUP($A92,'S46'!$C:$BQ,30,0)</f>
        <v>209</v>
      </c>
      <c r="Z92" s="66">
        <f>VLOOKUP($A92,'S46'!$C:$BQ,52,0)</f>
        <v>93</v>
      </c>
      <c r="AA92" s="66">
        <f>VLOOKUP($A92,'S46'!$C:$BQ,59,0)</f>
        <v>0</v>
      </c>
      <c r="AB92" s="66">
        <f>VLOOKUP($A92,'S46'!$C:$BQ,60,0)</f>
        <v>0</v>
      </c>
      <c r="AC92" s="58">
        <f>VLOOKUP($A92,'S47'!$C:$BQ,32,0)</f>
        <v>101.7</v>
      </c>
      <c r="AD92" s="58">
        <f>VLOOKUP($A92,'S47'!$C:$BQ,39,0)</f>
        <v>16</v>
      </c>
      <c r="AE92" s="58">
        <f>VLOOKUP($A92,'S47'!$C:$BQ,40,0)</f>
        <v>39</v>
      </c>
      <c r="AF92" s="58">
        <f>VLOOKUP($A92,'S47'!$C:$BQ,22,0)</f>
        <v>1078.9677200000001</v>
      </c>
      <c r="AG92" s="66">
        <f>VLOOKUP($A92,'S47'!$C:$BQ,29,0)</f>
        <v>0</v>
      </c>
      <c r="AH92" s="66">
        <f>VLOOKUP($A92,'S47'!$C:$BQ,30,0)</f>
        <v>199</v>
      </c>
      <c r="AI92" s="66">
        <f>VLOOKUP($A92,'S47'!$C:$BQ,52,0)</f>
        <v>94</v>
      </c>
      <c r="AJ92" s="66">
        <f>VLOOKUP($A92,'S47'!$C:$BQ,59,0)</f>
        <v>0</v>
      </c>
      <c r="AK92" s="66">
        <f>VLOOKUP($A92,'S47'!$C:$BQ,60,0)</f>
        <v>0</v>
      </c>
      <c r="AL92" s="58" t="e">
        <f>VLOOKUP($A92,'S48'!$C:$BQ,32,0)</f>
        <v>#N/A</v>
      </c>
      <c r="AM92" s="58" t="e">
        <f>VLOOKUP($A92,'S48'!$C:$BQ,39,0)</f>
        <v>#N/A</v>
      </c>
      <c r="AN92" s="58" t="e">
        <f>VLOOKUP($A92,'S48'!$C:$BQ,40,0)</f>
        <v>#N/A</v>
      </c>
      <c r="AO92" s="58" t="e">
        <f>VLOOKUP($A92,'S48'!$C:$BQ,22,0)</f>
        <v>#N/A</v>
      </c>
      <c r="AP92" s="66" t="e">
        <f>VLOOKUP($A92,'S48'!$C:$BQ,29,0)</f>
        <v>#N/A</v>
      </c>
      <c r="AQ92" s="66" t="e">
        <f>VLOOKUP($A92,'S48'!$C:$BQ,30,0)</f>
        <v>#N/A</v>
      </c>
      <c r="AR92" s="66" t="e">
        <f>VLOOKUP($A92,'S48'!$C:$BQ,52,0)</f>
        <v>#N/A</v>
      </c>
      <c r="AS92" s="66" t="e">
        <f>VLOOKUP($A92,'S48'!$C:$BQ,59,0)</f>
        <v>#N/A</v>
      </c>
      <c r="AT92" s="66" t="e">
        <f>VLOOKUP($A92,'S48'!$C:$BQ,60,0)</f>
        <v>#N/A</v>
      </c>
      <c r="AU92" s="58" t="e">
        <f>VLOOKUP($A92,'S49'!$C:$BQ,32,0)</f>
        <v>#N/A</v>
      </c>
      <c r="AV92" s="58" t="e">
        <f>VLOOKUP($A92,'S49'!$C:$BQ,39,0)</f>
        <v>#N/A</v>
      </c>
      <c r="AW92" s="58" t="e">
        <f>VLOOKUP($A92,'S49'!$C:$BQ,40,0)</f>
        <v>#N/A</v>
      </c>
      <c r="AX92" s="58" t="e">
        <f>VLOOKUP($A92,'S49'!$C:$BQ,22,0)</f>
        <v>#N/A</v>
      </c>
      <c r="AY92" s="66" t="e">
        <f>VLOOKUP($A92,'S49'!$C:$BQ,29,0)</f>
        <v>#N/A</v>
      </c>
      <c r="AZ92" s="66" t="e">
        <f>VLOOKUP($A92,'S49'!$C:$BQ,30,0)</f>
        <v>#N/A</v>
      </c>
      <c r="BA92" s="66" t="e">
        <f>VLOOKUP($A92,'S49'!$C:$BQ,52,0)</f>
        <v>#N/A</v>
      </c>
      <c r="BB92" s="66" t="e">
        <f>VLOOKUP($A92,'S49'!$C:$BQ,59,0)</f>
        <v>#N/A</v>
      </c>
      <c r="BC92" s="66" t="e">
        <f>VLOOKUP($A92,'S49'!$C:$BQ,60,0)</f>
        <v>#N/A</v>
      </c>
      <c r="BD92" s="58" t="e">
        <f>VLOOKUP($A92,'S50'!$C:$BQ,32,0)</f>
        <v>#N/A</v>
      </c>
      <c r="BE92" s="58" t="e">
        <f>VLOOKUP($A92,'S50'!$C:$BQ,39,0)</f>
        <v>#N/A</v>
      </c>
      <c r="BF92" s="58" t="e">
        <f>VLOOKUP($A92,'S50'!$C:$BQ,40,0)</f>
        <v>#N/A</v>
      </c>
      <c r="BG92" s="58" t="e">
        <f>VLOOKUP($A92,'S50'!$C:$BQ,22,0)</f>
        <v>#N/A</v>
      </c>
      <c r="BH92" s="66" t="e">
        <f>VLOOKUP($A92,'S50'!$C:$BQ,29,0)</f>
        <v>#N/A</v>
      </c>
      <c r="BI92" s="66" t="e">
        <f>VLOOKUP($A92,'S50'!$C:$BQ,30,0)</f>
        <v>#N/A</v>
      </c>
      <c r="BJ92" s="66" t="e">
        <f>VLOOKUP($A92,'S50'!$C:$BQ,52,0)</f>
        <v>#N/A</v>
      </c>
      <c r="BK92" s="66" t="e">
        <f>VLOOKUP($A92,'S50'!$C:$BQ,59,0)</f>
        <v>#N/A</v>
      </c>
      <c r="BL92" s="66" t="e">
        <f>VLOOKUP($A92,'S50'!$C:$BQ,60,0)</f>
        <v>#N/A</v>
      </c>
    </row>
    <row r="93" spans="1:64" x14ac:dyDescent="0.2">
      <c r="A93" s="57" t="s">
        <v>153</v>
      </c>
      <c r="B93" s="58">
        <f>VLOOKUP($A93,'S0 remplacer avec S44'!$C:$BQ,32,0)</f>
        <v>212.75</v>
      </c>
      <c r="C93" s="58">
        <f>VLOOKUP($A93,'S0 remplacer avec S44'!$C:$BQ,39,0)</f>
        <v>0</v>
      </c>
      <c r="D93" s="58">
        <f>VLOOKUP($A93,'S0 remplacer avec S44'!$C:$BQ,40,0)</f>
        <v>38</v>
      </c>
      <c r="E93" s="58">
        <f>VLOOKUP($A93,'S0 remplacer avec S44'!$C:$BQ,22,0)</f>
        <v>2022.3403000000001</v>
      </c>
      <c r="F93" s="66">
        <f>VLOOKUP($A93,'S0 remplacer avec S44'!$C:$BQ,29,0)</f>
        <v>0</v>
      </c>
      <c r="G93" s="66">
        <f>VLOOKUP($A93,'S0 remplacer avec S44'!$C:$BQ,30,0)</f>
        <v>252</v>
      </c>
      <c r="H93" s="66">
        <f>VLOOKUP($A93,'S0 remplacer avec S44'!$C:$BQ,52,0)</f>
        <v>129.6</v>
      </c>
      <c r="I93" s="66">
        <f>VLOOKUP($A93,'S0 remplacer avec S44'!$C:$BQ,59,0)</f>
        <v>0</v>
      </c>
      <c r="J93" s="66">
        <f>VLOOKUP($A93,'S0 remplacer avec S44'!$C:$BQ,60,0)</f>
        <v>0</v>
      </c>
      <c r="K93" s="58">
        <f>VLOOKUP($A93,'S45'!$C:$BQ,32,0)</f>
        <v>216.25</v>
      </c>
      <c r="L93" s="58">
        <f>VLOOKUP($A93,'S45'!$C:$BQ,39,0)</f>
        <v>0</v>
      </c>
      <c r="M93" s="58">
        <f>VLOOKUP($A93,'S45'!$C:$BQ,40,0)</f>
        <v>34</v>
      </c>
      <c r="N93" s="58">
        <f>VLOOKUP($A93,'S45'!$C:$BQ,22,0)</f>
        <v>2063.0792299999998</v>
      </c>
      <c r="O93" s="66">
        <f>VLOOKUP($A93,'S45'!$C:$BQ,29,0)</f>
        <v>0</v>
      </c>
      <c r="P93" s="66">
        <f>VLOOKUP($A93,'S45'!$C:$BQ,30,0)</f>
        <v>212</v>
      </c>
      <c r="Q93" s="66">
        <f>VLOOKUP($A93,'S45'!$C:$BQ,52,0)</f>
        <v>132.6</v>
      </c>
      <c r="R93" s="66">
        <f>VLOOKUP($A93,'S45'!$C:$BQ,59,0)</f>
        <v>0</v>
      </c>
      <c r="S93" s="66">
        <f>VLOOKUP($A93,'S45'!$C:$BQ,60,0)</f>
        <v>0</v>
      </c>
      <c r="T93" s="58">
        <f>VLOOKUP($A93,'S46'!$C:$BQ,32,0)</f>
        <v>216.25</v>
      </c>
      <c r="U93" s="58">
        <f>VLOOKUP($A93,'S46'!$C:$BQ,39,0)</f>
        <v>0</v>
      </c>
      <c r="V93" s="58">
        <f>VLOOKUP($A93,'S46'!$C:$BQ,40,0)</f>
        <v>34</v>
      </c>
      <c r="W93" s="58">
        <f>VLOOKUP($A93,'S46'!$C:$BQ,22,0)</f>
        <v>2065.9301399999999</v>
      </c>
      <c r="X93" s="66">
        <f>VLOOKUP($A93,'S46'!$C:$BQ,29,0)</f>
        <v>0</v>
      </c>
      <c r="Y93" s="66">
        <f>VLOOKUP($A93,'S46'!$C:$BQ,30,0)</f>
        <v>209</v>
      </c>
      <c r="Z93" s="66">
        <f>VLOOKUP($A93,'S46'!$C:$BQ,52,0)</f>
        <v>133.6</v>
      </c>
      <c r="AA93" s="66">
        <f>VLOOKUP($A93,'S46'!$C:$BQ,59,0)</f>
        <v>0</v>
      </c>
      <c r="AB93" s="66">
        <f>VLOOKUP($A93,'S46'!$C:$BQ,60,0)</f>
        <v>0</v>
      </c>
      <c r="AC93" s="58">
        <f>VLOOKUP($A93,'S47'!$C:$BQ,32,0)</f>
        <v>219.75</v>
      </c>
      <c r="AD93" s="58">
        <f>VLOOKUP($A93,'S47'!$C:$BQ,39,0)</f>
        <v>0</v>
      </c>
      <c r="AE93" s="58">
        <f>VLOOKUP($A93,'S47'!$C:$BQ,40,0)</f>
        <v>31</v>
      </c>
      <c r="AF93" s="58">
        <f>VLOOKUP($A93,'S47'!$C:$BQ,22,0)</f>
        <v>2105.4034499999998</v>
      </c>
      <c r="AG93" s="66">
        <f>VLOOKUP($A93,'S47'!$C:$BQ,29,0)</f>
        <v>0</v>
      </c>
      <c r="AH93" s="66">
        <f>VLOOKUP($A93,'S47'!$C:$BQ,30,0)</f>
        <v>169</v>
      </c>
      <c r="AI93" s="66">
        <f>VLOOKUP($A93,'S47'!$C:$BQ,52,0)</f>
        <v>136.6</v>
      </c>
      <c r="AJ93" s="66">
        <f>VLOOKUP($A93,'S47'!$C:$BQ,59,0)</f>
        <v>0</v>
      </c>
      <c r="AK93" s="66">
        <f>VLOOKUP($A93,'S47'!$C:$BQ,60,0)</f>
        <v>0</v>
      </c>
      <c r="AL93" s="58" t="e">
        <f>VLOOKUP($A93,'S48'!$C:$BQ,32,0)</f>
        <v>#N/A</v>
      </c>
      <c r="AM93" s="58" t="e">
        <f>VLOOKUP($A93,'S48'!$C:$BQ,39,0)</f>
        <v>#N/A</v>
      </c>
      <c r="AN93" s="58" t="e">
        <f>VLOOKUP($A93,'S48'!$C:$BQ,40,0)</f>
        <v>#N/A</v>
      </c>
      <c r="AO93" s="58" t="e">
        <f>VLOOKUP($A93,'S48'!$C:$BQ,22,0)</f>
        <v>#N/A</v>
      </c>
      <c r="AP93" s="66" t="e">
        <f>VLOOKUP($A93,'S48'!$C:$BQ,29,0)</f>
        <v>#N/A</v>
      </c>
      <c r="AQ93" s="66" t="e">
        <f>VLOOKUP($A93,'S48'!$C:$BQ,30,0)</f>
        <v>#N/A</v>
      </c>
      <c r="AR93" s="66" t="e">
        <f>VLOOKUP($A93,'S48'!$C:$BQ,52,0)</f>
        <v>#N/A</v>
      </c>
      <c r="AS93" s="66" t="e">
        <f>VLOOKUP($A93,'S48'!$C:$BQ,59,0)</f>
        <v>#N/A</v>
      </c>
      <c r="AT93" s="66" t="e">
        <f>VLOOKUP($A93,'S48'!$C:$BQ,60,0)</f>
        <v>#N/A</v>
      </c>
      <c r="AU93" s="58" t="e">
        <f>VLOOKUP($A93,'S49'!$C:$BQ,32,0)</f>
        <v>#N/A</v>
      </c>
      <c r="AV93" s="58" t="e">
        <f>VLOOKUP($A93,'S49'!$C:$BQ,39,0)</f>
        <v>#N/A</v>
      </c>
      <c r="AW93" s="58" t="e">
        <f>VLOOKUP($A93,'S49'!$C:$BQ,40,0)</f>
        <v>#N/A</v>
      </c>
      <c r="AX93" s="58" t="e">
        <f>VLOOKUP($A93,'S49'!$C:$BQ,22,0)</f>
        <v>#N/A</v>
      </c>
      <c r="AY93" s="66" t="e">
        <f>VLOOKUP($A93,'S49'!$C:$BQ,29,0)</f>
        <v>#N/A</v>
      </c>
      <c r="AZ93" s="66" t="e">
        <f>VLOOKUP($A93,'S49'!$C:$BQ,30,0)</f>
        <v>#N/A</v>
      </c>
      <c r="BA93" s="66" t="e">
        <f>VLOOKUP($A93,'S49'!$C:$BQ,52,0)</f>
        <v>#N/A</v>
      </c>
      <c r="BB93" s="66" t="e">
        <f>VLOOKUP($A93,'S49'!$C:$BQ,59,0)</f>
        <v>#N/A</v>
      </c>
      <c r="BC93" s="66" t="e">
        <f>VLOOKUP($A93,'S49'!$C:$BQ,60,0)</f>
        <v>#N/A</v>
      </c>
      <c r="BD93" s="58" t="e">
        <f>VLOOKUP($A93,'S50'!$C:$BQ,32,0)</f>
        <v>#N/A</v>
      </c>
      <c r="BE93" s="58" t="e">
        <f>VLOOKUP($A93,'S50'!$C:$BQ,39,0)</f>
        <v>#N/A</v>
      </c>
      <c r="BF93" s="58" t="e">
        <f>VLOOKUP($A93,'S50'!$C:$BQ,40,0)</f>
        <v>#N/A</v>
      </c>
      <c r="BG93" s="58" t="e">
        <f>VLOOKUP($A93,'S50'!$C:$BQ,22,0)</f>
        <v>#N/A</v>
      </c>
      <c r="BH93" s="66" t="e">
        <f>VLOOKUP($A93,'S50'!$C:$BQ,29,0)</f>
        <v>#N/A</v>
      </c>
      <c r="BI93" s="66" t="e">
        <f>VLOOKUP($A93,'S50'!$C:$BQ,30,0)</f>
        <v>#N/A</v>
      </c>
      <c r="BJ93" s="66" t="e">
        <f>VLOOKUP($A93,'S50'!$C:$BQ,52,0)</f>
        <v>#N/A</v>
      </c>
      <c r="BK93" s="66" t="e">
        <f>VLOOKUP($A93,'S50'!$C:$BQ,59,0)</f>
        <v>#N/A</v>
      </c>
      <c r="BL93" s="66" t="e">
        <f>VLOOKUP($A93,'S50'!$C:$BQ,60,0)</f>
        <v>#N/A</v>
      </c>
    </row>
    <row r="94" spans="1:64" x14ac:dyDescent="0.2">
      <c r="A94" s="57" t="s">
        <v>154</v>
      </c>
      <c r="B94" s="58">
        <f>VLOOKUP($A94,'S0 remplacer avec S44'!$C:$BQ,32,0)</f>
        <v>141.5</v>
      </c>
      <c r="C94" s="58">
        <f>VLOOKUP($A94,'S0 remplacer avec S44'!$C:$BQ,39,0)</f>
        <v>51</v>
      </c>
      <c r="D94" s="58">
        <f>VLOOKUP($A94,'S0 remplacer avec S44'!$C:$BQ,40,0)</f>
        <v>90</v>
      </c>
      <c r="E94" s="58">
        <f>VLOOKUP($A94,'S0 remplacer avec S44'!$C:$BQ,22,0)</f>
        <v>1066.3833299999999</v>
      </c>
      <c r="F94" s="66">
        <f>VLOOKUP($A94,'S0 remplacer avec S44'!$C:$BQ,29,0)</f>
        <v>685</v>
      </c>
      <c r="G94" s="66">
        <f>VLOOKUP($A94,'S0 remplacer avec S44'!$C:$BQ,30,0)</f>
        <v>1035</v>
      </c>
      <c r="H94" s="66">
        <f>VLOOKUP($A94,'S0 remplacer avec S44'!$C:$BQ,52,0)</f>
        <v>91.6</v>
      </c>
      <c r="I94" s="66">
        <f>VLOOKUP($A94,'S0 remplacer avec S44'!$C:$BQ,59,0)</f>
        <v>7</v>
      </c>
      <c r="J94" s="66">
        <f>VLOOKUP($A94,'S0 remplacer avec S44'!$C:$BQ,60,0)</f>
        <v>26</v>
      </c>
      <c r="K94" s="58">
        <f>VLOOKUP($A94,'S45'!$C:$BQ,32,0)</f>
        <v>142.5</v>
      </c>
      <c r="L94" s="58">
        <f>VLOOKUP($A94,'S45'!$C:$BQ,39,0)</f>
        <v>50</v>
      </c>
      <c r="M94" s="58">
        <f>VLOOKUP($A94,'S45'!$C:$BQ,40,0)</f>
        <v>89</v>
      </c>
      <c r="N94" s="58">
        <f>VLOOKUP($A94,'S45'!$C:$BQ,22,0)</f>
        <v>1068.9033300000001</v>
      </c>
      <c r="O94" s="66">
        <f>VLOOKUP($A94,'S45'!$C:$BQ,29,0)</f>
        <v>682</v>
      </c>
      <c r="P94" s="66">
        <f>VLOOKUP($A94,'S45'!$C:$BQ,30,0)</f>
        <v>1032</v>
      </c>
      <c r="Q94" s="66">
        <f>VLOOKUP($A94,'S45'!$C:$BQ,52,0)</f>
        <v>94.6</v>
      </c>
      <c r="R94" s="66">
        <f>VLOOKUP($A94,'S45'!$C:$BQ,59,0)</f>
        <v>4</v>
      </c>
      <c r="S94" s="66">
        <f>VLOOKUP($A94,'S45'!$C:$BQ,60,0)</f>
        <v>23</v>
      </c>
      <c r="T94" s="58">
        <f>VLOOKUP($A94,'S46'!$C:$BQ,32,0)</f>
        <v>142.5</v>
      </c>
      <c r="U94" s="58">
        <f>VLOOKUP($A94,'S46'!$C:$BQ,39,0)</f>
        <v>50</v>
      </c>
      <c r="V94" s="58">
        <f>VLOOKUP($A94,'S46'!$C:$BQ,40,0)</f>
        <v>89</v>
      </c>
      <c r="W94" s="58">
        <f>VLOOKUP($A94,'S46'!$C:$BQ,22,0)</f>
        <v>1070.5426600000001</v>
      </c>
      <c r="X94" s="66">
        <f>VLOOKUP($A94,'S46'!$C:$BQ,29,0)</f>
        <v>680</v>
      </c>
      <c r="Y94" s="66">
        <f>VLOOKUP($A94,'S46'!$C:$BQ,30,0)</f>
        <v>1030</v>
      </c>
      <c r="Z94" s="66">
        <f>VLOOKUP($A94,'S46'!$C:$BQ,52,0)</f>
        <v>95.6</v>
      </c>
      <c r="AA94" s="66">
        <f>VLOOKUP($A94,'S46'!$C:$BQ,59,0)</f>
        <v>3</v>
      </c>
      <c r="AB94" s="66">
        <f>VLOOKUP($A94,'S46'!$C:$BQ,60,0)</f>
        <v>22</v>
      </c>
      <c r="AC94" s="58">
        <f>VLOOKUP($A94,'S47'!$C:$BQ,32,0)</f>
        <v>143.5</v>
      </c>
      <c r="AD94" s="58">
        <f>VLOOKUP($A94,'S47'!$C:$BQ,39,0)</f>
        <v>49</v>
      </c>
      <c r="AE94" s="58">
        <f>VLOOKUP($A94,'S47'!$C:$BQ,40,0)</f>
        <v>88</v>
      </c>
      <c r="AF94" s="58">
        <f>VLOOKUP($A94,'S47'!$C:$BQ,22,0)</f>
        <v>1100.48451</v>
      </c>
      <c r="AG94" s="66">
        <f>VLOOKUP($A94,'S47'!$C:$BQ,29,0)</f>
        <v>650</v>
      </c>
      <c r="AH94" s="66">
        <f>VLOOKUP($A94,'S47'!$C:$BQ,30,0)</f>
        <v>1000</v>
      </c>
      <c r="AI94" s="66">
        <f>VLOOKUP($A94,'S47'!$C:$BQ,52,0)</f>
        <v>101.6</v>
      </c>
      <c r="AJ94" s="66">
        <f>VLOOKUP($A94,'S47'!$C:$BQ,59,0)</f>
        <v>0</v>
      </c>
      <c r="AK94" s="66">
        <f>VLOOKUP($A94,'S47'!$C:$BQ,60,0)</f>
        <v>16</v>
      </c>
      <c r="AL94" s="58" t="e">
        <f>VLOOKUP($A94,'S48'!$C:$BQ,32,0)</f>
        <v>#N/A</v>
      </c>
      <c r="AM94" s="58" t="e">
        <f>VLOOKUP($A94,'S48'!$C:$BQ,39,0)</f>
        <v>#N/A</v>
      </c>
      <c r="AN94" s="58" t="e">
        <f>VLOOKUP($A94,'S48'!$C:$BQ,40,0)</f>
        <v>#N/A</v>
      </c>
      <c r="AO94" s="58" t="e">
        <f>VLOOKUP($A94,'S48'!$C:$BQ,22,0)</f>
        <v>#N/A</v>
      </c>
      <c r="AP94" s="66" t="e">
        <f>VLOOKUP($A94,'S48'!$C:$BQ,29,0)</f>
        <v>#N/A</v>
      </c>
      <c r="AQ94" s="66" t="e">
        <f>VLOOKUP($A94,'S48'!$C:$BQ,30,0)</f>
        <v>#N/A</v>
      </c>
      <c r="AR94" s="66" t="e">
        <f>VLOOKUP($A94,'S48'!$C:$BQ,52,0)</f>
        <v>#N/A</v>
      </c>
      <c r="AS94" s="66" t="e">
        <f>VLOOKUP($A94,'S48'!$C:$BQ,59,0)</f>
        <v>#N/A</v>
      </c>
      <c r="AT94" s="66" t="e">
        <f>VLOOKUP($A94,'S48'!$C:$BQ,60,0)</f>
        <v>#N/A</v>
      </c>
      <c r="AU94" s="58" t="e">
        <f>VLOOKUP($A94,'S49'!$C:$BQ,32,0)</f>
        <v>#N/A</v>
      </c>
      <c r="AV94" s="58" t="e">
        <f>VLOOKUP($A94,'S49'!$C:$BQ,39,0)</f>
        <v>#N/A</v>
      </c>
      <c r="AW94" s="58" t="e">
        <f>VLOOKUP($A94,'S49'!$C:$BQ,40,0)</f>
        <v>#N/A</v>
      </c>
      <c r="AX94" s="58" t="e">
        <f>VLOOKUP($A94,'S49'!$C:$BQ,22,0)</f>
        <v>#N/A</v>
      </c>
      <c r="AY94" s="66" t="e">
        <f>VLOOKUP($A94,'S49'!$C:$BQ,29,0)</f>
        <v>#N/A</v>
      </c>
      <c r="AZ94" s="66" t="e">
        <f>VLOOKUP($A94,'S49'!$C:$BQ,30,0)</f>
        <v>#N/A</v>
      </c>
      <c r="BA94" s="66" t="e">
        <f>VLOOKUP($A94,'S49'!$C:$BQ,52,0)</f>
        <v>#N/A</v>
      </c>
      <c r="BB94" s="66" t="e">
        <f>VLOOKUP($A94,'S49'!$C:$BQ,59,0)</f>
        <v>#N/A</v>
      </c>
      <c r="BC94" s="66" t="e">
        <f>VLOOKUP($A94,'S49'!$C:$BQ,60,0)</f>
        <v>#N/A</v>
      </c>
      <c r="BD94" s="58" t="e">
        <f>VLOOKUP($A94,'S50'!$C:$BQ,32,0)</f>
        <v>#N/A</v>
      </c>
      <c r="BE94" s="58" t="e">
        <f>VLOOKUP($A94,'S50'!$C:$BQ,39,0)</f>
        <v>#N/A</v>
      </c>
      <c r="BF94" s="58" t="e">
        <f>VLOOKUP($A94,'S50'!$C:$BQ,40,0)</f>
        <v>#N/A</v>
      </c>
      <c r="BG94" s="58" t="e">
        <f>VLOOKUP($A94,'S50'!$C:$BQ,22,0)</f>
        <v>#N/A</v>
      </c>
      <c r="BH94" s="66" t="e">
        <f>VLOOKUP($A94,'S50'!$C:$BQ,29,0)</f>
        <v>#N/A</v>
      </c>
      <c r="BI94" s="66" t="e">
        <f>VLOOKUP($A94,'S50'!$C:$BQ,30,0)</f>
        <v>#N/A</v>
      </c>
      <c r="BJ94" s="66" t="e">
        <f>VLOOKUP($A94,'S50'!$C:$BQ,52,0)</f>
        <v>#N/A</v>
      </c>
      <c r="BK94" s="66" t="e">
        <f>VLOOKUP($A94,'S50'!$C:$BQ,59,0)</f>
        <v>#N/A</v>
      </c>
      <c r="BL94" s="66" t="e">
        <f>VLOOKUP($A94,'S50'!$C:$BQ,60,0)</f>
        <v>#N/A</v>
      </c>
    </row>
    <row r="95" spans="1:64" x14ac:dyDescent="0.2">
      <c r="A95" s="57" t="s">
        <v>155</v>
      </c>
      <c r="B95" s="58">
        <f>VLOOKUP($A95,'S0 remplacer avec S44'!$C:$BQ,32,0)</f>
        <v>169.4</v>
      </c>
      <c r="C95" s="58">
        <f>VLOOKUP($A95,'S0 remplacer avec S44'!$C:$BQ,39,0)</f>
        <v>4</v>
      </c>
      <c r="D95" s="58">
        <f>VLOOKUP($A95,'S0 remplacer avec S44'!$C:$BQ,40,0)</f>
        <v>39</v>
      </c>
      <c r="E95" s="58">
        <f>VLOOKUP($A95,'S0 remplacer avec S44'!$C:$BQ,22,0)</f>
        <v>699.65944000000002</v>
      </c>
      <c r="F95" s="66">
        <f>VLOOKUP($A95,'S0 remplacer avec S44'!$C:$BQ,29,0)</f>
        <v>874</v>
      </c>
      <c r="G95" s="66">
        <f>VLOOKUP($A95,'S0 remplacer avec S44'!$C:$BQ,30,0)</f>
        <v>1188</v>
      </c>
      <c r="H95" s="66">
        <f>VLOOKUP($A95,'S0 remplacer avec S44'!$C:$BQ,52,0)</f>
        <v>104.4</v>
      </c>
      <c r="I95" s="66">
        <f>VLOOKUP($A95,'S0 remplacer avec S44'!$C:$BQ,59,0)</f>
        <v>0</v>
      </c>
      <c r="J95" s="66">
        <f>VLOOKUP($A95,'S0 remplacer avec S44'!$C:$BQ,60,0)</f>
        <v>2</v>
      </c>
      <c r="K95" s="58">
        <f>VLOOKUP($A95,'S45'!$C:$BQ,32,0)</f>
        <v>169.4</v>
      </c>
      <c r="L95" s="58">
        <f>VLOOKUP($A95,'S45'!$C:$BQ,39,0)</f>
        <v>4</v>
      </c>
      <c r="M95" s="58">
        <f>VLOOKUP($A95,'S45'!$C:$BQ,40,0)</f>
        <v>39</v>
      </c>
      <c r="N95" s="58">
        <f>VLOOKUP($A95,'S45'!$C:$BQ,22,0)</f>
        <v>703.70078000000001</v>
      </c>
      <c r="O95" s="66">
        <f>VLOOKUP($A95,'S45'!$C:$BQ,29,0)</f>
        <v>870</v>
      </c>
      <c r="P95" s="66">
        <f>VLOOKUP($A95,'S45'!$C:$BQ,30,0)</f>
        <v>1184</v>
      </c>
      <c r="Q95" s="66">
        <f>VLOOKUP($A95,'S45'!$C:$BQ,52,0)</f>
        <v>106.4</v>
      </c>
      <c r="R95" s="66">
        <f>VLOOKUP($A95,'S45'!$C:$BQ,59,0)</f>
        <v>0</v>
      </c>
      <c r="S95" s="66">
        <f>VLOOKUP($A95,'S45'!$C:$BQ,60,0)</f>
        <v>0</v>
      </c>
      <c r="T95" s="58">
        <f>VLOOKUP($A95,'S46'!$C:$BQ,32,0)</f>
        <v>167.4</v>
      </c>
      <c r="U95" s="58">
        <f>VLOOKUP($A95,'S46'!$C:$BQ,39,0)</f>
        <v>6</v>
      </c>
      <c r="V95" s="58">
        <f>VLOOKUP($A95,'S46'!$C:$BQ,40,0)</f>
        <v>41</v>
      </c>
      <c r="W95" s="58">
        <f>VLOOKUP($A95,'S46'!$C:$BQ,22,0)</f>
        <v>720.57326</v>
      </c>
      <c r="X95" s="66">
        <f>VLOOKUP($A95,'S46'!$C:$BQ,29,0)</f>
        <v>853</v>
      </c>
      <c r="Y95" s="66">
        <f>VLOOKUP($A95,'S46'!$C:$BQ,30,0)</f>
        <v>1168</v>
      </c>
      <c r="Z95" s="66">
        <f>VLOOKUP($A95,'S46'!$C:$BQ,52,0)</f>
        <v>106.4</v>
      </c>
      <c r="AA95" s="66">
        <f>VLOOKUP($A95,'S46'!$C:$BQ,59,0)</f>
        <v>0</v>
      </c>
      <c r="AB95" s="66">
        <f>VLOOKUP($A95,'S46'!$C:$BQ,60,0)</f>
        <v>0</v>
      </c>
      <c r="AC95" s="58">
        <f>VLOOKUP($A95,'S47'!$C:$BQ,32,0)</f>
        <v>166.9</v>
      </c>
      <c r="AD95" s="58">
        <f>VLOOKUP($A95,'S47'!$C:$BQ,39,0)</f>
        <v>7</v>
      </c>
      <c r="AE95" s="58">
        <f>VLOOKUP($A95,'S47'!$C:$BQ,40,0)</f>
        <v>41</v>
      </c>
      <c r="AF95" s="58">
        <f>VLOOKUP($A95,'S47'!$C:$BQ,22,0)</f>
        <v>728.67929000000004</v>
      </c>
      <c r="AG95" s="66">
        <f>VLOOKUP($A95,'S47'!$C:$BQ,29,0)</f>
        <v>845</v>
      </c>
      <c r="AH95" s="66">
        <f>VLOOKUP($A95,'S47'!$C:$BQ,30,0)</f>
        <v>1159</v>
      </c>
      <c r="AI95" s="66">
        <f>VLOOKUP($A95,'S47'!$C:$BQ,52,0)</f>
        <v>108.4</v>
      </c>
      <c r="AJ95" s="66">
        <f>VLOOKUP($A95,'S47'!$C:$BQ,59,0)</f>
        <v>0</v>
      </c>
      <c r="AK95" s="66">
        <f>VLOOKUP($A95,'S47'!$C:$BQ,60,0)</f>
        <v>0</v>
      </c>
      <c r="AL95" s="58" t="e">
        <f>VLOOKUP($A95,'S48'!$C:$BQ,32,0)</f>
        <v>#N/A</v>
      </c>
      <c r="AM95" s="58" t="e">
        <f>VLOOKUP($A95,'S48'!$C:$BQ,39,0)</f>
        <v>#N/A</v>
      </c>
      <c r="AN95" s="58" t="e">
        <f>VLOOKUP($A95,'S48'!$C:$BQ,40,0)</f>
        <v>#N/A</v>
      </c>
      <c r="AO95" s="58" t="e">
        <f>VLOOKUP($A95,'S48'!$C:$BQ,22,0)</f>
        <v>#N/A</v>
      </c>
      <c r="AP95" s="66" t="e">
        <f>VLOOKUP($A95,'S48'!$C:$BQ,29,0)</f>
        <v>#N/A</v>
      </c>
      <c r="AQ95" s="66" t="e">
        <f>VLOOKUP($A95,'S48'!$C:$BQ,30,0)</f>
        <v>#N/A</v>
      </c>
      <c r="AR95" s="66" t="e">
        <f>VLOOKUP($A95,'S48'!$C:$BQ,52,0)</f>
        <v>#N/A</v>
      </c>
      <c r="AS95" s="66" t="e">
        <f>VLOOKUP($A95,'S48'!$C:$BQ,59,0)</f>
        <v>#N/A</v>
      </c>
      <c r="AT95" s="66" t="e">
        <f>VLOOKUP($A95,'S48'!$C:$BQ,60,0)</f>
        <v>#N/A</v>
      </c>
      <c r="AU95" s="58" t="e">
        <f>VLOOKUP($A95,'S49'!$C:$BQ,32,0)</f>
        <v>#N/A</v>
      </c>
      <c r="AV95" s="58" t="e">
        <f>VLOOKUP($A95,'S49'!$C:$BQ,39,0)</f>
        <v>#N/A</v>
      </c>
      <c r="AW95" s="58" t="e">
        <f>VLOOKUP($A95,'S49'!$C:$BQ,40,0)</f>
        <v>#N/A</v>
      </c>
      <c r="AX95" s="58" t="e">
        <f>VLOOKUP($A95,'S49'!$C:$BQ,22,0)</f>
        <v>#N/A</v>
      </c>
      <c r="AY95" s="66" t="e">
        <f>VLOOKUP($A95,'S49'!$C:$BQ,29,0)</f>
        <v>#N/A</v>
      </c>
      <c r="AZ95" s="66" t="e">
        <f>VLOOKUP($A95,'S49'!$C:$BQ,30,0)</f>
        <v>#N/A</v>
      </c>
      <c r="BA95" s="66" t="e">
        <f>VLOOKUP($A95,'S49'!$C:$BQ,52,0)</f>
        <v>#N/A</v>
      </c>
      <c r="BB95" s="66" t="e">
        <f>VLOOKUP($A95,'S49'!$C:$BQ,59,0)</f>
        <v>#N/A</v>
      </c>
      <c r="BC95" s="66" t="e">
        <f>VLOOKUP($A95,'S49'!$C:$BQ,60,0)</f>
        <v>#N/A</v>
      </c>
      <c r="BD95" s="58" t="e">
        <f>VLOOKUP($A95,'S50'!$C:$BQ,32,0)</f>
        <v>#N/A</v>
      </c>
      <c r="BE95" s="58" t="e">
        <f>VLOOKUP($A95,'S50'!$C:$BQ,39,0)</f>
        <v>#N/A</v>
      </c>
      <c r="BF95" s="58" t="e">
        <f>VLOOKUP($A95,'S50'!$C:$BQ,40,0)</f>
        <v>#N/A</v>
      </c>
      <c r="BG95" s="58" t="e">
        <f>VLOOKUP($A95,'S50'!$C:$BQ,22,0)</f>
        <v>#N/A</v>
      </c>
      <c r="BH95" s="66" t="e">
        <f>VLOOKUP($A95,'S50'!$C:$BQ,29,0)</f>
        <v>#N/A</v>
      </c>
      <c r="BI95" s="66" t="e">
        <f>VLOOKUP($A95,'S50'!$C:$BQ,30,0)</f>
        <v>#N/A</v>
      </c>
      <c r="BJ95" s="66" t="e">
        <f>VLOOKUP($A95,'S50'!$C:$BQ,52,0)</f>
        <v>#N/A</v>
      </c>
      <c r="BK95" s="66" t="e">
        <f>VLOOKUP($A95,'S50'!$C:$BQ,59,0)</f>
        <v>#N/A</v>
      </c>
      <c r="BL95" s="66" t="e">
        <f>VLOOKUP($A95,'S50'!$C:$BQ,60,0)</f>
        <v>#N/A</v>
      </c>
    </row>
    <row r="96" spans="1:64" x14ac:dyDescent="0.2">
      <c r="A96" s="57" t="s">
        <v>156</v>
      </c>
      <c r="B96" s="58">
        <f>VLOOKUP($A96,'S0 remplacer avec S44'!$C:$BQ,32,0)</f>
        <v>217.85</v>
      </c>
      <c r="C96" s="58">
        <f>VLOOKUP($A96,'S0 remplacer avec S44'!$C:$BQ,39,0)</f>
        <v>19</v>
      </c>
      <c r="D96" s="58">
        <f>VLOOKUP($A96,'S0 remplacer avec S44'!$C:$BQ,40,0)</f>
        <v>67</v>
      </c>
      <c r="E96" s="58">
        <f>VLOOKUP($A96,'S0 remplacer avec S44'!$C:$BQ,22,0)</f>
        <v>2194.4523450000002</v>
      </c>
      <c r="F96" s="66">
        <f>VLOOKUP($A96,'S0 remplacer avec S44'!$C:$BQ,29,0)</f>
        <v>0</v>
      </c>
      <c r="G96" s="66">
        <f>VLOOKUP($A96,'S0 remplacer avec S44'!$C:$BQ,30,0)</f>
        <v>389</v>
      </c>
      <c r="H96" s="66">
        <f>VLOOKUP($A96,'S0 remplacer avec S44'!$C:$BQ,52,0)</f>
        <v>154</v>
      </c>
      <c r="I96" s="66">
        <f>VLOOKUP($A96,'S0 remplacer avec S44'!$C:$BQ,59,0)</f>
        <v>0</v>
      </c>
      <c r="J96" s="66">
        <f>VLOOKUP($A96,'S0 remplacer avec S44'!$C:$BQ,60,0)</f>
        <v>0</v>
      </c>
      <c r="K96" s="58">
        <f>VLOOKUP($A96,'S45'!$C:$BQ,32,0)</f>
        <v>220.85</v>
      </c>
      <c r="L96" s="58">
        <f>VLOOKUP($A96,'S45'!$C:$BQ,39,0)</f>
        <v>16</v>
      </c>
      <c r="M96" s="58">
        <f>VLOOKUP($A96,'S45'!$C:$BQ,40,0)</f>
        <v>64</v>
      </c>
      <c r="N96" s="58">
        <f>VLOOKUP($A96,'S45'!$C:$BQ,22,0)</f>
        <v>2213.3880549999999</v>
      </c>
      <c r="O96" s="66">
        <f>VLOOKUP($A96,'S45'!$C:$BQ,29,0)</f>
        <v>0</v>
      </c>
      <c r="P96" s="66">
        <f>VLOOKUP($A96,'S45'!$C:$BQ,30,0)</f>
        <v>370</v>
      </c>
      <c r="Q96" s="66">
        <f>VLOOKUP($A96,'S45'!$C:$BQ,52,0)</f>
        <v>155</v>
      </c>
      <c r="R96" s="66">
        <f>VLOOKUP($A96,'S45'!$C:$BQ,59,0)</f>
        <v>0</v>
      </c>
      <c r="S96" s="66">
        <f>VLOOKUP($A96,'S45'!$C:$BQ,60,0)</f>
        <v>0</v>
      </c>
      <c r="T96" s="58">
        <f>VLOOKUP($A96,'S46'!$C:$BQ,32,0)</f>
        <v>223.85</v>
      </c>
      <c r="U96" s="58">
        <f>VLOOKUP($A96,'S46'!$C:$BQ,39,0)</f>
        <v>13</v>
      </c>
      <c r="V96" s="58">
        <f>VLOOKUP($A96,'S46'!$C:$BQ,40,0)</f>
        <v>61</v>
      </c>
      <c r="W96" s="58">
        <f>VLOOKUP($A96,'S46'!$C:$BQ,22,0)</f>
        <v>2223.6574049999999</v>
      </c>
      <c r="X96" s="66">
        <f>VLOOKUP($A96,'S46'!$C:$BQ,29,0)</f>
        <v>0</v>
      </c>
      <c r="Y96" s="66">
        <f>VLOOKUP($A96,'S46'!$C:$BQ,30,0)</f>
        <v>360</v>
      </c>
      <c r="Z96" s="66">
        <f>VLOOKUP($A96,'S46'!$C:$BQ,52,0)</f>
        <v>155</v>
      </c>
      <c r="AA96" s="66">
        <f>VLOOKUP($A96,'S46'!$C:$BQ,59,0)</f>
        <v>0</v>
      </c>
      <c r="AB96" s="66">
        <f>VLOOKUP($A96,'S46'!$C:$BQ,60,0)</f>
        <v>0</v>
      </c>
      <c r="AC96" s="58">
        <f>VLOOKUP($A96,'S47'!$C:$BQ,32,0)</f>
        <v>223.55</v>
      </c>
      <c r="AD96" s="58">
        <f>VLOOKUP($A96,'S47'!$C:$BQ,39,0)</f>
        <v>14</v>
      </c>
      <c r="AE96" s="58">
        <f>VLOOKUP($A96,'S47'!$C:$BQ,40,0)</f>
        <v>61</v>
      </c>
      <c r="AF96" s="58">
        <f>VLOOKUP($A96,'S47'!$C:$BQ,22,0)</f>
        <v>2300.223035</v>
      </c>
      <c r="AG96" s="66">
        <f>VLOOKUP($A96,'S47'!$C:$BQ,29,0)</f>
        <v>0</v>
      </c>
      <c r="AH96" s="66">
        <f>VLOOKUP($A96,'S47'!$C:$BQ,30,0)</f>
        <v>283</v>
      </c>
      <c r="AI96" s="66">
        <f>VLOOKUP($A96,'S47'!$C:$BQ,52,0)</f>
        <v>159</v>
      </c>
      <c r="AJ96" s="66">
        <f>VLOOKUP($A96,'S47'!$C:$BQ,59,0)</f>
        <v>0</v>
      </c>
      <c r="AK96" s="66">
        <f>VLOOKUP($A96,'S47'!$C:$BQ,60,0)</f>
        <v>0</v>
      </c>
      <c r="AL96" s="58" t="e">
        <f>VLOOKUP($A96,'S48'!$C:$BQ,32,0)</f>
        <v>#N/A</v>
      </c>
      <c r="AM96" s="58" t="e">
        <f>VLOOKUP($A96,'S48'!$C:$BQ,39,0)</f>
        <v>#N/A</v>
      </c>
      <c r="AN96" s="58" t="e">
        <f>VLOOKUP($A96,'S48'!$C:$BQ,40,0)</f>
        <v>#N/A</v>
      </c>
      <c r="AO96" s="58" t="e">
        <f>VLOOKUP($A96,'S48'!$C:$BQ,22,0)</f>
        <v>#N/A</v>
      </c>
      <c r="AP96" s="66" t="e">
        <f>VLOOKUP($A96,'S48'!$C:$BQ,29,0)</f>
        <v>#N/A</v>
      </c>
      <c r="AQ96" s="66" t="e">
        <f>VLOOKUP($A96,'S48'!$C:$BQ,30,0)</f>
        <v>#N/A</v>
      </c>
      <c r="AR96" s="66" t="e">
        <f>VLOOKUP($A96,'S48'!$C:$BQ,52,0)</f>
        <v>#N/A</v>
      </c>
      <c r="AS96" s="66" t="e">
        <f>VLOOKUP($A96,'S48'!$C:$BQ,59,0)</f>
        <v>#N/A</v>
      </c>
      <c r="AT96" s="66" t="e">
        <f>VLOOKUP($A96,'S48'!$C:$BQ,60,0)</f>
        <v>#N/A</v>
      </c>
      <c r="AU96" s="58" t="e">
        <f>VLOOKUP($A96,'S49'!$C:$BQ,32,0)</f>
        <v>#N/A</v>
      </c>
      <c r="AV96" s="58" t="e">
        <f>VLOOKUP($A96,'S49'!$C:$BQ,39,0)</f>
        <v>#N/A</v>
      </c>
      <c r="AW96" s="58" t="e">
        <f>VLOOKUP($A96,'S49'!$C:$BQ,40,0)</f>
        <v>#N/A</v>
      </c>
      <c r="AX96" s="58" t="e">
        <f>VLOOKUP($A96,'S49'!$C:$BQ,22,0)</f>
        <v>#N/A</v>
      </c>
      <c r="AY96" s="66" t="e">
        <f>VLOOKUP($A96,'S49'!$C:$BQ,29,0)</f>
        <v>#N/A</v>
      </c>
      <c r="AZ96" s="66" t="e">
        <f>VLOOKUP($A96,'S49'!$C:$BQ,30,0)</f>
        <v>#N/A</v>
      </c>
      <c r="BA96" s="66" t="e">
        <f>VLOOKUP($A96,'S49'!$C:$BQ,52,0)</f>
        <v>#N/A</v>
      </c>
      <c r="BB96" s="66" t="e">
        <f>VLOOKUP($A96,'S49'!$C:$BQ,59,0)</f>
        <v>#N/A</v>
      </c>
      <c r="BC96" s="66" t="e">
        <f>VLOOKUP($A96,'S49'!$C:$BQ,60,0)</f>
        <v>#N/A</v>
      </c>
      <c r="BD96" s="58" t="e">
        <f>VLOOKUP($A96,'S50'!$C:$BQ,32,0)</f>
        <v>#N/A</v>
      </c>
      <c r="BE96" s="58" t="e">
        <f>VLOOKUP($A96,'S50'!$C:$BQ,39,0)</f>
        <v>#N/A</v>
      </c>
      <c r="BF96" s="58" t="e">
        <f>VLOOKUP($A96,'S50'!$C:$BQ,40,0)</f>
        <v>#N/A</v>
      </c>
      <c r="BG96" s="58" t="e">
        <f>VLOOKUP($A96,'S50'!$C:$BQ,22,0)</f>
        <v>#N/A</v>
      </c>
      <c r="BH96" s="66" t="e">
        <f>VLOOKUP($A96,'S50'!$C:$BQ,29,0)</f>
        <v>#N/A</v>
      </c>
      <c r="BI96" s="66" t="e">
        <f>VLOOKUP($A96,'S50'!$C:$BQ,30,0)</f>
        <v>#N/A</v>
      </c>
      <c r="BJ96" s="66" t="e">
        <f>VLOOKUP($A96,'S50'!$C:$BQ,52,0)</f>
        <v>#N/A</v>
      </c>
      <c r="BK96" s="66" t="e">
        <f>VLOOKUP($A96,'S50'!$C:$BQ,59,0)</f>
        <v>#N/A</v>
      </c>
      <c r="BL96" s="66" t="e">
        <f>VLOOKUP($A96,'S50'!$C:$BQ,60,0)</f>
        <v>#N/A</v>
      </c>
    </row>
    <row r="97" spans="1:64" x14ac:dyDescent="0.2">
      <c r="A97" s="57" t="s">
        <v>157</v>
      </c>
      <c r="B97" s="58">
        <f>VLOOKUP($A97,'S0 remplacer avec S44'!$C:$BQ,32,0)</f>
        <v>106.3</v>
      </c>
      <c r="C97" s="58">
        <f>VLOOKUP($A97,'S0 remplacer avec S44'!$C:$BQ,39,0)</f>
        <v>73</v>
      </c>
      <c r="D97" s="58">
        <f>VLOOKUP($A97,'S0 remplacer avec S44'!$C:$BQ,40,0)</f>
        <v>109</v>
      </c>
      <c r="E97" s="58">
        <f>VLOOKUP($A97,'S0 remplacer avec S44'!$C:$BQ,22,0)</f>
        <v>952.90559499999995</v>
      </c>
      <c r="F97" s="66">
        <f>VLOOKUP($A97,'S0 remplacer avec S44'!$C:$BQ,29,0)</f>
        <v>678</v>
      </c>
      <c r="G97" s="66">
        <f>VLOOKUP($A97,'S0 remplacer avec S44'!$C:$BQ,30,0)</f>
        <v>1004</v>
      </c>
      <c r="H97" s="66">
        <f>VLOOKUP($A97,'S0 remplacer avec S44'!$C:$BQ,52,0)</f>
        <v>49.4</v>
      </c>
      <c r="I97" s="66">
        <f>VLOOKUP($A97,'S0 remplacer avec S44'!$C:$BQ,59,0)</f>
        <v>42</v>
      </c>
      <c r="J97" s="66">
        <f>VLOOKUP($A97,'S0 remplacer avec S44'!$C:$BQ,60,0)</f>
        <v>60</v>
      </c>
      <c r="K97" s="58">
        <f>VLOOKUP($A97,'S45'!$C:$BQ,32,0)</f>
        <v>105</v>
      </c>
      <c r="L97" s="58">
        <f>VLOOKUP($A97,'S45'!$C:$BQ,39,0)</f>
        <v>75</v>
      </c>
      <c r="M97" s="58">
        <f>VLOOKUP($A97,'S45'!$C:$BQ,40,0)</f>
        <v>111</v>
      </c>
      <c r="N97" s="58">
        <f>VLOOKUP($A97,'S45'!$C:$BQ,22,0)</f>
        <v>959.79402500000003</v>
      </c>
      <c r="O97" s="66">
        <f>VLOOKUP($A97,'S45'!$C:$BQ,29,0)</f>
        <v>671</v>
      </c>
      <c r="P97" s="66">
        <f>VLOOKUP($A97,'S45'!$C:$BQ,30,0)</f>
        <v>997</v>
      </c>
      <c r="Q97" s="66">
        <f>VLOOKUP($A97,'S45'!$C:$BQ,52,0)</f>
        <v>49.4</v>
      </c>
      <c r="R97" s="66">
        <f>VLOOKUP($A97,'S45'!$C:$BQ,59,0)</f>
        <v>42</v>
      </c>
      <c r="S97" s="66">
        <f>VLOOKUP($A97,'S45'!$C:$BQ,60,0)</f>
        <v>60</v>
      </c>
      <c r="T97" s="58">
        <f>VLOOKUP($A97,'S46'!$C:$BQ,32,0)</f>
        <v>106</v>
      </c>
      <c r="U97" s="58">
        <f>VLOOKUP($A97,'S46'!$C:$BQ,39,0)</f>
        <v>74</v>
      </c>
      <c r="V97" s="58">
        <f>VLOOKUP($A97,'S46'!$C:$BQ,40,0)</f>
        <v>110</v>
      </c>
      <c r="W97" s="58">
        <f>VLOOKUP($A97,'S46'!$C:$BQ,22,0)</f>
        <v>962.27698499999997</v>
      </c>
      <c r="X97" s="66">
        <f>VLOOKUP($A97,'S46'!$C:$BQ,29,0)</f>
        <v>668</v>
      </c>
      <c r="Y97" s="66">
        <f>VLOOKUP($A97,'S46'!$C:$BQ,30,0)</f>
        <v>994</v>
      </c>
      <c r="Z97" s="66">
        <f>VLOOKUP($A97,'S46'!$C:$BQ,52,0)</f>
        <v>49.4</v>
      </c>
      <c r="AA97" s="66">
        <f>VLOOKUP($A97,'S46'!$C:$BQ,59,0)</f>
        <v>42</v>
      </c>
      <c r="AB97" s="66">
        <f>VLOOKUP($A97,'S46'!$C:$BQ,60,0)</f>
        <v>60</v>
      </c>
      <c r="AC97" s="58">
        <f>VLOOKUP($A97,'S47'!$C:$BQ,32,0)</f>
        <v>105</v>
      </c>
      <c r="AD97" s="58">
        <f>VLOOKUP($A97,'S47'!$C:$BQ,39,0)</f>
        <v>75</v>
      </c>
      <c r="AE97" s="58">
        <f>VLOOKUP($A97,'S47'!$C:$BQ,40,0)</f>
        <v>111</v>
      </c>
      <c r="AF97" s="58">
        <f>VLOOKUP($A97,'S47'!$C:$BQ,22,0)</f>
        <v>991.26073499999995</v>
      </c>
      <c r="AG97" s="66">
        <f>VLOOKUP($A97,'S47'!$C:$BQ,29,0)</f>
        <v>639</v>
      </c>
      <c r="AH97" s="66">
        <f>VLOOKUP($A97,'S47'!$C:$BQ,30,0)</f>
        <v>965</v>
      </c>
      <c r="AI97" s="66">
        <f>VLOOKUP($A97,'S47'!$C:$BQ,52,0)</f>
        <v>50.4</v>
      </c>
      <c r="AJ97" s="66">
        <f>VLOOKUP($A97,'S47'!$C:$BQ,59,0)</f>
        <v>41</v>
      </c>
      <c r="AK97" s="66">
        <f>VLOOKUP($A97,'S47'!$C:$BQ,60,0)</f>
        <v>59</v>
      </c>
      <c r="AL97" s="58" t="e">
        <f>VLOOKUP($A97,'S48'!$C:$BQ,32,0)</f>
        <v>#N/A</v>
      </c>
      <c r="AM97" s="58" t="e">
        <f>VLOOKUP($A97,'S48'!$C:$BQ,39,0)</f>
        <v>#N/A</v>
      </c>
      <c r="AN97" s="58" t="e">
        <f>VLOOKUP($A97,'S48'!$C:$BQ,40,0)</f>
        <v>#N/A</v>
      </c>
      <c r="AO97" s="58" t="e">
        <f>VLOOKUP($A97,'S48'!$C:$BQ,22,0)</f>
        <v>#N/A</v>
      </c>
      <c r="AP97" s="66" t="e">
        <f>VLOOKUP($A97,'S48'!$C:$BQ,29,0)</f>
        <v>#N/A</v>
      </c>
      <c r="AQ97" s="66" t="e">
        <f>VLOOKUP($A97,'S48'!$C:$BQ,30,0)</f>
        <v>#N/A</v>
      </c>
      <c r="AR97" s="66" t="e">
        <f>VLOOKUP($A97,'S48'!$C:$BQ,52,0)</f>
        <v>#N/A</v>
      </c>
      <c r="AS97" s="66" t="e">
        <f>VLOOKUP($A97,'S48'!$C:$BQ,59,0)</f>
        <v>#N/A</v>
      </c>
      <c r="AT97" s="66" t="e">
        <f>VLOOKUP($A97,'S48'!$C:$BQ,60,0)</f>
        <v>#N/A</v>
      </c>
      <c r="AU97" s="58" t="e">
        <f>VLOOKUP($A97,'S49'!$C:$BQ,32,0)</f>
        <v>#N/A</v>
      </c>
      <c r="AV97" s="58" t="e">
        <f>VLOOKUP($A97,'S49'!$C:$BQ,39,0)</f>
        <v>#N/A</v>
      </c>
      <c r="AW97" s="58" t="e">
        <f>VLOOKUP($A97,'S49'!$C:$BQ,40,0)</f>
        <v>#N/A</v>
      </c>
      <c r="AX97" s="58" t="e">
        <f>VLOOKUP($A97,'S49'!$C:$BQ,22,0)</f>
        <v>#N/A</v>
      </c>
      <c r="AY97" s="66" t="e">
        <f>VLOOKUP($A97,'S49'!$C:$BQ,29,0)</f>
        <v>#N/A</v>
      </c>
      <c r="AZ97" s="66" t="e">
        <f>VLOOKUP($A97,'S49'!$C:$BQ,30,0)</f>
        <v>#N/A</v>
      </c>
      <c r="BA97" s="66" t="e">
        <f>VLOOKUP($A97,'S49'!$C:$BQ,52,0)</f>
        <v>#N/A</v>
      </c>
      <c r="BB97" s="66" t="e">
        <f>VLOOKUP($A97,'S49'!$C:$BQ,59,0)</f>
        <v>#N/A</v>
      </c>
      <c r="BC97" s="66" t="e">
        <f>VLOOKUP($A97,'S49'!$C:$BQ,60,0)</f>
        <v>#N/A</v>
      </c>
      <c r="BD97" s="58" t="e">
        <f>VLOOKUP($A97,'S50'!$C:$BQ,32,0)</f>
        <v>#N/A</v>
      </c>
      <c r="BE97" s="58" t="e">
        <f>VLOOKUP($A97,'S50'!$C:$BQ,39,0)</f>
        <v>#N/A</v>
      </c>
      <c r="BF97" s="58" t="e">
        <f>VLOOKUP($A97,'S50'!$C:$BQ,40,0)</f>
        <v>#N/A</v>
      </c>
      <c r="BG97" s="58" t="e">
        <f>VLOOKUP($A97,'S50'!$C:$BQ,22,0)</f>
        <v>#N/A</v>
      </c>
      <c r="BH97" s="66" t="e">
        <f>VLOOKUP($A97,'S50'!$C:$BQ,29,0)</f>
        <v>#N/A</v>
      </c>
      <c r="BI97" s="66" t="e">
        <f>VLOOKUP($A97,'S50'!$C:$BQ,30,0)</f>
        <v>#N/A</v>
      </c>
      <c r="BJ97" s="66" t="e">
        <f>VLOOKUP($A97,'S50'!$C:$BQ,52,0)</f>
        <v>#N/A</v>
      </c>
      <c r="BK97" s="66" t="e">
        <f>VLOOKUP($A97,'S50'!$C:$BQ,59,0)</f>
        <v>#N/A</v>
      </c>
      <c r="BL97" s="66" t="e">
        <f>VLOOKUP($A97,'S50'!$C:$BQ,60,0)</f>
        <v>#N/A</v>
      </c>
    </row>
    <row r="98" spans="1:64" x14ac:dyDescent="0.2">
      <c r="A98" s="57" t="s">
        <v>158</v>
      </c>
      <c r="B98" s="58">
        <f>VLOOKUP($A98,'S0 remplacer avec S44'!$C:$BQ,32,0)</f>
        <v>87.3</v>
      </c>
      <c r="C98" s="58">
        <f>VLOOKUP($A98,'S0 remplacer avec S44'!$C:$BQ,39,0)</f>
        <v>68</v>
      </c>
      <c r="D98" s="58">
        <f>VLOOKUP($A98,'S0 remplacer avec S44'!$C:$BQ,40,0)</f>
        <v>99</v>
      </c>
      <c r="E98" s="58">
        <f>VLOOKUP($A98,'S0 remplacer avec S44'!$C:$BQ,22,0)</f>
        <v>740.01513499999999</v>
      </c>
      <c r="F98" s="66">
        <f>VLOOKUP($A98,'S0 remplacer avec S44'!$C:$BQ,29,0)</f>
        <v>668</v>
      </c>
      <c r="G98" s="66">
        <f>VLOOKUP($A98,'S0 remplacer avec S44'!$C:$BQ,30,0)</f>
        <v>950</v>
      </c>
      <c r="H98" s="66">
        <f>VLOOKUP($A98,'S0 remplacer avec S44'!$C:$BQ,52,0)</f>
        <v>68.400000000000006</v>
      </c>
      <c r="I98" s="66">
        <f>VLOOKUP($A98,'S0 remplacer avec S44'!$C:$BQ,59,0)</f>
        <v>11</v>
      </c>
      <c r="J98" s="66">
        <f>VLOOKUP($A98,'S0 remplacer avec S44'!$C:$BQ,60,0)</f>
        <v>26</v>
      </c>
      <c r="K98" s="58">
        <f>VLOOKUP($A98,'S45'!$C:$BQ,32,0)</f>
        <v>89.8</v>
      </c>
      <c r="L98" s="58">
        <f>VLOOKUP($A98,'S45'!$C:$BQ,39,0)</f>
        <v>65</v>
      </c>
      <c r="M98" s="58">
        <f>VLOOKUP($A98,'S45'!$C:$BQ,40,0)</f>
        <v>96</v>
      </c>
      <c r="N98" s="58">
        <f>VLOOKUP($A98,'S45'!$C:$BQ,22,0)</f>
        <v>741.32358499999998</v>
      </c>
      <c r="O98" s="66">
        <f>VLOOKUP($A98,'S45'!$C:$BQ,29,0)</f>
        <v>667</v>
      </c>
      <c r="P98" s="66">
        <f>VLOOKUP($A98,'S45'!$C:$BQ,30,0)</f>
        <v>948</v>
      </c>
      <c r="Q98" s="66">
        <f>VLOOKUP($A98,'S45'!$C:$BQ,52,0)</f>
        <v>72.400000000000006</v>
      </c>
      <c r="R98" s="66">
        <f>VLOOKUP($A98,'S45'!$C:$BQ,59,0)</f>
        <v>7</v>
      </c>
      <c r="S98" s="66">
        <f>VLOOKUP($A98,'S45'!$C:$BQ,60,0)</f>
        <v>22</v>
      </c>
      <c r="T98" s="58">
        <f>VLOOKUP($A98,'S46'!$C:$BQ,32,0)</f>
        <v>88.3</v>
      </c>
      <c r="U98" s="58">
        <f>VLOOKUP($A98,'S46'!$C:$BQ,39,0)</f>
        <v>67</v>
      </c>
      <c r="V98" s="58">
        <f>VLOOKUP($A98,'S46'!$C:$BQ,40,0)</f>
        <v>98</v>
      </c>
      <c r="W98" s="58">
        <f>VLOOKUP($A98,'S46'!$C:$BQ,22,0)</f>
        <v>741.78253500000005</v>
      </c>
      <c r="X98" s="66">
        <f>VLOOKUP($A98,'S46'!$C:$BQ,29,0)</f>
        <v>666</v>
      </c>
      <c r="Y98" s="66">
        <f>VLOOKUP($A98,'S46'!$C:$BQ,30,0)</f>
        <v>948</v>
      </c>
      <c r="Z98" s="66">
        <f>VLOOKUP($A98,'S46'!$C:$BQ,52,0)</f>
        <v>72.400000000000006</v>
      </c>
      <c r="AA98" s="66">
        <f>VLOOKUP($A98,'S46'!$C:$BQ,59,0)</f>
        <v>7</v>
      </c>
      <c r="AB98" s="66">
        <f>VLOOKUP($A98,'S46'!$C:$BQ,60,0)</f>
        <v>22</v>
      </c>
      <c r="AC98" s="58">
        <f>VLOOKUP($A98,'S47'!$C:$BQ,32,0)</f>
        <v>88.8</v>
      </c>
      <c r="AD98" s="58">
        <f>VLOOKUP($A98,'S47'!$C:$BQ,39,0)</f>
        <v>66</v>
      </c>
      <c r="AE98" s="58">
        <f>VLOOKUP($A98,'S47'!$C:$BQ,40,0)</f>
        <v>97</v>
      </c>
      <c r="AF98" s="58">
        <f>VLOOKUP($A98,'S47'!$C:$BQ,22,0)</f>
        <v>743.36573499999997</v>
      </c>
      <c r="AG98" s="66">
        <f>VLOOKUP($A98,'S47'!$C:$BQ,29,0)</f>
        <v>665</v>
      </c>
      <c r="AH98" s="66">
        <f>VLOOKUP($A98,'S47'!$C:$BQ,30,0)</f>
        <v>946</v>
      </c>
      <c r="AI98" s="66">
        <f>VLOOKUP($A98,'S47'!$C:$BQ,52,0)</f>
        <v>72.400000000000006</v>
      </c>
      <c r="AJ98" s="66">
        <f>VLOOKUP($A98,'S47'!$C:$BQ,59,0)</f>
        <v>7</v>
      </c>
      <c r="AK98" s="66">
        <f>VLOOKUP($A98,'S47'!$C:$BQ,60,0)</f>
        <v>22</v>
      </c>
      <c r="AL98" s="58" t="e">
        <f>VLOOKUP($A98,'S48'!$C:$BQ,32,0)</f>
        <v>#N/A</v>
      </c>
      <c r="AM98" s="58" t="e">
        <f>VLOOKUP($A98,'S48'!$C:$BQ,39,0)</f>
        <v>#N/A</v>
      </c>
      <c r="AN98" s="58" t="e">
        <f>VLOOKUP($A98,'S48'!$C:$BQ,40,0)</f>
        <v>#N/A</v>
      </c>
      <c r="AO98" s="58" t="e">
        <f>VLOOKUP($A98,'S48'!$C:$BQ,22,0)</f>
        <v>#N/A</v>
      </c>
      <c r="AP98" s="66" t="e">
        <f>VLOOKUP($A98,'S48'!$C:$BQ,29,0)</f>
        <v>#N/A</v>
      </c>
      <c r="AQ98" s="66" t="e">
        <f>VLOOKUP($A98,'S48'!$C:$BQ,30,0)</f>
        <v>#N/A</v>
      </c>
      <c r="AR98" s="66" t="e">
        <f>VLOOKUP($A98,'S48'!$C:$BQ,52,0)</f>
        <v>#N/A</v>
      </c>
      <c r="AS98" s="66" t="e">
        <f>VLOOKUP($A98,'S48'!$C:$BQ,59,0)</f>
        <v>#N/A</v>
      </c>
      <c r="AT98" s="66" t="e">
        <f>VLOOKUP($A98,'S48'!$C:$BQ,60,0)</f>
        <v>#N/A</v>
      </c>
      <c r="AU98" s="58" t="e">
        <f>VLOOKUP($A98,'S49'!$C:$BQ,32,0)</f>
        <v>#N/A</v>
      </c>
      <c r="AV98" s="58" t="e">
        <f>VLOOKUP($A98,'S49'!$C:$BQ,39,0)</f>
        <v>#N/A</v>
      </c>
      <c r="AW98" s="58" t="e">
        <f>VLOOKUP($A98,'S49'!$C:$BQ,40,0)</f>
        <v>#N/A</v>
      </c>
      <c r="AX98" s="58" t="e">
        <f>VLOOKUP($A98,'S49'!$C:$BQ,22,0)</f>
        <v>#N/A</v>
      </c>
      <c r="AY98" s="66" t="e">
        <f>VLOOKUP($A98,'S49'!$C:$BQ,29,0)</f>
        <v>#N/A</v>
      </c>
      <c r="AZ98" s="66" t="e">
        <f>VLOOKUP($A98,'S49'!$C:$BQ,30,0)</f>
        <v>#N/A</v>
      </c>
      <c r="BA98" s="66" t="e">
        <f>VLOOKUP($A98,'S49'!$C:$BQ,52,0)</f>
        <v>#N/A</v>
      </c>
      <c r="BB98" s="66" t="e">
        <f>VLOOKUP($A98,'S49'!$C:$BQ,59,0)</f>
        <v>#N/A</v>
      </c>
      <c r="BC98" s="66" t="e">
        <f>VLOOKUP($A98,'S49'!$C:$BQ,60,0)</f>
        <v>#N/A</v>
      </c>
      <c r="BD98" s="58" t="e">
        <f>VLOOKUP($A98,'S50'!$C:$BQ,32,0)</f>
        <v>#N/A</v>
      </c>
      <c r="BE98" s="58" t="e">
        <f>VLOOKUP($A98,'S50'!$C:$BQ,39,0)</f>
        <v>#N/A</v>
      </c>
      <c r="BF98" s="58" t="e">
        <f>VLOOKUP($A98,'S50'!$C:$BQ,40,0)</f>
        <v>#N/A</v>
      </c>
      <c r="BG98" s="58" t="e">
        <f>VLOOKUP($A98,'S50'!$C:$BQ,22,0)</f>
        <v>#N/A</v>
      </c>
      <c r="BH98" s="66" t="e">
        <f>VLOOKUP($A98,'S50'!$C:$BQ,29,0)</f>
        <v>#N/A</v>
      </c>
      <c r="BI98" s="66" t="e">
        <f>VLOOKUP($A98,'S50'!$C:$BQ,30,0)</f>
        <v>#N/A</v>
      </c>
      <c r="BJ98" s="66" t="e">
        <f>VLOOKUP($A98,'S50'!$C:$BQ,52,0)</f>
        <v>#N/A</v>
      </c>
      <c r="BK98" s="66" t="e">
        <f>VLOOKUP($A98,'S50'!$C:$BQ,59,0)</f>
        <v>#N/A</v>
      </c>
      <c r="BL98" s="66" t="e">
        <f>VLOOKUP($A98,'S50'!$C:$BQ,60,0)</f>
        <v>#N/A</v>
      </c>
    </row>
    <row r="99" spans="1:64" x14ac:dyDescent="0.2">
      <c r="A99" s="57" t="s">
        <v>160</v>
      </c>
      <c r="B99" s="58">
        <f>VLOOKUP($A99,'S0 remplacer avec S44'!$C:$BQ,32,0)</f>
        <v>128.30000000000001</v>
      </c>
      <c r="C99" s="58">
        <f>VLOOKUP($A99,'S0 remplacer avec S44'!$C:$BQ,39,0)</f>
        <v>124</v>
      </c>
      <c r="D99" s="58">
        <f>VLOOKUP($A99,'S0 remplacer avec S44'!$C:$BQ,40,0)</f>
        <v>174</v>
      </c>
      <c r="E99" s="58">
        <f>VLOOKUP($A99,'S0 remplacer avec S44'!$C:$BQ,22,0)</f>
        <v>1696.637375</v>
      </c>
      <c r="F99" s="66">
        <f>VLOOKUP($A99,'S0 remplacer avec S44'!$C:$BQ,29,0)</f>
        <v>594</v>
      </c>
      <c r="G99" s="66">
        <f>VLOOKUP($A99,'S0 remplacer avec S44'!$C:$BQ,30,0)</f>
        <v>1052</v>
      </c>
      <c r="H99" s="66">
        <f>VLOOKUP($A99,'S0 remplacer avec S44'!$C:$BQ,52,0)</f>
        <v>97.2</v>
      </c>
      <c r="I99" s="66">
        <f>VLOOKUP($A99,'S0 remplacer avec S44'!$C:$BQ,59,0)</f>
        <v>31</v>
      </c>
      <c r="J99" s="66">
        <f>VLOOKUP($A99,'S0 remplacer avec S44'!$C:$BQ,60,0)</f>
        <v>57</v>
      </c>
      <c r="K99" s="58">
        <f>VLOOKUP($A99,'S45'!$C:$BQ,32,0)</f>
        <v>129.5</v>
      </c>
      <c r="L99" s="58">
        <f>VLOOKUP($A99,'S45'!$C:$BQ,39,0)</f>
        <v>123</v>
      </c>
      <c r="M99" s="58">
        <f>VLOOKUP($A99,'S45'!$C:$BQ,40,0)</f>
        <v>173</v>
      </c>
      <c r="N99" s="58">
        <f>VLOOKUP($A99,'S45'!$C:$BQ,22,0)</f>
        <v>1701.3504350000001</v>
      </c>
      <c r="O99" s="66">
        <f>VLOOKUP($A99,'S45'!$C:$BQ,29,0)</f>
        <v>589</v>
      </c>
      <c r="P99" s="66">
        <f>VLOOKUP($A99,'S45'!$C:$BQ,30,0)</f>
        <v>1047</v>
      </c>
      <c r="Q99" s="66">
        <f>VLOOKUP($A99,'S45'!$C:$BQ,52,0)</f>
        <v>97.2</v>
      </c>
      <c r="R99" s="66">
        <f>VLOOKUP($A99,'S45'!$C:$BQ,59,0)</f>
        <v>31</v>
      </c>
      <c r="S99" s="66">
        <f>VLOOKUP($A99,'S45'!$C:$BQ,60,0)</f>
        <v>57</v>
      </c>
      <c r="T99" s="58">
        <f>VLOOKUP($A99,'S46'!$C:$BQ,32,0)</f>
        <v>129.5</v>
      </c>
      <c r="U99" s="58">
        <f>VLOOKUP($A99,'S46'!$C:$BQ,39,0)</f>
        <v>123</v>
      </c>
      <c r="V99" s="58">
        <f>VLOOKUP($A99,'S46'!$C:$BQ,40,0)</f>
        <v>173</v>
      </c>
      <c r="W99" s="58">
        <f>VLOOKUP($A99,'S46'!$C:$BQ,22,0)</f>
        <v>1702.159975</v>
      </c>
      <c r="X99" s="66">
        <f>VLOOKUP($A99,'S46'!$C:$BQ,29,0)</f>
        <v>589</v>
      </c>
      <c r="Y99" s="66">
        <f>VLOOKUP($A99,'S46'!$C:$BQ,30,0)</f>
        <v>1047</v>
      </c>
      <c r="Z99" s="66">
        <f>VLOOKUP($A99,'S46'!$C:$BQ,52,0)</f>
        <v>98.2</v>
      </c>
      <c r="AA99" s="66">
        <f>VLOOKUP($A99,'S46'!$C:$BQ,59,0)</f>
        <v>30</v>
      </c>
      <c r="AB99" s="66">
        <f>VLOOKUP($A99,'S46'!$C:$BQ,60,0)</f>
        <v>56</v>
      </c>
      <c r="AC99" s="58">
        <f>VLOOKUP($A99,'S47'!$C:$BQ,32,0)</f>
        <v>132</v>
      </c>
      <c r="AD99" s="58">
        <f>VLOOKUP($A99,'S47'!$C:$BQ,39,0)</f>
        <v>120</v>
      </c>
      <c r="AE99" s="58">
        <f>VLOOKUP($A99,'S47'!$C:$BQ,40,0)</f>
        <v>171</v>
      </c>
      <c r="AF99" s="58">
        <f>VLOOKUP($A99,'S47'!$C:$BQ,22,0)</f>
        <v>1712.2072450000001</v>
      </c>
      <c r="AG99" s="66">
        <f>VLOOKUP($A99,'S47'!$C:$BQ,29,0)</f>
        <v>579</v>
      </c>
      <c r="AH99" s="66">
        <f>VLOOKUP($A99,'S47'!$C:$BQ,30,0)</f>
        <v>1037</v>
      </c>
      <c r="AI99" s="66">
        <f>VLOOKUP($A99,'S47'!$C:$BQ,52,0)</f>
        <v>101.2</v>
      </c>
      <c r="AJ99" s="66">
        <f>VLOOKUP($A99,'S47'!$C:$BQ,59,0)</f>
        <v>27</v>
      </c>
      <c r="AK99" s="66">
        <f>VLOOKUP($A99,'S47'!$C:$BQ,60,0)</f>
        <v>53</v>
      </c>
      <c r="AL99" s="58" t="e">
        <f>VLOOKUP($A99,'S48'!$C:$BQ,32,0)</f>
        <v>#N/A</v>
      </c>
      <c r="AM99" s="58" t="e">
        <f>VLOOKUP($A99,'S48'!$C:$BQ,39,0)</f>
        <v>#N/A</v>
      </c>
      <c r="AN99" s="58" t="e">
        <f>VLOOKUP($A99,'S48'!$C:$BQ,40,0)</f>
        <v>#N/A</v>
      </c>
      <c r="AO99" s="58" t="e">
        <f>VLOOKUP($A99,'S48'!$C:$BQ,22,0)</f>
        <v>#N/A</v>
      </c>
      <c r="AP99" s="66" t="e">
        <f>VLOOKUP($A99,'S48'!$C:$BQ,29,0)</f>
        <v>#N/A</v>
      </c>
      <c r="AQ99" s="66" t="e">
        <f>VLOOKUP($A99,'S48'!$C:$BQ,30,0)</f>
        <v>#N/A</v>
      </c>
      <c r="AR99" s="66" t="e">
        <f>VLOOKUP($A99,'S48'!$C:$BQ,52,0)</f>
        <v>#N/A</v>
      </c>
      <c r="AS99" s="66" t="e">
        <f>VLOOKUP($A99,'S48'!$C:$BQ,59,0)</f>
        <v>#N/A</v>
      </c>
      <c r="AT99" s="66" t="e">
        <f>VLOOKUP($A99,'S48'!$C:$BQ,60,0)</f>
        <v>#N/A</v>
      </c>
      <c r="AU99" s="58" t="e">
        <f>VLOOKUP($A99,'S49'!$C:$BQ,32,0)</f>
        <v>#N/A</v>
      </c>
      <c r="AV99" s="58" t="e">
        <f>VLOOKUP($A99,'S49'!$C:$BQ,39,0)</f>
        <v>#N/A</v>
      </c>
      <c r="AW99" s="58" t="e">
        <f>VLOOKUP($A99,'S49'!$C:$BQ,40,0)</f>
        <v>#N/A</v>
      </c>
      <c r="AX99" s="58" t="e">
        <f>VLOOKUP($A99,'S49'!$C:$BQ,22,0)</f>
        <v>#N/A</v>
      </c>
      <c r="AY99" s="66" t="e">
        <f>VLOOKUP($A99,'S49'!$C:$BQ,29,0)</f>
        <v>#N/A</v>
      </c>
      <c r="AZ99" s="66" t="e">
        <f>VLOOKUP($A99,'S49'!$C:$BQ,30,0)</f>
        <v>#N/A</v>
      </c>
      <c r="BA99" s="66" t="e">
        <f>VLOOKUP($A99,'S49'!$C:$BQ,52,0)</f>
        <v>#N/A</v>
      </c>
      <c r="BB99" s="66" t="e">
        <f>VLOOKUP($A99,'S49'!$C:$BQ,59,0)</f>
        <v>#N/A</v>
      </c>
      <c r="BC99" s="66" t="e">
        <f>VLOOKUP($A99,'S49'!$C:$BQ,60,0)</f>
        <v>#N/A</v>
      </c>
      <c r="BD99" s="58" t="e">
        <f>VLOOKUP($A99,'S50'!$C:$BQ,32,0)</f>
        <v>#N/A</v>
      </c>
      <c r="BE99" s="58" t="e">
        <f>VLOOKUP($A99,'S50'!$C:$BQ,39,0)</f>
        <v>#N/A</v>
      </c>
      <c r="BF99" s="58" t="e">
        <f>VLOOKUP($A99,'S50'!$C:$BQ,40,0)</f>
        <v>#N/A</v>
      </c>
      <c r="BG99" s="58" t="e">
        <f>VLOOKUP($A99,'S50'!$C:$BQ,22,0)</f>
        <v>#N/A</v>
      </c>
      <c r="BH99" s="66" t="e">
        <f>VLOOKUP($A99,'S50'!$C:$BQ,29,0)</f>
        <v>#N/A</v>
      </c>
      <c r="BI99" s="66" t="e">
        <f>VLOOKUP($A99,'S50'!$C:$BQ,30,0)</f>
        <v>#N/A</v>
      </c>
      <c r="BJ99" s="66" t="e">
        <f>VLOOKUP($A99,'S50'!$C:$BQ,52,0)</f>
        <v>#N/A</v>
      </c>
      <c r="BK99" s="66" t="e">
        <f>VLOOKUP($A99,'S50'!$C:$BQ,59,0)</f>
        <v>#N/A</v>
      </c>
      <c r="BL99" s="66" t="e">
        <f>VLOOKUP($A99,'S50'!$C:$BQ,60,0)</f>
        <v>#N/A</v>
      </c>
    </row>
    <row r="100" spans="1:64" x14ac:dyDescent="0.2">
      <c r="A100" s="57" t="s">
        <v>161</v>
      </c>
      <c r="B100" s="58">
        <f>VLOOKUP($A100,'S0 remplacer avec S44'!$C:$BQ,32,0)</f>
        <v>99.8</v>
      </c>
      <c r="C100" s="58">
        <f>VLOOKUP($A100,'S0 remplacer avec S44'!$C:$BQ,39,0)</f>
        <v>97</v>
      </c>
      <c r="D100" s="58">
        <f>VLOOKUP($A100,'S0 remplacer avec S44'!$C:$BQ,40,0)</f>
        <v>136</v>
      </c>
      <c r="E100" s="58">
        <f>VLOOKUP($A100,'S0 remplacer avec S44'!$C:$BQ,22,0)</f>
        <v>1388.4493050000001</v>
      </c>
      <c r="F100" s="66">
        <f>VLOOKUP($A100,'S0 remplacer avec S44'!$C:$BQ,29,0)</f>
        <v>398</v>
      </c>
      <c r="G100" s="66">
        <f>VLOOKUP($A100,'S0 remplacer avec S44'!$C:$BQ,30,0)</f>
        <v>755</v>
      </c>
      <c r="H100" s="66">
        <f>VLOOKUP($A100,'S0 remplacer avec S44'!$C:$BQ,52,0)</f>
        <v>100.8</v>
      </c>
      <c r="I100" s="66">
        <f>VLOOKUP($A100,'S0 remplacer avec S44'!$C:$BQ,59,0)</f>
        <v>0</v>
      </c>
      <c r="J100" s="66">
        <f>VLOOKUP($A100,'S0 remplacer avec S44'!$C:$BQ,60,0)</f>
        <v>19</v>
      </c>
      <c r="K100" s="58">
        <f>VLOOKUP($A100,'S45'!$C:$BQ,32,0)</f>
        <v>100.8</v>
      </c>
      <c r="L100" s="58">
        <f>VLOOKUP($A100,'S45'!$C:$BQ,39,0)</f>
        <v>96</v>
      </c>
      <c r="M100" s="58">
        <f>VLOOKUP($A100,'S45'!$C:$BQ,40,0)</f>
        <v>135</v>
      </c>
      <c r="N100" s="58">
        <f>VLOOKUP($A100,'S45'!$C:$BQ,22,0)</f>
        <v>1398.2472150000001</v>
      </c>
      <c r="O100" s="66">
        <f>VLOOKUP($A100,'S45'!$C:$BQ,29,0)</f>
        <v>388</v>
      </c>
      <c r="P100" s="66">
        <f>VLOOKUP($A100,'S45'!$C:$BQ,30,0)</f>
        <v>746</v>
      </c>
      <c r="Q100" s="66">
        <f>VLOOKUP($A100,'S45'!$C:$BQ,52,0)</f>
        <v>103.8</v>
      </c>
      <c r="R100" s="66">
        <f>VLOOKUP($A100,'S45'!$C:$BQ,59,0)</f>
        <v>0</v>
      </c>
      <c r="S100" s="66">
        <f>VLOOKUP($A100,'S45'!$C:$BQ,60,0)</f>
        <v>16</v>
      </c>
      <c r="T100" s="58">
        <f>VLOOKUP($A100,'S46'!$C:$BQ,32,0)</f>
        <v>100.3</v>
      </c>
      <c r="U100" s="58">
        <f>VLOOKUP($A100,'S46'!$C:$BQ,39,0)</f>
        <v>97</v>
      </c>
      <c r="V100" s="58">
        <f>VLOOKUP($A100,'S46'!$C:$BQ,40,0)</f>
        <v>136</v>
      </c>
      <c r="W100" s="58">
        <f>VLOOKUP($A100,'S46'!$C:$BQ,22,0)</f>
        <v>1399.0134350000001</v>
      </c>
      <c r="X100" s="66">
        <f>VLOOKUP($A100,'S46'!$C:$BQ,29,0)</f>
        <v>388</v>
      </c>
      <c r="Y100" s="66">
        <f>VLOOKUP($A100,'S46'!$C:$BQ,30,0)</f>
        <v>745</v>
      </c>
      <c r="Z100" s="66">
        <f>VLOOKUP($A100,'S46'!$C:$BQ,52,0)</f>
        <v>103.8</v>
      </c>
      <c r="AA100" s="66">
        <f>VLOOKUP($A100,'S46'!$C:$BQ,59,0)</f>
        <v>0</v>
      </c>
      <c r="AB100" s="66">
        <f>VLOOKUP($A100,'S46'!$C:$BQ,60,0)</f>
        <v>16</v>
      </c>
      <c r="AC100" s="58">
        <f>VLOOKUP($A100,'S47'!$C:$BQ,32,0)</f>
        <v>99.3</v>
      </c>
      <c r="AD100" s="58">
        <f>VLOOKUP($A100,'S47'!$C:$BQ,39,0)</f>
        <v>98</v>
      </c>
      <c r="AE100" s="58">
        <f>VLOOKUP($A100,'S47'!$C:$BQ,40,0)</f>
        <v>137</v>
      </c>
      <c r="AF100" s="58">
        <f>VLOOKUP($A100,'S47'!$C:$BQ,22,0)</f>
        <v>1452.343975</v>
      </c>
      <c r="AG100" s="66">
        <f>VLOOKUP($A100,'S47'!$C:$BQ,29,0)</f>
        <v>334</v>
      </c>
      <c r="AH100" s="66">
        <f>VLOOKUP($A100,'S47'!$C:$BQ,30,0)</f>
        <v>691</v>
      </c>
      <c r="AI100" s="66">
        <f>VLOOKUP($A100,'S47'!$C:$BQ,52,0)</f>
        <v>107.8</v>
      </c>
      <c r="AJ100" s="66">
        <f>VLOOKUP($A100,'S47'!$C:$BQ,59,0)</f>
        <v>0</v>
      </c>
      <c r="AK100" s="66">
        <f>VLOOKUP($A100,'S47'!$C:$BQ,60,0)</f>
        <v>12</v>
      </c>
      <c r="AL100" s="58" t="e">
        <f>VLOOKUP($A100,'S48'!$C:$BQ,32,0)</f>
        <v>#N/A</v>
      </c>
      <c r="AM100" s="58" t="e">
        <f>VLOOKUP($A100,'S48'!$C:$BQ,39,0)</f>
        <v>#N/A</v>
      </c>
      <c r="AN100" s="58" t="e">
        <f>VLOOKUP($A100,'S48'!$C:$BQ,40,0)</f>
        <v>#N/A</v>
      </c>
      <c r="AO100" s="58" t="e">
        <f>VLOOKUP($A100,'S48'!$C:$BQ,22,0)</f>
        <v>#N/A</v>
      </c>
      <c r="AP100" s="66" t="e">
        <f>VLOOKUP($A100,'S48'!$C:$BQ,29,0)</f>
        <v>#N/A</v>
      </c>
      <c r="AQ100" s="66" t="e">
        <f>VLOOKUP($A100,'S48'!$C:$BQ,30,0)</f>
        <v>#N/A</v>
      </c>
      <c r="AR100" s="66" t="e">
        <f>VLOOKUP($A100,'S48'!$C:$BQ,52,0)</f>
        <v>#N/A</v>
      </c>
      <c r="AS100" s="66" t="e">
        <f>VLOOKUP($A100,'S48'!$C:$BQ,59,0)</f>
        <v>#N/A</v>
      </c>
      <c r="AT100" s="66" t="e">
        <f>VLOOKUP($A100,'S48'!$C:$BQ,60,0)</f>
        <v>#N/A</v>
      </c>
      <c r="AU100" s="58" t="e">
        <f>VLOOKUP($A100,'S49'!$C:$BQ,32,0)</f>
        <v>#N/A</v>
      </c>
      <c r="AV100" s="58" t="e">
        <f>VLOOKUP($A100,'S49'!$C:$BQ,39,0)</f>
        <v>#N/A</v>
      </c>
      <c r="AW100" s="58" t="e">
        <f>VLOOKUP($A100,'S49'!$C:$BQ,40,0)</f>
        <v>#N/A</v>
      </c>
      <c r="AX100" s="58" t="e">
        <f>VLOOKUP($A100,'S49'!$C:$BQ,22,0)</f>
        <v>#N/A</v>
      </c>
      <c r="AY100" s="66" t="e">
        <f>VLOOKUP($A100,'S49'!$C:$BQ,29,0)</f>
        <v>#N/A</v>
      </c>
      <c r="AZ100" s="66" t="e">
        <f>VLOOKUP($A100,'S49'!$C:$BQ,30,0)</f>
        <v>#N/A</v>
      </c>
      <c r="BA100" s="66" t="e">
        <f>VLOOKUP($A100,'S49'!$C:$BQ,52,0)</f>
        <v>#N/A</v>
      </c>
      <c r="BB100" s="66" t="e">
        <f>VLOOKUP($A100,'S49'!$C:$BQ,59,0)</f>
        <v>#N/A</v>
      </c>
      <c r="BC100" s="66" t="e">
        <f>VLOOKUP($A100,'S49'!$C:$BQ,60,0)</f>
        <v>#N/A</v>
      </c>
      <c r="BD100" s="58" t="e">
        <f>VLOOKUP($A100,'S50'!$C:$BQ,32,0)</f>
        <v>#N/A</v>
      </c>
      <c r="BE100" s="58" t="e">
        <f>VLOOKUP($A100,'S50'!$C:$BQ,39,0)</f>
        <v>#N/A</v>
      </c>
      <c r="BF100" s="58" t="e">
        <f>VLOOKUP($A100,'S50'!$C:$BQ,40,0)</f>
        <v>#N/A</v>
      </c>
      <c r="BG100" s="58" t="e">
        <f>VLOOKUP($A100,'S50'!$C:$BQ,22,0)</f>
        <v>#N/A</v>
      </c>
      <c r="BH100" s="66" t="e">
        <f>VLOOKUP($A100,'S50'!$C:$BQ,29,0)</f>
        <v>#N/A</v>
      </c>
      <c r="BI100" s="66" t="e">
        <f>VLOOKUP($A100,'S50'!$C:$BQ,30,0)</f>
        <v>#N/A</v>
      </c>
      <c r="BJ100" s="66" t="e">
        <f>VLOOKUP($A100,'S50'!$C:$BQ,52,0)</f>
        <v>#N/A</v>
      </c>
      <c r="BK100" s="66" t="e">
        <f>VLOOKUP($A100,'S50'!$C:$BQ,59,0)</f>
        <v>#N/A</v>
      </c>
      <c r="BL100" s="66" t="e">
        <f>VLOOKUP($A100,'S50'!$C:$BQ,60,0)</f>
        <v>#N/A</v>
      </c>
    </row>
    <row r="101" spans="1:64" x14ac:dyDescent="0.2">
      <c r="A101" s="57" t="s">
        <v>162</v>
      </c>
      <c r="B101" s="58">
        <f>VLOOKUP($A101,'S0 remplacer avec S44'!$C:$BQ,32,0)</f>
        <v>205.4</v>
      </c>
      <c r="C101" s="58">
        <f>VLOOKUP($A101,'S0 remplacer avec S44'!$C:$BQ,39,0)</f>
        <v>17</v>
      </c>
      <c r="D101" s="58">
        <f>VLOOKUP($A101,'S0 remplacer avec S44'!$C:$BQ,40,0)</f>
        <v>61</v>
      </c>
      <c r="E101" s="58">
        <f>VLOOKUP($A101,'S0 remplacer avec S44'!$C:$BQ,22,0)</f>
        <v>2348.4531550000002</v>
      </c>
      <c r="F101" s="66">
        <f>VLOOKUP($A101,'S0 remplacer avec S44'!$C:$BQ,29,0)</f>
        <v>0</v>
      </c>
      <c r="G101" s="66">
        <f>VLOOKUP($A101,'S0 remplacer avec S44'!$C:$BQ,30,0)</f>
        <v>72</v>
      </c>
      <c r="H101" s="66">
        <f>VLOOKUP($A101,'S0 remplacer avec S44'!$C:$BQ,52,0)</f>
        <v>121.4</v>
      </c>
      <c r="I101" s="66">
        <f>VLOOKUP($A101,'S0 remplacer avec S44'!$C:$BQ,59,0)</f>
        <v>0</v>
      </c>
      <c r="J101" s="66">
        <f>VLOOKUP($A101,'S0 remplacer avec S44'!$C:$BQ,60,0)</f>
        <v>14</v>
      </c>
      <c r="K101" s="58">
        <f>VLOOKUP($A101,'S45'!$C:$BQ,32,0)</f>
        <v>206</v>
      </c>
      <c r="L101" s="58">
        <f>VLOOKUP($A101,'S45'!$C:$BQ,39,0)</f>
        <v>16</v>
      </c>
      <c r="M101" s="58">
        <f>VLOOKUP($A101,'S45'!$C:$BQ,40,0)</f>
        <v>61</v>
      </c>
      <c r="N101" s="58">
        <f>VLOOKUP($A101,'S45'!$C:$BQ,22,0)</f>
        <v>2357.4813349999999</v>
      </c>
      <c r="O101" s="66">
        <f>VLOOKUP($A101,'S45'!$C:$BQ,29,0)</f>
        <v>0</v>
      </c>
      <c r="P101" s="66">
        <f>VLOOKUP($A101,'S45'!$C:$BQ,30,0)</f>
        <v>63</v>
      </c>
      <c r="Q101" s="66">
        <f>VLOOKUP($A101,'S45'!$C:$BQ,52,0)</f>
        <v>122.4</v>
      </c>
      <c r="R101" s="66">
        <f>VLOOKUP($A101,'S45'!$C:$BQ,59,0)</f>
        <v>0</v>
      </c>
      <c r="S101" s="66">
        <f>VLOOKUP($A101,'S45'!$C:$BQ,60,0)</f>
        <v>13</v>
      </c>
      <c r="T101" s="58">
        <f>VLOOKUP($A101,'S46'!$C:$BQ,32,0)</f>
        <v>206</v>
      </c>
      <c r="U101" s="58">
        <f>VLOOKUP($A101,'S46'!$C:$BQ,39,0)</f>
        <v>16</v>
      </c>
      <c r="V101" s="58">
        <f>VLOOKUP($A101,'S46'!$C:$BQ,40,0)</f>
        <v>61</v>
      </c>
      <c r="W101" s="58">
        <f>VLOOKUP($A101,'S46'!$C:$BQ,22,0)</f>
        <v>2360.880365</v>
      </c>
      <c r="X101" s="66">
        <f>VLOOKUP($A101,'S46'!$C:$BQ,29,0)</f>
        <v>0</v>
      </c>
      <c r="Y101" s="66">
        <f>VLOOKUP($A101,'S46'!$C:$BQ,30,0)</f>
        <v>59</v>
      </c>
      <c r="Z101" s="66">
        <f>VLOOKUP($A101,'S46'!$C:$BQ,52,0)</f>
        <v>122.4</v>
      </c>
      <c r="AA101" s="66">
        <f>VLOOKUP($A101,'S46'!$C:$BQ,59,0)</f>
        <v>0</v>
      </c>
      <c r="AB101" s="66">
        <f>VLOOKUP($A101,'S46'!$C:$BQ,60,0)</f>
        <v>13</v>
      </c>
      <c r="AC101" s="58">
        <f>VLOOKUP($A101,'S47'!$C:$BQ,32,0)</f>
        <v>209.5</v>
      </c>
      <c r="AD101" s="58">
        <f>VLOOKUP($A101,'S47'!$C:$BQ,39,0)</f>
        <v>13</v>
      </c>
      <c r="AE101" s="58">
        <f>VLOOKUP($A101,'S47'!$C:$BQ,40,0)</f>
        <v>57</v>
      </c>
      <c r="AF101" s="58">
        <f>VLOOKUP($A101,'S47'!$C:$BQ,22,0)</f>
        <v>2362.3563650000001</v>
      </c>
      <c r="AG101" s="66">
        <f>VLOOKUP($A101,'S47'!$C:$BQ,29,0)</f>
        <v>0</v>
      </c>
      <c r="AH101" s="66">
        <f>VLOOKUP($A101,'S47'!$C:$BQ,30,0)</f>
        <v>58</v>
      </c>
      <c r="AI101" s="66">
        <f>VLOOKUP($A101,'S47'!$C:$BQ,52,0)</f>
        <v>125.4</v>
      </c>
      <c r="AJ101" s="66">
        <f>VLOOKUP($A101,'S47'!$C:$BQ,59,0)</f>
        <v>0</v>
      </c>
      <c r="AK101" s="66">
        <f>VLOOKUP($A101,'S47'!$C:$BQ,60,0)</f>
        <v>10</v>
      </c>
      <c r="AL101" s="58" t="e">
        <f>VLOOKUP($A101,'S48'!$C:$BQ,32,0)</f>
        <v>#N/A</v>
      </c>
      <c r="AM101" s="58" t="e">
        <f>VLOOKUP($A101,'S48'!$C:$BQ,39,0)</f>
        <v>#N/A</v>
      </c>
      <c r="AN101" s="58" t="e">
        <f>VLOOKUP($A101,'S48'!$C:$BQ,40,0)</f>
        <v>#N/A</v>
      </c>
      <c r="AO101" s="58" t="e">
        <f>VLOOKUP($A101,'S48'!$C:$BQ,22,0)</f>
        <v>#N/A</v>
      </c>
      <c r="AP101" s="66" t="e">
        <f>VLOOKUP($A101,'S48'!$C:$BQ,29,0)</f>
        <v>#N/A</v>
      </c>
      <c r="AQ101" s="66" t="e">
        <f>VLOOKUP($A101,'S48'!$C:$BQ,30,0)</f>
        <v>#N/A</v>
      </c>
      <c r="AR101" s="66" t="e">
        <f>VLOOKUP($A101,'S48'!$C:$BQ,52,0)</f>
        <v>#N/A</v>
      </c>
      <c r="AS101" s="66" t="e">
        <f>VLOOKUP($A101,'S48'!$C:$BQ,59,0)</f>
        <v>#N/A</v>
      </c>
      <c r="AT101" s="66" t="e">
        <f>VLOOKUP($A101,'S48'!$C:$BQ,60,0)</f>
        <v>#N/A</v>
      </c>
      <c r="AU101" s="58" t="e">
        <f>VLOOKUP($A101,'S49'!$C:$BQ,32,0)</f>
        <v>#N/A</v>
      </c>
      <c r="AV101" s="58" t="e">
        <f>VLOOKUP($A101,'S49'!$C:$BQ,39,0)</f>
        <v>#N/A</v>
      </c>
      <c r="AW101" s="58" t="e">
        <f>VLOOKUP($A101,'S49'!$C:$BQ,40,0)</f>
        <v>#N/A</v>
      </c>
      <c r="AX101" s="58" t="e">
        <f>VLOOKUP($A101,'S49'!$C:$BQ,22,0)</f>
        <v>#N/A</v>
      </c>
      <c r="AY101" s="66" t="e">
        <f>VLOOKUP($A101,'S49'!$C:$BQ,29,0)</f>
        <v>#N/A</v>
      </c>
      <c r="AZ101" s="66" t="e">
        <f>VLOOKUP($A101,'S49'!$C:$BQ,30,0)</f>
        <v>#N/A</v>
      </c>
      <c r="BA101" s="66" t="e">
        <f>VLOOKUP($A101,'S49'!$C:$BQ,52,0)</f>
        <v>#N/A</v>
      </c>
      <c r="BB101" s="66" t="e">
        <f>VLOOKUP($A101,'S49'!$C:$BQ,59,0)</f>
        <v>#N/A</v>
      </c>
      <c r="BC101" s="66" t="e">
        <f>VLOOKUP($A101,'S49'!$C:$BQ,60,0)</f>
        <v>#N/A</v>
      </c>
      <c r="BD101" s="58" t="e">
        <f>VLOOKUP($A101,'S50'!$C:$BQ,32,0)</f>
        <v>#N/A</v>
      </c>
      <c r="BE101" s="58" t="e">
        <f>VLOOKUP($A101,'S50'!$C:$BQ,39,0)</f>
        <v>#N/A</v>
      </c>
      <c r="BF101" s="58" t="e">
        <f>VLOOKUP($A101,'S50'!$C:$BQ,40,0)</f>
        <v>#N/A</v>
      </c>
      <c r="BG101" s="58" t="e">
        <f>VLOOKUP($A101,'S50'!$C:$BQ,22,0)</f>
        <v>#N/A</v>
      </c>
      <c r="BH101" s="66" t="e">
        <f>VLOOKUP($A101,'S50'!$C:$BQ,29,0)</f>
        <v>#N/A</v>
      </c>
      <c r="BI101" s="66" t="e">
        <f>VLOOKUP($A101,'S50'!$C:$BQ,30,0)</f>
        <v>#N/A</v>
      </c>
      <c r="BJ101" s="66" t="e">
        <f>VLOOKUP($A101,'S50'!$C:$BQ,52,0)</f>
        <v>#N/A</v>
      </c>
      <c r="BK101" s="66" t="e">
        <f>VLOOKUP($A101,'S50'!$C:$BQ,59,0)</f>
        <v>#N/A</v>
      </c>
      <c r="BL101" s="66" t="e">
        <f>VLOOKUP($A101,'S50'!$C:$BQ,60,0)</f>
        <v>#N/A</v>
      </c>
    </row>
    <row r="102" spans="1:64" x14ac:dyDescent="0.2">
      <c r="A102" s="57" t="s">
        <v>163</v>
      </c>
      <c r="B102" s="58">
        <f>VLOOKUP($A102,'S0 remplacer avec S44'!$C:$BQ,32,0)</f>
        <v>126.8</v>
      </c>
      <c r="C102" s="58">
        <f>VLOOKUP($A102,'S0 remplacer avec S44'!$C:$BQ,39,0)</f>
        <v>80</v>
      </c>
      <c r="D102" s="58">
        <f>VLOOKUP($A102,'S0 remplacer avec S44'!$C:$BQ,40,0)</f>
        <v>121</v>
      </c>
      <c r="E102" s="58">
        <f>VLOOKUP($A102,'S0 remplacer avec S44'!$C:$BQ,22,0)</f>
        <v>1847.4322500000001</v>
      </c>
      <c r="F102" s="66">
        <f>VLOOKUP($A102,'S0 remplacer avec S44'!$C:$BQ,29,0)</f>
        <v>31</v>
      </c>
      <c r="G102" s="66">
        <f>VLOOKUP($A102,'S0 remplacer avec S44'!$C:$BQ,30,0)</f>
        <v>406</v>
      </c>
      <c r="H102" s="66">
        <f>VLOOKUP($A102,'S0 remplacer avec S44'!$C:$BQ,52,0)</f>
        <v>110</v>
      </c>
      <c r="I102" s="66">
        <f>VLOOKUP($A102,'S0 remplacer avec S44'!$C:$BQ,59,0)</f>
        <v>0</v>
      </c>
      <c r="J102" s="66">
        <f>VLOOKUP($A102,'S0 remplacer avec S44'!$C:$BQ,60,0)</f>
        <v>16</v>
      </c>
      <c r="K102" s="58">
        <f>VLOOKUP($A102,'S45'!$C:$BQ,32,0)</f>
        <v>122.9</v>
      </c>
      <c r="L102" s="58">
        <f>VLOOKUP($A102,'S45'!$C:$BQ,39,0)</f>
        <v>84</v>
      </c>
      <c r="M102" s="58">
        <f>VLOOKUP($A102,'S45'!$C:$BQ,40,0)</f>
        <v>125</v>
      </c>
      <c r="N102" s="58">
        <f>VLOOKUP($A102,'S45'!$C:$BQ,22,0)</f>
        <v>1903.7592500000001</v>
      </c>
      <c r="O102" s="66">
        <f>VLOOKUP($A102,'S45'!$C:$BQ,29,0)</f>
        <v>0</v>
      </c>
      <c r="P102" s="66">
        <f>VLOOKUP($A102,'S45'!$C:$BQ,30,0)</f>
        <v>350</v>
      </c>
      <c r="Q102" s="66">
        <f>VLOOKUP($A102,'S45'!$C:$BQ,52,0)</f>
        <v>112</v>
      </c>
      <c r="R102" s="66">
        <f>VLOOKUP($A102,'S45'!$C:$BQ,59,0)</f>
        <v>0</v>
      </c>
      <c r="S102" s="66">
        <f>VLOOKUP($A102,'S45'!$C:$BQ,60,0)</f>
        <v>14</v>
      </c>
      <c r="T102" s="58">
        <f>VLOOKUP($A102,'S46'!$C:$BQ,32,0)</f>
        <v>122.9</v>
      </c>
      <c r="U102" s="58">
        <f>VLOOKUP($A102,'S46'!$C:$BQ,39,0)</f>
        <v>84</v>
      </c>
      <c r="V102" s="58">
        <f>VLOOKUP($A102,'S46'!$C:$BQ,40,0)</f>
        <v>125</v>
      </c>
      <c r="W102" s="58">
        <f>VLOOKUP($A102,'S46'!$C:$BQ,22,0)</f>
        <v>1906.7642499999999</v>
      </c>
      <c r="X102" s="66">
        <f>VLOOKUP($A102,'S46'!$C:$BQ,29,0)</f>
        <v>0</v>
      </c>
      <c r="Y102" s="66">
        <f>VLOOKUP($A102,'S46'!$C:$BQ,30,0)</f>
        <v>347</v>
      </c>
      <c r="Z102" s="66">
        <f>VLOOKUP($A102,'S46'!$C:$BQ,52,0)</f>
        <v>113</v>
      </c>
      <c r="AA102" s="66">
        <f>VLOOKUP($A102,'S46'!$C:$BQ,59,0)</f>
        <v>0</v>
      </c>
      <c r="AB102" s="66">
        <f>VLOOKUP($A102,'S46'!$C:$BQ,60,0)</f>
        <v>13</v>
      </c>
      <c r="AC102" s="58">
        <f>VLOOKUP($A102,'S47'!$C:$BQ,32,0)</f>
        <v>127.9</v>
      </c>
      <c r="AD102" s="58">
        <f>VLOOKUP($A102,'S47'!$C:$BQ,39,0)</f>
        <v>79</v>
      </c>
      <c r="AE102" s="58">
        <f>VLOOKUP($A102,'S47'!$C:$BQ,40,0)</f>
        <v>120</v>
      </c>
      <c r="AF102" s="58">
        <f>VLOOKUP($A102,'S47'!$C:$BQ,22,0)</f>
        <v>1924.21136</v>
      </c>
      <c r="AG102" s="66">
        <f>VLOOKUP($A102,'S47'!$C:$BQ,29,0)</f>
        <v>0</v>
      </c>
      <c r="AH102" s="66">
        <f>VLOOKUP($A102,'S47'!$C:$BQ,30,0)</f>
        <v>329</v>
      </c>
      <c r="AI102" s="66">
        <f>VLOOKUP($A102,'S47'!$C:$BQ,52,0)</f>
        <v>115</v>
      </c>
      <c r="AJ102" s="66">
        <f>VLOOKUP($A102,'S47'!$C:$BQ,59,0)</f>
        <v>0</v>
      </c>
      <c r="AK102" s="66">
        <f>VLOOKUP($A102,'S47'!$C:$BQ,60,0)</f>
        <v>11</v>
      </c>
      <c r="AL102" s="58" t="e">
        <f>VLOOKUP($A102,'S48'!$C:$BQ,32,0)</f>
        <v>#N/A</v>
      </c>
      <c r="AM102" s="58" t="e">
        <f>VLOOKUP($A102,'S48'!$C:$BQ,39,0)</f>
        <v>#N/A</v>
      </c>
      <c r="AN102" s="58" t="e">
        <f>VLOOKUP($A102,'S48'!$C:$BQ,40,0)</f>
        <v>#N/A</v>
      </c>
      <c r="AO102" s="58" t="e">
        <f>VLOOKUP($A102,'S48'!$C:$BQ,22,0)</f>
        <v>#N/A</v>
      </c>
      <c r="AP102" s="66" t="e">
        <f>VLOOKUP($A102,'S48'!$C:$BQ,29,0)</f>
        <v>#N/A</v>
      </c>
      <c r="AQ102" s="66" t="e">
        <f>VLOOKUP($A102,'S48'!$C:$BQ,30,0)</f>
        <v>#N/A</v>
      </c>
      <c r="AR102" s="66" t="e">
        <f>VLOOKUP($A102,'S48'!$C:$BQ,52,0)</f>
        <v>#N/A</v>
      </c>
      <c r="AS102" s="66" t="e">
        <f>VLOOKUP($A102,'S48'!$C:$BQ,59,0)</f>
        <v>#N/A</v>
      </c>
      <c r="AT102" s="66" t="e">
        <f>VLOOKUP($A102,'S48'!$C:$BQ,60,0)</f>
        <v>#N/A</v>
      </c>
      <c r="AU102" s="58" t="e">
        <f>VLOOKUP($A102,'S49'!$C:$BQ,32,0)</f>
        <v>#N/A</v>
      </c>
      <c r="AV102" s="58" t="e">
        <f>VLOOKUP($A102,'S49'!$C:$BQ,39,0)</f>
        <v>#N/A</v>
      </c>
      <c r="AW102" s="58" t="e">
        <f>VLOOKUP($A102,'S49'!$C:$BQ,40,0)</f>
        <v>#N/A</v>
      </c>
      <c r="AX102" s="58" t="e">
        <f>VLOOKUP($A102,'S49'!$C:$BQ,22,0)</f>
        <v>#N/A</v>
      </c>
      <c r="AY102" s="66" t="e">
        <f>VLOOKUP($A102,'S49'!$C:$BQ,29,0)</f>
        <v>#N/A</v>
      </c>
      <c r="AZ102" s="66" t="e">
        <f>VLOOKUP($A102,'S49'!$C:$BQ,30,0)</f>
        <v>#N/A</v>
      </c>
      <c r="BA102" s="66" t="e">
        <f>VLOOKUP($A102,'S49'!$C:$BQ,52,0)</f>
        <v>#N/A</v>
      </c>
      <c r="BB102" s="66" t="e">
        <f>VLOOKUP($A102,'S49'!$C:$BQ,59,0)</f>
        <v>#N/A</v>
      </c>
      <c r="BC102" s="66" t="e">
        <f>VLOOKUP($A102,'S49'!$C:$BQ,60,0)</f>
        <v>#N/A</v>
      </c>
      <c r="BD102" s="58" t="e">
        <f>VLOOKUP($A102,'S50'!$C:$BQ,32,0)</f>
        <v>#N/A</v>
      </c>
      <c r="BE102" s="58" t="e">
        <f>VLOOKUP($A102,'S50'!$C:$BQ,39,0)</f>
        <v>#N/A</v>
      </c>
      <c r="BF102" s="58" t="e">
        <f>VLOOKUP($A102,'S50'!$C:$BQ,40,0)</f>
        <v>#N/A</v>
      </c>
      <c r="BG102" s="58" t="e">
        <f>VLOOKUP($A102,'S50'!$C:$BQ,22,0)</f>
        <v>#N/A</v>
      </c>
      <c r="BH102" s="66" t="e">
        <f>VLOOKUP($A102,'S50'!$C:$BQ,29,0)</f>
        <v>#N/A</v>
      </c>
      <c r="BI102" s="66" t="e">
        <f>VLOOKUP($A102,'S50'!$C:$BQ,30,0)</f>
        <v>#N/A</v>
      </c>
      <c r="BJ102" s="66" t="e">
        <f>VLOOKUP($A102,'S50'!$C:$BQ,52,0)</f>
        <v>#N/A</v>
      </c>
      <c r="BK102" s="66" t="e">
        <f>VLOOKUP($A102,'S50'!$C:$BQ,59,0)</f>
        <v>#N/A</v>
      </c>
      <c r="BL102" s="66" t="e">
        <f>VLOOKUP($A102,'S50'!$C:$BQ,60,0)</f>
        <v>#N/A</v>
      </c>
    </row>
    <row r="103" spans="1:64" x14ac:dyDescent="0.2">
      <c r="A103" s="57" t="s">
        <v>164</v>
      </c>
      <c r="B103" s="58">
        <f>VLOOKUP($A103,'S0 remplacer avec S44'!$C:$BQ,32,0)</f>
        <v>109.7</v>
      </c>
      <c r="C103" s="58">
        <f>VLOOKUP($A103,'S0 remplacer avec S44'!$C:$BQ,39,0)</f>
        <v>50</v>
      </c>
      <c r="D103" s="58">
        <f>VLOOKUP($A103,'S0 remplacer avec S44'!$C:$BQ,40,0)</f>
        <v>81</v>
      </c>
      <c r="E103" s="58">
        <f>VLOOKUP($A103,'S0 remplacer avec S44'!$C:$BQ,22,0)</f>
        <v>1236.1225099999999</v>
      </c>
      <c r="F103" s="66">
        <f>VLOOKUP($A103,'S0 remplacer avec S44'!$C:$BQ,29,0)</f>
        <v>210</v>
      </c>
      <c r="G103" s="66">
        <f>VLOOKUP($A103,'S0 remplacer avec S44'!$C:$BQ,30,0)</f>
        <v>499</v>
      </c>
      <c r="H103" s="66">
        <f>VLOOKUP($A103,'S0 remplacer avec S44'!$C:$BQ,52,0)</f>
        <v>36.6</v>
      </c>
      <c r="I103" s="66">
        <f>VLOOKUP($A103,'S0 remplacer avec S44'!$C:$BQ,59,0)</f>
        <v>45</v>
      </c>
      <c r="J103" s="66">
        <f>VLOOKUP($A103,'S0 remplacer avec S44'!$C:$BQ,60,0)</f>
        <v>61</v>
      </c>
      <c r="K103" s="58">
        <f>VLOOKUP($A103,'S45'!$C:$BQ,32,0)</f>
        <v>110.2</v>
      </c>
      <c r="L103" s="58">
        <f>VLOOKUP($A103,'S45'!$C:$BQ,39,0)</f>
        <v>49</v>
      </c>
      <c r="M103" s="58">
        <f>VLOOKUP($A103,'S45'!$C:$BQ,40,0)</f>
        <v>81</v>
      </c>
      <c r="N103" s="58">
        <f>VLOOKUP($A103,'S45'!$C:$BQ,22,0)</f>
        <v>1271.2191</v>
      </c>
      <c r="O103" s="66">
        <f>VLOOKUP($A103,'S45'!$C:$BQ,29,0)</f>
        <v>175</v>
      </c>
      <c r="P103" s="66">
        <f>VLOOKUP($A103,'S45'!$C:$BQ,30,0)</f>
        <v>464</v>
      </c>
      <c r="Q103" s="66">
        <f>VLOOKUP($A103,'S45'!$C:$BQ,52,0)</f>
        <v>37.6</v>
      </c>
      <c r="R103" s="66">
        <f>VLOOKUP($A103,'S45'!$C:$BQ,59,0)</f>
        <v>44</v>
      </c>
      <c r="S103" s="66">
        <f>VLOOKUP($A103,'S45'!$C:$BQ,60,0)</f>
        <v>60</v>
      </c>
      <c r="T103" s="58">
        <f>VLOOKUP($A103,'S46'!$C:$BQ,32,0)</f>
        <v>110.2</v>
      </c>
      <c r="U103" s="58">
        <f>VLOOKUP($A103,'S46'!$C:$BQ,39,0)</f>
        <v>49</v>
      </c>
      <c r="V103" s="58">
        <f>VLOOKUP($A103,'S46'!$C:$BQ,40,0)</f>
        <v>81</v>
      </c>
      <c r="W103" s="58">
        <f>VLOOKUP($A103,'S46'!$C:$BQ,22,0)</f>
        <v>1274.62373</v>
      </c>
      <c r="X103" s="66">
        <f>VLOOKUP($A103,'S46'!$C:$BQ,29,0)</f>
        <v>171</v>
      </c>
      <c r="Y103" s="66">
        <f>VLOOKUP($A103,'S46'!$C:$BQ,30,0)</f>
        <v>460</v>
      </c>
      <c r="Z103" s="66">
        <f>VLOOKUP($A103,'S46'!$C:$BQ,52,0)</f>
        <v>38.6</v>
      </c>
      <c r="AA103" s="66">
        <f>VLOOKUP($A103,'S46'!$C:$BQ,59,0)</f>
        <v>43</v>
      </c>
      <c r="AB103" s="66">
        <f>VLOOKUP($A103,'S46'!$C:$BQ,60,0)</f>
        <v>59</v>
      </c>
      <c r="AC103" s="58">
        <f>VLOOKUP($A103,'S47'!$C:$BQ,32,0)</f>
        <v>111.7</v>
      </c>
      <c r="AD103" s="58">
        <f>VLOOKUP($A103,'S47'!$C:$BQ,39,0)</f>
        <v>48</v>
      </c>
      <c r="AE103" s="58">
        <f>VLOOKUP($A103,'S47'!$C:$BQ,40,0)</f>
        <v>79</v>
      </c>
      <c r="AF103" s="58">
        <f>VLOOKUP($A103,'S47'!$C:$BQ,22,0)</f>
        <v>1279.41563</v>
      </c>
      <c r="AG103" s="66">
        <f>VLOOKUP($A103,'S47'!$C:$BQ,29,0)</f>
        <v>166</v>
      </c>
      <c r="AH103" s="66">
        <f>VLOOKUP($A103,'S47'!$C:$BQ,30,0)</f>
        <v>456</v>
      </c>
      <c r="AI103" s="66">
        <f>VLOOKUP($A103,'S47'!$C:$BQ,52,0)</f>
        <v>39.6</v>
      </c>
      <c r="AJ103" s="66">
        <f>VLOOKUP($A103,'S47'!$C:$BQ,59,0)</f>
        <v>42</v>
      </c>
      <c r="AK103" s="66">
        <f>VLOOKUP($A103,'S47'!$C:$BQ,60,0)</f>
        <v>58</v>
      </c>
      <c r="AL103" s="58" t="e">
        <f>VLOOKUP($A103,'S48'!$C:$BQ,32,0)</f>
        <v>#N/A</v>
      </c>
      <c r="AM103" s="58" t="e">
        <f>VLOOKUP($A103,'S48'!$C:$BQ,39,0)</f>
        <v>#N/A</v>
      </c>
      <c r="AN103" s="58" t="e">
        <f>VLOOKUP($A103,'S48'!$C:$BQ,40,0)</f>
        <v>#N/A</v>
      </c>
      <c r="AO103" s="58" t="e">
        <f>VLOOKUP($A103,'S48'!$C:$BQ,22,0)</f>
        <v>#N/A</v>
      </c>
      <c r="AP103" s="66" t="e">
        <f>VLOOKUP($A103,'S48'!$C:$BQ,29,0)</f>
        <v>#N/A</v>
      </c>
      <c r="AQ103" s="66" t="e">
        <f>VLOOKUP($A103,'S48'!$C:$BQ,30,0)</f>
        <v>#N/A</v>
      </c>
      <c r="AR103" s="66" t="e">
        <f>VLOOKUP($A103,'S48'!$C:$BQ,52,0)</f>
        <v>#N/A</v>
      </c>
      <c r="AS103" s="66" t="e">
        <f>VLOOKUP($A103,'S48'!$C:$BQ,59,0)</f>
        <v>#N/A</v>
      </c>
      <c r="AT103" s="66" t="e">
        <f>VLOOKUP($A103,'S48'!$C:$BQ,60,0)</f>
        <v>#N/A</v>
      </c>
      <c r="AU103" s="58" t="e">
        <f>VLOOKUP($A103,'S49'!$C:$BQ,32,0)</f>
        <v>#N/A</v>
      </c>
      <c r="AV103" s="58" t="e">
        <f>VLOOKUP($A103,'S49'!$C:$BQ,39,0)</f>
        <v>#N/A</v>
      </c>
      <c r="AW103" s="58" t="e">
        <f>VLOOKUP($A103,'S49'!$C:$BQ,40,0)</f>
        <v>#N/A</v>
      </c>
      <c r="AX103" s="58" t="e">
        <f>VLOOKUP($A103,'S49'!$C:$BQ,22,0)</f>
        <v>#N/A</v>
      </c>
      <c r="AY103" s="66" t="e">
        <f>VLOOKUP($A103,'S49'!$C:$BQ,29,0)</f>
        <v>#N/A</v>
      </c>
      <c r="AZ103" s="66" t="e">
        <f>VLOOKUP($A103,'S49'!$C:$BQ,30,0)</f>
        <v>#N/A</v>
      </c>
      <c r="BA103" s="66" t="e">
        <f>VLOOKUP($A103,'S49'!$C:$BQ,52,0)</f>
        <v>#N/A</v>
      </c>
      <c r="BB103" s="66" t="e">
        <f>VLOOKUP($A103,'S49'!$C:$BQ,59,0)</f>
        <v>#N/A</v>
      </c>
      <c r="BC103" s="66" t="e">
        <f>VLOOKUP($A103,'S49'!$C:$BQ,60,0)</f>
        <v>#N/A</v>
      </c>
      <c r="BD103" s="58" t="e">
        <f>VLOOKUP($A103,'S50'!$C:$BQ,32,0)</f>
        <v>#N/A</v>
      </c>
      <c r="BE103" s="58" t="e">
        <f>VLOOKUP($A103,'S50'!$C:$BQ,39,0)</f>
        <v>#N/A</v>
      </c>
      <c r="BF103" s="58" t="e">
        <f>VLOOKUP($A103,'S50'!$C:$BQ,40,0)</f>
        <v>#N/A</v>
      </c>
      <c r="BG103" s="58" t="e">
        <f>VLOOKUP($A103,'S50'!$C:$BQ,22,0)</f>
        <v>#N/A</v>
      </c>
      <c r="BH103" s="66" t="e">
        <f>VLOOKUP($A103,'S50'!$C:$BQ,29,0)</f>
        <v>#N/A</v>
      </c>
      <c r="BI103" s="66" t="e">
        <f>VLOOKUP($A103,'S50'!$C:$BQ,30,0)</f>
        <v>#N/A</v>
      </c>
      <c r="BJ103" s="66" t="e">
        <f>VLOOKUP($A103,'S50'!$C:$BQ,52,0)</f>
        <v>#N/A</v>
      </c>
      <c r="BK103" s="66" t="e">
        <f>VLOOKUP($A103,'S50'!$C:$BQ,59,0)</f>
        <v>#N/A</v>
      </c>
      <c r="BL103" s="66" t="e">
        <f>VLOOKUP($A103,'S50'!$C:$BQ,60,0)</f>
        <v>#N/A</v>
      </c>
    </row>
    <row r="104" spans="1:64" x14ac:dyDescent="0.2">
      <c r="A104" s="57" t="s">
        <v>165</v>
      </c>
      <c r="B104" s="58">
        <f>VLOOKUP($A104,'S0 remplacer avec S44'!$C:$BQ,32,0)</f>
        <v>201.5</v>
      </c>
      <c r="C104" s="58">
        <f>VLOOKUP($A104,'S0 remplacer avec S44'!$C:$BQ,39,0)</f>
        <v>148</v>
      </c>
      <c r="D104" s="58">
        <f>VLOOKUP($A104,'S0 remplacer avec S44'!$C:$BQ,40,0)</f>
        <v>218</v>
      </c>
      <c r="E104" s="58">
        <f>VLOOKUP($A104,'S0 remplacer avec S44'!$C:$BQ,22,0)</f>
        <v>2088.0927799999999</v>
      </c>
      <c r="F104" s="66">
        <f>VLOOKUP($A104,'S0 remplacer avec S44'!$C:$BQ,29,0)</f>
        <v>1086</v>
      </c>
      <c r="G104" s="66">
        <f>VLOOKUP($A104,'S0 remplacer avec S44'!$C:$BQ,30,0)</f>
        <v>1721</v>
      </c>
      <c r="H104" s="66">
        <f>VLOOKUP($A104,'S0 remplacer avec S44'!$C:$BQ,52,0)</f>
        <v>184.6</v>
      </c>
      <c r="I104" s="66">
        <f>VLOOKUP($A104,'S0 remplacer avec S44'!$C:$BQ,59,0)</f>
        <v>0</v>
      </c>
      <c r="J104" s="66">
        <f>VLOOKUP($A104,'S0 remplacer avec S44'!$C:$BQ,60,0)</f>
        <v>29</v>
      </c>
      <c r="K104" s="58">
        <f>VLOOKUP($A104,'S45'!$C:$BQ,32,0)</f>
        <v>197.1</v>
      </c>
      <c r="L104" s="58">
        <f>VLOOKUP($A104,'S45'!$C:$BQ,39,0)</f>
        <v>152</v>
      </c>
      <c r="M104" s="58">
        <f>VLOOKUP($A104,'S45'!$C:$BQ,40,0)</f>
        <v>222</v>
      </c>
      <c r="N104" s="58">
        <f>VLOOKUP($A104,'S45'!$C:$BQ,22,0)</f>
        <v>2141.8910900000001</v>
      </c>
      <c r="O104" s="66">
        <f>VLOOKUP($A104,'S45'!$C:$BQ,29,0)</f>
        <v>1032</v>
      </c>
      <c r="P104" s="66">
        <f>VLOOKUP($A104,'S45'!$C:$BQ,30,0)</f>
        <v>1667</v>
      </c>
      <c r="Q104" s="66">
        <f>VLOOKUP($A104,'S45'!$C:$BQ,52,0)</f>
        <v>191.6</v>
      </c>
      <c r="R104" s="66">
        <f>VLOOKUP($A104,'S45'!$C:$BQ,59,0)</f>
        <v>0</v>
      </c>
      <c r="S104" s="66">
        <f>VLOOKUP($A104,'S45'!$C:$BQ,60,0)</f>
        <v>22</v>
      </c>
      <c r="T104" s="58">
        <f>VLOOKUP($A104,'S46'!$C:$BQ,32,0)</f>
        <v>197.6</v>
      </c>
      <c r="U104" s="58">
        <f>VLOOKUP($A104,'S46'!$C:$BQ,39,0)</f>
        <v>152</v>
      </c>
      <c r="V104" s="58">
        <f>VLOOKUP($A104,'S46'!$C:$BQ,40,0)</f>
        <v>222</v>
      </c>
      <c r="W104" s="58">
        <f>VLOOKUP($A104,'S46'!$C:$BQ,22,0)</f>
        <v>2147.85547</v>
      </c>
      <c r="X104" s="66">
        <f>VLOOKUP($A104,'S46'!$C:$BQ,29,0)</f>
        <v>1026</v>
      </c>
      <c r="Y104" s="66">
        <f>VLOOKUP($A104,'S46'!$C:$BQ,30,0)</f>
        <v>1661</v>
      </c>
      <c r="Z104" s="66">
        <f>VLOOKUP($A104,'S46'!$C:$BQ,52,0)</f>
        <v>193.6</v>
      </c>
      <c r="AA104" s="66">
        <f>VLOOKUP($A104,'S46'!$C:$BQ,59,0)</f>
        <v>0</v>
      </c>
      <c r="AB104" s="66">
        <f>VLOOKUP($A104,'S46'!$C:$BQ,60,0)</f>
        <v>20</v>
      </c>
      <c r="AC104" s="58">
        <f>VLOOKUP($A104,'S47'!$C:$BQ,32,0)</f>
        <v>201.1</v>
      </c>
      <c r="AD104" s="58">
        <f>VLOOKUP($A104,'S47'!$C:$BQ,39,0)</f>
        <v>148</v>
      </c>
      <c r="AE104" s="58">
        <f>VLOOKUP($A104,'S47'!$C:$BQ,40,0)</f>
        <v>218</v>
      </c>
      <c r="AF104" s="58">
        <f>VLOOKUP($A104,'S47'!$C:$BQ,22,0)</f>
        <v>2229.0601200000001</v>
      </c>
      <c r="AG104" s="66">
        <f>VLOOKUP($A104,'S47'!$C:$BQ,29,0)</f>
        <v>945</v>
      </c>
      <c r="AH104" s="66">
        <f>VLOOKUP($A104,'S47'!$C:$BQ,30,0)</f>
        <v>1580</v>
      </c>
      <c r="AI104" s="66">
        <f>VLOOKUP($A104,'S47'!$C:$BQ,52,0)</f>
        <v>202.6</v>
      </c>
      <c r="AJ104" s="66">
        <f>VLOOKUP($A104,'S47'!$C:$BQ,59,0)</f>
        <v>0</v>
      </c>
      <c r="AK104" s="66">
        <f>VLOOKUP($A104,'S47'!$C:$BQ,60,0)</f>
        <v>11</v>
      </c>
      <c r="AL104" s="58" t="e">
        <f>VLOOKUP($A104,'S48'!$C:$BQ,32,0)</f>
        <v>#N/A</v>
      </c>
      <c r="AM104" s="58" t="e">
        <f>VLOOKUP($A104,'S48'!$C:$BQ,39,0)</f>
        <v>#N/A</v>
      </c>
      <c r="AN104" s="58" t="e">
        <f>VLOOKUP($A104,'S48'!$C:$BQ,40,0)</f>
        <v>#N/A</v>
      </c>
      <c r="AO104" s="58" t="e">
        <f>VLOOKUP($A104,'S48'!$C:$BQ,22,0)</f>
        <v>#N/A</v>
      </c>
      <c r="AP104" s="66" t="e">
        <f>VLOOKUP($A104,'S48'!$C:$BQ,29,0)</f>
        <v>#N/A</v>
      </c>
      <c r="AQ104" s="66" t="e">
        <f>VLOOKUP($A104,'S48'!$C:$BQ,30,0)</f>
        <v>#N/A</v>
      </c>
      <c r="AR104" s="66" t="e">
        <f>VLOOKUP($A104,'S48'!$C:$BQ,52,0)</f>
        <v>#N/A</v>
      </c>
      <c r="AS104" s="66" t="e">
        <f>VLOOKUP($A104,'S48'!$C:$BQ,59,0)</f>
        <v>#N/A</v>
      </c>
      <c r="AT104" s="66" t="e">
        <f>VLOOKUP($A104,'S48'!$C:$BQ,60,0)</f>
        <v>#N/A</v>
      </c>
      <c r="AU104" s="58" t="e">
        <f>VLOOKUP($A104,'S49'!$C:$BQ,32,0)</f>
        <v>#N/A</v>
      </c>
      <c r="AV104" s="58" t="e">
        <f>VLOOKUP($A104,'S49'!$C:$BQ,39,0)</f>
        <v>#N/A</v>
      </c>
      <c r="AW104" s="58" t="e">
        <f>VLOOKUP($A104,'S49'!$C:$BQ,40,0)</f>
        <v>#N/A</v>
      </c>
      <c r="AX104" s="58" t="e">
        <f>VLOOKUP($A104,'S49'!$C:$BQ,22,0)</f>
        <v>#N/A</v>
      </c>
      <c r="AY104" s="66" t="e">
        <f>VLOOKUP($A104,'S49'!$C:$BQ,29,0)</f>
        <v>#N/A</v>
      </c>
      <c r="AZ104" s="66" t="e">
        <f>VLOOKUP($A104,'S49'!$C:$BQ,30,0)</f>
        <v>#N/A</v>
      </c>
      <c r="BA104" s="66" t="e">
        <f>VLOOKUP($A104,'S49'!$C:$BQ,52,0)</f>
        <v>#N/A</v>
      </c>
      <c r="BB104" s="66" t="e">
        <f>VLOOKUP($A104,'S49'!$C:$BQ,59,0)</f>
        <v>#N/A</v>
      </c>
      <c r="BC104" s="66" t="e">
        <f>VLOOKUP($A104,'S49'!$C:$BQ,60,0)</f>
        <v>#N/A</v>
      </c>
      <c r="BD104" s="58" t="e">
        <f>VLOOKUP($A104,'S50'!$C:$BQ,32,0)</f>
        <v>#N/A</v>
      </c>
      <c r="BE104" s="58" t="e">
        <f>VLOOKUP($A104,'S50'!$C:$BQ,39,0)</f>
        <v>#N/A</v>
      </c>
      <c r="BF104" s="58" t="e">
        <f>VLOOKUP($A104,'S50'!$C:$BQ,40,0)</f>
        <v>#N/A</v>
      </c>
      <c r="BG104" s="58" t="e">
        <f>VLOOKUP($A104,'S50'!$C:$BQ,22,0)</f>
        <v>#N/A</v>
      </c>
      <c r="BH104" s="66" t="e">
        <f>VLOOKUP($A104,'S50'!$C:$BQ,29,0)</f>
        <v>#N/A</v>
      </c>
      <c r="BI104" s="66" t="e">
        <f>VLOOKUP($A104,'S50'!$C:$BQ,30,0)</f>
        <v>#N/A</v>
      </c>
      <c r="BJ104" s="66" t="e">
        <f>VLOOKUP($A104,'S50'!$C:$BQ,52,0)</f>
        <v>#N/A</v>
      </c>
      <c r="BK104" s="66" t="e">
        <f>VLOOKUP($A104,'S50'!$C:$BQ,59,0)</f>
        <v>#N/A</v>
      </c>
      <c r="BL104" s="66" t="e">
        <f>VLOOKUP($A104,'S50'!$C:$BQ,60,0)</f>
        <v>#N/A</v>
      </c>
    </row>
    <row r="105" spans="1:64" x14ac:dyDescent="0.2">
      <c r="A105" s="57" t="s">
        <v>166</v>
      </c>
      <c r="B105" s="58">
        <f>VLOOKUP($A105,'S0 remplacer avec S44'!$C:$BQ,32,0)</f>
        <v>205.3</v>
      </c>
      <c r="C105" s="58">
        <f>VLOOKUP($A105,'S0 remplacer avec S44'!$C:$BQ,39,0)</f>
        <v>94</v>
      </c>
      <c r="D105" s="58">
        <f>VLOOKUP($A105,'S0 remplacer avec S44'!$C:$BQ,40,0)</f>
        <v>154</v>
      </c>
      <c r="E105" s="58">
        <f>VLOOKUP($A105,'S0 remplacer avec S44'!$C:$BQ,22,0)</f>
        <v>1974.17869</v>
      </c>
      <c r="F105" s="66">
        <f>VLOOKUP($A105,'S0 remplacer avec S44'!$C:$BQ,29,0)</f>
        <v>746</v>
      </c>
      <c r="G105" s="66">
        <f>VLOOKUP($A105,'S0 remplacer avec S44'!$C:$BQ,30,0)</f>
        <v>1290</v>
      </c>
      <c r="H105" s="66">
        <f>VLOOKUP($A105,'S0 remplacer avec S44'!$C:$BQ,52,0)</f>
        <v>177.8</v>
      </c>
      <c r="I105" s="66">
        <f>VLOOKUP($A105,'S0 remplacer avec S44'!$C:$BQ,59,0)</f>
        <v>0</v>
      </c>
      <c r="J105" s="66">
        <f>VLOOKUP($A105,'S0 remplacer avec S44'!$C:$BQ,60,0)</f>
        <v>5</v>
      </c>
      <c r="K105" s="58">
        <f>VLOOKUP($A105,'S45'!$C:$BQ,32,0)</f>
        <v>208.8</v>
      </c>
      <c r="L105" s="58">
        <f>VLOOKUP($A105,'S45'!$C:$BQ,39,0)</f>
        <v>91</v>
      </c>
      <c r="M105" s="58">
        <f>VLOOKUP($A105,'S45'!$C:$BQ,40,0)</f>
        <v>151</v>
      </c>
      <c r="N105" s="58">
        <f>VLOOKUP($A105,'S45'!$C:$BQ,22,0)</f>
        <v>2010.5760299999999</v>
      </c>
      <c r="O105" s="66">
        <f>VLOOKUP($A105,'S45'!$C:$BQ,29,0)</f>
        <v>710</v>
      </c>
      <c r="P105" s="66">
        <f>VLOOKUP($A105,'S45'!$C:$BQ,30,0)</f>
        <v>1254</v>
      </c>
      <c r="Q105" s="66">
        <f>VLOOKUP($A105,'S45'!$C:$BQ,52,0)</f>
        <v>184.8</v>
      </c>
      <c r="R105" s="66">
        <f>VLOOKUP($A105,'S45'!$C:$BQ,59,0)</f>
        <v>0</v>
      </c>
      <c r="S105" s="66">
        <f>VLOOKUP($A105,'S45'!$C:$BQ,60,0)</f>
        <v>0</v>
      </c>
      <c r="T105" s="58">
        <f>VLOOKUP($A105,'S46'!$C:$BQ,32,0)</f>
        <v>211.8</v>
      </c>
      <c r="U105" s="58">
        <f>VLOOKUP($A105,'S46'!$C:$BQ,39,0)</f>
        <v>88</v>
      </c>
      <c r="V105" s="58">
        <f>VLOOKUP($A105,'S46'!$C:$BQ,40,0)</f>
        <v>148</v>
      </c>
      <c r="W105" s="58">
        <f>VLOOKUP($A105,'S46'!$C:$BQ,22,0)</f>
        <v>2035.5579600000001</v>
      </c>
      <c r="X105" s="66">
        <f>VLOOKUP($A105,'S46'!$C:$BQ,29,0)</f>
        <v>685</v>
      </c>
      <c r="Y105" s="66">
        <f>VLOOKUP($A105,'S46'!$C:$BQ,30,0)</f>
        <v>1229</v>
      </c>
      <c r="Z105" s="66">
        <f>VLOOKUP($A105,'S46'!$C:$BQ,52,0)</f>
        <v>184.8</v>
      </c>
      <c r="AA105" s="66">
        <f>VLOOKUP($A105,'S46'!$C:$BQ,59,0)</f>
        <v>0</v>
      </c>
      <c r="AB105" s="66">
        <f>VLOOKUP($A105,'S46'!$C:$BQ,60,0)</f>
        <v>0</v>
      </c>
      <c r="AC105" s="58">
        <f>VLOOKUP($A105,'S47'!$C:$BQ,32,0)</f>
        <v>213.5</v>
      </c>
      <c r="AD105" s="58">
        <f>VLOOKUP($A105,'S47'!$C:$BQ,39,0)</f>
        <v>86</v>
      </c>
      <c r="AE105" s="58">
        <f>VLOOKUP($A105,'S47'!$C:$BQ,40,0)</f>
        <v>146</v>
      </c>
      <c r="AF105" s="58">
        <f>VLOOKUP($A105,'S47'!$C:$BQ,22,0)</f>
        <v>2037.02403</v>
      </c>
      <c r="AG105" s="66">
        <f>VLOOKUP($A105,'S47'!$C:$BQ,29,0)</f>
        <v>684</v>
      </c>
      <c r="AH105" s="66">
        <f>VLOOKUP($A105,'S47'!$C:$BQ,30,0)</f>
        <v>1228</v>
      </c>
      <c r="AI105" s="66">
        <f>VLOOKUP($A105,'S47'!$C:$BQ,52,0)</f>
        <v>186.8</v>
      </c>
      <c r="AJ105" s="66">
        <f>VLOOKUP($A105,'S47'!$C:$BQ,59,0)</f>
        <v>0</v>
      </c>
      <c r="AK105" s="66">
        <f>VLOOKUP($A105,'S47'!$C:$BQ,60,0)</f>
        <v>0</v>
      </c>
      <c r="AL105" s="58" t="e">
        <f>VLOOKUP($A105,'S48'!$C:$BQ,32,0)</f>
        <v>#N/A</v>
      </c>
      <c r="AM105" s="58" t="e">
        <f>VLOOKUP($A105,'S48'!$C:$BQ,39,0)</f>
        <v>#N/A</v>
      </c>
      <c r="AN105" s="58" t="e">
        <f>VLOOKUP($A105,'S48'!$C:$BQ,40,0)</f>
        <v>#N/A</v>
      </c>
      <c r="AO105" s="58" t="e">
        <f>VLOOKUP($A105,'S48'!$C:$BQ,22,0)</f>
        <v>#N/A</v>
      </c>
      <c r="AP105" s="66" t="e">
        <f>VLOOKUP($A105,'S48'!$C:$BQ,29,0)</f>
        <v>#N/A</v>
      </c>
      <c r="AQ105" s="66" t="e">
        <f>VLOOKUP($A105,'S48'!$C:$BQ,30,0)</f>
        <v>#N/A</v>
      </c>
      <c r="AR105" s="66" t="e">
        <f>VLOOKUP($A105,'S48'!$C:$BQ,52,0)</f>
        <v>#N/A</v>
      </c>
      <c r="AS105" s="66" t="e">
        <f>VLOOKUP($A105,'S48'!$C:$BQ,59,0)</f>
        <v>#N/A</v>
      </c>
      <c r="AT105" s="66" t="e">
        <f>VLOOKUP($A105,'S48'!$C:$BQ,60,0)</f>
        <v>#N/A</v>
      </c>
      <c r="AU105" s="58" t="e">
        <f>VLOOKUP($A105,'S49'!$C:$BQ,32,0)</f>
        <v>#N/A</v>
      </c>
      <c r="AV105" s="58" t="e">
        <f>VLOOKUP($A105,'S49'!$C:$BQ,39,0)</f>
        <v>#N/A</v>
      </c>
      <c r="AW105" s="58" t="e">
        <f>VLOOKUP($A105,'S49'!$C:$BQ,40,0)</f>
        <v>#N/A</v>
      </c>
      <c r="AX105" s="58" t="e">
        <f>VLOOKUP($A105,'S49'!$C:$BQ,22,0)</f>
        <v>#N/A</v>
      </c>
      <c r="AY105" s="66" t="e">
        <f>VLOOKUP($A105,'S49'!$C:$BQ,29,0)</f>
        <v>#N/A</v>
      </c>
      <c r="AZ105" s="66" t="e">
        <f>VLOOKUP($A105,'S49'!$C:$BQ,30,0)</f>
        <v>#N/A</v>
      </c>
      <c r="BA105" s="66" t="e">
        <f>VLOOKUP($A105,'S49'!$C:$BQ,52,0)</f>
        <v>#N/A</v>
      </c>
      <c r="BB105" s="66" t="e">
        <f>VLOOKUP($A105,'S49'!$C:$BQ,59,0)</f>
        <v>#N/A</v>
      </c>
      <c r="BC105" s="66" t="e">
        <f>VLOOKUP($A105,'S49'!$C:$BQ,60,0)</f>
        <v>#N/A</v>
      </c>
      <c r="BD105" s="58" t="e">
        <f>VLOOKUP($A105,'S50'!$C:$BQ,32,0)</f>
        <v>#N/A</v>
      </c>
      <c r="BE105" s="58" t="e">
        <f>VLOOKUP($A105,'S50'!$C:$BQ,39,0)</f>
        <v>#N/A</v>
      </c>
      <c r="BF105" s="58" t="e">
        <f>VLOOKUP($A105,'S50'!$C:$BQ,40,0)</f>
        <v>#N/A</v>
      </c>
      <c r="BG105" s="58" t="e">
        <f>VLOOKUP($A105,'S50'!$C:$BQ,22,0)</f>
        <v>#N/A</v>
      </c>
      <c r="BH105" s="66" t="e">
        <f>VLOOKUP($A105,'S50'!$C:$BQ,29,0)</f>
        <v>#N/A</v>
      </c>
      <c r="BI105" s="66" t="e">
        <f>VLOOKUP($A105,'S50'!$C:$BQ,30,0)</f>
        <v>#N/A</v>
      </c>
      <c r="BJ105" s="66" t="e">
        <f>VLOOKUP($A105,'S50'!$C:$BQ,52,0)</f>
        <v>#N/A</v>
      </c>
      <c r="BK105" s="66" t="e">
        <f>VLOOKUP($A105,'S50'!$C:$BQ,59,0)</f>
        <v>#N/A</v>
      </c>
      <c r="BL105" s="66" t="e">
        <f>VLOOKUP($A105,'S50'!$C:$BQ,60,0)</f>
        <v>#N/A</v>
      </c>
    </row>
    <row r="106" spans="1:64" x14ac:dyDescent="0.2">
      <c r="A106" s="57" t="s">
        <v>167</v>
      </c>
      <c r="B106" s="58">
        <f>VLOOKUP($A106,'S0 remplacer avec S44'!$C:$BQ,32,0)</f>
        <v>268</v>
      </c>
      <c r="C106" s="58">
        <f>VLOOKUP($A106,'S0 remplacer avec S44'!$C:$BQ,39,0)</f>
        <v>100</v>
      </c>
      <c r="D106" s="58">
        <f>VLOOKUP($A106,'S0 remplacer avec S44'!$C:$BQ,40,0)</f>
        <v>173</v>
      </c>
      <c r="E106" s="58">
        <f>VLOOKUP($A106,'S0 remplacer avec S44'!$C:$BQ,22,0)</f>
        <v>2752.7860599999999</v>
      </c>
      <c r="F106" s="66">
        <f>VLOOKUP($A106,'S0 remplacer avec S44'!$C:$BQ,29,0)</f>
        <v>586</v>
      </c>
      <c r="G106" s="66">
        <f>VLOOKUP($A106,'S0 remplacer avec S44'!$C:$BQ,30,0)</f>
        <v>1253</v>
      </c>
      <c r="H106" s="66">
        <f>VLOOKUP($A106,'S0 remplacer avec S44'!$C:$BQ,52,0)</f>
        <v>171.4</v>
      </c>
      <c r="I106" s="66">
        <f>VLOOKUP($A106,'S0 remplacer avec S44'!$C:$BQ,59,0)</f>
        <v>16</v>
      </c>
      <c r="J106" s="66">
        <f>VLOOKUP($A106,'S0 remplacer avec S44'!$C:$BQ,60,0)</f>
        <v>53</v>
      </c>
      <c r="K106" s="58">
        <f>VLOOKUP($A106,'S45'!$C:$BQ,32,0)</f>
        <v>271.10000000000002</v>
      </c>
      <c r="L106" s="58">
        <f>VLOOKUP($A106,'S45'!$C:$BQ,39,0)</f>
        <v>96</v>
      </c>
      <c r="M106" s="58">
        <f>VLOOKUP($A106,'S45'!$C:$BQ,40,0)</f>
        <v>170</v>
      </c>
      <c r="N106" s="58">
        <f>VLOOKUP($A106,'S45'!$C:$BQ,22,0)</f>
        <v>2786.35826</v>
      </c>
      <c r="O106" s="66">
        <f>VLOOKUP($A106,'S45'!$C:$BQ,29,0)</f>
        <v>552</v>
      </c>
      <c r="P106" s="66">
        <f>VLOOKUP($A106,'S45'!$C:$BQ,30,0)</f>
        <v>1220</v>
      </c>
      <c r="Q106" s="66">
        <f>VLOOKUP($A106,'S45'!$C:$BQ,52,0)</f>
        <v>179.4</v>
      </c>
      <c r="R106" s="66">
        <f>VLOOKUP($A106,'S45'!$C:$BQ,59,0)</f>
        <v>8</v>
      </c>
      <c r="S106" s="66">
        <f>VLOOKUP($A106,'S45'!$C:$BQ,60,0)</f>
        <v>45</v>
      </c>
      <c r="T106" s="58">
        <f>VLOOKUP($A106,'S46'!$C:$BQ,32,0)</f>
        <v>270.60000000000002</v>
      </c>
      <c r="U106" s="58">
        <f>VLOOKUP($A106,'S46'!$C:$BQ,39,0)</f>
        <v>97</v>
      </c>
      <c r="V106" s="58">
        <f>VLOOKUP($A106,'S46'!$C:$BQ,40,0)</f>
        <v>170</v>
      </c>
      <c r="W106" s="58">
        <f>VLOOKUP($A106,'S46'!$C:$BQ,22,0)</f>
        <v>2790.9751099999999</v>
      </c>
      <c r="X106" s="66">
        <f>VLOOKUP($A106,'S46'!$C:$BQ,29,0)</f>
        <v>548</v>
      </c>
      <c r="Y106" s="66">
        <f>VLOOKUP($A106,'S46'!$C:$BQ,30,0)</f>
        <v>1215</v>
      </c>
      <c r="Z106" s="66">
        <f>VLOOKUP($A106,'S46'!$C:$BQ,52,0)</f>
        <v>183.4</v>
      </c>
      <c r="AA106" s="66">
        <f>VLOOKUP($A106,'S46'!$C:$BQ,59,0)</f>
        <v>4</v>
      </c>
      <c r="AB106" s="66">
        <f>VLOOKUP($A106,'S46'!$C:$BQ,60,0)</f>
        <v>41</v>
      </c>
      <c r="AC106" s="58">
        <f>VLOOKUP($A106,'S47'!$C:$BQ,32,0)</f>
        <v>272.10000000000002</v>
      </c>
      <c r="AD106" s="58">
        <f>VLOOKUP($A106,'S47'!$C:$BQ,39,0)</f>
        <v>95</v>
      </c>
      <c r="AE106" s="58">
        <f>VLOOKUP($A106,'S47'!$C:$BQ,40,0)</f>
        <v>169</v>
      </c>
      <c r="AF106" s="58">
        <f>VLOOKUP($A106,'S47'!$C:$BQ,22,0)</f>
        <v>2834.3791099999999</v>
      </c>
      <c r="AG106" s="66">
        <f>VLOOKUP($A106,'S47'!$C:$BQ,29,0)</f>
        <v>504</v>
      </c>
      <c r="AH106" s="66">
        <f>VLOOKUP($A106,'S47'!$C:$BQ,30,0)</f>
        <v>1172</v>
      </c>
      <c r="AI106" s="66">
        <f>VLOOKUP($A106,'S47'!$C:$BQ,52,0)</f>
        <v>191.4</v>
      </c>
      <c r="AJ106" s="66">
        <f>VLOOKUP($A106,'S47'!$C:$BQ,59,0)</f>
        <v>0</v>
      </c>
      <c r="AK106" s="66">
        <f>VLOOKUP($A106,'S47'!$C:$BQ,60,0)</f>
        <v>33</v>
      </c>
      <c r="AL106" s="58" t="e">
        <f>VLOOKUP($A106,'S48'!$C:$BQ,32,0)</f>
        <v>#N/A</v>
      </c>
      <c r="AM106" s="58" t="e">
        <f>VLOOKUP($A106,'S48'!$C:$BQ,39,0)</f>
        <v>#N/A</v>
      </c>
      <c r="AN106" s="58" t="e">
        <f>VLOOKUP($A106,'S48'!$C:$BQ,40,0)</f>
        <v>#N/A</v>
      </c>
      <c r="AO106" s="58" t="e">
        <f>VLOOKUP($A106,'S48'!$C:$BQ,22,0)</f>
        <v>#N/A</v>
      </c>
      <c r="AP106" s="66" t="e">
        <f>VLOOKUP($A106,'S48'!$C:$BQ,29,0)</f>
        <v>#N/A</v>
      </c>
      <c r="AQ106" s="66" t="e">
        <f>VLOOKUP($A106,'S48'!$C:$BQ,30,0)</f>
        <v>#N/A</v>
      </c>
      <c r="AR106" s="66" t="e">
        <f>VLOOKUP($A106,'S48'!$C:$BQ,52,0)</f>
        <v>#N/A</v>
      </c>
      <c r="AS106" s="66" t="e">
        <f>VLOOKUP($A106,'S48'!$C:$BQ,59,0)</f>
        <v>#N/A</v>
      </c>
      <c r="AT106" s="66" t="e">
        <f>VLOOKUP($A106,'S48'!$C:$BQ,60,0)</f>
        <v>#N/A</v>
      </c>
      <c r="AU106" s="58" t="e">
        <f>VLOOKUP($A106,'S49'!$C:$BQ,32,0)</f>
        <v>#N/A</v>
      </c>
      <c r="AV106" s="58" t="e">
        <f>VLOOKUP($A106,'S49'!$C:$BQ,39,0)</f>
        <v>#N/A</v>
      </c>
      <c r="AW106" s="58" t="e">
        <f>VLOOKUP($A106,'S49'!$C:$BQ,40,0)</f>
        <v>#N/A</v>
      </c>
      <c r="AX106" s="58" t="e">
        <f>VLOOKUP($A106,'S49'!$C:$BQ,22,0)</f>
        <v>#N/A</v>
      </c>
      <c r="AY106" s="66" t="e">
        <f>VLOOKUP($A106,'S49'!$C:$BQ,29,0)</f>
        <v>#N/A</v>
      </c>
      <c r="AZ106" s="66" t="e">
        <f>VLOOKUP($A106,'S49'!$C:$BQ,30,0)</f>
        <v>#N/A</v>
      </c>
      <c r="BA106" s="66" t="e">
        <f>VLOOKUP($A106,'S49'!$C:$BQ,52,0)</f>
        <v>#N/A</v>
      </c>
      <c r="BB106" s="66" t="e">
        <f>VLOOKUP($A106,'S49'!$C:$BQ,59,0)</f>
        <v>#N/A</v>
      </c>
      <c r="BC106" s="66" t="e">
        <f>VLOOKUP($A106,'S49'!$C:$BQ,60,0)</f>
        <v>#N/A</v>
      </c>
      <c r="BD106" s="58" t="e">
        <f>VLOOKUP($A106,'S50'!$C:$BQ,32,0)</f>
        <v>#N/A</v>
      </c>
      <c r="BE106" s="58" t="e">
        <f>VLOOKUP($A106,'S50'!$C:$BQ,39,0)</f>
        <v>#N/A</v>
      </c>
      <c r="BF106" s="58" t="e">
        <f>VLOOKUP($A106,'S50'!$C:$BQ,40,0)</f>
        <v>#N/A</v>
      </c>
      <c r="BG106" s="58" t="e">
        <f>VLOOKUP($A106,'S50'!$C:$BQ,22,0)</f>
        <v>#N/A</v>
      </c>
      <c r="BH106" s="66" t="e">
        <f>VLOOKUP($A106,'S50'!$C:$BQ,29,0)</f>
        <v>#N/A</v>
      </c>
      <c r="BI106" s="66" t="e">
        <f>VLOOKUP($A106,'S50'!$C:$BQ,30,0)</f>
        <v>#N/A</v>
      </c>
      <c r="BJ106" s="66" t="e">
        <f>VLOOKUP($A106,'S50'!$C:$BQ,52,0)</f>
        <v>#N/A</v>
      </c>
      <c r="BK106" s="66" t="e">
        <f>VLOOKUP($A106,'S50'!$C:$BQ,59,0)</f>
        <v>#N/A</v>
      </c>
      <c r="BL106" s="66" t="e">
        <f>VLOOKUP($A106,'S50'!$C:$BQ,60,0)</f>
        <v>#N/A</v>
      </c>
    </row>
    <row r="107" spans="1:64" x14ac:dyDescent="0.2">
      <c r="A107" s="57" t="s">
        <v>168</v>
      </c>
      <c r="B107" s="58">
        <f>VLOOKUP($A107,'S0 remplacer avec S44'!$C:$BQ,32,0)</f>
        <v>124.85</v>
      </c>
      <c r="C107" s="58">
        <f>VLOOKUP($A107,'S0 remplacer avec S44'!$C:$BQ,39,0)</f>
        <v>65</v>
      </c>
      <c r="D107" s="58">
        <f>VLOOKUP($A107,'S0 remplacer avec S44'!$C:$BQ,40,0)</f>
        <v>102</v>
      </c>
      <c r="E107" s="58">
        <f>VLOOKUP($A107,'S0 remplacer avec S44'!$C:$BQ,22,0)</f>
        <v>1843.8243199999999</v>
      </c>
      <c r="F107" s="66">
        <f>VLOOKUP($A107,'S0 remplacer avec S44'!$C:$BQ,29,0)</f>
        <v>0</v>
      </c>
      <c r="G107" s="66">
        <f>VLOOKUP($A107,'S0 remplacer avec S44'!$C:$BQ,30,0)</f>
        <v>218</v>
      </c>
      <c r="H107" s="66">
        <f>VLOOKUP($A107,'S0 remplacer avec S44'!$C:$BQ,52,0)</f>
        <v>100.2</v>
      </c>
      <c r="I107" s="66">
        <f>VLOOKUP($A107,'S0 remplacer avec S44'!$C:$BQ,59,0)</f>
        <v>0</v>
      </c>
      <c r="J107" s="66">
        <f>VLOOKUP($A107,'S0 remplacer avec S44'!$C:$BQ,60,0)</f>
        <v>15</v>
      </c>
      <c r="K107" s="58">
        <f>VLOOKUP($A107,'S45'!$C:$BQ,32,0)</f>
        <v>127.85</v>
      </c>
      <c r="L107" s="58">
        <f>VLOOKUP($A107,'S45'!$C:$BQ,39,0)</f>
        <v>62</v>
      </c>
      <c r="M107" s="58">
        <f>VLOOKUP($A107,'S45'!$C:$BQ,40,0)</f>
        <v>99</v>
      </c>
      <c r="N107" s="58">
        <f>VLOOKUP($A107,'S45'!$C:$BQ,22,0)</f>
        <v>1871.5566100000001</v>
      </c>
      <c r="O107" s="66">
        <f>VLOOKUP($A107,'S45'!$C:$BQ,29,0)</f>
        <v>0</v>
      </c>
      <c r="P107" s="66">
        <f>VLOOKUP($A107,'S45'!$C:$BQ,30,0)</f>
        <v>190</v>
      </c>
      <c r="Q107" s="66">
        <f>VLOOKUP($A107,'S45'!$C:$BQ,52,0)</f>
        <v>103.2</v>
      </c>
      <c r="R107" s="66">
        <f>VLOOKUP($A107,'S45'!$C:$BQ,59,0)</f>
        <v>0</v>
      </c>
      <c r="S107" s="66">
        <f>VLOOKUP($A107,'S45'!$C:$BQ,60,0)</f>
        <v>12</v>
      </c>
      <c r="T107" s="58">
        <f>VLOOKUP($A107,'S46'!$C:$BQ,32,0)</f>
        <v>127.35</v>
      </c>
      <c r="U107" s="58">
        <f>VLOOKUP($A107,'S46'!$C:$BQ,39,0)</f>
        <v>62</v>
      </c>
      <c r="V107" s="58">
        <f>VLOOKUP($A107,'S46'!$C:$BQ,40,0)</f>
        <v>100</v>
      </c>
      <c r="W107" s="58">
        <f>VLOOKUP($A107,'S46'!$C:$BQ,22,0)</f>
        <v>1879.86205</v>
      </c>
      <c r="X107" s="66">
        <f>VLOOKUP($A107,'S46'!$C:$BQ,29,0)</f>
        <v>0</v>
      </c>
      <c r="Y107" s="66">
        <f>VLOOKUP($A107,'S46'!$C:$BQ,30,0)</f>
        <v>182</v>
      </c>
      <c r="Z107" s="66">
        <f>VLOOKUP($A107,'S46'!$C:$BQ,52,0)</f>
        <v>105.2</v>
      </c>
      <c r="AA107" s="66">
        <f>VLOOKUP($A107,'S46'!$C:$BQ,59,0)</f>
        <v>0</v>
      </c>
      <c r="AB107" s="66">
        <f>VLOOKUP($A107,'S46'!$C:$BQ,60,0)</f>
        <v>10</v>
      </c>
      <c r="AC107" s="58">
        <f>VLOOKUP($A107,'S47'!$C:$BQ,32,0)</f>
        <v>131.35</v>
      </c>
      <c r="AD107" s="58">
        <f>VLOOKUP($A107,'S47'!$C:$BQ,39,0)</f>
        <v>58</v>
      </c>
      <c r="AE107" s="58">
        <f>VLOOKUP($A107,'S47'!$C:$BQ,40,0)</f>
        <v>96</v>
      </c>
      <c r="AF107" s="58">
        <f>VLOOKUP($A107,'S47'!$C:$BQ,22,0)</f>
        <v>1948.52736</v>
      </c>
      <c r="AG107" s="66">
        <f>VLOOKUP($A107,'S47'!$C:$BQ,29,0)</f>
        <v>0</v>
      </c>
      <c r="AH107" s="66">
        <f>VLOOKUP($A107,'S47'!$C:$BQ,30,0)</f>
        <v>113</v>
      </c>
      <c r="AI107" s="66">
        <f>VLOOKUP($A107,'S47'!$C:$BQ,52,0)</f>
        <v>108.2</v>
      </c>
      <c r="AJ107" s="66">
        <f>VLOOKUP($A107,'S47'!$C:$BQ,59,0)</f>
        <v>0</v>
      </c>
      <c r="AK107" s="66">
        <f>VLOOKUP($A107,'S47'!$C:$BQ,60,0)</f>
        <v>7</v>
      </c>
      <c r="AL107" s="58" t="e">
        <f>VLOOKUP($A107,'S48'!$C:$BQ,32,0)</f>
        <v>#N/A</v>
      </c>
      <c r="AM107" s="58" t="e">
        <f>VLOOKUP($A107,'S48'!$C:$BQ,39,0)</f>
        <v>#N/A</v>
      </c>
      <c r="AN107" s="58" t="e">
        <f>VLOOKUP($A107,'S48'!$C:$BQ,40,0)</f>
        <v>#N/A</v>
      </c>
      <c r="AO107" s="58" t="e">
        <f>VLOOKUP($A107,'S48'!$C:$BQ,22,0)</f>
        <v>#N/A</v>
      </c>
      <c r="AP107" s="66" t="e">
        <f>VLOOKUP($A107,'S48'!$C:$BQ,29,0)</f>
        <v>#N/A</v>
      </c>
      <c r="AQ107" s="66" t="e">
        <f>VLOOKUP($A107,'S48'!$C:$BQ,30,0)</f>
        <v>#N/A</v>
      </c>
      <c r="AR107" s="66" t="e">
        <f>VLOOKUP($A107,'S48'!$C:$BQ,52,0)</f>
        <v>#N/A</v>
      </c>
      <c r="AS107" s="66" t="e">
        <f>VLOOKUP($A107,'S48'!$C:$BQ,59,0)</f>
        <v>#N/A</v>
      </c>
      <c r="AT107" s="66" t="e">
        <f>VLOOKUP($A107,'S48'!$C:$BQ,60,0)</f>
        <v>#N/A</v>
      </c>
      <c r="AU107" s="58" t="e">
        <f>VLOOKUP($A107,'S49'!$C:$BQ,32,0)</f>
        <v>#N/A</v>
      </c>
      <c r="AV107" s="58" t="e">
        <f>VLOOKUP($A107,'S49'!$C:$BQ,39,0)</f>
        <v>#N/A</v>
      </c>
      <c r="AW107" s="58" t="e">
        <f>VLOOKUP($A107,'S49'!$C:$BQ,40,0)</f>
        <v>#N/A</v>
      </c>
      <c r="AX107" s="58" t="e">
        <f>VLOOKUP($A107,'S49'!$C:$BQ,22,0)</f>
        <v>#N/A</v>
      </c>
      <c r="AY107" s="66" t="e">
        <f>VLOOKUP($A107,'S49'!$C:$BQ,29,0)</f>
        <v>#N/A</v>
      </c>
      <c r="AZ107" s="66" t="e">
        <f>VLOOKUP($A107,'S49'!$C:$BQ,30,0)</f>
        <v>#N/A</v>
      </c>
      <c r="BA107" s="66" t="e">
        <f>VLOOKUP($A107,'S49'!$C:$BQ,52,0)</f>
        <v>#N/A</v>
      </c>
      <c r="BB107" s="66" t="e">
        <f>VLOOKUP($A107,'S49'!$C:$BQ,59,0)</f>
        <v>#N/A</v>
      </c>
      <c r="BC107" s="66" t="e">
        <f>VLOOKUP($A107,'S49'!$C:$BQ,60,0)</f>
        <v>#N/A</v>
      </c>
      <c r="BD107" s="58" t="e">
        <f>VLOOKUP($A107,'S50'!$C:$BQ,32,0)</f>
        <v>#N/A</v>
      </c>
      <c r="BE107" s="58" t="e">
        <f>VLOOKUP($A107,'S50'!$C:$BQ,39,0)</f>
        <v>#N/A</v>
      </c>
      <c r="BF107" s="58" t="e">
        <f>VLOOKUP($A107,'S50'!$C:$BQ,40,0)</f>
        <v>#N/A</v>
      </c>
      <c r="BG107" s="58" t="e">
        <f>VLOOKUP($A107,'S50'!$C:$BQ,22,0)</f>
        <v>#N/A</v>
      </c>
      <c r="BH107" s="66" t="e">
        <f>VLOOKUP($A107,'S50'!$C:$BQ,29,0)</f>
        <v>#N/A</v>
      </c>
      <c r="BI107" s="66" t="e">
        <f>VLOOKUP($A107,'S50'!$C:$BQ,30,0)</f>
        <v>#N/A</v>
      </c>
      <c r="BJ107" s="66" t="e">
        <f>VLOOKUP($A107,'S50'!$C:$BQ,52,0)</f>
        <v>#N/A</v>
      </c>
      <c r="BK107" s="66" t="e">
        <f>VLOOKUP($A107,'S50'!$C:$BQ,59,0)</f>
        <v>#N/A</v>
      </c>
      <c r="BL107" s="66" t="e">
        <f>VLOOKUP($A107,'S50'!$C:$BQ,60,0)</f>
        <v>#N/A</v>
      </c>
    </row>
    <row r="108" spans="1:64" x14ac:dyDescent="0.2">
      <c r="A108" s="57" t="s">
        <v>169</v>
      </c>
      <c r="B108" s="58">
        <f>VLOOKUP($A108,'S0 remplacer avec S44'!$C:$BQ,32,0)</f>
        <v>162</v>
      </c>
      <c r="C108" s="58">
        <f>VLOOKUP($A108,'S0 remplacer avec S44'!$C:$BQ,39,0)</f>
        <v>60</v>
      </c>
      <c r="D108" s="58">
        <f>VLOOKUP($A108,'S0 remplacer avec S44'!$C:$BQ,40,0)</f>
        <v>104</v>
      </c>
      <c r="E108" s="58">
        <f>VLOOKUP($A108,'S0 remplacer avec S44'!$C:$BQ,22,0)</f>
        <v>1643.4824900000001</v>
      </c>
      <c r="F108" s="66">
        <f>VLOOKUP($A108,'S0 remplacer avec S44'!$C:$BQ,29,0)</f>
        <v>373</v>
      </c>
      <c r="G108" s="66">
        <f>VLOOKUP($A108,'S0 remplacer avec S44'!$C:$BQ,30,0)</f>
        <v>776</v>
      </c>
      <c r="H108" s="66">
        <f>VLOOKUP($A108,'S0 remplacer avec S44'!$C:$BQ,52,0)</f>
        <v>120</v>
      </c>
      <c r="I108" s="66">
        <f>VLOOKUP($A108,'S0 remplacer avec S44'!$C:$BQ,59,0)</f>
        <v>0</v>
      </c>
      <c r="J108" s="66">
        <f>VLOOKUP($A108,'S0 remplacer avec S44'!$C:$BQ,60,0)</f>
        <v>16</v>
      </c>
      <c r="K108" s="58">
        <f>VLOOKUP($A108,'S45'!$C:$BQ,32,0)</f>
        <v>163</v>
      </c>
      <c r="L108" s="58">
        <f>VLOOKUP($A108,'S45'!$C:$BQ,39,0)</f>
        <v>59</v>
      </c>
      <c r="M108" s="58">
        <f>VLOOKUP($A108,'S45'!$C:$BQ,40,0)</f>
        <v>103</v>
      </c>
      <c r="N108" s="58">
        <f>VLOOKUP($A108,'S45'!$C:$BQ,22,0)</f>
        <v>1639.4466299999999</v>
      </c>
      <c r="O108" s="66">
        <f>VLOOKUP($A108,'S45'!$C:$BQ,29,0)</f>
        <v>377</v>
      </c>
      <c r="P108" s="66">
        <f>VLOOKUP($A108,'S45'!$C:$BQ,30,0)</f>
        <v>780</v>
      </c>
      <c r="Q108" s="66">
        <f>VLOOKUP($A108,'S45'!$C:$BQ,52,0)</f>
        <v>121</v>
      </c>
      <c r="R108" s="66">
        <f>VLOOKUP($A108,'S45'!$C:$BQ,59,0)</f>
        <v>0</v>
      </c>
      <c r="S108" s="66">
        <f>VLOOKUP($A108,'S45'!$C:$BQ,60,0)</f>
        <v>15</v>
      </c>
      <c r="T108" s="58">
        <f>VLOOKUP($A108,'S46'!$C:$BQ,32,0)</f>
        <v>164</v>
      </c>
      <c r="U108" s="58">
        <f>VLOOKUP($A108,'S46'!$C:$BQ,39,0)</f>
        <v>58</v>
      </c>
      <c r="V108" s="58">
        <f>VLOOKUP($A108,'S46'!$C:$BQ,40,0)</f>
        <v>102</v>
      </c>
      <c r="W108" s="58">
        <f>VLOOKUP($A108,'S46'!$C:$BQ,22,0)</f>
        <v>1640.6866500000001</v>
      </c>
      <c r="X108" s="66">
        <f>VLOOKUP($A108,'S46'!$C:$BQ,29,0)</f>
        <v>376</v>
      </c>
      <c r="Y108" s="66">
        <f>VLOOKUP($A108,'S46'!$C:$BQ,30,0)</f>
        <v>779</v>
      </c>
      <c r="Z108" s="66">
        <f>VLOOKUP($A108,'S46'!$C:$BQ,52,0)</f>
        <v>122</v>
      </c>
      <c r="AA108" s="66">
        <f>VLOOKUP($A108,'S46'!$C:$BQ,59,0)</f>
        <v>0</v>
      </c>
      <c r="AB108" s="66">
        <f>VLOOKUP($A108,'S46'!$C:$BQ,60,0)</f>
        <v>14</v>
      </c>
      <c r="AC108" s="58">
        <f>VLOOKUP($A108,'S47'!$C:$BQ,32,0)</f>
        <v>165.5</v>
      </c>
      <c r="AD108" s="58">
        <f>VLOOKUP($A108,'S47'!$C:$BQ,39,0)</f>
        <v>57</v>
      </c>
      <c r="AE108" s="58">
        <f>VLOOKUP($A108,'S47'!$C:$BQ,40,0)</f>
        <v>101</v>
      </c>
      <c r="AF108" s="58">
        <f>VLOOKUP($A108,'S47'!$C:$BQ,22,0)</f>
        <v>1690.86365</v>
      </c>
      <c r="AG108" s="66">
        <f>VLOOKUP($A108,'S47'!$C:$BQ,29,0)</f>
        <v>325</v>
      </c>
      <c r="AH108" s="66">
        <f>VLOOKUP($A108,'S47'!$C:$BQ,30,0)</f>
        <v>729</v>
      </c>
      <c r="AI108" s="66">
        <f>VLOOKUP($A108,'S47'!$C:$BQ,52,0)</f>
        <v>124</v>
      </c>
      <c r="AJ108" s="66">
        <f>VLOOKUP($A108,'S47'!$C:$BQ,59,0)</f>
        <v>0</v>
      </c>
      <c r="AK108" s="66">
        <f>VLOOKUP($A108,'S47'!$C:$BQ,60,0)</f>
        <v>12</v>
      </c>
      <c r="AL108" s="58" t="e">
        <f>VLOOKUP($A108,'S48'!$C:$BQ,32,0)</f>
        <v>#N/A</v>
      </c>
      <c r="AM108" s="58" t="e">
        <f>VLOOKUP($A108,'S48'!$C:$BQ,39,0)</f>
        <v>#N/A</v>
      </c>
      <c r="AN108" s="58" t="e">
        <f>VLOOKUP($A108,'S48'!$C:$BQ,40,0)</f>
        <v>#N/A</v>
      </c>
      <c r="AO108" s="58" t="e">
        <f>VLOOKUP($A108,'S48'!$C:$BQ,22,0)</f>
        <v>#N/A</v>
      </c>
      <c r="AP108" s="66" t="e">
        <f>VLOOKUP($A108,'S48'!$C:$BQ,29,0)</f>
        <v>#N/A</v>
      </c>
      <c r="AQ108" s="66" t="e">
        <f>VLOOKUP($A108,'S48'!$C:$BQ,30,0)</f>
        <v>#N/A</v>
      </c>
      <c r="AR108" s="66" t="e">
        <f>VLOOKUP($A108,'S48'!$C:$BQ,52,0)</f>
        <v>#N/A</v>
      </c>
      <c r="AS108" s="66" t="e">
        <f>VLOOKUP($A108,'S48'!$C:$BQ,59,0)</f>
        <v>#N/A</v>
      </c>
      <c r="AT108" s="66" t="e">
        <f>VLOOKUP($A108,'S48'!$C:$BQ,60,0)</f>
        <v>#N/A</v>
      </c>
      <c r="AU108" s="58" t="e">
        <f>VLOOKUP($A108,'S49'!$C:$BQ,32,0)</f>
        <v>#N/A</v>
      </c>
      <c r="AV108" s="58" t="e">
        <f>VLOOKUP($A108,'S49'!$C:$BQ,39,0)</f>
        <v>#N/A</v>
      </c>
      <c r="AW108" s="58" t="e">
        <f>VLOOKUP($A108,'S49'!$C:$BQ,40,0)</f>
        <v>#N/A</v>
      </c>
      <c r="AX108" s="58" t="e">
        <f>VLOOKUP($A108,'S49'!$C:$BQ,22,0)</f>
        <v>#N/A</v>
      </c>
      <c r="AY108" s="66" t="e">
        <f>VLOOKUP($A108,'S49'!$C:$BQ,29,0)</f>
        <v>#N/A</v>
      </c>
      <c r="AZ108" s="66" t="e">
        <f>VLOOKUP($A108,'S49'!$C:$BQ,30,0)</f>
        <v>#N/A</v>
      </c>
      <c r="BA108" s="66" t="e">
        <f>VLOOKUP($A108,'S49'!$C:$BQ,52,0)</f>
        <v>#N/A</v>
      </c>
      <c r="BB108" s="66" t="e">
        <f>VLOOKUP($A108,'S49'!$C:$BQ,59,0)</f>
        <v>#N/A</v>
      </c>
      <c r="BC108" s="66" t="e">
        <f>VLOOKUP($A108,'S49'!$C:$BQ,60,0)</f>
        <v>#N/A</v>
      </c>
      <c r="BD108" s="58" t="e">
        <f>VLOOKUP($A108,'S50'!$C:$BQ,32,0)</f>
        <v>#N/A</v>
      </c>
      <c r="BE108" s="58" t="e">
        <f>VLOOKUP($A108,'S50'!$C:$BQ,39,0)</f>
        <v>#N/A</v>
      </c>
      <c r="BF108" s="58" t="e">
        <f>VLOOKUP($A108,'S50'!$C:$BQ,40,0)</f>
        <v>#N/A</v>
      </c>
      <c r="BG108" s="58" t="e">
        <f>VLOOKUP($A108,'S50'!$C:$BQ,22,0)</f>
        <v>#N/A</v>
      </c>
      <c r="BH108" s="66" t="e">
        <f>VLOOKUP($A108,'S50'!$C:$BQ,29,0)</f>
        <v>#N/A</v>
      </c>
      <c r="BI108" s="66" t="e">
        <f>VLOOKUP($A108,'S50'!$C:$BQ,30,0)</f>
        <v>#N/A</v>
      </c>
      <c r="BJ108" s="66" t="e">
        <f>VLOOKUP($A108,'S50'!$C:$BQ,52,0)</f>
        <v>#N/A</v>
      </c>
      <c r="BK108" s="66" t="e">
        <f>VLOOKUP($A108,'S50'!$C:$BQ,59,0)</f>
        <v>#N/A</v>
      </c>
      <c r="BL108" s="66" t="e">
        <f>VLOOKUP($A108,'S50'!$C:$BQ,60,0)</f>
        <v>#N/A</v>
      </c>
    </row>
    <row r="109" spans="1:64" x14ac:dyDescent="0.2">
      <c r="A109" s="57" t="s">
        <v>170</v>
      </c>
      <c r="B109" s="58">
        <f>VLOOKUP($A109,'S0 remplacer avec S44'!$C:$BQ,32,0)</f>
        <v>85.5</v>
      </c>
      <c r="C109" s="58">
        <f>VLOOKUP($A109,'S0 remplacer avec S44'!$C:$BQ,39,0)</f>
        <v>125</v>
      </c>
      <c r="D109" s="58">
        <f>VLOOKUP($A109,'S0 remplacer avec S44'!$C:$BQ,40,0)</f>
        <v>167</v>
      </c>
      <c r="E109" s="58">
        <f>VLOOKUP($A109,'S0 remplacer avec S44'!$C:$BQ,22,0)</f>
        <v>1670.8596250000001</v>
      </c>
      <c r="F109" s="66">
        <f>VLOOKUP($A109,'S0 remplacer avec S44'!$C:$BQ,29,0)</f>
        <v>238</v>
      </c>
      <c r="G109" s="66">
        <f>VLOOKUP($A109,'S0 remplacer avec S44'!$C:$BQ,30,0)</f>
        <v>620</v>
      </c>
      <c r="H109" s="66">
        <f>VLOOKUP($A109,'S0 remplacer avec S44'!$C:$BQ,52,0)</f>
        <v>99.8</v>
      </c>
      <c r="I109" s="66">
        <f>VLOOKUP($A109,'S0 remplacer avec S44'!$C:$BQ,59,0)</f>
        <v>7</v>
      </c>
      <c r="J109" s="66">
        <f>VLOOKUP($A109,'S0 remplacer avec S44'!$C:$BQ,60,0)</f>
        <v>29</v>
      </c>
      <c r="K109" s="58">
        <f>VLOOKUP($A109,'S45'!$C:$BQ,32,0)</f>
        <v>86</v>
      </c>
      <c r="L109" s="58">
        <f>VLOOKUP($A109,'S45'!$C:$BQ,39,0)</f>
        <v>124</v>
      </c>
      <c r="M109" s="58">
        <f>VLOOKUP($A109,'S45'!$C:$BQ,40,0)</f>
        <v>166</v>
      </c>
      <c r="N109" s="58">
        <f>VLOOKUP($A109,'S45'!$C:$BQ,22,0)</f>
        <v>1683.719625</v>
      </c>
      <c r="O109" s="66">
        <f>VLOOKUP($A109,'S45'!$C:$BQ,29,0)</f>
        <v>225</v>
      </c>
      <c r="P109" s="66">
        <f>VLOOKUP($A109,'S45'!$C:$BQ,30,0)</f>
        <v>607</v>
      </c>
      <c r="Q109" s="66">
        <f>VLOOKUP($A109,'S45'!$C:$BQ,52,0)</f>
        <v>100.8</v>
      </c>
      <c r="R109" s="66">
        <f>VLOOKUP($A109,'S45'!$C:$BQ,59,0)</f>
        <v>6</v>
      </c>
      <c r="S109" s="66">
        <f>VLOOKUP($A109,'S45'!$C:$BQ,60,0)</f>
        <v>28</v>
      </c>
      <c r="T109" s="58">
        <f>VLOOKUP($A109,'S46'!$C:$BQ,32,0)</f>
        <v>86.5</v>
      </c>
      <c r="U109" s="58">
        <f>VLOOKUP($A109,'S46'!$C:$BQ,39,0)</f>
        <v>124</v>
      </c>
      <c r="V109" s="58">
        <f>VLOOKUP($A109,'S46'!$C:$BQ,40,0)</f>
        <v>166</v>
      </c>
      <c r="W109" s="58">
        <f>VLOOKUP($A109,'S46'!$C:$BQ,22,0)</f>
        <v>1689.517625</v>
      </c>
      <c r="X109" s="66">
        <f>VLOOKUP($A109,'S46'!$C:$BQ,29,0)</f>
        <v>219</v>
      </c>
      <c r="Y109" s="66">
        <f>VLOOKUP($A109,'S46'!$C:$BQ,30,0)</f>
        <v>601</v>
      </c>
      <c r="Z109" s="66">
        <f>VLOOKUP($A109,'S46'!$C:$BQ,52,0)</f>
        <v>100.8</v>
      </c>
      <c r="AA109" s="66">
        <f>VLOOKUP($A109,'S46'!$C:$BQ,59,0)</f>
        <v>6</v>
      </c>
      <c r="AB109" s="66">
        <f>VLOOKUP($A109,'S46'!$C:$BQ,60,0)</f>
        <v>28</v>
      </c>
      <c r="AC109" s="58">
        <f>VLOOKUP($A109,'S47'!$C:$BQ,32,0)</f>
        <v>87.5</v>
      </c>
      <c r="AD109" s="58">
        <f>VLOOKUP($A109,'S47'!$C:$BQ,39,0)</f>
        <v>123</v>
      </c>
      <c r="AE109" s="58">
        <f>VLOOKUP($A109,'S47'!$C:$BQ,40,0)</f>
        <v>165</v>
      </c>
      <c r="AF109" s="58">
        <f>VLOOKUP($A109,'S47'!$C:$BQ,22,0)</f>
        <v>1789.500315</v>
      </c>
      <c r="AG109" s="66">
        <f>VLOOKUP($A109,'S47'!$C:$BQ,29,0)</f>
        <v>119</v>
      </c>
      <c r="AH109" s="66">
        <f>VLOOKUP($A109,'S47'!$C:$BQ,30,0)</f>
        <v>501</v>
      </c>
      <c r="AI109" s="66">
        <f>VLOOKUP($A109,'S47'!$C:$BQ,52,0)</f>
        <v>102.8</v>
      </c>
      <c r="AJ109" s="66">
        <f>VLOOKUP($A109,'S47'!$C:$BQ,59,0)</f>
        <v>4</v>
      </c>
      <c r="AK109" s="66">
        <f>VLOOKUP($A109,'S47'!$C:$BQ,60,0)</f>
        <v>26</v>
      </c>
      <c r="AL109" s="58" t="e">
        <f>VLOOKUP($A109,'S48'!$C:$BQ,32,0)</f>
        <v>#N/A</v>
      </c>
      <c r="AM109" s="58" t="e">
        <f>VLOOKUP($A109,'S48'!$C:$BQ,39,0)</f>
        <v>#N/A</v>
      </c>
      <c r="AN109" s="58" t="e">
        <f>VLOOKUP($A109,'S48'!$C:$BQ,40,0)</f>
        <v>#N/A</v>
      </c>
      <c r="AO109" s="58" t="e">
        <f>VLOOKUP($A109,'S48'!$C:$BQ,22,0)</f>
        <v>#N/A</v>
      </c>
      <c r="AP109" s="66" t="e">
        <f>VLOOKUP($A109,'S48'!$C:$BQ,29,0)</f>
        <v>#N/A</v>
      </c>
      <c r="AQ109" s="66" t="e">
        <f>VLOOKUP($A109,'S48'!$C:$BQ,30,0)</f>
        <v>#N/A</v>
      </c>
      <c r="AR109" s="66" t="e">
        <f>VLOOKUP($A109,'S48'!$C:$BQ,52,0)</f>
        <v>#N/A</v>
      </c>
      <c r="AS109" s="66" t="e">
        <f>VLOOKUP($A109,'S48'!$C:$BQ,59,0)</f>
        <v>#N/A</v>
      </c>
      <c r="AT109" s="66" t="e">
        <f>VLOOKUP($A109,'S48'!$C:$BQ,60,0)</f>
        <v>#N/A</v>
      </c>
      <c r="AU109" s="58" t="e">
        <f>VLOOKUP($A109,'S49'!$C:$BQ,32,0)</f>
        <v>#N/A</v>
      </c>
      <c r="AV109" s="58" t="e">
        <f>VLOOKUP($A109,'S49'!$C:$BQ,39,0)</f>
        <v>#N/A</v>
      </c>
      <c r="AW109" s="58" t="e">
        <f>VLOOKUP($A109,'S49'!$C:$BQ,40,0)</f>
        <v>#N/A</v>
      </c>
      <c r="AX109" s="58" t="e">
        <f>VLOOKUP($A109,'S49'!$C:$BQ,22,0)</f>
        <v>#N/A</v>
      </c>
      <c r="AY109" s="66" t="e">
        <f>VLOOKUP($A109,'S49'!$C:$BQ,29,0)</f>
        <v>#N/A</v>
      </c>
      <c r="AZ109" s="66" t="e">
        <f>VLOOKUP($A109,'S49'!$C:$BQ,30,0)</f>
        <v>#N/A</v>
      </c>
      <c r="BA109" s="66" t="e">
        <f>VLOOKUP($A109,'S49'!$C:$BQ,52,0)</f>
        <v>#N/A</v>
      </c>
      <c r="BB109" s="66" t="e">
        <f>VLOOKUP($A109,'S49'!$C:$BQ,59,0)</f>
        <v>#N/A</v>
      </c>
      <c r="BC109" s="66" t="e">
        <f>VLOOKUP($A109,'S49'!$C:$BQ,60,0)</f>
        <v>#N/A</v>
      </c>
      <c r="BD109" s="58" t="e">
        <f>VLOOKUP($A109,'S50'!$C:$BQ,32,0)</f>
        <v>#N/A</v>
      </c>
      <c r="BE109" s="58" t="e">
        <f>VLOOKUP($A109,'S50'!$C:$BQ,39,0)</f>
        <v>#N/A</v>
      </c>
      <c r="BF109" s="58" t="e">
        <f>VLOOKUP($A109,'S50'!$C:$BQ,40,0)</f>
        <v>#N/A</v>
      </c>
      <c r="BG109" s="58" t="e">
        <f>VLOOKUP($A109,'S50'!$C:$BQ,22,0)</f>
        <v>#N/A</v>
      </c>
      <c r="BH109" s="66" t="e">
        <f>VLOOKUP($A109,'S50'!$C:$BQ,29,0)</f>
        <v>#N/A</v>
      </c>
      <c r="BI109" s="66" t="e">
        <f>VLOOKUP($A109,'S50'!$C:$BQ,30,0)</f>
        <v>#N/A</v>
      </c>
      <c r="BJ109" s="66" t="e">
        <f>VLOOKUP($A109,'S50'!$C:$BQ,52,0)</f>
        <v>#N/A</v>
      </c>
      <c r="BK109" s="66" t="e">
        <f>VLOOKUP($A109,'S50'!$C:$BQ,59,0)</f>
        <v>#N/A</v>
      </c>
      <c r="BL109" s="66" t="e">
        <f>VLOOKUP($A109,'S50'!$C:$BQ,60,0)</f>
        <v>#N/A</v>
      </c>
    </row>
    <row r="110" spans="1:64" x14ac:dyDescent="0.2">
      <c r="A110" s="57" t="s">
        <v>171</v>
      </c>
      <c r="B110" s="58">
        <f>VLOOKUP($A110,'S0 remplacer avec S44'!$C:$BQ,32,0)</f>
        <v>341.05</v>
      </c>
      <c r="C110" s="58">
        <f>VLOOKUP($A110,'S0 remplacer avec S44'!$C:$BQ,39,0)</f>
        <v>141</v>
      </c>
      <c r="D110" s="58">
        <f>VLOOKUP($A110,'S0 remplacer avec S44'!$C:$BQ,40,0)</f>
        <v>237</v>
      </c>
      <c r="E110" s="58">
        <f>VLOOKUP($A110,'S0 remplacer avec S44'!$C:$BQ,22,0)</f>
        <v>3969.4122000000002</v>
      </c>
      <c r="F110" s="66">
        <f>VLOOKUP($A110,'S0 remplacer avec S44'!$C:$BQ,29,0)</f>
        <v>411</v>
      </c>
      <c r="G110" s="66">
        <f>VLOOKUP($A110,'S0 remplacer avec S44'!$C:$BQ,30,0)</f>
        <v>1287</v>
      </c>
      <c r="H110" s="66">
        <f>VLOOKUP($A110,'S0 remplacer avec S44'!$C:$BQ,52,0)</f>
        <v>205.4</v>
      </c>
      <c r="I110" s="66">
        <f>VLOOKUP($A110,'S0 remplacer avec S44'!$C:$BQ,59,0)</f>
        <v>40</v>
      </c>
      <c r="J110" s="66">
        <f>VLOOKUP($A110,'S0 remplacer avec S44'!$C:$BQ,60,0)</f>
        <v>89</v>
      </c>
      <c r="K110" s="58">
        <f>VLOOKUP($A110,'S45'!$C:$BQ,32,0)</f>
        <v>346.05</v>
      </c>
      <c r="L110" s="58">
        <f>VLOOKUP($A110,'S45'!$C:$BQ,39,0)</f>
        <v>136</v>
      </c>
      <c r="M110" s="58">
        <f>VLOOKUP($A110,'S45'!$C:$BQ,40,0)</f>
        <v>232</v>
      </c>
      <c r="N110" s="58">
        <f>VLOOKUP($A110,'S45'!$C:$BQ,22,0)</f>
        <v>4061.49098</v>
      </c>
      <c r="O110" s="66">
        <f>VLOOKUP($A110,'S45'!$C:$BQ,29,0)</f>
        <v>319</v>
      </c>
      <c r="P110" s="66">
        <f>VLOOKUP($A110,'S45'!$C:$BQ,30,0)</f>
        <v>1195</v>
      </c>
      <c r="Q110" s="66">
        <f>VLOOKUP($A110,'S45'!$C:$BQ,52,0)</f>
        <v>208.4</v>
      </c>
      <c r="R110" s="66">
        <f>VLOOKUP($A110,'S45'!$C:$BQ,59,0)</f>
        <v>37</v>
      </c>
      <c r="S110" s="66">
        <f>VLOOKUP($A110,'S45'!$C:$BQ,60,0)</f>
        <v>86</v>
      </c>
      <c r="T110" s="58">
        <f>VLOOKUP($A110,'S46'!$C:$BQ,32,0)</f>
        <v>348.05</v>
      </c>
      <c r="U110" s="58">
        <f>VLOOKUP($A110,'S46'!$C:$BQ,39,0)</f>
        <v>134</v>
      </c>
      <c r="V110" s="58">
        <f>VLOOKUP($A110,'S46'!$C:$BQ,40,0)</f>
        <v>230</v>
      </c>
      <c r="W110" s="58">
        <f>VLOOKUP($A110,'S46'!$C:$BQ,22,0)</f>
        <v>4088.57654</v>
      </c>
      <c r="X110" s="66">
        <f>VLOOKUP($A110,'S46'!$C:$BQ,29,0)</f>
        <v>292</v>
      </c>
      <c r="Y110" s="66">
        <f>VLOOKUP($A110,'S46'!$C:$BQ,30,0)</f>
        <v>1168</v>
      </c>
      <c r="Z110" s="66">
        <f>VLOOKUP($A110,'S46'!$C:$BQ,52,0)</f>
        <v>211.4</v>
      </c>
      <c r="AA110" s="66">
        <f>VLOOKUP($A110,'S46'!$C:$BQ,59,0)</f>
        <v>34</v>
      </c>
      <c r="AB110" s="66">
        <f>VLOOKUP($A110,'S46'!$C:$BQ,60,0)</f>
        <v>83</v>
      </c>
      <c r="AC110" s="58">
        <f>VLOOKUP($A110,'S47'!$C:$BQ,32,0)</f>
        <v>357.05</v>
      </c>
      <c r="AD110" s="58">
        <f>VLOOKUP($A110,'S47'!$C:$BQ,39,0)</f>
        <v>125</v>
      </c>
      <c r="AE110" s="58">
        <f>VLOOKUP($A110,'S47'!$C:$BQ,40,0)</f>
        <v>221</v>
      </c>
      <c r="AF110" s="58">
        <f>VLOOKUP($A110,'S47'!$C:$BQ,22,0)</f>
        <v>4315.3844799999997</v>
      </c>
      <c r="AG110" s="66">
        <f>VLOOKUP($A110,'S47'!$C:$BQ,29,0)</f>
        <v>65</v>
      </c>
      <c r="AH110" s="66">
        <f>VLOOKUP($A110,'S47'!$C:$BQ,30,0)</f>
        <v>941</v>
      </c>
      <c r="AI110" s="66">
        <f>VLOOKUP($A110,'S47'!$C:$BQ,52,0)</f>
        <v>220.4</v>
      </c>
      <c r="AJ110" s="66">
        <f>VLOOKUP($A110,'S47'!$C:$BQ,59,0)</f>
        <v>25</v>
      </c>
      <c r="AK110" s="66">
        <f>VLOOKUP($A110,'S47'!$C:$BQ,60,0)</f>
        <v>74</v>
      </c>
      <c r="AL110" s="58" t="e">
        <f>VLOOKUP($A110,'S48'!$C:$BQ,32,0)</f>
        <v>#N/A</v>
      </c>
      <c r="AM110" s="58" t="e">
        <f>VLOOKUP($A110,'S48'!$C:$BQ,39,0)</f>
        <v>#N/A</v>
      </c>
      <c r="AN110" s="58" t="e">
        <f>VLOOKUP($A110,'S48'!$C:$BQ,40,0)</f>
        <v>#N/A</v>
      </c>
      <c r="AO110" s="58" t="e">
        <f>VLOOKUP($A110,'S48'!$C:$BQ,22,0)</f>
        <v>#N/A</v>
      </c>
      <c r="AP110" s="66" t="e">
        <f>VLOOKUP($A110,'S48'!$C:$BQ,29,0)</f>
        <v>#N/A</v>
      </c>
      <c r="AQ110" s="66" t="e">
        <f>VLOOKUP($A110,'S48'!$C:$BQ,30,0)</f>
        <v>#N/A</v>
      </c>
      <c r="AR110" s="66" t="e">
        <f>VLOOKUP($A110,'S48'!$C:$BQ,52,0)</f>
        <v>#N/A</v>
      </c>
      <c r="AS110" s="66" t="e">
        <f>VLOOKUP($A110,'S48'!$C:$BQ,59,0)</f>
        <v>#N/A</v>
      </c>
      <c r="AT110" s="66" t="e">
        <f>VLOOKUP($A110,'S48'!$C:$BQ,60,0)</f>
        <v>#N/A</v>
      </c>
      <c r="AU110" s="58" t="e">
        <f>VLOOKUP($A110,'S49'!$C:$BQ,32,0)</f>
        <v>#N/A</v>
      </c>
      <c r="AV110" s="58" t="e">
        <f>VLOOKUP($A110,'S49'!$C:$BQ,39,0)</f>
        <v>#N/A</v>
      </c>
      <c r="AW110" s="58" t="e">
        <f>VLOOKUP($A110,'S49'!$C:$BQ,40,0)</f>
        <v>#N/A</v>
      </c>
      <c r="AX110" s="58" t="e">
        <f>VLOOKUP($A110,'S49'!$C:$BQ,22,0)</f>
        <v>#N/A</v>
      </c>
      <c r="AY110" s="66" t="e">
        <f>VLOOKUP($A110,'S49'!$C:$BQ,29,0)</f>
        <v>#N/A</v>
      </c>
      <c r="AZ110" s="66" t="e">
        <f>VLOOKUP($A110,'S49'!$C:$BQ,30,0)</f>
        <v>#N/A</v>
      </c>
      <c r="BA110" s="66" t="e">
        <f>VLOOKUP($A110,'S49'!$C:$BQ,52,0)</f>
        <v>#N/A</v>
      </c>
      <c r="BB110" s="66" t="e">
        <f>VLOOKUP($A110,'S49'!$C:$BQ,59,0)</f>
        <v>#N/A</v>
      </c>
      <c r="BC110" s="66" t="e">
        <f>VLOOKUP($A110,'S49'!$C:$BQ,60,0)</f>
        <v>#N/A</v>
      </c>
      <c r="BD110" s="58" t="e">
        <f>VLOOKUP($A110,'S50'!$C:$BQ,32,0)</f>
        <v>#N/A</v>
      </c>
      <c r="BE110" s="58" t="e">
        <f>VLOOKUP($A110,'S50'!$C:$BQ,39,0)</f>
        <v>#N/A</v>
      </c>
      <c r="BF110" s="58" t="e">
        <f>VLOOKUP($A110,'S50'!$C:$BQ,40,0)</f>
        <v>#N/A</v>
      </c>
      <c r="BG110" s="58" t="e">
        <f>VLOOKUP($A110,'S50'!$C:$BQ,22,0)</f>
        <v>#N/A</v>
      </c>
      <c r="BH110" s="66" t="e">
        <f>VLOOKUP($A110,'S50'!$C:$BQ,29,0)</f>
        <v>#N/A</v>
      </c>
      <c r="BI110" s="66" t="e">
        <f>VLOOKUP($A110,'S50'!$C:$BQ,30,0)</f>
        <v>#N/A</v>
      </c>
      <c r="BJ110" s="66" t="e">
        <f>VLOOKUP($A110,'S50'!$C:$BQ,52,0)</f>
        <v>#N/A</v>
      </c>
      <c r="BK110" s="66" t="e">
        <f>VLOOKUP($A110,'S50'!$C:$BQ,59,0)</f>
        <v>#N/A</v>
      </c>
      <c r="BL110" s="66" t="e">
        <f>VLOOKUP($A110,'S50'!$C:$BQ,60,0)</f>
        <v>#N/A</v>
      </c>
    </row>
    <row r="111" spans="1:64" x14ac:dyDescent="0.2">
      <c r="A111" s="57" t="s">
        <v>172</v>
      </c>
      <c r="B111" s="58">
        <f>VLOOKUP($A111,'S0 remplacer avec S44'!$C:$BQ,32,0)</f>
        <v>229.6</v>
      </c>
      <c r="C111" s="58">
        <f>VLOOKUP($A111,'S0 remplacer avec S44'!$C:$BQ,39,0)</f>
        <v>152</v>
      </c>
      <c r="D111" s="58">
        <f>VLOOKUP($A111,'S0 remplacer avec S44'!$C:$BQ,40,0)</f>
        <v>228</v>
      </c>
      <c r="E111" s="58">
        <f>VLOOKUP($A111,'S0 remplacer avec S44'!$C:$BQ,22,0)</f>
        <v>3925.9583050000001</v>
      </c>
      <c r="F111" s="66">
        <f>VLOOKUP($A111,'S0 remplacer avec S44'!$C:$BQ,29,0)</f>
        <v>0</v>
      </c>
      <c r="G111" s="66">
        <f>VLOOKUP($A111,'S0 remplacer avec S44'!$C:$BQ,30,0)</f>
        <v>231</v>
      </c>
      <c r="H111" s="66">
        <f>VLOOKUP($A111,'S0 remplacer avec S44'!$C:$BQ,52,0)</f>
        <v>194.2</v>
      </c>
      <c r="I111" s="66">
        <f>VLOOKUP($A111,'S0 remplacer avec S44'!$C:$BQ,59,0)</f>
        <v>0</v>
      </c>
      <c r="J111" s="66">
        <f>VLOOKUP($A111,'S0 remplacer avec S44'!$C:$BQ,60,0)</f>
        <v>38</v>
      </c>
      <c r="K111" s="58">
        <f>VLOOKUP($A111,'S45'!$C:$BQ,32,0)</f>
        <v>236.1</v>
      </c>
      <c r="L111" s="58">
        <f>VLOOKUP($A111,'S45'!$C:$BQ,39,0)</f>
        <v>145</v>
      </c>
      <c r="M111" s="58">
        <f>VLOOKUP($A111,'S45'!$C:$BQ,40,0)</f>
        <v>221</v>
      </c>
      <c r="N111" s="58">
        <f>VLOOKUP($A111,'S45'!$C:$BQ,22,0)</f>
        <v>3999.6817150000002</v>
      </c>
      <c r="O111" s="66">
        <f>VLOOKUP($A111,'S45'!$C:$BQ,29,0)</f>
        <v>0</v>
      </c>
      <c r="P111" s="66">
        <f>VLOOKUP($A111,'S45'!$C:$BQ,30,0)</f>
        <v>157</v>
      </c>
      <c r="Q111" s="66">
        <f>VLOOKUP($A111,'S45'!$C:$BQ,52,0)</f>
        <v>203.2</v>
      </c>
      <c r="R111" s="66">
        <f>VLOOKUP($A111,'S45'!$C:$BQ,59,0)</f>
        <v>0</v>
      </c>
      <c r="S111" s="66">
        <f>VLOOKUP($A111,'S45'!$C:$BQ,60,0)</f>
        <v>29</v>
      </c>
      <c r="T111" s="58">
        <f>VLOOKUP($A111,'S46'!$C:$BQ,32,0)</f>
        <v>235.1</v>
      </c>
      <c r="U111" s="58">
        <f>VLOOKUP($A111,'S46'!$C:$BQ,39,0)</f>
        <v>146</v>
      </c>
      <c r="V111" s="58">
        <f>VLOOKUP($A111,'S46'!$C:$BQ,40,0)</f>
        <v>222</v>
      </c>
      <c r="W111" s="58">
        <f>VLOOKUP($A111,'S46'!$C:$BQ,22,0)</f>
        <v>4010.9373949999999</v>
      </c>
      <c r="X111" s="66">
        <f>VLOOKUP($A111,'S46'!$C:$BQ,29,0)</f>
        <v>0</v>
      </c>
      <c r="Y111" s="66">
        <f>VLOOKUP($A111,'S46'!$C:$BQ,30,0)</f>
        <v>146</v>
      </c>
      <c r="Z111" s="66">
        <f>VLOOKUP($A111,'S46'!$C:$BQ,52,0)</f>
        <v>204.2</v>
      </c>
      <c r="AA111" s="66">
        <f>VLOOKUP($A111,'S46'!$C:$BQ,59,0)</f>
        <v>0</v>
      </c>
      <c r="AB111" s="66">
        <f>VLOOKUP($A111,'S46'!$C:$BQ,60,0)</f>
        <v>28</v>
      </c>
      <c r="AC111" s="58">
        <f>VLOOKUP($A111,'S47'!$C:$BQ,32,0)</f>
        <v>239.1</v>
      </c>
      <c r="AD111" s="58">
        <f>VLOOKUP($A111,'S47'!$C:$BQ,39,0)</f>
        <v>142</v>
      </c>
      <c r="AE111" s="58">
        <f>VLOOKUP($A111,'S47'!$C:$BQ,40,0)</f>
        <v>218</v>
      </c>
      <c r="AF111" s="58">
        <f>VLOOKUP($A111,'S47'!$C:$BQ,22,0)</f>
        <v>4086.9340149999998</v>
      </c>
      <c r="AG111" s="66">
        <f>VLOOKUP($A111,'S47'!$C:$BQ,29,0)</f>
        <v>0</v>
      </c>
      <c r="AH111" s="66">
        <f>VLOOKUP($A111,'S47'!$C:$BQ,30,0)</f>
        <v>70</v>
      </c>
      <c r="AI111" s="66">
        <f>VLOOKUP($A111,'S47'!$C:$BQ,52,0)</f>
        <v>213.2</v>
      </c>
      <c r="AJ111" s="66">
        <f>VLOOKUP($A111,'S47'!$C:$BQ,59,0)</f>
        <v>0</v>
      </c>
      <c r="AK111" s="66">
        <f>VLOOKUP($A111,'S47'!$C:$BQ,60,0)</f>
        <v>19</v>
      </c>
      <c r="AL111" s="58" t="e">
        <f>VLOOKUP($A111,'S48'!$C:$BQ,32,0)</f>
        <v>#N/A</v>
      </c>
      <c r="AM111" s="58" t="e">
        <f>VLOOKUP($A111,'S48'!$C:$BQ,39,0)</f>
        <v>#N/A</v>
      </c>
      <c r="AN111" s="58" t="e">
        <f>VLOOKUP($A111,'S48'!$C:$BQ,40,0)</f>
        <v>#N/A</v>
      </c>
      <c r="AO111" s="58" t="e">
        <f>VLOOKUP($A111,'S48'!$C:$BQ,22,0)</f>
        <v>#N/A</v>
      </c>
      <c r="AP111" s="66" t="e">
        <f>VLOOKUP($A111,'S48'!$C:$BQ,29,0)</f>
        <v>#N/A</v>
      </c>
      <c r="AQ111" s="66" t="e">
        <f>VLOOKUP($A111,'S48'!$C:$BQ,30,0)</f>
        <v>#N/A</v>
      </c>
      <c r="AR111" s="66" t="e">
        <f>VLOOKUP($A111,'S48'!$C:$BQ,52,0)</f>
        <v>#N/A</v>
      </c>
      <c r="AS111" s="66" t="e">
        <f>VLOOKUP($A111,'S48'!$C:$BQ,59,0)</f>
        <v>#N/A</v>
      </c>
      <c r="AT111" s="66" t="e">
        <f>VLOOKUP($A111,'S48'!$C:$BQ,60,0)</f>
        <v>#N/A</v>
      </c>
      <c r="AU111" s="58" t="e">
        <f>VLOOKUP($A111,'S49'!$C:$BQ,32,0)</f>
        <v>#N/A</v>
      </c>
      <c r="AV111" s="58" t="e">
        <f>VLOOKUP($A111,'S49'!$C:$BQ,39,0)</f>
        <v>#N/A</v>
      </c>
      <c r="AW111" s="58" t="e">
        <f>VLOOKUP($A111,'S49'!$C:$BQ,40,0)</f>
        <v>#N/A</v>
      </c>
      <c r="AX111" s="58" t="e">
        <f>VLOOKUP($A111,'S49'!$C:$BQ,22,0)</f>
        <v>#N/A</v>
      </c>
      <c r="AY111" s="66" t="e">
        <f>VLOOKUP($A111,'S49'!$C:$BQ,29,0)</f>
        <v>#N/A</v>
      </c>
      <c r="AZ111" s="66" t="e">
        <f>VLOOKUP($A111,'S49'!$C:$BQ,30,0)</f>
        <v>#N/A</v>
      </c>
      <c r="BA111" s="66" t="e">
        <f>VLOOKUP($A111,'S49'!$C:$BQ,52,0)</f>
        <v>#N/A</v>
      </c>
      <c r="BB111" s="66" t="e">
        <f>VLOOKUP($A111,'S49'!$C:$BQ,59,0)</f>
        <v>#N/A</v>
      </c>
      <c r="BC111" s="66" t="e">
        <f>VLOOKUP($A111,'S49'!$C:$BQ,60,0)</f>
        <v>#N/A</v>
      </c>
      <c r="BD111" s="58" t="e">
        <f>VLOOKUP($A111,'S50'!$C:$BQ,32,0)</f>
        <v>#N/A</v>
      </c>
      <c r="BE111" s="58" t="e">
        <f>VLOOKUP($A111,'S50'!$C:$BQ,39,0)</f>
        <v>#N/A</v>
      </c>
      <c r="BF111" s="58" t="e">
        <f>VLOOKUP($A111,'S50'!$C:$BQ,40,0)</f>
        <v>#N/A</v>
      </c>
      <c r="BG111" s="58" t="e">
        <f>VLOOKUP($A111,'S50'!$C:$BQ,22,0)</f>
        <v>#N/A</v>
      </c>
      <c r="BH111" s="66" t="e">
        <f>VLOOKUP($A111,'S50'!$C:$BQ,29,0)</f>
        <v>#N/A</v>
      </c>
      <c r="BI111" s="66" t="e">
        <f>VLOOKUP($A111,'S50'!$C:$BQ,30,0)</f>
        <v>#N/A</v>
      </c>
      <c r="BJ111" s="66" t="e">
        <f>VLOOKUP($A111,'S50'!$C:$BQ,52,0)</f>
        <v>#N/A</v>
      </c>
      <c r="BK111" s="66" t="e">
        <f>VLOOKUP($A111,'S50'!$C:$BQ,59,0)</f>
        <v>#N/A</v>
      </c>
      <c r="BL111" s="66" t="e">
        <f>VLOOKUP($A111,'S50'!$C:$BQ,60,0)</f>
        <v>#N/A</v>
      </c>
    </row>
    <row r="112" spans="1:64" x14ac:dyDescent="0.2">
      <c r="A112" s="57" t="s">
        <v>173</v>
      </c>
      <c r="B112" s="58">
        <f>VLOOKUP($A112,'S0 remplacer avec S44'!$C:$BQ,32,0)</f>
        <v>251.55</v>
      </c>
      <c r="C112" s="58">
        <f>VLOOKUP($A112,'S0 remplacer avec S44'!$C:$BQ,39,0)</f>
        <v>2</v>
      </c>
      <c r="D112" s="58">
        <f>VLOOKUP($A112,'S0 remplacer avec S44'!$C:$BQ,40,0)</f>
        <v>52</v>
      </c>
      <c r="E112" s="58">
        <f>VLOOKUP($A112,'S0 remplacer avec S44'!$C:$BQ,22,0)</f>
        <v>3343.492405</v>
      </c>
      <c r="F112" s="66">
        <f>VLOOKUP($A112,'S0 remplacer avec S44'!$C:$BQ,29,0)</f>
        <v>0</v>
      </c>
      <c r="G112" s="66">
        <f>VLOOKUP($A112,'S0 remplacer avec S44'!$C:$BQ,30,0)</f>
        <v>0</v>
      </c>
      <c r="H112" s="66">
        <f>VLOOKUP($A112,'S0 remplacer avec S44'!$C:$BQ,52,0)</f>
        <v>127.4</v>
      </c>
      <c r="I112" s="66">
        <f>VLOOKUP($A112,'S0 remplacer avec S44'!$C:$BQ,59,0)</f>
        <v>1</v>
      </c>
      <c r="J112" s="66">
        <f>VLOOKUP($A112,'S0 remplacer avec S44'!$C:$BQ,60,0)</f>
        <v>27</v>
      </c>
      <c r="K112" s="58">
        <f>VLOOKUP($A112,'S45'!$C:$BQ,32,0)</f>
        <v>258.55</v>
      </c>
      <c r="L112" s="58">
        <f>VLOOKUP($A112,'S45'!$C:$BQ,39,0)</f>
        <v>0</v>
      </c>
      <c r="M112" s="58">
        <f>VLOOKUP($A112,'S45'!$C:$BQ,40,0)</f>
        <v>45</v>
      </c>
      <c r="N112" s="58">
        <f>VLOOKUP($A112,'S45'!$C:$BQ,22,0)</f>
        <v>3396.7458550000001</v>
      </c>
      <c r="O112" s="66">
        <f>VLOOKUP($A112,'S45'!$C:$BQ,29,0)</f>
        <v>0</v>
      </c>
      <c r="P112" s="66">
        <f>VLOOKUP($A112,'S45'!$C:$BQ,30,0)</f>
        <v>0</v>
      </c>
      <c r="Q112" s="66">
        <f>VLOOKUP($A112,'S45'!$C:$BQ,52,0)</f>
        <v>128.4</v>
      </c>
      <c r="R112" s="66">
        <f>VLOOKUP($A112,'S45'!$C:$BQ,59,0)</f>
        <v>0</v>
      </c>
      <c r="S112" s="66">
        <f>VLOOKUP($A112,'S45'!$C:$BQ,60,0)</f>
        <v>26</v>
      </c>
      <c r="T112" s="58">
        <f>VLOOKUP($A112,'S46'!$C:$BQ,32,0)</f>
        <v>260.05</v>
      </c>
      <c r="U112" s="58">
        <f>VLOOKUP($A112,'S46'!$C:$BQ,39,0)</f>
        <v>0</v>
      </c>
      <c r="V112" s="58">
        <f>VLOOKUP($A112,'S46'!$C:$BQ,40,0)</f>
        <v>44</v>
      </c>
      <c r="W112" s="58">
        <f>VLOOKUP($A112,'S46'!$C:$BQ,22,0)</f>
        <v>3401.3980150000002</v>
      </c>
      <c r="X112" s="66">
        <f>VLOOKUP($A112,'S46'!$C:$BQ,29,0)</f>
        <v>0</v>
      </c>
      <c r="Y112" s="66">
        <f>VLOOKUP($A112,'S46'!$C:$BQ,30,0)</f>
        <v>0</v>
      </c>
      <c r="Z112" s="66">
        <f>VLOOKUP($A112,'S46'!$C:$BQ,52,0)</f>
        <v>129.4</v>
      </c>
      <c r="AA112" s="66">
        <f>VLOOKUP($A112,'S46'!$C:$BQ,59,0)</f>
        <v>0</v>
      </c>
      <c r="AB112" s="66">
        <f>VLOOKUP($A112,'S46'!$C:$BQ,60,0)</f>
        <v>25</v>
      </c>
      <c r="AC112" s="58">
        <f>VLOOKUP($A112,'S47'!$C:$BQ,32,0)</f>
        <v>267.05</v>
      </c>
      <c r="AD112" s="58">
        <f>VLOOKUP($A112,'S47'!$C:$BQ,39,0)</f>
        <v>0</v>
      </c>
      <c r="AE112" s="58">
        <f>VLOOKUP($A112,'S47'!$C:$BQ,40,0)</f>
        <v>37</v>
      </c>
      <c r="AF112" s="58">
        <f>VLOOKUP($A112,'S47'!$C:$BQ,22,0)</f>
        <v>3414.3165650000001</v>
      </c>
      <c r="AG112" s="66">
        <f>VLOOKUP($A112,'S47'!$C:$BQ,29,0)</f>
        <v>0</v>
      </c>
      <c r="AH112" s="66">
        <f>VLOOKUP($A112,'S47'!$C:$BQ,30,0)</f>
        <v>0</v>
      </c>
      <c r="AI112" s="66">
        <f>VLOOKUP($A112,'S47'!$C:$BQ,52,0)</f>
        <v>130.4</v>
      </c>
      <c r="AJ112" s="66">
        <f>VLOOKUP($A112,'S47'!$C:$BQ,59,0)</f>
        <v>0</v>
      </c>
      <c r="AK112" s="66">
        <f>VLOOKUP($A112,'S47'!$C:$BQ,60,0)</f>
        <v>24</v>
      </c>
      <c r="AL112" s="58" t="e">
        <f>VLOOKUP($A112,'S48'!$C:$BQ,32,0)</f>
        <v>#N/A</v>
      </c>
      <c r="AM112" s="58" t="e">
        <f>VLOOKUP($A112,'S48'!$C:$BQ,39,0)</f>
        <v>#N/A</v>
      </c>
      <c r="AN112" s="58" t="e">
        <f>VLOOKUP($A112,'S48'!$C:$BQ,40,0)</f>
        <v>#N/A</v>
      </c>
      <c r="AO112" s="58" t="e">
        <f>VLOOKUP($A112,'S48'!$C:$BQ,22,0)</f>
        <v>#N/A</v>
      </c>
      <c r="AP112" s="66" t="e">
        <f>VLOOKUP($A112,'S48'!$C:$BQ,29,0)</f>
        <v>#N/A</v>
      </c>
      <c r="AQ112" s="66" t="e">
        <f>VLOOKUP($A112,'S48'!$C:$BQ,30,0)</f>
        <v>#N/A</v>
      </c>
      <c r="AR112" s="66" t="e">
        <f>VLOOKUP($A112,'S48'!$C:$BQ,52,0)</f>
        <v>#N/A</v>
      </c>
      <c r="AS112" s="66" t="e">
        <f>VLOOKUP($A112,'S48'!$C:$BQ,59,0)</f>
        <v>#N/A</v>
      </c>
      <c r="AT112" s="66" t="e">
        <f>VLOOKUP($A112,'S48'!$C:$BQ,60,0)</f>
        <v>#N/A</v>
      </c>
      <c r="AU112" s="58" t="e">
        <f>VLOOKUP($A112,'S49'!$C:$BQ,32,0)</f>
        <v>#N/A</v>
      </c>
      <c r="AV112" s="58" t="e">
        <f>VLOOKUP($A112,'S49'!$C:$BQ,39,0)</f>
        <v>#N/A</v>
      </c>
      <c r="AW112" s="58" t="e">
        <f>VLOOKUP($A112,'S49'!$C:$BQ,40,0)</f>
        <v>#N/A</v>
      </c>
      <c r="AX112" s="58" t="e">
        <f>VLOOKUP($A112,'S49'!$C:$BQ,22,0)</f>
        <v>#N/A</v>
      </c>
      <c r="AY112" s="66" t="e">
        <f>VLOOKUP($A112,'S49'!$C:$BQ,29,0)</f>
        <v>#N/A</v>
      </c>
      <c r="AZ112" s="66" t="e">
        <f>VLOOKUP($A112,'S49'!$C:$BQ,30,0)</f>
        <v>#N/A</v>
      </c>
      <c r="BA112" s="66" t="e">
        <f>VLOOKUP($A112,'S49'!$C:$BQ,52,0)</f>
        <v>#N/A</v>
      </c>
      <c r="BB112" s="66" t="e">
        <f>VLOOKUP($A112,'S49'!$C:$BQ,59,0)</f>
        <v>#N/A</v>
      </c>
      <c r="BC112" s="66" t="e">
        <f>VLOOKUP($A112,'S49'!$C:$BQ,60,0)</f>
        <v>#N/A</v>
      </c>
      <c r="BD112" s="58" t="e">
        <f>VLOOKUP($A112,'S50'!$C:$BQ,32,0)</f>
        <v>#N/A</v>
      </c>
      <c r="BE112" s="58" t="e">
        <f>VLOOKUP($A112,'S50'!$C:$BQ,39,0)</f>
        <v>#N/A</v>
      </c>
      <c r="BF112" s="58" t="e">
        <f>VLOOKUP($A112,'S50'!$C:$BQ,40,0)</f>
        <v>#N/A</v>
      </c>
      <c r="BG112" s="58" t="e">
        <f>VLOOKUP($A112,'S50'!$C:$BQ,22,0)</f>
        <v>#N/A</v>
      </c>
      <c r="BH112" s="66" t="e">
        <f>VLOOKUP($A112,'S50'!$C:$BQ,29,0)</f>
        <v>#N/A</v>
      </c>
      <c r="BI112" s="66" t="e">
        <f>VLOOKUP($A112,'S50'!$C:$BQ,30,0)</f>
        <v>#N/A</v>
      </c>
      <c r="BJ112" s="66" t="e">
        <f>VLOOKUP($A112,'S50'!$C:$BQ,52,0)</f>
        <v>#N/A</v>
      </c>
      <c r="BK112" s="66" t="e">
        <f>VLOOKUP($A112,'S50'!$C:$BQ,59,0)</f>
        <v>#N/A</v>
      </c>
      <c r="BL112" s="66" t="e">
        <f>VLOOKUP($A112,'S50'!$C:$BQ,60,0)</f>
        <v>#N/A</v>
      </c>
    </row>
    <row r="113" spans="1:64" x14ac:dyDescent="0.2">
      <c r="A113" s="57" t="s">
        <v>174</v>
      </c>
      <c r="B113" s="58">
        <f>VLOOKUP($A113,'S0 remplacer avec S44'!$C:$BQ,32,0)</f>
        <v>130</v>
      </c>
      <c r="C113" s="58">
        <f>VLOOKUP($A113,'S0 remplacer avec S44'!$C:$BQ,39,0)</f>
        <v>19</v>
      </c>
      <c r="D113" s="58">
        <f>VLOOKUP($A113,'S0 remplacer avec S44'!$C:$BQ,40,0)</f>
        <v>49</v>
      </c>
      <c r="E113" s="58">
        <f>VLOOKUP($A113,'S0 remplacer avec S44'!$C:$BQ,22,0)</f>
        <v>1413.122245</v>
      </c>
      <c r="F113" s="66">
        <f>VLOOKUP($A113,'S0 remplacer avec S44'!$C:$BQ,29,0)</f>
        <v>0</v>
      </c>
      <c r="G113" s="66">
        <f>VLOOKUP($A113,'S0 remplacer avec S44'!$C:$BQ,30,0)</f>
        <v>207</v>
      </c>
      <c r="H113" s="66">
        <f>VLOOKUP($A113,'S0 remplacer avec S44'!$C:$BQ,52,0)</f>
        <v>62.2</v>
      </c>
      <c r="I113" s="66">
        <f>VLOOKUP($A113,'S0 remplacer avec S44'!$C:$BQ,59,0)</f>
        <v>14</v>
      </c>
      <c r="J113" s="66">
        <f>VLOOKUP($A113,'S0 remplacer avec S44'!$C:$BQ,60,0)</f>
        <v>29</v>
      </c>
      <c r="K113" s="58">
        <f>VLOOKUP($A113,'S45'!$C:$BQ,32,0)</f>
        <v>132.5</v>
      </c>
      <c r="L113" s="58">
        <f>VLOOKUP($A113,'S45'!$C:$BQ,39,0)</f>
        <v>16</v>
      </c>
      <c r="M113" s="58">
        <f>VLOOKUP($A113,'S45'!$C:$BQ,40,0)</f>
        <v>46</v>
      </c>
      <c r="N113" s="58">
        <f>VLOOKUP($A113,'S45'!$C:$BQ,22,0)</f>
        <v>1414.441525</v>
      </c>
      <c r="O113" s="66">
        <f>VLOOKUP($A113,'S45'!$C:$BQ,29,0)</f>
        <v>0</v>
      </c>
      <c r="P113" s="66">
        <f>VLOOKUP($A113,'S45'!$C:$BQ,30,0)</f>
        <v>206</v>
      </c>
      <c r="Q113" s="66">
        <f>VLOOKUP($A113,'S45'!$C:$BQ,52,0)</f>
        <v>63.2</v>
      </c>
      <c r="R113" s="66">
        <f>VLOOKUP($A113,'S45'!$C:$BQ,59,0)</f>
        <v>13</v>
      </c>
      <c r="S113" s="66">
        <f>VLOOKUP($A113,'S45'!$C:$BQ,60,0)</f>
        <v>28</v>
      </c>
      <c r="T113" s="58">
        <f>VLOOKUP($A113,'S46'!$C:$BQ,32,0)</f>
        <v>131.5</v>
      </c>
      <c r="U113" s="58">
        <f>VLOOKUP($A113,'S46'!$C:$BQ,39,0)</f>
        <v>17</v>
      </c>
      <c r="V113" s="58">
        <f>VLOOKUP($A113,'S46'!$C:$BQ,40,0)</f>
        <v>47</v>
      </c>
      <c r="W113" s="58">
        <f>VLOOKUP($A113,'S46'!$C:$BQ,22,0)</f>
        <v>1419.1634349999999</v>
      </c>
      <c r="X113" s="66">
        <f>VLOOKUP($A113,'S46'!$C:$BQ,29,0)</f>
        <v>0</v>
      </c>
      <c r="Y113" s="66">
        <f>VLOOKUP($A113,'S46'!$C:$BQ,30,0)</f>
        <v>201</v>
      </c>
      <c r="Z113" s="66">
        <f>VLOOKUP($A113,'S46'!$C:$BQ,52,0)</f>
        <v>63.2</v>
      </c>
      <c r="AA113" s="66">
        <f>VLOOKUP($A113,'S46'!$C:$BQ,59,0)</f>
        <v>13</v>
      </c>
      <c r="AB113" s="66">
        <f>VLOOKUP($A113,'S46'!$C:$BQ,60,0)</f>
        <v>28</v>
      </c>
      <c r="AC113" s="58">
        <f>VLOOKUP($A113,'S47'!$C:$BQ,32,0)</f>
        <v>135.5</v>
      </c>
      <c r="AD113" s="58">
        <f>VLOOKUP($A113,'S47'!$C:$BQ,39,0)</f>
        <v>13</v>
      </c>
      <c r="AE113" s="58">
        <f>VLOOKUP($A113,'S47'!$C:$BQ,40,0)</f>
        <v>43</v>
      </c>
      <c r="AF113" s="58">
        <f>VLOOKUP($A113,'S47'!$C:$BQ,22,0)</f>
        <v>1503.561645</v>
      </c>
      <c r="AG113" s="66">
        <f>VLOOKUP($A113,'S47'!$C:$BQ,29,0)</f>
        <v>0</v>
      </c>
      <c r="AH113" s="66">
        <f>VLOOKUP($A113,'S47'!$C:$BQ,30,0)</f>
        <v>117</v>
      </c>
      <c r="AI113" s="66">
        <f>VLOOKUP($A113,'S47'!$C:$BQ,52,0)</f>
        <v>64.2</v>
      </c>
      <c r="AJ113" s="66">
        <f>VLOOKUP($A113,'S47'!$C:$BQ,59,0)</f>
        <v>12</v>
      </c>
      <c r="AK113" s="66">
        <f>VLOOKUP($A113,'S47'!$C:$BQ,60,0)</f>
        <v>27</v>
      </c>
      <c r="AL113" s="58" t="e">
        <f>VLOOKUP($A113,'S48'!$C:$BQ,32,0)</f>
        <v>#N/A</v>
      </c>
      <c r="AM113" s="58" t="e">
        <f>VLOOKUP($A113,'S48'!$C:$BQ,39,0)</f>
        <v>#N/A</v>
      </c>
      <c r="AN113" s="58" t="e">
        <f>VLOOKUP($A113,'S48'!$C:$BQ,40,0)</f>
        <v>#N/A</v>
      </c>
      <c r="AO113" s="58" t="e">
        <f>VLOOKUP($A113,'S48'!$C:$BQ,22,0)</f>
        <v>#N/A</v>
      </c>
      <c r="AP113" s="66" t="e">
        <f>VLOOKUP($A113,'S48'!$C:$BQ,29,0)</f>
        <v>#N/A</v>
      </c>
      <c r="AQ113" s="66" t="e">
        <f>VLOOKUP($A113,'S48'!$C:$BQ,30,0)</f>
        <v>#N/A</v>
      </c>
      <c r="AR113" s="66" t="e">
        <f>VLOOKUP($A113,'S48'!$C:$BQ,52,0)</f>
        <v>#N/A</v>
      </c>
      <c r="AS113" s="66" t="e">
        <f>VLOOKUP($A113,'S48'!$C:$BQ,59,0)</f>
        <v>#N/A</v>
      </c>
      <c r="AT113" s="66" t="e">
        <f>VLOOKUP($A113,'S48'!$C:$BQ,60,0)</f>
        <v>#N/A</v>
      </c>
      <c r="AU113" s="58" t="e">
        <f>VLOOKUP($A113,'S49'!$C:$BQ,32,0)</f>
        <v>#N/A</v>
      </c>
      <c r="AV113" s="58" t="e">
        <f>VLOOKUP($A113,'S49'!$C:$BQ,39,0)</f>
        <v>#N/A</v>
      </c>
      <c r="AW113" s="58" t="e">
        <f>VLOOKUP($A113,'S49'!$C:$BQ,40,0)</f>
        <v>#N/A</v>
      </c>
      <c r="AX113" s="58" t="e">
        <f>VLOOKUP($A113,'S49'!$C:$BQ,22,0)</f>
        <v>#N/A</v>
      </c>
      <c r="AY113" s="66" t="e">
        <f>VLOOKUP($A113,'S49'!$C:$BQ,29,0)</f>
        <v>#N/A</v>
      </c>
      <c r="AZ113" s="66" t="e">
        <f>VLOOKUP($A113,'S49'!$C:$BQ,30,0)</f>
        <v>#N/A</v>
      </c>
      <c r="BA113" s="66" t="e">
        <f>VLOOKUP($A113,'S49'!$C:$BQ,52,0)</f>
        <v>#N/A</v>
      </c>
      <c r="BB113" s="66" t="e">
        <f>VLOOKUP($A113,'S49'!$C:$BQ,59,0)</f>
        <v>#N/A</v>
      </c>
      <c r="BC113" s="66" t="e">
        <f>VLOOKUP($A113,'S49'!$C:$BQ,60,0)</f>
        <v>#N/A</v>
      </c>
      <c r="BD113" s="58" t="e">
        <f>VLOOKUP($A113,'S50'!$C:$BQ,32,0)</f>
        <v>#N/A</v>
      </c>
      <c r="BE113" s="58" t="e">
        <f>VLOOKUP($A113,'S50'!$C:$BQ,39,0)</f>
        <v>#N/A</v>
      </c>
      <c r="BF113" s="58" t="e">
        <f>VLOOKUP($A113,'S50'!$C:$BQ,40,0)</f>
        <v>#N/A</v>
      </c>
      <c r="BG113" s="58" t="e">
        <f>VLOOKUP($A113,'S50'!$C:$BQ,22,0)</f>
        <v>#N/A</v>
      </c>
      <c r="BH113" s="66" t="e">
        <f>VLOOKUP($A113,'S50'!$C:$BQ,29,0)</f>
        <v>#N/A</v>
      </c>
      <c r="BI113" s="66" t="e">
        <f>VLOOKUP($A113,'S50'!$C:$BQ,30,0)</f>
        <v>#N/A</v>
      </c>
      <c r="BJ113" s="66" t="e">
        <f>VLOOKUP($A113,'S50'!$C:$BQ,52,0)</f>
        <v>#N/A</v>
      </c>
      <c r="BK113" s="66" t="e">
        <f>VLOOKUP($A113,'S50'!$C:$BQ,59,0)</f>
        <v>#N/A</v>
      </c>
      <c r="BL113" s="66" t="e">
        <f>VLOOKUP($A113,'S50'!$C:$BQ,60,0)</f>
        <v>#N/A</v>
      </c>
    </row>
    <row r="114" spans="1:64" x14ac:dyDescent="0.2">
      <c r="A114" s="57" t="s">
        <v>177</v>
      </c>
      <c r="B114" s="58">
        <f>VLOOKUP($A114,'S0 remplacer avec S44'!$C:$BQ,32,0)</f>
        <v>335.85</v>
      </c>
      <c r="C114" s="58">
        <f>VLOOKUP($A114,'S0 remplacer avec S44'!$C:$BQ,39,0)</f>
        <v>2</v>
      </c>
      <c r="D114" s="58">
        <f>VLOOKUP($A114,'S0 remplacer avec S44'!$C:$BQ,40,0)</f>
        <v>70</v>
      </c>
      <c r="E114" s="58">
        <f>VLOOKUP($A114,'S0 remplacer avec S44'!$C:$BQ,22,0)</f>
        <v>2763.1614100000002</v>
      </c>
      <c r="F114" s="66">
        <f>VLOOKUP($A114,'S0 remplacer avec S44'!$C:$BQ,29,0)</f>
        <v>309</v>
      </c>
      <c r="G114" s="66">
        <f>VLOOKUP($A114,'S0 remplacer avec S44'!$C:$BQ,30,0)</f>
        <v>924</v>
      </c>
      <c r="H114" s="66">
        <f>VLOOKUP($A114,'S0 remplacer avec S44'!$C:$BQ,52,0)</f>
        <v>211.4</v>
      </c>
      <c r="I114" s="66">
        <f>VLOOKUP($A114,'S0 remplacer avec S44'!$C:$BQ,59,0)</f>
        <v>0</v>
      </c>
      <c r="J114" s="66">
        <f>VLOOKUP($A114,'S0 remplacer avec S44'!$C:$BQ,60,0)</f>
        <v>0</v>
      </c>
      <c r="K114" s="58">
        <f>VLOOKUP($A114,'S45'!$C:$BQ,32,0)</f>
        <v>333.35</v>
      </c>
      <c r="L114" s="58">
        <f>VLOOKUP($A114,'S45'!$C:$BQ,39,0)</f>
        <v>5</v>
      </c>
      <c r="M114" s="58">
        <f>VLOOKUP($A114,'S45'!$C:$BQ,40,0)</f>
        <v>72</v>
      </c>
      <c r="N114" s="58">
        <f>VLOOKUP($A114,'S45'!$C:$BQ,22,0)</f>
        <v>2780.1226099999999</v>
      </c>
      <c r="O114" s="66">
        <f>VLOOKUP($A114,'S45'!$C:$BQ,29,0)</f>
        <v>292</v>
      </c>
      <c r="P114" s="66">
        <f>VLOOKUP($A114,'S45'!$C:$BQ,30,0)</f>
        <v>907</v>
      </c>
      <c r="Q114" s="66">
        <f>VLOOKUP($A114,'S45'!$C:$BQ,52,0)</f>
        <v>213.4</v>
      </c>
      <c r="R114" s="66">
        <f>VLOOKUP($A114,'S45'!$C:$BQ,59,0)</f>
        <v>0</v>
      </c>
      <c r="S114" s="66">
        <f>VLOOKUP($A114,'S45'!$C:$BQ,60,0)</f>
        <v>0</v>
      </c>
      <c r="T114" s="58">
        <f>VLOOKUP($A114,'S46'!$C:$BQ,32,0)</f>
        <v>333.35</v>
      </c>
      <c r="U114" s="58">
        <f>VLOOKUP($A114,'S46'!$C:$BQ,39,0)</f>
        <v>5</v>
      </c>
      <c r="V114" s="58">
        <f>VLOOKUP($A114,'S46'!$C:$BQ,40,0)</f>
        <v>72</v>
      </c>
      <c r="W114" s="58">
        <f>VLOOKUP($A114,'S46'!$C:$BQ,22,0)</f>
        <v>2821.5930699999999</v>
      </c>
      <c r="X114" s="66">
        <f>VLOOKUP($A114,'S46'!$C:$BQ,29,0)</f>
        <v>251</v>
      </c>
      <c r="Y114" s="66">
        <f>VLOOKUP($A114,'S46'!$C:$BQ,30,0)</f>
        <v>865</v>
      </c>
      <c r="Z114" s="66">
        <f>VLOOKUP($A114,'S46'!$C:$BQ,52,0)</f>
        <v>214.4</v>
      </c>
      <c r="AA114" s="66">
        <f>VLOOKUP($A114,'S46'!$C:$BQ,59,0)</f>
        <v>0</v>
      </c>
      <c r="AB114" s="66">
        <f>VLOOKUP($A114,'S46'!$C:$BQ,60,0)</f>
        <v>0</v>
      </c>
      <c r="AC114" s="58">
        <f>VLOOKUP($A114,'S47'!$C:$BQ,32,0)</f>
        <v>336.85</v>
      </c>
      <c r="AD114" s="58">
        <f>VLOOKUP($A114,'S47'!$C:$BQ,39,0)</f>
        <v>1</v>
      </c>
      <c r="AE114" s="58">
        <f>VLOOKUP($A114,'S47'!$C:$BQ,40,0)</f>
        <v>69</v>
      </c>
      <c r="AF114" s="58">
        <f>VLOOKUP($A114,'S47'!$C:$BQ,22,0)</f>
        <v>3013.1934099999999</v>
      </c>
      <c r="AG114" s="66">
        <f>VLOOKUP($A114,'S47'!$C:$BQ,29,0)</f>
        <v>59</v>
      </c>
      <c r="AH114" s="66">
        <f>VLOOKUP($A114,'S47'!$C:$BQ,30,0)</f>
        <v>674</v>
      </c>
      <c r="AI114" s="66">
        <f>VLOOKUP($A114,'S47'!$C:$BQ,52,0)</f>
        <v>217.4</v>
      </c>
      <c r="AJ114" s="66">
        <f>VLOOKUP($A114,'S47'!$C:$BQ,59,0)</f>
        <v>0</v>
      </c>
      <c r="AK114" s="66">
        <f>VLOOKUP($A114,'S47'!$C:$BQ,60,0)</f>
        <v>0</v>
      </c>
      <c r="AL114" s="58" t="e">
        <f>VLOOKUP($A114,'S48'!$C:$BQ,32,0)</f>
        <v>#N/A</v>
      </c>
      <c r="AM114" s="58" t="e">
        <f>VLOOKUP($A114,'S48'!$C:$BQ,39,0)</f>
        <v>#N/A</v>
      </c>
      <c r="AN114" s="58" t="e">
        <f>VLOOKUP($A114,'S48'!$C:$BQ,40,0)</f>
        <v>#N/A</v>
      </c>
      <c r="AO114" s="58" t="e">
        <f>VLOOKUP($A114,'S48'!$C:$BQ,22,0)</f>
        <v>#N/A</v>
      </c>
      <c r="AP114" s="66" t="e">
        <f>VLOOKUP($A114,'S48'!$C:$BQ,29,0)</f>
        <v>#N/A</v>
      </c>
      <c r="AQ114" s="66" t="e">
        <f>VLOOKUP($A114,'S48'!$C:$BQ,30,0)</f>
        <v>#N/A</v>
      </c>
      <c r="AR114" s="66" t="e">
        <f>VLOOKUP($A114,'S48'!$C:$BQ,52,0)</f>
        <v>#N/A</v>
      </c>
      <c r="AS114" s="66" t="e">
        <f>VLOOKUP($A114,'S48'!$C:$BQ,59,0)</f>
        <v>#N/A</v>
      </c>
      <c r="AT114" s="66" t="e">
        <f>VLOOKUP($A114,'S48'!$C:$BQ,60,0)</f>
        <v>#N/A</v>
      </c>
      <c r="AU114" s="58" t="e">
        <f>VLOOKUP($A114,'S49'!$C:$BQ,32,0)</f>
        <v>#N/A</v>
      </c>
      <c r="AV114" s="58" t="e">
        <f>VLOOKUP($A114,'S49'!$C:$BQ,39,0)</f>
        <v>#N/A</v>
      </c>
      <c r="AW114" s="58" t="e">
        <f>VLOOKUP($A114,'S49'!$C:$BQ,40,0)</f>
        <v>#N/A</v>
      </c>
      <c r="AX114" s="58" t="e">
        <f>VLOOKUP($A114,'S49'!$C:$BQ,22,0)</f>
        <v>#N/A</v>
      </c>
      <c r="AY114" s="66" t="e">
        <f>VLOOKUP($A114,'S49'!$C:$BQ,29,0)</f>
        <v>#N/A</v>
      </c>
      <c r="AZ114" s="66" t="e">
        <f>VLOOKUP($A114,'S49'!$C:$BQ,30,0)</f>
        <v>#N/A</v>
      </c>
      <c r="BA114" s="66" t="e">
        <f>VLOOKUP($A114,'S49'!$C:$BQ,52,0)</f>
        <v>#N/A</v>
      </c>
      <c r="BB114" s="66" t="e">
        <f>VLOOKUP($A114,'S49'!$C:$BQ,59,0)</f>
        <v>#N/A</v>
      </c>
      <c r="BC114" s="66" t="e">
        <f>VLOOKUP($A114,'S49'!$C:$BQ,60,0)</f>
        <v>#N/A</v>
      </c>
      <c r="BD114" s="58" t="e">
        <f>VLOOKUP($A114,'S50'!$C:$BQ,32,0)</f>
        <v>#N/A</v>
      </c>
      <c r="BE114" s="58" t="e">
        <f>VLOOKUP($A114,'S50'!$C:$BQ,39,0)</f>
        <v>#N/A</v>
      </c>
      <c r="BF114" s="58" t="e">
        <f>VLOOKUP($A114,'S50'!$C:$BQ,40,0)</f>
        <v>#N/A</v>
      </c>
      <c r="BG114" s="58" t="e">
        <f>VLOOKUP($A114,'S50'!$C:$BQ,22,0)</f>
        <v>#N/A</v>
      </c>
      <c r="BH114" s="66" t="e">
        <f>VLOOKUP($A114,'S50'!$C:$BQ,29,0)</f>
        <v>#N/A</v>
      </c>
      <c r="BI114" s="66" t="e">
        <f>VLOOKUP($A114,'S50'!$C:$BQ,30,0)</f>
        <v>#N/A</v>
      </c>
      <c r="BJ114" s="66" t="e">
        <f>VLOOKUP($A114,'S50'!$C:$BQ,52,0)</f>
        <v>#N/A</v>
      </c>
      <c r="BK114" s="66" t="e">
        <f>VLOOKUP($A114,'S50'!$C:$BQ,59,0)</f>
        <v>#N/A</v>
      </c>
      <c r="BL114" s="66" t="e">
        <f>VLOOKUP($A114,'S50'!$C:$BQ,60,0)</f>
        <v>#N/A</v>
      </c>
    </row>
    <row r="115" spans="1:64" x14ac:dyDescent="0.2">
      <c r="A115" s="57" t="s">
        <v>178</v>
      </c>
      <c r="B115" s="58">
        <f>VLOOKUP($A115,'S0 remplacer avec S44'!$C:$BQ,32,0)</f>
        <v>760</v>
      </c>
      <c r="C115" s="58">
        <f>VLOOKUP($A115,'S0 remplacer avec S44'!$C:$BQ,39,0)</f>
        <v>0</v>
      </c>
      <c r="D115" s="58">
        <f>VLOOKUP($A115,'S0 remplacer avec S44'!$C:$BQ,40,0)</f>
        <v>0</v>
      </c>
      <c r="E115" s="58">
        <f>VLOOKUP($A115,'S0 remplacer avec S44'!$C:$BQ,22,0)</f>
        <v>6627.3678849999997</v>
      </c>
      <c r="F115" s="66">
        <f>VLOOKUP($A115,'S0 remplacer avec S44'!$C:$BQ,29,0)</f>
        <v>0</v>
      </c>
      <c r="G115" s="66">
        <f>VLOOKUP($A115,'S0 remplacer avec S44'!$C:$BQ,30,0)</f>
        <v>53</v>
      </c>
      <c r="H115" s="66">
        <f>VLOOKUP($A115,'S0 remplacer avec S44'!$C:$BQ,52,0)</f>
        <v>475.2</v>
      </c>
      <c r="I115" s="66">
        <f>VLOOKUP($A115,'S0 remplacer avec S44'!$C:$BQ,59,0)</f>
        <v>0</v>
      </c>
      <c r="J115" s="66">
        <f>VLOOKUP($A115,'S0 remplacer avec S44'!$C:$BQ,60,0)</f>
        <v>0</v>
      </c>
      <c r="K115" s="58">
        <f>VLOOKUP($A115,'S45'!$C:$BQ,32,0)</f>
        <v>761.7</v>
      </c>
      <c r="L115" s="58">
        <f>VLOOKUP($A115,'S45'!$C:$BQ,39,0)</f>
        <v>0</v>
      </c>
      <c r="M115" s="58">
        <f>VLOOKUP($A115,'S45'!$C:$BQ,40,0)</f>
        <v>0</v>
      </c>
      <c r="N115" s="58">
        <f>VLOOKUP($A115,'S45'!$C:$BQ,22,0)</f>
        <v>6763.4544550000001</v>
      </c>
      <c r="O115" s="66">
        <f>VLOOKUP($A115,'S45'!$C:$BQ,29,0)</f>
        <v>0</v>
      </c>
      <c r="P115" s="66">
        <f>VLOOKUP($A115,'S45'!$C:$BQ,30,0)</f>
        <v>0</v>
      </c>
      <c r="Q115" s="66">
        <f>VLOOKUP($A115,'S45'!$C:$BQ,52,0)</f>
        <v>485.2</v>
      </c>
      <c r="R115" s="66">
        <f>VLOOKUP($A115,'S45'!$C:$BQ,59,0)</f>
        <v>0</v>
      </c>
      <c r="S115" s="66">
        <f>VLOOKUP($A115,'S45'!$C:$BQ,60,0)</f>
        <v>0</v>
      </c>
      <c r="T115" s="58">
        <f>VLOOKUP($A115,'S46'!$C:$BQ,32,0)</f>
        <v>761.4</v>
      </c>
      <c r="U115" s="58">
        <f>VLOOKUP($A115,'S46'!$C:$BQ,39,0)</f>
        <v>0</v>
      </c>
      <c r="V115" s="58">
        <f>VLOOKUP($A115,'S46'!$C:$BQ,40,0)</f>
        <v>0</v>
      </c>
      <c r="W115" s="58">
        <f>VLOOKUP($A115,'S46'!$C:$BQ,22,0)</f>
        <v>6772.8553650000003</v>
      </c>
      <c r="X115" s="66">
        <f>VLOOKUP($A115,'S46'!$C:$BQ,29,0)</f>
        <v>0</v>
      </c>
      <c r="Y115" s="66">
        <f>VLOOKUP($A115,'S46'!$C:$BQ,30,0)</f>
        <v>0</v>
      </c>
      <c r="Z115" s="66">
        <f>VLOOKUP($A115,'S46'!$C:$BQ,52,0)</f>
        <v>496.2</v>
      </c>
      <c r="AA115" s="66">
        <f>VLOOKUP($A115,'S46'!$C:$BQ,59,0)</f>
        <v>0</v>
      </c>
      <c r="AB115" s="66">
        <f>VLOOKUP($A115,'S46'!$C:$BQ,60,0)</f>
        <v>0</v>
      </c>
      <c r="AC115" s="58">
        <f>VLOOKUP($A115,'S47'!$C:$BQ,32,0)</f>
        <v>765.9</v>
      </c>
      <c r="AD115" s="58">
        <f>VLOOKUP($A115,'S47'!$C:$BQ,39,0)</f>
        <v>0</v>
      </c>
      <c r="AE115" s="58">
        <f>VLOOKUP($A115,'S47'!$C:$BQ,40,0)</f>
        <v>0</v>
      </c>
      <c r="AF115" s="58">
        <f>VLOOKUP($A115,'S47'!$C:$BQ,22,0)</f>
        <v>6897.0737550000003</v>
      </c>
      <c r="AG115" s="66">
        <f>VLOOKUP($A115,'S47'!$C:$BQ,29,0)</f>
        <v>0</v>
      </c>
      <c r="AH115" s="66">
        <f>VLOOKUP($A115,'S47'!$C:$BQ,30,0)</f>
        <v>0</v>
      </c>
      <c r="AI115" s="66">
        <f>VLOOKUP($A115,'S47'!$C:$BQ,52,0)</f>
        <v>503.2</v>
      </c>
      <c r="AJ115" s="66">
        <f>VLOOKUP($A115,'S47'!$C:$BQ,59,0)</f>
        <v>0</v>
      </c>
      <c r="AK115" s="66">
        <f>VLOOKUP($A115,'S47'!$C:$BQ,60,0)</f>
        <v>0</v>
      </c>
      <c r="AL115" s="58" t="e">
        <f>VLOOKUP($A115,'S48'!$C:$BQ,32,0)</f>
        <v>#N/A</v>
      </c>
      <c r="AM115" s="58" t="e">
        <f>VLOOKUP($A115,'S48'!$C:$BQ,39,0)</f>
        <v>#N/A</v>
      </c>
      <c r="AN115" s="58" t="e">
        <f>VLOOKUP($A115,'S48'!$C:$BQ,40,0)</f>
        <v>#N/A</v>
      </c>
      <c r="AO115" s="58" t="e">
        <f>VLOOKUP($A115,'S48'!$C:$BQ,22,0)</f>
        <v>#N/A</v>
      </c>
      <c r="AP115" s="66" t="e">
        <f>VLOOKUP($A115,'S48'!$C:$BQ,29,0)</f>
        <v>#N/A</v>
      </c>
      <c r="AQ115" s="66" t="e">
        <f>VLOOKUP($A115,'S48'!$C:$BQ,30,0)</f>
        <v>#N/A</v>
      </c>
      <c r="AR115" s="66" t="e">
        <f>VLOOKUP($A115,'S48'!$C:$BQ,52,0)</f>
        <v>#N/A</v>
      </c>
      <c r="AS115" s="66" t="e">
        <f>VLOOKUP($A115,'S48'!$C:$BQ,59,0)</f>
        <v>#N/A</v>
      </c>
      <c r="AT115" s="66" t="e">
        <f>VLOOKUP($A115,'S48'!$C:$BQ,60,0)</f>
        <v>#N/A</v>
      </c>
      <c r="AU115" s="58" t="e">
        <f>VLOOKUP($A115,'S49'!$C:$BQ,32,0)</f>
        <v>#N/A</v>
      </c>
      <c r="AV115" s="58" t="e">
        <f>VLOOKUP($A115,'S49'!$C:$BQ,39,0)</f>
        <v>#N/A</v>
      </c>
      <c r="AW115" s="58" t="e">
        <f>VLOOKUP($A115,'S49'!$C:$BQ,40,0)</f>
        <v>#N/A</v>
      </c>
      <c r="AX115" s="58" t="e">
        <f>VLOOKUP($A115,'S49'!$C:$BQ,22,0)</f>
        <v>#N/A</v>
      </c>
      <c r="AY115" s="66" t="e">
        <f>VLOOKUP($A115,'S49'!$C:$BQ,29,0)</f>
        <v>#N/A</v>
      </c>
      <c r="AZ115" s="66" t="e">
        <f>VLOOKUP($A115,'S49'!$C:$BQ,30,0)</f>
        <v>#N/A</v>
      </c>
      <c r="BA115" s="66" t="e">
        <f>VLOOKUP($A115,'S49'!$C:$BQ,52,0)</f>
        <v>#N/A</v>
      </c>
      <c r="BB115" s="66" t="e">
        <f>VLOOKUP($A115,'S49'!$C:$BQ,59,0)</f>
        <v>#N/A</v>
      </c>
      <c r="BC115" s="66" t="e">
        <f>VLOOKUP($A115,'S49'!$C:$BQ,60,0)</f>
        <v>#N/A</v>
      </c>
      <c r="BD115" s="58" t="e">
        <f>VLOOKUP($A115,'S50'!$C:$BQ,32,0)</f>
        <v>#N/A</v>
      </c>
      <c r="BE115" s="58" t="e">
        <f>VLOOKUP($A115,'S50'!$C:$BQ,39,0)</f>
        <v>#N/A</v>
      </c>
      <c r="BF115" s="58" t="e">
        <f>VLOOKUP($A115,'S50'!$C:$BQ,40,0)</f>
        <v>#N/A</v>
      </c>
      <c r="BG115" s="58" t="e">
        <f>VLOOKUP($A115,'S50'!$C:$BQ,22,0)</f>
        <v>#N/A</v>
      </c>
      <c r="BH115" s="66" t="e">
        <f>VLOOKUP($A115,'S50'!$C:$BQ,29,0)</f>
        <v>#N/A</v>
      </c>
      <c r="BI115" s="66" t="e">
        <f>VLOOKUP($A115,'S50'!$C:$BQ,30,0)</f>
        <v>#N/A</v>
      </c>
      <c r="BJ115" s="66" t="e">
        <f>VLOOKUP($A115,'S50'!$C:$BQ,52,0)</f>
        <v>#N/A</v>
      </c>
      <c r="BK115" s="66" t="e">
        <f>VLOOKUP($A115,'S50'!$C:$BQ,59,0)</f>
        <v>#N/A</v>
      </c>
      <c r="BL115" s="66" t="e">
        <f>VLOOKUP($A115,'S50'!$C:$BQ,60,0)</f>
        <v>#N/A</v>
      </c>
    </row>
    <row r="116" spans="1:64" x14ac:dyDescent="0.2">
      <c r="A116" s="57" t="s">
        <v>179</v>
      </c>
      <c r="B116" s="58">
        <f>VLOOKUP($A116,'S0 remplacer avec S44'!$C:$BQ,32,0)</f>
        <v>220.05</v>
      </c>
      <c r="C116" s="58">
        <f>VLOOKUP($A116,'S0 remplacer avec S44'!$C:$BQ,39,0)</f>
        <v>0</v>
      </c>
      <c r="D116" s="58">
        <f>VLOOKUP($A116,'S0 remplacer avec S44'!$C:$BQ,40,0)</f>
        <v>0</v>
      </c>
      <c r="E116" s="58">
        <f>VLOOKUP($A116,'S0 remplacer avec S44'!$C:$BQ,22,0)</f>
        <v>1931.3181300000001</v>
      </c>
      <c r="F116" s="66">
        <f>VLOOKUP($A116,'S0 remplacer avec S44'!$C:$BQ,29,0)</f>
        <v>0</v>
      </c>
      <c r="G116" s="66">
        <f>VLOOKUP($A116,'S0 remplacer avec S44'!$C:$BQ,30,0)</f>
        <v>0</v>
      </c>
      <c r="H116" s="66">
        <f>VLOOKUP($A116,'S0 remplacer avec S44'!$C:$BQ,52,0)</f>
        <v>156</v>
      </c>
      <c r="I116" s="66">
        <f>VLOOKUP($A116,'S0 remplacer avec S44'!$C:$BQ,59,0)</f>
        <v>0</v>
      </c>
      <c r="J116" s="66">
        <f>VLOOKUP($A116,'S0 remplacer avec S44'!$C:$BQ,60,0)</f>
        <v>0</v>
      </c>
      <c r="K116" s="58">
        <f>VLOOKUP($A116,'S45'!$C:$BQ,32,0)</f>
        <v>223.05</v>
      </c>
      <c r="L116" s="58">
        <f>VLOOKUP($A116,'S45'!$C:$BQ,39,0)</f>
        <v>0</v>
      </c>
      <c r="M116" s="58">
        <f>VLOOKUP($A116,'S45'!$C:$BQ,40,0)</f>
        <v>0</v>
      </c>
      <c r="N116" s="58">
        <f>VLOOKUP($A116,'S45'!$C:$BQ,22,0)</f>
        <v>1937.42713</v>
      </c>
      <c r="O116" s="66">
        <f>VLOOKUP($A116,'S45'!$C:$BQ,29,0)</f>
        <v>0</v>
      </c>
      <c r="P116" s="66">
        <f>VLOOKUP($A116,'S45'!$C:$BQ,30,0)</f>
        <v>0</v>
      </c>
      <c r="Q116" s="66">
        <f>VLOOKUP($A116,'S45'!$C:$BQ,52,0)</f>
        <v>157</v>
      </c>
      <c r="R116" s="66">
        <f>VLOOKUP($A116,'S45'!$C:$BQ,59,0)</f>
        <v>0</v>
      </c>
      <c r="S116" s="66">
        <f>VLOOKUP($A116,'S45'!$C:$BQ,60,0)</f>
        <v>0</v>
      </c>
      <c r="T116" s="58">
        <f>VLOOKUP($A116,'S46'!$C:$BQ,32,0)</f>
        <v>226.05</v>
      </c>
      <c r="U116" s="58">
        <f>VLOOKUP($A116,'S46'!$C:$BQ,39,0)</f>
        <v>0</v>
      </c>
      <c r="V116" s="58">
        <f>VLOOKUP($A116,'S46'!$C:$BQ,40,0)</f>
        <v>0</v>
      </c>
      <c r="W116" s="58">
        <f>VLOOKUP($A116,'S46'!$C:$BQ,22,0)</f>
        <v>1954.0461600000001</v>
      </c>
      <c r="X116" s="66">
        <f>VLOOKUP($A116,'S46'!$C:$BQ,29,0)</f>
        <v>0</v>
      </c>
      <c r="Y116" s="66">
        <f>VLOOKUP($A116,'S46'!$C:$BQ,30,0)</f>
        <v>0</v>
      </c>
      <c r="Z116" s="66">
        <f>VLOOKUP($A116,'S46'!$C:$BQ,52,0)</f>
        <v>158</v>
      </c>
      <c r="AA116" s="66">
        <f>VLOOKUP($A116,'S46'!$C:$BQ,59,0)</f>
        <v>0</v>
      </c>
      <c r="AB116" s="66">
        <f>VLOOKUP($A116,'S46'!$C:$BQ,60,0)</f>
        <v>0</v>
      </c>
      <c r="AC116" s="58">
        <f>VLOOKUP($A116,'S47'!$C:$BQ,32,0)</f>
        <v>227.75</v>
      </c>
      <c r="AD116" s="58">
        <f>VLOOKUP($A116,'S47'!$C:$BQ,39,0)</f>
        <v>0</v>
      </c>
      <c r="AE116" s="58">
        <f>VLOOKUP($A116,'S47'!$C:$BQ,40,0)</f>
        <v>0</v>
      </c>
      <c r="AF116" s="58">
        <f>VLOOKUP($A116,'S47'!$C:$BQ,22,0)</f>
        <v>1971.4059</v>
      </c>
      <c r="AG116" s="66">
        <f>VLOOKUP($A116,'S47'!$C:$BQ,29,0)</f>
        <v>0</v>
      </c>
      <c r="AH116" s="66">
        <f>VLOOKUP($A116,'S47'!$C:$BQ,30,0)</f>
        <v>0</v>
      </c>
      <c r="AI116" s="66">
        <f>VLOOKUP($A116,'S47'!$C:$BQ,52,0)</f>
        <v>160</v>
      </c>
      <c r="AJ116" s="66">
        <f>VLOOKUP($A116,'S47'!$C:$BQ,59,0)</f>
        <v>0</v>
      </c>
      <c r="AK116" s="66">
        <f>VLOOKUP($A116,'S47'!$C:$BQ,60,0)</f>
        <v>0</v>
      </c>
      <c r="AL116" s="58" t="e">
        <f>VLOOKUP($A116,'S48'!$C:$BQ,32,0)</f>
        <v>#N/A</v>
      </c>
      <c r="AM116" s="58" t="e">
        <f>VLOOKUP($A116,'S48'!$C:$BQ,39,0)</f>
        <v>#N/A</v>
      </c>
      <c r="AN116" s="58" t="e">
        <f>VLOOKUP($A116,'S48'!$C:$BQ,40,0)</f>
        <v>#N/A</v>
      </c>
      <c r="AO116" s="58" t="e">
        <f>VLOOKUP($A116,'S48'!$C:$BQ,22,0)</f>
        <v>#N/A</v>
      </c>
      <c r="AP116" s="66" t="e">
        <f>VLOOKUP($A116,'S48'!$C:$BQ,29,0)</f>
        <v>#N/A</v>
      </c>
      <c r="AQ116" s="66" t="e">
        <f>VLOOKUP($A116,'S48'!$C:$BQ,30,0)</f>
        <v>#N/A</v>
      </c>
      <c r="AR116" s="66" t="e">
        <f>VLOOKUP($A116,'S48'!$C:$BQ,52,0)</f>
        <v>#N/A</v>
      </c>
      <c r="AS116" s="66" t="e">
        <f>VLOOKUP($A116,'S48'!$C:$BQ,59,0)</f>
        <v>#N/A</v>
      </c>
      <c r="AT116" s="66" t="e">
        <f>VLOOKUP($A116,'S48'!$C:$BQ,60,0)</f>
        <v>#N/A</v>
      </c>
      <c r="AU116" s="58" t="e">
        <f>VLOOKUP($A116,'S49'!$C:$BQ,32,0)</f>
        <v>#N/A</v>
      </c>
      <c r="AV116" s="58" t="e">
        <f>VLOOKUP($A116,'S49'!$C:$BQ,39,0)</f>
        <v>#N/A</v>
      </c>
      <c r="AW116" s="58" t="e">
        <f>VLOOKUP($A116,'S49'!$C:$BQ,40,0)</f>
        <v>#N/A</v>
      </c>
      <c r="AX116" s="58" t="e">
        <f>VLOOKUP($A116,'S49'!$C:$BQ,22,0)</f>
        <v>#N/A</v>
      </c>
      <c r="AY116" s="66" t="e">
        <f>VLOOKUP($A116,'S49'!$C:$BQ,29,0)</f>
        <v>#N/A</v>
      </c>
      <c r="AZ116" s="66" t="e">
        <f>VLOOKUP($A116,'S49'!$C:$BQ,30,0)</f>
        <v>#N/A</v>
      </c>
      <c r="BA116" s="66" t="e">
        <f>VLOOKUP($A116,'S49'!$C:$BQ,52,0)</f>
        <v>#N/A</v>
      </c>
      <c r="BB116" s="66" t="e">
        <f>VLOOKUP($A116,'S49'!$C:$BQ,59,0)</f>
        <v>#N/A</v>
      </c>
      <c r="BC116" s="66" t="e">
        <f>VLOOKUP($A116,'S49'!$C:$BQ,60,0)</f>
        <v>#N/A</v>
      </c>
      <c r="BD116" s="58" t="e">
        <f>VLOOKUP($A116,'S50'!$C:$BQ,32,0)</f>
        <v>#N/A</v>
      </c>
      <c r="BE116" s="58" t="e">
        <f>VLOOKUP($A116,'S50'!$C:$BQ,39,0)</f>
        <v>#N/A</v>
      </c>
      <c r="BF116" s="58" t="e">
        <f>VLOOKUP($A116,'S50'!$C:$BQ,40,0)</f>
        <v>#N/A</v>
      </c>
      <c r="BG116" s="58" t="e">
        <f>VLOOKUP($A116,'S50'!$C:$BQ,22,0)</f>
        <v>#N/A</v>
      </c>
      <c r="BH116" s="66" t="e">
        <f>VLOOKUP($A116,'S50'!$C:$BQ,29,0)</f>
        <v>#N/A</v>
      </c>
      <c r="BI116" s="66" t="e">
        <f>VLOOKUP($A116,'S50'!$C:$BQ,30,0)</f>
        <v>#N/A</v>
      </c>
      <c r="BJ116" s="66" t="e">
        <f>VLOOKUP($A116,'S50'!$C:$BQ,52,0)</f>
        <v>#N/A</v>
      </c>
      <c r="BK116" s="66" t="e">
        <f>VLOOKUP($A116,'S50'!$C:$BQ,59,0)</f>
        <v>#N/A</v>
      </c>
      <c r="BL116" s="66" t="e">
        <f>VLOOKUP($A116,'S50'!$C:$BQ,60,0)</f>
        <v>#N/A</v>
      </c>
    </row>
    <row r="117" spans="1:64" x14ac:dyDescent="0.2">
      <c r="A117" s="57" t="s">
        <v>180</v>
      </c>
      <c r="B117" s="58">
        <f>VLOOKUP($A117,'S0 remplacer avec S44'!$C:$BQ,32,0)</f>
        <v>175.2</v>
      </c>
      <c r="C117" s="58">
        <f>VLOOKUP($A117,'S0 remplacer avec S44'!$C:$BQ,39,0)</f>
        <v>23</v>
      </c>
      <c r="D117" s="58">
        <f>VLOOKUP($A117,'S0 remplacer avec S44'!$C:$BQ,40,0)</f>
        <v>63</v>
      </c>
      <c r="E117" s="58">
        <f>VLOOKUP($A117,'S0 remplacer avec S44'!$C:$BQ,22,0)</f>
        <v>1593.3157650000001</v>
      </c>
      <c r="F117" s="66">
        <f>VLOOKUP($A117,'S0 remplacer avec S44'!$C:$BQ,29,0)</f>
        <v>205</v>
      </c>
      <c r="G117" s="66">
        <f>VLOOKUP($A117,'S0 remplacer avec S44'!$C:$BQ,30,0)</f>
        <v>565</v>
      </c>
      <c r="H117" s="66">
        <f>VLOOKUP($A117,'S0 remplacer avec S44'!$C:$BQ,52,0)</f>
        <v>102.2</v>
      </c>
      <c r="I117" s="66">
        <f>VLOOKUP($A117,'S0 remplacer avec S44'!$C:$BQ,59,0)</f>
        <v>0</v>
      </c>
      <c r="J117" s="66">
        <f>VLOOKUP($A117,'S0 remplacer avec S44'!$C:$BQ,60,0)</f>
        <v>19</v>
      </c>
      <c r="K117" s="58">
        <f>VLOOKUP($A117,'S45'!$C:$BQ,32,0)</f>
        <v>177.2</v>
      </c>
      <c r="L117" s="58">
        <f>VLOOKUP($A117,'S45'!$C:$BQ,39,0)</f>
        <v>21</v>
      </c>
      <c r="M117" s="58">
        <f>VLOOKUP($A117,'S45'!$C:$BQ,40,0)</f>
        <v>61</v>
      </c>
      <c r="N117" s="58">
        <f>VLOOKUP($A117,'S45'!$C:$BQ,22,0)</f>
        <v>1617.2624249999999</v>
      </c>
      <c r="O117" s="66">
        <f>VLOOKUP($A117,'S45'!$C:$BQ,29,0)</f>
        <v>181</v>
      </c>
      <c r="P117" s="66">
        <f>VLOOKUP($A117,'S45'!$C:$BQ,30,0)</f>
        <v>541</v>
      </c>
      <c r="Q117" s="66">
        <f>VLOOKUP($A117,'S45'!$C:$BQ,52,0)</f>
        <v>105.2</v>
      </c>
      <c r="R117" s="66">
        <f>VLOOKUP($A117,'S45'!$C:$BQ,59,0)</f>
        <v>0</v>
      </c>
      <c r="S117" s="66">
        <f>VLOOKUP($A117,'S45'!$C:$BQ,60,0)</f>
        <v>16</v>
      </c>
      <c r="T117" s="58">
        <f>VLOOKUP($A117,'S46'!$C:$BQ,32,0)</f>
        <v>174.7</v>
      </c>
      <c r="U117" s="58">
        <f>VLOOKUP($A117,'S46'!$C:$BQ,39,0)</f>
        <v>23</v>
      </c>
      <c r="V117" s="58">
        <f>VLOOKUP($A117,'S46'!$C:$BQ,40,0)</f>
        <v>63</v>
      </c>
      <c r="W117" s="58">
        <f>VLOOKUP($A117,'S46'!$C:$BQ,22,0)</f>
        <v>1634.3838450000001</v>
      </c>
      <c r="X117" s="66">
        <f>VLOOKUP($A117,'S46'!$C:$BQ,29,0)</f>
        <v>164</v>
      </c>
      <c r="Y117" s="66">
        <f>VLOOKUP($A117,'S46'!$C:$BQ,30,0)</f>
        <v>524</v>
      </c>
      <c r="Z117" s="66">
        <f>VLOOKUP($A117,'S46'!$C:$BQ,52,0)</f>
        <v>106.2</v>
      </c>
      <c r="AA117" s="66">
        <f>VLOOKUP($A117,'S46'!$C:$BQ,59,0)</f>
        <v>0</v>
      </c>
      <c r="AB117" s="66">
        <f>VLOOKUP($A117,'S46'!$C:$BQ,60,0)</f>
        <v>15</v>
      </c>
      <c r="AC117" s="58">
        <f>VLOOKUP($A117,'S47'!$C:$BQ,32,0)</f>
        <v>170.9</v>
      </c>
      <c r="AD117" s="58">
        <f>VLOOKUP($A117,'S47'!$C:$BQ,39,0)</f>
        <v>27</v>
      </c>
      <c r="AE117" s="58">
        <f>VLOOKUP($A117,'S47'!$C:$BQ,40,0)</f>
        <v>67</v>
      </c>
      <c r="AF117" s="58">
        <f>VLOOKUP($A117,'S47'!$C:$BQ,22,0)</f>
        <v>1655.532655</v>
      </c>
      <c r="AG117" s="66">
        <f>VLOOKUP($A117,'S47'!$C:$BQ,29,0)</f>
        <v>143</v>
      </c>
      <c r="AH117" s="66">
        <f>VLOOKUP($A117,'S47'!$C:$BQ,30,0)</f>
        <v>503</v>
      </c>
      <c r="AI117" s="66">
        <f>VLOOKUP($A117,'S47'!$C:$BQ,52,0)</f>
        <v>107.2</v>
      </c>
      <c r="AJ117" s="66">
        <f>VLOOKUP($A117,'S47'!$C:$BQ,59,0)</f>
        <v>0</v>
      </c>
      <c r="AK117" s="66">
        <f>VLOOKUP($A117,'S47'!$C:$BQ,60,0)</f>
        <v>14</v>
      </c>
      <c r="AL117" s="58" t="e">
        <f>VLOOKUP($A117,'S48'!$C:$BQ,32,0)</f>
        <v>#N/A</v>
      </c>
      <c r="AM117" s="58" t="e">
        <f>VLOOKUP($A117,'S48'!$C:$BQ,39,0)</f>
        <v>#N/A</v>
      </c>
      <c r="AN117" s="58" t="e">
        <f>VLOOKUP($A117,'S48'!$C:$BQ,40,0)</f>
        <v>#N/A</v>
      </c>
      <c r="AO117" s="58" t="e">
        <f>VLOOKUP($A117,'S48'!$C:$BQ,22,0)</f>
        <v>#N/A</v>
      </c>
      <c r="AP117" s="66" t="e">
        <f>VLOOKUP($A117,'S48'!$C:$BQ,29,0)</f>
        <v>#N/A</v>
      </c>
      <c r="AQ117" s="66" t="e">
        <f>VLOOKUP($A117,'S48'!$C:$BQ,30,0)</f>
        <v>#N/A</v>
      </c>
      <c r="AR117" s="66" t="e">
        <f>VLOOKUP($A117,'S48'!$C:$BQ,52,0)</f>
        <v>#N/A</v>
      </c>
      <c r="AS117" s="66" t="e">
        <f>VLOOKUP($A117,'S48'!$C:$BQ,59,0)</f>
        <v>#N/A</v>
      </c>
      <c r="AT117" s="66" t="e">
        <f>VLOOKUP($A117,'S48'!$C:$BQ,60,0)</f>
        <v>#N/A</v>
      </c>
      <c r="AU117" s="58" t="e">
        <f>VLOOKUP($A117,'S49'!$C:$BQ,32,0)</f>
        <v>#N/A</v>
      </c>
      <c r="AV117" s="58" t="e">
        <f>VLOOKUP($A117,'S49'!$C:$BQ,39,0)</f>
        <v>#N/A</v>
      </c>
      <c r="AW117" s="58" t="e">
        <f>VLOOKUP($A117,'S49'!$C:$BQ,40,0)</f>
        <v>#N/A</v>
      </c>
      <c r="AX117" s="58" t="e">
        <f>VLOOKUP($A117,'S49'!$C:$BQ,22,0)</f>
        <v>#N/A</v>
      </c>
      <c r="AY117" s="66" t="e">
        <f>VLOOKUP($A117,'S49'!$C:$BQ,29,0)</f>
        <v>#N/A</v>
      </c>
      <c r="AZ117" s="66" t="e">
        <f>VLOOKUP($A117,'S49'!$C:$BQ,30,0)</f>
        <v>#N/A</v>
      </c>
      <c r="BA117" s="66" t="e">
        <f>VLOOKUP($A117,'S49'!$C:$BQ,52,0)</f>
        <v>#N/A</v>
      </c>
      <c r="BB117" s="66" t="e">
        <f>VLOOKUP($A117,'S49'!$C:$BQ,59,0)</f>
        <v>#N/A</v>
      </c>
      <c r="BC117" s="66" t="e">
        <f>VLOOKUP($A117,'S49'!$C:$BQ,60,0)</f>
        <v>#N/A</v>
      </c>
      <c r="BD117" s="58" t="e">
        <f>VLOOKUP($A117,'S50'!$C:$BQ,32,0)</f>
        <v>#N/A</v>
      </c>
      <c r="BE117" s="58" t="e">
        <f>VLOOKUP($A117,'S50'!$C:$BQ,39,0)</f>
        <v>#N/A</v>
      </c>
      <c r="BF117" s="58" t="e">
        <f>VLOOKUP($A117,'S50'!$C:$BQ,40,0)</f>
        <v>#N/A</v>
      </c>
      <c r="BG117" s="58" t="e">
        <f>VLOOKUP($A117,'S50'!$C:$BQ,22,0)</f>
        <v>#N/A</v>
      </c>
      <c r="BH117" s="66" t="e">
        <f>VLOOKUP($A117,'S50'!$C:$BQ,29,0)</f>
        <v>#N/A</v>
      </c>
      <c r="BI117" s="66" t="e">
        <f>VLOOKUP($A117,'S50'!$C:$BQ,30,0)</f>
        <v>#N/A</v>
      </c>
      <c r="BJ117" s="66" t="e">
        <f>VLOOKUP($A117,'S50'!$C:$BQ,52,0)</f>
        <v>#N/A</v>
      </c>
      <c r="BK117" s="66" t="e">
        <f>VLOOKUP($A117,'S50'!$C:$BQ,59,0)</f>
        <v>#N/A</v>
      </c>
      <c r="BL117" s="66" t="e">
        <f>VLOOKUP($A117,'S50'!$C:$BQ,60,0)</f>
        <v>#N/A</v>
      </c>
    </row>
    <row r="118" spans="1:64" x14ac:dyDescent="0.2">
      <c r="A118" s="57" t="s">
        <v>181</v>
      </c>
      <c r="B118" s="58">
        <f>VLOOKUP($A118,'S0 remplacer avec S44'!$C:$BQ,32,0)</f>
        <v>264.39999999999998</v>
      </c>
      <c r="C118" s="58">
        <f>VLOOKUP($A118,'S0 remplacer avec S44'!$C:$BQ,39,0)</f>
        <v>0</v>
      </c>
      <c r="D118" s="58">
        <f>VLOOKUP($A118,'S0 remplacer avec S44'!$C:$BQ,40,0)</f>
        <v>0</v>
      </c>
      <c r="E118" s="58">
        <f>VLOOKUP($A118,'S0 remplacer avec S44'!$C:$BQ,22,0)</f>
        <v>2267.54358</v>
      </c>
      <c r="F118" s="66">
        <f>VLOOKUP($A118,'S0 remplacer avec S44'!$C:$BQ,29,0)</f>
        <v>0</v>
      </c>
      <c r="G118" s="66">
        <f>VLOOKUP($A118,'S0 remplacer avec S44'!$C:$BQ,30,0)</f>
        <v>0</v>
      </c>
      <c r="H118" s="66">
        <f>VLOOKUP($A118,'S0 remplacer avec S44'!$C:$BQ,52,0)</f>
        <v>189</v>
      </c>
      <c r="I118" s="66">
        <f>VLOOKUP($A118,'S0 remplacer avec S44'!$C:$BQ,59,0)</f>
        <v>0</v>
      </c>
      <c r="J118" s="66">
        <f>VLOOKUP($A118,'S0 remplacer avec S44'!$C:$BQ,60,0)</f>
        <v>0</v>
      </c>
      <c r="K118" s="58">
        <f>VLOOKUP($A118,'S45'!$C:$BQ,32,0)</f>
        <v>266.39999999999998</v>
      </c>
      <c r="L118" s="58">
        <f>VLOOKUP($A118,'S45'!$C:$BQ,39,0)</f>
        <v>0</v>
      </c>
      <c r="M118" s="58">
        <f>VLOOKUP($A118,'S45'!$C:$BQ,40,0)</f>
        <v>0</v>
      </c>
      <c r="N118" s="58">
        <f>VLOOKUP($A118,'S45'!$C:$BQ,22,0)</f>
        <v>2293.2113100000001</v>
      </c>
      <c r="O118" s="66">
        <f>VLOOKUP($A118,'S45'!$C:$BQ,29,0)</f>
        <v>0</v>
      </c>
      <c r="P118" s="66">
        <f>VLOOKUP($A118,'S45'!$C:$BQ,30,0)</f>
        <v>0</v>
      </c>
      <c r="Q118" s="66">
        <f>VLOOKUP($A118,'S45'!$C:$BQ,52,0)</f>
        <v>195</v>
      </c>
      <c r="R118" s="66">
        <f>VLOOKUP($A118,'S45'!$C:$BQ,59,0)</f>
        <v>0</v>
      </c>
      <c r="S118" s="66">
        <f>VLOOKUP($A118,'S45'!$C:$BQ,60,0)</f>
        <v>0</v>
      </c>
      <c r="T118" s="58">
        <f>VLOOKUP($A118,'S46'!$C:$BQ,32,0)</f>
        <v>266.89999999999998</v>
      </c>
      <c r="U118" s="58">
        <f>VLOOKUP($A118,'S46'!$C:$BQ,39,0)</f>
        <v>0</v>
      </c>
      <c r="V118" s="58">
        <f>VLOOKUP($A118,'S46'!$C:$BQ,40,0)</f>
        <v>0</v>
      </c>
      <c r="W118" s="58">
        <f>VLOOKUP($A118,'S46'!$C:$BQ,22,0)</f>
        <v>2294.6258699999998</v>
      </c>
      <c r="X118" s="66">
        <f>VLOOKUP($A118,'S46'!$C:$BQ,29,0)</f>
        <v>0</v>
      </c>
      <c r="Y118" s="66">
        <f>VLOOKUP($A118,'S46'!$C:$BQ,30,0)</f>
        <v>0</v>
      </c>
      <c r="Z118" s="66">
        <f>VLOOKUP($A118,'S46'!$C:$BQ,52,0)</f>
        <v>196</v>
      </c>
      <c r="AA118" s="66">
        <f>VLOOKUP($A118,'S46'!$C:$BQ,59,0)</f>
        <v>0</v>
      </c>
      <c r="AB118" s="66">
        <f>VLOOKUP($A118,'S46'!$C:$BQ,60,0)</f>
        <v>0</v>
      </c>
      <c r="AC118" s="58">
        <f>VLOOKUP($A118,'S47'!$C:$BQ,32,0)</f>
        <v>266.89999999999998</v>
      </c>
      <c r="AD118" s="58">
        <f>VLOOKUP($A118,'S47'!$C:$BQ,39,0)</f>
        <v>0</v>
      </c>
      <c r="AE118" s="58">
        <f>VLOOKUP($A118,'S47'!$C:$BQ,40,0)</f>
        <v>0</v>
      </c>
      <c r="AF118" s="58">
        <f>VLOOKUP($A118,'S47'!$C:$BQ,22,0)</f>
        <v>2334.4388100000001</v>
      </c>
      <c r="AG118" s="66">
        <f>VLOOKUP($A118,'S47'!$C:$BQ,29,0)</f>
        <v>0</v>
      </c>
      <c r="AH118" s="66">
        <f>VLOOKUP($A118,'S47'!$C:$BQ,30,0)</f>
        <v>0</v>
      </c>
      <c r="AI118" s="66">
        <f>VLOOKUP($A118,'S47'!$C:$BQ,52,0)</f>
        <v>198</v>
      </c>
      <c r="AJ118" s="66">
        <f>VLOOKUP($A118,'S47'!$C:$BQ,59,0)</f>
        <v>0</v>
      </c>
      <c r="AK118" s="66">
        <f>VLOOKUP($A118,'S47'!$C:$BQ,60,0)</f>
        <v>0</v>
      </c>
      <c r="AL118" s="58" t="e">
        <f>VLOOKUP($A118,'S48'!$C:$BQ,32,0)</f>
        <v>#N/A</v>
      </c>
      <c r="AM118" s="58" t="e">
        <f>VLOOKUP($A118,'S48'!$C:$BQ,39,0)</f>
        <v>#N/A</v>
      </c>
      <c r="AN118" s="58" t="e">
        <f>VLOOKUP($A118,'S48'!$C:$BQ,40,0)</f>
        <v>#N/A</v>
      </c>
      <c r="AO118" s="58" t="e">
        <f>VLOOKUP($A118,'S48'!$C:$BQ,22,0)</f>
        <v>#N/A</v>
      </c>
      <c r="AP118" s="66" t="e">
        <f>VLOOKUP($A118,'S48'!$C:$BQ,29,0)</f>
        <v>#N/A</v>
      </c>
      <c r="AQ118" s="66" t="e">
        <f>VLOOKUP($A118,'S48'!$C:$BQ,30,0)</f>
        <v>#N/A</v>
      </c>
      <c r="AR118" s="66" t="e">
        <f>VLOOKUP($A118,'S48'!$C:$BQ,52,0)</f>
        <v>#N/A</v>
      </c>
      <c r="AS118" s="66" t="e">
        <f>VLOOKUP($A118,'S48'!$C:$BQ,59,0)</f>
        <v>#N/A</v>
      </c>
      <c r="AT118" s="66" t="e">
        <f>VLOOKUP($A118,'S48'!$C:$BQ,60,0)</f>
        <v>#N/A</v>
      </c>
      <c r="AU118" s="58" t="e">
        <f>VLOOKUP($A118,'S49'!$C:$BQ,32,0)</f>
        <v>#N/A</v>
      </c>
      <c r="AV118" s="58" t="e">
        <f>VLOOKUP($A118,'S49'!$C:$BQ,39,0)</f>
        <v>#N/A</v>
      </c>
      <c r="AW118" s="58" t="e">
        <f>VLOOKUP($A118,'S49'!$C:$BQ,40,0)</f>
        <v>#N/A</v>
      </c>
      <c r="AX118" s="58" t="e">
        <f>VLOOKUP($A118,'S49'!$C:$BQ,22,0)</f>
        <v>#N/A</v>
      </c>
      <c r="AY118" s="66" t="e">
        <f>VLOOKUP($A118,'S49'!$C:$BQ,29,0)</f>
        <v>#N/A</v>
      </c>
      <c r="AZ118" s="66" t="e">
        <f>VLOOKUP($A118,'S49'!$C:$BQ,30,0)</f>
        <v>#N/A</v>
      </c>
      <c r="BA118" s="66" t="e">
        <f>VLOOKUP($A118,'S49'!$C:$BQ,52,0)</f>
        <v>#N/A</v>
      </c>
      <c r="BB118" s="66" t="e">
        <f>VLOOKUP($A118,'S49'!$C:$BQ,59,0)</f>
        <v>#N/A</v>
      </c>
      <c r="BC118" s="66" t="e">
        <f>VLOOKUP($A118,'S49'!$C:$BQ,60,0)</f>
        <v>#N/A</v>
      </c>
      <c r="BD118" s="58" t="e">
        <f>VLOOKUP($A118,'S50'!$C:$BQ,32,0)</f>
        <v>#N/A</v>
      </c>
      <c r="BE118" s="58" t="e">
        <f>VLOOKUP($A118,'S50'!$C:$BQ,39,0)</f>
        <v>#N/A</v>
      </c>
      <c r="BF118" s="58" t="e">
        <f>VLOOKUP($A118,'S50'!$C:$BQ,40,0)</f>
        <v>#N/A</v>
      </c>
      <c r="BG118" s="58" t="e">
        <f>VLOOKUP($A118,'S50'!$C:$BQ,22,0)</f>
        <v>#N/A</v>
      </c>
      <c r="BH118" s="66" t="e">
        <f>VLOOKUP($A118,'S50'!$C:$BQ,29,0)</f>
        <v>#N/A</v>
      </c>
      <c r="BI118" s="66" t="e">
        <f>VLOOKUP($A118,'S50'!$C:$BQ,30,0)</f>
        <v>#N/A</v>
      </c>
      <c r="BJ118" s="66" t="e">
        <f>VLOOKUP($A118,'S50'!$C:$BQ,52,0)</f>
        <v>#N/A</v>
      </c>
      <c r="BK118" s="66" t="e">
        <f>VLOOKUP($A118,'S50'!$C:$BQ,59,0)</f>
        <v>#N/A</v>
      </c>
      <c r="BL118" s="66" t="e">
        <f>VLOOKUP($A118,'S50'!$C:$BQ,60,0)</f>
        <v>#N/A</v>
      </c>
    </row>
    <row r="119" spans="1:64" x14ac:dyDescent="0.2">
      <c r="A119" s="57" t="s">
        <v>182</v>
      </c>
      <c r="B119" s="58">
        <f>VLOOKUP($A119,'S0 remplacer avec S44'!$C:$BQ,32,0)</f>
        <v>171.75</v>
      </c>
      <c r="C119" s="58">
        <f>VLOOKUP($A119,'S0 remplacer avec S44'!$C:$BQ,39,0)</f>
        <v>34</v>
      </c>
      <c r="D119" s="58">
        <f>VLOOKUP($A119,'S0 remplacer avec S44'!$C:$BQ,40,0)</f>
        <v>75</v>
      </c>
      <c r="E119" s="58">
        <f>VLOOKUP($A119,'S0 remplacer avec S44'!$C:$BQ,22,0)</f>
        <v>1684.8502100000001</v>
      </c>
      <c r="F119" s="66">
        <f>VLOOKUP($A119,'S0 remplacer avec S44'!$C:$BQ,29,0)</f>
        <v>183</v>
      </c>
      <c r="G119" s="66">
        <f>VLOOKUP($A119,'S0 remplacer avec S44'!$C:$BQ,30,0)</f>
        <v>557</v>
      </c>
      <c r="H119" s="66">
        <f>VLOOKUP($A119,'S0 remplacer avec S44'!$C:$BQ,52,0)</f>
        <v>123</v>
      </c>
      <c r="I119" s="66">
        <f>VLOOKUP($A119,'S0 remplacer avec S44'!$C:$BQ,59,0)</f>
        <v>0</v>
      </c>
      <c r="J119" s="66">
        <f>VLOOKUP($A119,'S0 remplacer avec S44'!$C:$BQ,60,0)</f>
        <v>3</v>
      </c>
      <c r="K119" s="58">
        <f>VLOOKUP($A119,'S45'!$C:$BQ,32,0)</f>
        <v>171.75</v>
      </c>
      <c r="L119" s="58">
        <f>VLOOKUP($A119,'S45'!$C:$BQ,39,0)</f>
        <v>34</v>
      </c>
      <c r="M119" s="58">
        <f>VLOOKUP($A119,'S45'!$C:$BQ,40,0)</f>
        <v>75</v>
      </c>
      <c r="N119" s="58">
        <f>VLOOKUP($A119,'S45'!$C:$BQ,22,0)</f>
        <v>1706.63851</v>
      </c>
      <c r="O119" s="66">
        <f>VLOOKUP($A119,'S45'!$C:$BQ,29,0)</f>
        <v>161</v>
      </c>
      <c r="P119" s="66">
        <f>VLOOKUP($A119,'S45'!$C:$BQ,30,0)</f>
        <v>535</v>
      </c>
      <c r="Q119" s="66">
        <f>VLOOKUP($A119,'S45'!$C:$BQ,52,0)</f>
        <v>124</v>
      </c>
      <c r="R119" s="66">
        <f>VLOOKUP($A119,'S45'!$C:$BQ,59,0)</f>
        <v>0</v>
      </c>
      <c r="S119" s="66">
        <f>VLOOKUP($A119,'S45'!$C:$BQ,60,0)</f>
        <v>2</v>
      </c>
      <c r="T119" s="58">
        <f>VLOOKUP($A119,'S46'!$C:$BQ,32,0)</f>
        <v>172.75</v>
      </c>
      <c r="U119" s="58">
        <f>VLOOKUP($A119,'S46'!$C:$BQ,39,0)</f>
        <v>33</v>
      </c>
      <c r="V119" s="58">
        <f>VLOOKUP($A119,'S46'!$C:$BQ,40,0)</f>
        <v>74</v>
      </c>
      <c r="W119" s="58">
        <f>VLOOKUP($A119,'S46'!$C:$BQ,22,0)</f>
        <v>1707.83403</v>
      </c>
      <c r="X119" s="66">
        <f>VLOOKUP($A119,'S46'!$C:$BQ,29,0)</f>
        <v>160</v>
      </c>
      <c r="Y119" s="66">
        <f>VLOOKUP($A119,'S46'!$C:$BQ,30,0)</f>
        <v>534</v>
      </c>
      <c r="Z119" s="66">
        <f>VLOOKUP($A119,'S46'!$C:$BQ,52,0)</f>
        <v>125</v>
      </c>
      <c r="AA119" s="66">
        <f>VLOOKUP($A119,'S46'!$C:$BQ,59,0)</f>
        <v>0</v>
      </c>
      <c r="AB119" s="66">
        <f>VLOOKUP($A119,'S46'!$C:$BQ,60,0)</f>
        <v>1</v>
      </c>
      <c r="AC119" s="58">
        <f>VLOOKUP($A119,'S47'!$C:$BQ,32,0)</f>
        <v>176.75</v>
      </c>
      <c r="AD119" s="58">
        <f>VLOOKUP($A119,'S47'!$C:$BQ,39,0)</f>
        <v>29</v>
      </c>
      <c r="AE119" s="58">
        <f>VLOOKUP($A119,'S47'!$C:$BQ,40,0)</f>
        <v>70</v>
      </c>
      <c r="AF119" s="58">
        <f>VLOOKUP($A119,'S47'!$C:$BQ,22,0)</f>
        <v>1743.5379</v>
      </c>
      <c r="AG119" s="66">
        <f>VLOOKUP($A119,'S47'!$C:$BQ,29,0)</f>
        <v>125</v>
      </c>
      <c r="AH119" s="66">
        <f>VLOOKUP($A119,'S47'!$C:$BQ,30,0)</f>
        <v>498</v>
      </c>
      <c r="AI119" s="66">
        <f>VLOOKUP($A119,'S47'!$C:$BQ,52,0)</f>
        <v>126</v>
      </c>
      <c r="AJ119" s="66">
        <f>VLOOKUP($A119,'S47'!$C:$BQ,59,0)</f>
        <v>0</v>
      </c>
      <c r="AK119" s="66">
        <f>VLOOKUP($A119,'S47'!$C:$BQ,60,0)</f>
        <v>0</v>
      </c>
      <c r="AL119" s="58" t="e">
        <f>VLOOKUP($A119,'S48'!$C:$BQ,32,0)</f>
        <v>#N/A</v>
      </c>
      <c r="AM119" s="58" t="e">
        <f>VLOOKUP($A119,'S48'!$C:$BQ,39,0)</f>
        <v>#N/A</v>
      </c>
      <c r="AN119" s="58" t="e">
        <f>VLOOKUP($A119,'S48'!$C:$BQ,40,0)</f>
        <v>#N/A</v>
      </c>
      <c r="AO119" s="58" t="e">
        <f>VLOOKUP($A119,'S48'!$C:$BQ,22,0)</f>
        <v>#N/A</v>
      </c>
      <c r="AP119" s="66" t="e">
        <f>VLOOKUP($A119,'S48'!$C:$BQ,29,0)</f>
        <v>#N/A</v>
      </c>
      <c r="AQ119" s="66" t="e">
        <f>VLOOKUP($A119,'S48'!$C:$BQ,30,0)</f>
        <v>#N/A</v>
      </c>
      <c r="AR119" s="66" t="e">
        <f>VLOOKUP($A119,'S48'!$C:$BQ,52,0)</f>
        <v>#N/A</v>
      </c>
      <c r="AS119" s="66" t="e">
        <f>VLOOKUP($A119,'S48'!$C:$BQ,59,0)</f>
        <v>#N/A</v>
      </c>
      <c r="AT119" s="66" t="e">
        <f>VLOOKUP($A119,'S48'!$C:$BQ,60,0)</f>
        <v>#N/A</v>
      </c>
      <c r="AU119" s="58" t="e">
        <f>VLOOKUP($A119,'S49'!$C:$BQ,32,0)</f>
        <v>#N/A</v>
      </c>
      <c r="AV119" s="58" t="e">
        <f>VLOOKUP($A119,'S49'!$C:$BQ,39,0)</f>
        <v>#N/A</v>
      </c>
      <c r="AW119" s="58" t="e">
        <f>VLOOKUP($A119,'S49'!$C:$BQ,40,0)</f>
        <v>#N/A</v>
      </c>
      <c r="AX119" s="58" t="e">
        <f>VLOOKUP($A119,'S49'!$C:$BQ,22,0)</f>
        <v>#N/A</v>
      </c>
      <c r="AY119" s="66" t="e">
        <f>VLOOKUP($A119,'S49'!$C:$BQ,29,0)</f>
        <v>#N/A</v>
      </c>
      <c r="AZ119" s="66" t="e">
        <f>VLOOKUP($A119,'S49'!$C:$BQ,30,0)</f>
        <v>#N/A</v>
      </c>
      <c r="BA119" s="66" t="e">
        <f>VLOOKUP($A119,'S49'!$C:$BQ,52,0)</f>
        <v>#N/A</v>
      </c>
      <c r="BB119" s="66" t="e">
        <f>VLOOKUP($A119,'S49'!$C:$BQ,59,0)</f>
        <v>#N/A</v>
      </c>
      <c r="BC119" s="66" t="e">
        <f>VLOOKUP($A119,'S49'!$C:$BQ,60,0)</f>
        <v>#N/A</v>
      </c>
      <c r="BD119" s="58" t="e">
        <f>VLOOKUP($A119,'S50'!$C:$BQ,32,0)</f>
        <v>#N/A</v>
      </c>
      <c r="BE119" s="58" t="e">
        <f>VLOOKUP($A119,'S50'!$C:$BQ,39,0)</f>
        <v>#N/A</v>
      </c>
      <c r="BF119" s="58" t="e">
        <f>VLOOKUP($A119,'S50'!$C:$BQ,40,0)</f>
        <v>#N/A</v>
      </c>
      <c r="BG119" s="58" t="e">
        <f>VLOOKUP($A119,'S50'!$C:$BQ,22,0)</f>
        <v>#N/A</v>
      </c>
      <c r="BH119" s="66" t="e">
        <f>VLOOKUP($A119,'S50'!$C:$BQ,29,0)</f>
        <v>#N/A</v>
      </c>
      <c r="BI119" s="66" t="e">
        <f>VLOOKUP($A119,'S50'!$C:$BQ,30,0)</f>
        <v>#N/A</v>
      </c>
      <c r="BJ119" s="66" t="e">
        <f>VLOOKUP($A119,'S50'!$C:$BQ,52,0)</f>
        <v>#N/A</v>
      </c>
      <c r="BK119" s="66" t="e">
        <f>VLOOKUP($A119,'S50'!$C:$BQ,59,0)</f>
        <v>#N/A</v>
      </c>
      <c r="BL119" s="66" t="e">
        <f>VLOOKUP($A119,'S50'!$C:$BQ,60,0)</f>
        <v>#N/A</v>
      </c>
    </row>
    <row r="120" spans="1:64" x14ac:dyDescent="0.2">
      <c r="A120" s="57" t="s">
        <v>183</v>
      </c>
      <c r="B120" s="58">
        <f>VLOOKUP($A120,'S0 remplacer avec S44'!$C:$BQ,32,0)</f>
        <v>144.25</v>
      </c>
      <c r="C120" s="58">
        <f>VLOOKUP($A120,'S0 remplacer avec S44'!$C:$BQ,39,0)</f>
        <v>12</v>
      </c>
      <c r="D120" s="58">
        <f>VLOOKUP($A120,'S0 remplacer avec S44'!$C:$BQ,40,0)</f>
        <v>43</v>
      </c>
      <c r="E120" s="58">
        <f>VLOOKUP($A120,'S0 remplacer avec S44'!$C:$BQ,22,0)</f>
        <v>1037.87886</v>
      </c>
      <c r="F120" s="66">
        <f>VLOOKUP($A120,'S0 remplacer avec S44'!$C:$BQ,29,0)</f>
        <v>382</v>
      </c>
      <c r="G120" s="66">
        <f>VLOOKUP($A120,'S0 remplacer avec S44'!$C:$BQ,30,0)</f>
        <v>665</v>
      </c>
      <c r="H120" s="66">
        <f>VLOOKUP($A120,'S0 remplacer avec S44'!$C:$BQ,52,0)</f>
        <v>78.2</v>
      </c>
      <c r="I120" s="66">
        <f>VLOOKUP($A120,'S0 remplacer avec S44'!$C:$BQ,59,0)</f>
        <v>2</v>
      </c>
      <c r="J120" s="66">
        <f>VLOOKUP($A120,'S0 remplacer avec S44'!$C:$BQ,60,0)</f>
        <v>17</v>
      </c>
      <c r="K120" s="58">
        <f>VLOOKUP($A120,'S45'!$C:$BQ,32,0)</f>
        <v>145</v>
      </c>
      <c r="L120" s="58">
        <f>VLOOKUP($A120,'S45'!$C:$BQ,39,0)</f>
        <v>12</v>
      </c>
      <c r="M120" s="58">
        <f>VLOOKUP($A120,'S45'!$C:$BQ,40,0)</f>
        <v>43</v>
      </c>
      <c r="N120" s="58">
        <f>VLOOKUP($A120,'S45'!$C:$BQ,22,0)</f>
        <v>1045.0889299999999</v>
      </c>
      <c r="O120" s="66">
        <f>VLOOKUP($A120,'S45'!$C:$BQ,29,0)</f>
        <v>374</v>
      </c>
      <c r="P120" s="66">
        <f>VLOOKUP($A120,'S45'!$C:$BQ,30,0)</f>
        <v>658</v>
      </c>
      <c r="Q120" s="66">
        <f>VLOOKUP($A120,'S45'!$C:$BQ,52,0)</f>
        <v>83.2</v>
      </c>
      <c r="R120" s="66">
        <f>VLOOKUP($A120,'S45'!$C:$BQ,59,0)</f>
        <v>0</v>
      </c>
      <c r="S120" s="66">
        <f>VLOOKUP($A120,'S45'!$C:$BQ,60,0)</f>
        <v>12</v>
      </c>
      <c r="T120" s="58">
        <f>VLOOKUP($A120,'S46'!$C:$BQ,32,0)</f>
        <v>146</v>
      </c>
      <c r="U120" s="58">
        <f>VLOOKUP($A120,'S46'!$C:$BQ,39,0)</f>
        <v>11</v>
      </c>
      <c r="V120" s="58">
        <f>VLOOKUP($A120,'S46'!$C:$BQ,40,0)</f>
        <v>42</v>
      </c>
      <c r="W120" s="58">
        <f>VLOOKUP($A120,'S46'!$C:$BQ,22,0)</f>
        <v>1050.08323</v>
      </c>
      <c r="X120" s="66">
        <f>VLOOKUP($A120,'S46'!$C:$BQ,29,0)</f>
        <v>369</v>
      </c>
      <c r="Y120" s="66">
        <f>VLOOKUP($A120,'S46'!$C:$BQ,30,0)</f>
        <v>653</v>
      </c>
      <c r="Z120" s="66">
        <f>VLOOKUP($A120,'S46'!$C:$BQ,52,0)</f>
        <v>84.2</v>
      </c>
      <c r="AA120" s="66">
        <f>VLOOKUP($A120,'S46'!$C:$BQ,59,0)</f>
        <v>0</v>
      </c>
      <c r="AB120" s="66">
        <f>VLOOKUP($A120,'S46'!$C:$BQ,60,0)</f>
        <v>11</v>
      </c>
      <c r="AC120" s="58">
        <f>VLOOKUP($A120,'S47'!$C:$BQ,32,0)</f>
        <v>159</v>
      </c>
      <c r="AD120" s="58">
        <f>VLOOKUP($A120,'S47'!$C:$BQ,39,0)</f>
        <v>0</v>
      </c>
      <c r="AE120" s="58">
        <f>VLOOKUP($A120,'S47'!$C:$BQ,40,0)</f>
        <v>29</v>
      </c>
      <c r="AF120" s="58">
        <f>VLOOKUP($A120,'S47'!$C:$BQ,22,0)</f>
        <v>1150.0958800000001</v>
      </c>
      <c r="AG120" s="66">
        <f>VLOOKUP($A120,'S47'!$C:$BQ,29,0)</f>
        <v>269</v>
      </c>
      <c r="AH120" s="66">
        <f>VLOOKUP($A120,'S47'!$C:$BQ,30,0)</f>
        <v>553</v>
      </c>
      <c r="AI120" s="66">
        <f>VLOOKUP($A120,'S47'!$C:$BQ,52,0)</f>
        <v>87.2</v>
      </c>
      <c r="AJ120" s="66">
        <f>VLOOKUP($A120,'S47'!$C:$BQ,59,0)</f>
        <v>0</v>
      </c>
      <c r="AK120" s="66">
        <f>VLOOKUP($A120,'S47'!$C:$BQ,60,0)</f>
        <v>8</v>
      </c>
      <c r="AL120" s="58" t="e">
        <f>VLOOKUP($A120,'S48'!$C:$BQ,32,0)</f>
        <v>#N/A</v>
      </c>
      <c r="AM120" s="58" t="e">
        <f>VLOOKUP($A120,'S48'!$C:$BQ,39,0)</f>
        <v>#N/A</v>
      </c>
      <c r="AN120" s="58" t="e">
        <f>VLOOKUP($A120,'S48'!$C:$BQ,40,0)</f>
        <v>#N/A</v>
      </c>
      <c r="AO120" s="58" t="e">
        <f>VLOOKUP($A120,'S48'!$C:$BQ,22,0)</f>
        <v>#N/A</v>
      </c>
      <c r="AP120" s="66" t="e">
        <f>VLOOKUP($A120,'S48'!$C:$BQ,29,0)</f>
        <v>#N/A</v>
      </c>
      <c r="AQ120" s="66" t="e">
        <f>VLOOKUP($A120,'S48'!$C:$BQ,30,0)</f>
        <v>#N/A</v>
      </c>
      <c r="AR120" s="66" t="e">
        <f>VLOOKUP($A120,'S48'!$C:$BQ,52,0)</f>
        <v>#N/A</v>
      </c>
      <c r="AS120" s="66" t="e">
        <f>VLOOKUP($A120,'S48'!$C:$BQ,59,0)</f>
        <v>#N/A</v>
      </c>
      <c r="AT120" s="66" t="e">
        <f>VLOOKUP($A120,'S48'!$C:$BQ,60,0)</f>
        <v>#N/A</v>
      </c>
      <c r="AU120" s="58" t="e">
        <f>VLOOKUP($A120,'S49'!$C:$BQ,32,0)</f>
        <v>#N/A</v>
      </c>
      <c r="AV120" s="58" t="e">
        <f>VLOOKUP($A120,'S49'!$C:$BQ,39,0)</f>
        <v>#N/A</v>
      </c>
      <c r="AW120" s="58" t="e">
        <f>VLOOKUP($A120,'S49'!$C:$BQ,40,0)</f>
        <v>#N/A</v>
      </c>
      <c r="AX120" s="58" t="e">
        <f>VLOOKUP($A120,'S49'!$C:$BQ,22,0)</f>
        <v>#N/A</v>
      </c>
      <c r="AY120" s="66" t="e">
        <f>VLOOKUP($A120,'S49'!$C:$BQ,29,0)</f>
        <v>#N/A</v>
      </c>
      <c r="AZ120" s="66" t="e">
        <f>VLOOKUP($A120,'S49'!$C:$BQ,30,0)</f>
        <v>#N/A</v>
      </c>
      <c r="BA120" s="66" t="e">
        <f>VLOOKUP($A120,'S49'!$C:$BQ,52,0)</f>
        <v>#N/A</v>
      </c>
      <c r="BB120" s="66" t="e">
        <f>VLOOKUP($A120,'S49'!$C:$BQ,59,0)</f>
        <v>#N/A</v>
      </c>
      <c r="BC120" s="66" t="e">
        <f>VLOOKUP($A120,'S49'!$C:$BQ,60,0)</f>
        <v>#N/A</v>
      </c>
      <c r="BD120" s="58" t="e">
        <f>VLOOKUP($A120,'S50'!$C:$BQ,32,0)</f>
        <v>#N/A</v>
      </c>
      <c r="BE120" s="58" t="e">
        <f>VLOOKUP($A120,'S50'!$C:$BQ,39,0)</f>
        <v>#N/A</v>
      </c>
      <c r="BF120" s="58" t="e">
        <f>VLOOKUP($A120,'S50'!$C:$BQ,40,0)</f>
        <v>#N/A</v>
      </c>
      <c r="BG120" s="58" t="e">
        <f>VLOOKUP($A120,'S50'!$C:$BQ,22,0)</f>
        <v>#N/A</v>
      </c>
      <c r="BH120" s="66" t="e">
        <f>VLOOKUP($A120,'S50'!$C:$BQ,29,0)</f>
        <v>#N/A</v>
      </c>
      <c r="BI120" s="66" t="e">
        <f>VLOOKUP($A120,'S50'!$C:$BQ,30,0)</f>
        <v>#N/A</v>
      </c>
      <c r="BJ120" s="66" t="e">
        <f>VLOOKUP($A120,'S50'!$C:$BQ,52,0)</f>
        <v>#N/A</v>
      </c>
      <c r="BK120" s="66" t="e">
        <f>VLOOKUP($A120,'S50'!$C:$BQ,59,0)</f>
        <v>#N/A</v>
      </c>
      <c r="BL120" s="66" t="e">
        <f>VLOOKUP($A120,'S50'!$C:$BQ,60,0)</f>
        <v>#N/A</v>
      </c>
    </row>
    <row r="121" spans="1:64" x14ac:dyDescent="0.2">
      <c r="A121" s="57" t="s">
        <v>184</v>
      </c>
      <c r="B121" s="58">
        <f>VLOOKUP($A121,'S0 remplacer avec S44'!$C:$BQ,32,0)</f>
        <v>224.4</v>
      </c>
      <c r="C121" s="58">
        <f>VLOOKUP($A121,'S0 remplacer avec S44'!$C:$BQ,39,0)</f>
        <v>185</v>
      </c>
      <c r="D121" s="58">
        <f>VLOOKUP($A121,'S0 remplacer avec S44'!$C:$BQ,40,0)</f>
        <v>267</v>
      </c>
      <c r="E121" s="58">
        <f>VLOOKUP($A121,'S0 remplacer avec S44'!$C:$BQ,22,0)</f>
        <v>3625.1861549999999</v>
      </c>
      <c r="F121" s="66">
        <f>VLOOKUP($A121,'S0 remplacer avec S44'!$C:$BQ,29,0)</f>
        <v>95</v>
      </c>
      <c r="G121" s="66">
        <f>VLOOKUP($A121,'S0 remplacer avec S44'!$C:$BQ,30,0)</f>
        <v>839</v>
      </c>
      <c r="H121" s="66">
        <f>VLOOKUP($A121,'S0 remplacer avec S44'!$C:$BQ,52,0)</f>
        <v>206.6</v>
      </c>
      <c r="I121" s="66">
        <f>VLOOKUP($A121,'S0 remplacer avec S44'!$C:$BQ,59,0)</f>
        <v>2</v>
      </c>
      <c r="J121" s="66">
        <f>VLOOKUP($A121,'S0 remplacer avec S44'!$C:$BQ,60,0)</f>
        <v>43</v>
      </c>
      <c r="K121" s="58">
        <f>VLOOKUP($A121,'S45'!$C:$BQ,32,0)</f>
        <v>225.4</v>
      </c>
      <c r="L121" s="58">
        <f>VLOOKUP($A121,'S45'!$C:$BQ,39,0)</f>
        <v>184</v>
      </c>
      <c r="M121" s="58">
        <f>VLOOKUP($A121,'S45'!$C:$BQ,40,0)</f>
        <v>266</v>
      </c>
      <c r="N121" s="58">
        <f>VLOOKUP($A121,'S45'!$C:$BQ,22,0)</f>
        <v>3713.3519449999999</v>
      </c>
      <c r="O121" s="66">
        <f>VLOOKUP($A121,'S45'!$C:$BQ,29,0)</f>
        <v>7</v>
      </c>
      <c r="P121" s="66">
        <f>VLOOKUP($A121,'S45'!$C:$BQ,30,0)</f>
        <v>751</v>
      </c>
      <c r="Q121" s="66">
        <f>VLOOKUP($A121,'S45'!$C:$BQ,52,0)</f>
        <v>209.6</v>
      </c>
      <c r="R121" s="66">
        <f>VLOOKUP($A121,'S45'!$C:$BQ,59,0)</f>
        <v>0</v>
      </c>
      <c r="S121" s="66">
        <f>VLOOKUP($A121,'S45'!$C:$BQ,60,0)</f>
        <v>40</v>
      </c>
      <c r="T121" s="58">
        <f>VLOOKUP($A121,'S46'!$C:$BQ,32,0)</f>
        <v>225.4</v>
      </c>
      <c r="U121" s="58">
        <f>VLOOKUP($A121,'S46'!$C:$BQ,39,0)</f>
        <v>184</v>
      </c>
      <c r="V121" s="58">
        <f>VLOOKUP($A121,'S46'!$C:$BQ,40,0)</f>
        <v>266</v>
      </c>
      <c r="W121" s="58">
        <f>VLOOKUP($A121,'S46'!$C:$BQ,22,0)</f>
        <v>3717.3947549999998</v>
      </c>
      <c r="X121" s="66">
        <f>VLOOKUP($A121,'S46'!$C:$BQ,29,0)</f>
        <v>3</v>
      </c>
      <c r="Y121" s="66">
        <f>VLOOKUP($A121,'S46'!$C:$BQ,30,0)</f>
        <v>747</v>
      </c>
      <c r="Z121" s="66">
        <f>VLOOKUP($A121,'S46'!$C:$BQ,52,0)</f>
        <v>209.6</v>
      </c>
      <c r="AA121" s="66">
        <f>VLOOKUP($A121,'S46'!$C:$BQ,59,0)</f>
        <v>0</v>
      </c>
      <c r="AB121" s="66">
        <f>VLOOKUP($A121,'S46'!$C:$BQ,60,0)</f>
        <v>40</v>
      </c>
      <c r="AC121" s="58">
        <f>VLOOKUP($A121,'S47'!$C:$BQ,32,0)</f>
        <v>229.4</v>
      </c>
      <c r="AD121" s="58">
        <f>VLOOKUP($A121,'S47'!$C:$BQ,39,0)</f>
        <v>180</v>
      </c>
      <c r="AE121" s="58">
        <f>VLOOKUP($A121,'S47'!$C:$BQ,40,0)</f>
        <v>262</v>
      </c>
      <c r="AF121" s="58">
        <f>VLOOKUP($A121,'S47'!$C:$BQ,22,0)</f>
        <v>3814.8952049999998</v>
      </c>
      <c r="AG121" s="66">
        <f>VLOOKUP($A121,'S47'!$C:$BQ,29,0)</f>
        <v>0</v>
      </c>
      <c r="AH121" s="66">
        <f>VLOOKUP($A121,'S47'!$C:$BQ,30,0)</f>
        <v>649</v>
      </c>
      <c r="AI121" s="66">
        <f>VLOOKUP($A121,'S47'!$C:$BQ,52,0)</f>
        <v>220.6</v>
      </c>
      <c r="AJ121" s="66">
        <f>VLOOKUP($A121,'S47'!$C:$BQ,59,0)</f>
        <v>0</v>
      </c>
      <c r="AK121" s="66">
        <f>VLOOKUP($A121,'S47'!$C:$BQ,60,0)</f>
        <v>29</v>
      </c>
      <c r="AL121" s="58" t="e">
        <f>VLOOKUP($A121,'S48'!$C:$BQ,32,0)</f>
        <v>#N/A</v>
      </c>
      <c r="AM121" s="58" t="e">
        <f>VLOOKUP($A121,'S48'!$C:$BQ,39,0)</f>
        <v>#N/A</v>
      </c>
      <c r="AN121" s="58" t="e">
        <f>VLOOKUP($A121,'S48'!$C:$BQ,40,0)</f>
        <v>#N/A</v>
      </c>
      <c r="AO121" s="58" t="e">
        <f>VLOOKUP($A121,'S48'!$C:$BQ,22,0)</f>
        <v>#N/A</v>
      </c>
      <c r="AP121" s="66" t="e">
        <f>VLOOKUP($A121,'S48'!$C:$BQ,29,0)</f>
        <v>#N/A</v>
      </c>
      <c r="AQ121" s="66" t="e">
        <f>VLOOKUP($A121,'S48'!$C:$BQ,30,0)</f>
        <v>#N/A</v>
      </c>
      <c r="AR121" s="66" t="e">
        <f>VLOOKUP($A121,'S48'!$C:$BQ,52,0)</f>
        <v>#N/A</v>
      </c>
      <c r="AS121" s="66" t="e">
        <f>VLOOKUP($A121,'S48'!$C:$BQ,59,0)</f>
        <v>#N/A</v>
      </c>
      <c r="AT121" s="66" t="e">
        <f>VLOOKUP($A121,'S48'!$C:$BQ,60,0)</f>
        <v>#N/A</v>
      </c>
      <c r="AU121" s="58" t="e">
        <f>VLOOKUP($A121,'S49'!$C:$BQ,32,0)</f>
        <v>#N/A</v>
      </c>
      <c r="AV121" s="58" t="e">
        <f>VLOOKUP($A121,'S49'!$C:$BQ,39,0)</f>
        <v>#N/A</v>
      </c>
      <c r="AW121" s="58" t="e">
        <f>VLOOKUP($A121,'S49'!$C:$BQ,40,0)</f>
        <v>#N/A</v>
      </c>
      <c r="AX121" s="58" t="e">
        <f>VLOOKUP($A121,'S49'!$C:$BQ,22,0)</f>
        <v>#N/A</v>
      </c>
      <c r="AY121" s="66" t="e">
        <f>VLOOKUP($A121,'S49'!$C:$BQ,29,0)</f>
        <v>#N/A</v>
      </c>
      <c r="AZ121" s="66" t="e">
        <f>VLOOKUP($A121,'S49'!$C:$BQ,30,0)</f>
        <v>#N/A</v>
      </c>
      <c r="BA121" s="66" t="e">
        <f>VLOOKUP($A121,'S49'!$C:$BQ,52,0)</f>
        <v>#N/A</v>
      </c>
      <c r="BB121" s="66" t="e">
        <f>VLOOKUP($A121,'S49'!$C:$BQ,59,0)</f>
        <v>#N/A</v>
      </c>
      <c r="BC121" s="66" t="e">
        <f>VLOOKUP($A121,'S49'!$C:$BQ,60,0)</f>
        <v>#N/A</v>
      </c>
      <c r="BD121" s="58" t="e">
        <f>VLOOKUP($A121,'S50'!$C:$BQ,32,0)</f>
        <v>#N/A</v>
      </c>
      <c r="BE121" s="58" t="e">
        <f>VLOOKUP($A121,'S50'!$C:$BQ,39,0)</f>
        <v>#N/A</v>
      </c>
      <c r="BF121" s="58" t="e">
        <f>VLOOKUP($A121,'S50'!$C:$BQ,40,0)</f>
        <v>#N/A</v>
      </c>
      <c r="BG121" s="58" t="e">
        <f>VLOOKUP($A121,'S50'!$C:$BQ,22,0)</f>
        <v>#N/A</v>
      </c>
      <c r="BH121" s="66" t="e">
        <f>VLOOKUP($A121,'S50'!$C:$BQ,29,0)</f>
        <v>#N/A</v>
      </c>
      <c r="BI121" s="66" t="e">
        <f>VLOOKUP($A121,'S50'!$C:$BQ,30,0)</f>
        <v>#N/A</v>
      </c>
      <c r="BJ121" s="66" t="e">
        <f>VLOOKUP($A121,'S50'!$C:$BQ,52,0)</f>
        <v>#N/A</v>
      </c>
      <c r="BK121" s="66" t="e">
        <f>VLOOKUP($A121,'S50'!$C:$BQ,59,0)</f>
        <v>#N/A</v>
      </c>
      <c r="BL121" s="66" t="e">
        <f>VLOOKUP($A121,'S50'!$C:$BQ,60,0)</f>
        <v>#N/A</v>
      </c>
    </row>
    <row r="122" spans="1:64" x14ac:dyDescent="0.2">
      <c r="A122" s="57" t="s">
        <v>185</v>
      </c>
      <c r="B122" s="58">
        <f>VLOOKUP($A122,'S0 remplacer avec S44'!$C:$BQ,32,0)</f>
        <v>133.85</v>
      </c>
      <c r="C122" s="58">
        <f>VLOOKUP($A122,'S0 remplacer avec S44'!$C:$BQ,39,0)</f>
        <v>42</v>
      </c>
      <c r="D122" s="58">
        <f>VLOOKUP($A122,'S0 remplacer avec S44'!$C:$BQ,40,0)</f>
        <v>77</v>
      </c>
      <c r="E122" s="58">
        <f>VLOOKUP($A122,'S0 remplacer avec S44'!$C:$BQ,22,0)</f>
        <v>1257.339655</v>
      </c>
      <c r="F122" s="66">
        <f>VLOOKUP($A122,'S0 remplacer avec S44'!$C:$BQ,29,0)</f>
        <v>337</v>
      </c>
      <c r="G122" s="66">
        <f>VLOOKUP($A122,'S0 remplacer avec S44'!$C:$BQ,30,0)</f>
        <v>656</v>
      </c>
      <c r="H122" s="66">
        <f>VLOOKUP($A122,'S0 remplacer avec S44'!$C:$BQ,52,0)</f>
        <v>101</v>
      </c>
      <c r="I122" s="66">
        <f>VLOOKUP($A122,'S0 remplacer avec S44'!$C:$BQ,59,0)</f>
        <v>0</v>
      </c>
      <c r="J122" s="66">
        <f>VLOOKUP($A122,'S0 remplacer avec S44'!$C:$BQ,60,0)</f>
        <v>6</v>
      </c>
      <c r="K122" s="58">
        <f>VLOOKUP($A122,'S45'!$C:$BQ,32,0)</f>
        <v>135.35</v>
      </c>
      <c r="L122" s="58">
        <f>VLOOKUP($A122,'S45'!$C:$BQ,39,0)</f>
        <v>40</v>
      </c>
      <c r="M122" s="58">
        <f>VLOOKUP($A122,'S45'!$C:$BQ,40,0)</f>
        <v>75</v>
      </c>
      <c r="N122" s="58">
        <f>VLOOKUP($A122,'S45'!$C:$BQ,22,0)</f>
        <v>1308.5062250000001</v>
      </c>
      <c r="O122" s="66">
        <f>VLOOKUP($A122,'S45'!$C:$BQ,29,0)</f>
        <v>286</v>
      </c>
      <c r="P122" s="66">
        <f>VLOOKUP($A122,'S45'!$C:$BQ,30,0)</f>
        <v>605</v>
      </c>
      <c r="Q122" s="66">
        <f>VLOOKUP($A122,'S45'!$C:$BQ,52,0)</f>
        <v>103</v>
      </c>
      <c r="R122" s="66">
        <f>VLOOKUP($A122,'S45'!$C:$BQ,59,0)</f>
        <v>0</v>
      </c>
      <c r="S122" s="66">
        <f>VLOOKUP($A122,'S45'!$C:$BQ,60,0)</f>
        <v>4</v>
      </c>
      <c r="T122" s="58">
        <f>VLOOKUP($A122,'S46'!$C:$BQ,32,0)</f>
        <v>135.35</v>
      </c>
      <c r="U122" s="58">
        <f>VLOOKUP($A122,'S46'!$C:$BQ,39,0)</f>
        <v>40</v>
      </c>
      <c r="V122" s="58">
        <f>VLOOKUP($A122,'S46'!$C:$BQ,40,0)</f>
        <v>75</v>
      </c>
      <c r="W122" s="58">
        <f>VLOOKUP($A122,'S46'!$C:$BQ,22,0)</f>
        <v>1310.940965</v>
      </c>
      <c r="X122" s="66">
        <f>VLOOKUP($A122,'S46'!$C:$BQ,29,0)</f>
        <v>284</v>
      </c>
      <c r="Y122" s="66">
        <f>VLOOKUP($A122,'S46'!$C:$BQ,30,0)</f>
        <v>603</v>
      </c>
      <c r="Z122" s="66">
        <f>VLOOKUP($A122,'S46'!$C:$BQ,52,0)</f>
        <v>103</v>
      </c>
      <c r="AA122" s="66">
        <f>VLOOKUP($A122,'S46'!$C:$BQ,59,0)</f>
        <v>0</v>
      </c>
      <c r="AB122" s="66">
        <f>VLOOKUP($A122,'S46'!$C:$BQ,60,0)</f>
        <v>4</v>
      </c>
      <c r="AC122" s="58">
        <f>VLOOKUP($A122,'S47'!$C:$BQ,32,0)</f>
        <v>139.85</v>
      </c>
      <c r="AD122" s="58">
        <f>VLOOKUP($A122,'S47'!$C:$BQ,39,0)</f>
        <v>36</v>
      </c>
      <c r="AE122" s="58">
        <f>VLOOKUP($A122,'S47'!$C:$BQ,40,0)</f>
        <v>71</v>
      </c>
      <c r="AF122" s="58">
        <f>VLOOKUP($A122,'S47'!$C:$BQ,22,0)</f>
        <v>1358.782275</v>
      </c>
      <c r="AG122" s="66">
        <f>VLOOKUP($A122,'S47'!$C:$BQ,29,0)</f>
        <v>236</v>
      </c>
      <c r="AH122" s="66">
        <f>VLOOKUP($A122,'S47'!$C:$BQ,30,0)</f>
        <v>555</v>
      </c>
      <c r="AI122" s="66">
        <f>VLOOKUP($A122,'S47'!$C:$BQ,52,0)</f>
        <v>106</v>
      </c>
      <c r="AJ122" s="66">
        <f>VLOOKUP($A122,'S47'!$C:$BQ,59,0)</f>
        <v>0</v>
      </c>
      <c r="AK122" s="66">
        <f>VLOOKUP($A122,'S47'!$C:$BQ,60,0)</f>
        <v>1</v>
      </c>
      <c r="AL122" s="58" t="e">
        <f>VLOOKUP($A122,'S48'!$C:$BQ,32,0)</f>
        <v>#N/A</v>
      </c>
      <c r="AM122" s="58" t="e">
        <f>VLOOKUP($A122,'S48'!$C:$BQ,39,0)</f>
        <v>#N/A</v>
      </c>
      <c r="AN122" s="58" t="e">
        <f>VLOOKUP($A122,'S48'!$C:$BQ,40,0)</f>
        <v>#N/A</v>
      </c>
      <c r="AO122" s="58" t="e">
        <f>VLOOKUP($A122,'S48'!$C:$BQ,22,0)</f>
        <v>#N/A</v>
      </c>
      <c r="AP122" s="66" t="e">
        <f>VLOOKUP($A122,'S48'!$C:$BQ,29,0)</f>
        <v>#N/A</v>
      </c>
      <c r="AQ122" s="66" t="e">
        <f>VLOOKUP($A122,'S48'!$C:$BQ,30,0)</f>
        <v>#N/A</v>
      </c>
      <c r="AR122" s="66" t="e">
        <f>VLOOKUP($A122,'S48'!$C:$BQ,52,0)</f>
        <v>#N/A</v>
      </c>
      <c r="AS122" s="66" t="e">
        <f>VLOOKUP($A122,'S48'!$C:$BQ,59,0)</f>
        <v>#N/A</v>
      </c>
      <c r="AT122" s="66" t="e">
        <f>VLOOKUP($A122,'S48'!$C:$BQ,60,0)</f>
        <v>#N/A</v>
      </c>
      <c r="AU122" s="58" t="e">
        <f>VLOOKUP($A122,'S49'!$C:$BQ,32,0)</f>
        <v>#N/A</v>
      </c>
      <c r="AV122" s="58" t="e">
        <f>VLOOKUP($A122,'S49'!$C:$BQ,39,0)</f>
        <v>#N/A</v>
      </c>
      <c r="AW122" s="58" t="e">
        <f>VLOOKUP($A122,'S49'!$C:$BQ,40,0)</f>
        <v>#N/A</v>
      </c>
      <c r="AX122" s="58" t="e">
        <f>VLOOKUP($A122,'S49'!$C:$BQ,22,0)</f>
        <v>#N/A</v>
      </c>
      <c r="AY122" s="66" t="e">
        <f>VLOOKUP($A122,'S49'!$C:$BQ,29,0)</f>
        <v>#N/A</v>
      </c>
      <c r="AZ122" s="66" t="e">
        <f>VLOOKUP($A122,'S49'!$C:$BQ,30,0)</f>
        <v>#N/A</v>
      </c>
      <c r="BA122" s="66" t="e">
        <f>VLOOKUP($A122,'S49'!$C:$BQ,52,0)</f>
        <v>#N/A</v>
      </c>
      <c r="BB122" s="66" t="e">
        <f>VLOOKUP($A122,'S49'!$C:$BQ,59,0)</f>
        <v>#N/A</v>
      </c>
      <c r="BC122" s="66" t="e">
        <f>VLOOKUP($A122,'S49'!$C:$BQ,60,0)</f>
        <v>#N/A</v>
      </c>
      <c r="BD122" s="58" t="e">
        <f>VLOOKUP($A122,'S50'!$C:$BQ,32,0)</f>
        <v>#N/A</v>
      </c>
      <c r="BE122" s="58" t="e">
        <f>VLOOKUP($A122,'S50'!$C:$BQ,39,0)</f>
        <v>#N/A</v>
      </c>
      <c r="BF122" s="58" t="e">
        <f>VLOOKUP($A122,'S50'!$C:$BQ,40,0)</f>
        <v>#N/A</v>
      </c>
      <c r="BG122" s="58" t="e">
        <f>VLOOKUP($A122,'S50'!$C:$BQ,22,0)</f>
        <v>#N/A</v>
      </c>
      <c r="BH122" s="66" t="e">
        <f>VLOOKUP($A122,'S50'!$C:$BQ,29,0)</f>
        <v>#N/A</v>
      </c>
      <c r="BI122" s="66" t="e">
        <f>VLOOKUP($A122,'S50'!$C:$BQ,30,0)</f>
        <v>#N/A</v>
      </c>
      <c r="BJ122" s="66" t="e">
        <f>VLOOKUP($A122,'S50'!$C:$BQ,52,0)</f>
        <v>#N/A</v>
      </c>
      <c r="BK122" s="66" t="e">
        <f>VLOOKUP($A122,'S50'!$C:$BQ,59,0)</f>
        <v>#N/A</v>
      </c>
      <c r="BL122" s="66" t="e">
        <f>VLOOKUP($A122,'S50'!$C:$BQ,60,0)</f>
        <v>#N/A</v>
      </c>
    </row>
    <row r="123" spans="1:64" x14ac:dyDescent="0.2">
      <c r="A123" s="57" t="s">
        <v>186</v>
      </c>
      <c r="B123" s="58">
        <f>VLOOKUP($A123,'S0 remplacer avec S44'!$C:$BQ,32,0)</f>
        <v>251</v>
      </c>
      <c r="C123" s="58">
        <f>VLOOKUP($A123,'S0 remplacer avec S44'!$C:$BQ,39,0)</f>
        <v>148</v>
      </c>
      <c r="D123" s="58">
        <f>VLOOKUP($A123,'S0 remplacer avec S44'!$C:$BQ,40,0)</f>
        <v>228</v>
      </c>
      <c r="E123" s="58">
        <f>VLOOKUP($A123,'S0 remplacer avec S44'!$C:$BQ,22,0)</f>
        <v>2979.1891049999999</v>
      </c>
      <c r="F123" s="66">
        <f>VLOOKUP($A123,'S0 remplacer avec S44'!$C:$BQ,29,0)</f>
        <v>648</v>
      </c>
      <c r="G123" s="66">
        <f>VLOOKUP($A123,'S0 remplacer avec S44'!$C:$BQ,30,0)</f>
        <v>1373</v>
      </c>
      <c r="H123" s="66">
        <f>VLOOKUP($A123,'S0 remplacer avec S44'!$C:$BQ,52,0)</f>
        <v>213.6</v>
      </c>
      <c r="I123" s="66">
        <f>VLOOKUP($A123,'S0 remplacer avec S44'!$C:$BQ,59,0)</f>
        <v>0</v>
      </c>
      <c r="J123" s="66">
        <f>VLOOKUP($A123,'S0 remplacer avec S44'!$C:$BQ,60,0)</f>
        <v>30</v>
      </c>
      <c r="K123" s="58">
        <f>VLOOKUP($A123,'S45'!$C:$BQ,32,0)</f>
        <v>256.5</v>
      </c>
      <c r="L123" s="58">
        <f>VLOOKUP($A123,'S45'!$C:$BQ,39,0)</f>
        <v>143</v>
      </c>
      <c r="M123" s="58">
        <f>VLOOKUP($A123,'S45'!$C:$BQ,40,0)</f>
        <v>223</v>
      </c>
      <c r="N123" s="58">
        <f>VLOOKUP($A123,'S45'!$C:$BQ,22,0)</f>
        <v>3054.2521449999999</v>
      </c>
      <c r="O123" s="66">
        <f>VLOOKUP($A123,'S45'!$C:$BQ,29,0)</f>
        <v>573</v>
      </c>
      <c r="P123" s="66">
        <f>VLOOKUP($A123,'S45'!$C:$BQ,30,0)</f>
        <v>1298</v>
      </c>
      <c r="Q123" s="66">
        <f>VLOOKUP($A123,'S45'!$C:$BQ,52,0)</f>
        <v>217.6</v>
      </c>
      <c r="R123" s="66">
        <f>VLOOKUP($A123,'S45'!$C:$BQ,59,0)</f>
        <v>0</v>
      </c>
      <c r="S123" s="66">
        <f>VLOOKUP($A123,'S45'!$C:$BQ,60,0)</f>
        <v>26</v>
      </c>
      <c r="T123" s="58">
        <f>VLOOKUP($A123,'S46'!$C:$BQ,32,0)</f>
        <v>257.2</v>
      </c>
      <c r="U123" s="58">
        <f>VLOOKUP($A123,'S46'!$C:$BQ,39,0)</f>
        <v>142</v>
      </c>
      <c r="V123" s="58">
        <f>VLOOKUP($A123,'S46'!$C:$BQ,40,0)</f>
        <v>222</v>
      </c>
      <c r="W123" s="58">
        <f>VLOOKUP($A123,'S46'!$C:$BQ,22,0)</f>
        <v>3052.6689150000002</v>
      </c>
      <c r="X123" s="66">
        <f>VLOOKUP($A123,'S46'!$C:$BQ,29,0)</f>
        <v>575</v>
      </c>
      <c r="Y123" s="66">
        <f>VLOOKUP($A123,'S46'!$C:$BQ,30,0)</f>
        <v>1300</v>
      </c>
      <c r="Z123" s="66">
        <f>VLOOKUP($A123,'S46'!$C:$BQ,52,0)</f>
        <v>220.6</v>
      </c>
      <c r="AA123" s="66">
        <f>VLOOKUP($A123,'S46'!$C:$BQ,59,0)</f>
        <v>0</v>
      </c>
      <c r="AB123" s="66">
        <f>VLOOKUP($A123,'S46'!$C:$BQ,60,0)</f>
        <v>23</v>
      </c>
      <c r="AC123" s="58">
        <f>VLOOKUP($A123,'S47'!$C:$BQ,32,0)</f>
        <v>259.2</v>
      </c>
      <c r="AD123" s="58">
        <f>VLOOKUP($A123,'S47'!$C:$BQ,39,0)</f>
        <v>140</v>
      </c>
      <c r="AE123" s="58">
        <f>VLOOKUP($A123,'S47'!$C:$BQ,40,0)</f>
        <v>220</v>
      </c>
      <c r="AF123" s="58">
        <f>VLOOKUP($A123,'S47'!$C:$BQ,22,0)</f>
        <v>3158.5967049999999</v>
      </c>
      <c r="AG123" s="66">
        <f>VLOOKUP($A123,'S47'!$C:$BQ,29,0)</f>
        <v>469</v>
      </c>
      <c r="AH123" s="66">
        <f>VLOOKUP($A123,'S47'!$C:$BQ,30,0)</f>
        <v>1194</v>
      </c>
      <c r="AI123" s="66">
        <f>VLOOKUP($A123,'S47'!$C:$BQ,52,0)</f>
        <v>224.6</v>
      </c>
      <c r="AJ123" s="66">
        <f>VLOOKUP($A123,'S47'!$C:$BQ,59,0)</f>
        <v>0</v>
      </c>
      <c r="AK123" s="66">
        <f>VLOOKUP($A123,'S47'!$C:$BQ,60,0)</f>
        <v>19</v>
      </c>
      <c r="AL123" s="58" t="e">
        <f>VLOOKUP($A123,'S48'!$C:$BQ,32,0)</f>
        <v>#N/A</v>
      </c>
      <c r="AM123" s="58" t="e">
        <f>VLOOKUP($A123,'S48'!$C:$BQ,39,0)</f>
        <v>#N/A</v>
      </c>
      <c r="AN123" s="58" t="e">
        <f>VLOOKUP($A123,'S48'!$C:$BQ,40,0)</f>
        <v>#N/A</v>
      </c>
      <c r="AO123" s="58" t="e">
        <f>VLOOKUP($A123,'S48'!$C:$BQ,22,0)</f>
        <v>#N/A</v>
      </c>
      <c r="AP123" s="66" t="e">
        <f>VLOOKUP($A123,'S48'!$C:$BQ,29,0)</f>
        <v>#N/A</v>
      </c>
      <c r="AQ123" s="66" t="e">
        <f>VLOOKUP($A123,'S48'!$C:$BQ,30,0)</f>
        <v>#N/A</v>
      </c>
      <c r="AR123" s="66" t="e">
        <f>VLOOKUP($A123,'S48'!$C:$BQ,52,0)</f>
        <v>#N/A</v>
      </c>
      <c r="AS123" s="66" t="e">
        <f>VLOOKUP($A123,'S48'!$C:$BQ,59,0)</f>
        <v>#N/A</v>
      </c>
      <c r="AT123" s="66" t="e">
        <f>VLOOKUP($A123,'S48'!$C:$BQ,60,0)</f>
        <v>#N/A</v>
      </c>
      <c r="AU123" s="58" t="e">
        <f>VLOOKUP($A123,'S49'!$C:$BQ,32,0)</f>
        <v>#N/A</v>
      </c>
      <c r="AV123" s="58" t="e">
        <f>VLOOKUP($A123,'S49'!$C:$BQ,39,0)</f>
        <v>#N/A</v>
      </c>
      <c r="AW123" s="58" t="e">
        <f>VLOOKUP($A123,'S49'!$C:$BQ,40,0)</f>
        <v>#N/A</v>
      </c>
      <c r="AX123" s="58" t="e">
        <f>VLOOKUP($A123,'S49'!$C:$BQ,22,0)</f>
        <v>#N/A</v>
      </c>
      <c r="AY123" s="66" t="e">
        <f>VLOOKUP($A123,'S49'!$C:$BQ,29,0)</f>
        <v>#N/A</v>
      </c>
      <c r="AZ123" s="66" t="e">
        <f>VLOOKUP($A123,'S49'!$C:$BQ,30,0)</f>
        <v>#N/A</v>
      </c>
      <c r="BA123" s="66" t="e">
        <f>VLOOKUP($A123,'S49'!$C:$BQ,52,0)</f>
        <v>#N/A</v>
      </c>
      <c r="BB123" s="66" t="e">
        <f>VLOOKUP($A123,'S49'!$C:$BQ,59,0)</f>
        <v>#N/A</v>
      </c>
      <c r="BC123" s="66" t="e">
        <f>VLOOKUP($A123,'S49'!$C:$BQ,60,0)</f>
        <v>#N/A</v>
      </c>
      <c r="BD123" s="58" t="e">
        <f>VLOOKUP($A123,'S50'!$C:$BQ,32,0)</f>
        <v>#N/A</v>
      </c>
      <c r="BE123" s="58" t="e">
        <f>VLOOKUP($A123,'S50'!$C:$BQ,39,0)</f>
        <v>#N/A</v>
      </c>
      <c r="BF123" s="58" t="e">
        <f>VLOOKUP($A123,'S50'!$C:$BQ,40,0)</f>
        <v>#N/A</v>
      </c>
      <c r="BG123" s="58" t="e">
        <f>VLOOKUP($A123,'S50'!$C:$BQ,22,0)</f>
        <v>#N/A</v>
      </c>
      <c r="BH123" s="66" t="e">
        <f>VLOOKUP($A123,'S50'!$C:$BQ,29,0)</f>
        <v>#N/A</v>
      </c>
      <c r="BI123" s="66" t="e">
        <f>VLOOKUP($A123,'S50'!$C:$BQ,30,0)</f>
        <v>#N/A</v>
      </c>
      <c r="BJ123" s="66" t="e">
        <f>VLOOKUP($A123,'S50'!$C:$BQ,52,0)</f>
        <v>#N/A</v>
      </c>
      <c r="BK123" s="66" t="e">
        <f>VLOOKUP($A123,'S50'!$C:$BQ,59,0)</f>
        <v>#N/A</v>
      </c>
      <c r="BL123" s="66" t="e">
        <f>VLOOKUP($A123,'S50'!$C:$BQ,60,0)</f>
        <v>#N/A</v>
      </c>
    </row>
    <row r="124" spans="1:64" x14ac:dyDescent="0.2">
      <c r="A124" s="57" t="s">
        <v>188</v>
      </c>
      <c r="B124" s="58">
        <f>VLOOKUP($A124,'S0 remplacer avec S44'!$C:$BQ,32,0)</f>
        <v>183.5</v>
      </c>
      <c r="C124" s="58">
        <f>VLOOKUP($A124,'S0 remplacer avec S44'!$C:$BQ,39,0)</f>
        <v>1</v>
      </c>
      <c r="D124" s="58">
        <f>VLOOKUP($A124,'S0 remplacer avec S44'!$C:$BQ,40,0)</f>
        <v>38</v>
      </c>
      <c r="E124" s="58">
        <f>VLOOKUP($A124,'S0 remplacer avec S44'!$C:$BQ,22,0)</f>
        <v>1965.5979</v>
      </c>
      <c r="F124" s="66">
        <f>VLOOKUP($A124,'S0 remplacer avec S44'!$C:$BQ,29,0)</f>
        <v>0</v>
      </c>
      <c r="G124" s="66">
        <f>VLOOKUP($A124,'S0 remplacer avec S44'!$C:$BQ,30,0)</f>
        <v>44</v>
      </c>
      <c r="H124" s="66">
        <f>VLOOKUP($A124,'S0 remplacer avec S44'!$C:$BQ,52,0)</f>
        <v>125.4</v>
      </c>
      <c r="I124" s="66">
        <f>VLOOKUP($A124,'S0 remplacer avec S44'!$C:$BQ,59,0)</f>
        <v>0</v>
      </c>
      <c r="J124" s="66">
        <f>VLOOKUP($A124,'S0 remplacer avec S44'!$C:$BQ,60,0)</f>
        <v>0</v>
      </c>
      <c r="K124" s="58">
        <f>VLOOKUP($A124,'S45'!$C:$BQ,32,0)</f>
        <v>187</v>
      </c>
      <c r="L124" s="58">
        <f>VLOOKUP($A124,'S45'!$C:$BQ,39,0)</f>
        <v>0</v>
      </c>
      <c r="M124" s="58">
        <f>VLOOKUP($A124,'S45'!$C:$BQ,40,0)</f>
        <v>34</v>
      </c>
      <c r="N124" s="58">
        <f>VLOOKUP($A124,'S45'!$C:$BQ,22,0)</f>
        <v>1973.76368</v>
      </c>
      <c r="O124" s="66">
        <f>VLOOKUP($A124,'S45'!$C:$BQ,29,0)</f>
        <v>0</v>
      </c>
      <c r="P124" s="66">
        <f>VLOOKUP($A124,'S45'!$C:$BQ,30,0)</f>
        <v>35</v>
      </c>
      <c r="Q124" s="66">
        <f>VLOOKUP($A124,'S45'!$C:$BQ,52,0)</f>
        <v>125.4</v>
      </c>
      <c r="R124" s="66">
        <f>VLOOKUP($A124,'S45'!$C:$BQ,59,0)</f>
        <v>0</v>
      </c>
      <c r="S124" s="66">
        <f>VLOOKUP($A124,'S45'!$C:$BQ,60,0)</f>
        <v>0</v>
      </c>
      <c r="T124" s="58">
        <f>VLOOKUP($A124,'S46'!$C:$BQ,32,0)</f>
        <v>187</v>
      </c>
      <c r="U124" s="58">
        <f>VLOOKUP($A124,'S46'!$C:$BQ,39,0)</f>
        <v>0</v>
      </c>
      <c r="V124" s="58">
        <f>VLOOKUP($A124,'S46'!$C:$BQ,40,0)</f>
        <v>34</v>
      </c>
      <c r="W124" s="58">
        <f>VLOOKUP($A124,'S46'!$C:$BQ,22,0)</f>
        <v>1966.57457</v>
      </c>
      <c r="X124" s="66">
        <f>VLOOKUP($A124,'S46'!$C:$BQ,29,0)</f>
        <v>0</v>
      </c>
      <c r="Y124" s="66">
        <f>VLOOKUP($A124,'S46'!$C:$BQ,30,0)</f>
        <v>43</v>
      </c>
      <c r="Z124" s="66">
        <f>VLOOKUP($A124,'S46'!$C:$BQ,52,0)</f>
        <v>125.4</v>
      </c>
      <c r="AA124" s="66">
        <f>VLOOKUP($A124,'S46'!$C:$BQ,59,0)</f>
        <v>0</v>
      </c>
      <c r="AB124" s="66">
        <f>VLOOKUP($A124,'S46'!$C:$BQ,60,0)</f>
        <v>0</v>
      </c>
      <c r="AC124" s="58">
        <f>VLOOKUP($A124,'S47'!$C:$BQ,32,0)</f>
        <v>190</v>
      </c>
      <c r="AD124" s="58">
        <f>VLOOKUP($A124,'S47'!$C:$BQ,39,0)</f>
        <v>0</v>
      </c>
      <c r="AE124" s="58">
        <f>VLOOKUP($A124,'S47'!$C:$BQ,40,0)</f>
        <v>31</v>
      </c>
      <c r="AF124" s="58">
        <f>VLOOKUP($A124,'S47'!$C:$BQ,22,0)</f>
        <v>1976.26314</v>
      </c>
      <c r="AG124" s="66">
        <f>VLOOKUP($A124,'S47'!$C:$BQ,29,0)</f>
        <v>0</v>
      </c>
      <c r="AH124" s="66">
        <f>VLOOKUP($A124,'S47'!$C:$BQ,30,0)</f>
        <v>33</v>
      </c>
      <c r="AI124" s="66">
        <f>VLOOKUP($A124,'S47'!$C:$BQ,52,0)</f>
        <v>126.4</v>
      </c>
      <c r="AJ124" s="66">
        <f>VLOOKUP($A124,'S47'!$C:$BQ,59,0)</f>
        <v>0</v>
      </c>
      <c r="AK124" s="66">
        <f>VLOOKUP($A124,'S47'!$C:$BQ,60,0)</f>
        <v>0</v>
      </c>
      <c r="AL124" s="58" t="e">
        <f>VLOOKUP($A124,'S48'!$C:$BQ,32,0)</f>
        <v>#N/A</v>
      </c>
      <c r="AM124" s="58" t="e">
        <f>VLOOKUP($A124,'S48'!$C:$BQ,39,0)</f>
        <v>#N/A</v>
      </c>
      <c r="AN124" s="58" t="e">
        <f>VLOOKUP($A124,'S48'!$C:$BQ,40,0)</f>
        <v>#N/A</v>
      </c>
      <c r="AO124" s="58" t="e">
        <f>VLOOKUP($A124,'S48'!$C:$BQ,22,0)</f>
        <v>#N/A</v>
      </c>
      <c r="AP124" s="66" t="e">
        <f>VLOOKUP($A124,'S48'!$C:$BQ,29,0)</f>
        <v>#N/A</v>
      </c>
      <c r="AQ124" s="66" t="e">
        <f>VLOOKUP($A124,'S48'!$C:$BQ,30,0)</f>
        <v>#N/A</v>
      </c>
      <c r="AR124" s="66" t="e">
        <f>VLOOKUP($A124,'S48'!$C:$BQ,52,0)</f>
        <v>#N/A</v>
      </c>
      <c r="AS124" s="66" t="e">
        <f>VLOOKUP($A124,'S48'!$C:$BQ,59,0)</f>
        <v>#N/A</v>
      </c>
      <c r="AT124" s="66" t="e">
        <f>VLOOKUP($A124,'S48'!$C:$BQ,60,0)</f>
        <v>#N/A</v>
      </c>
      <c r="AU124" s="58" t="e">
        <f>VLOOKUP($A124,'S49'!$C:$BQ,32,0)</f>
        <v>#N/A</v>
      </c>
      <c r="AV124" s="58" t="e">
        <f>VLOOKUP($A124,'S49'!$C:$BQ,39,0)</f>
        <v>#N/A</v>
      </c>
      <c r="AW124" s="58" t="e">
        <f>VLOOKUP($A124,'S49'!$C:$BQ,40,0)</f>
        <v>#N/A</v>
      </c>
      <c r="AX124" s="58" t="e">
        <f>VLOOKUP($A124,'S49'!$C:$BQ,22,0)</f>
        <v>#N/A</v>
      </c>
      <c r="AY124" s="66" t="e">
        <f>VLOOKUP($A124,'S49'!$C:$BQ,29,0)</f>
        <v>#N/A</v>
      </c>
      <c r="AZ124" s="66" t="e">
        <f>VLOOKUP($A124,'S49'!$C:$BQ,30,0)</f>
        <v>#N/A</v>
      </c>
      <c r="BA124" s="66" t="e">
        <f>VLOOKUP($A124,'S49'!$C:$BQ,52,0)</f>
        <v>#N/A</v>
      </c>
      <c r="BB124" s="66" t="e">
        <f>VLOOKUP($A124,'S49'!$C:$BQ,59,0)</f>
        <v>#N/A</v>
      </c>
      <c r="BC124" s="66" t="e">
        <f>VLOOKUP($A124,'S49'!$C:$BQ,60,0)</f>
        <v>#N/A</v>
      </c>
      <c r="BD124" s="58" t="e">
        <f>VLOOKUP($A124,'S50'!$C:$BQ,32,0)</f>
        <v>#N/A</v>
      </c>
      <c r="BE124" s="58" t="e">
        <f>VLOOKUP($A124,'S50'!$C:$BQ,39,0)</f>
        <v>#N/A</v>
      </c>
      <c r="BF124" s="58" t="e">
        <f>VLOOKUP($A124,'S50'!$C:$BQ,40,0)</f>
        <v>#N/A</v>
      </c>
      <c r="BG124" s="58" t="e">
        <f>VLOOKUP($A124,'S50'!$C:$BQ,22,0)</f>
        <v>#N/A</v>
      </c>
      <c r="BH124" s="66" t="e">
        <f>VLOOKUP($A124,'S50'!$C:$BQ,29,0)</f>
        <v>#N/A</v>
      </c>
      <c r="BI124" s="66" t="e">
        <f>VLOOKUP($A124,'S50'!$C:$BQ,30,0)</f>
        <v>#N/A</v>
      </c>
      <c r="BJ124" s="66" t="e">
        <f>VLOOKUP($A124,'S50'!$C:$BQ,52,0)</f>
        <v>#N/A</v>
      </c>
      <c r="BK124" s="66" t="e">
        <f>VLOOKUP($A124,'S50'!$C:$BQ,59,0)</f>
        <v>#N/A</v>
      </c>
      <c r="BL124" s="66" t="e">
        <f>VLOOKUP($A124,'S50'!$C:$BQ,60,0)</f>
        <v>#N/A</v>
      </c>
    </row>
    <row r="125" spans="1:64" x14ac:dyDescent="0.2">
      <c r="A125" s="57" t="s">
        <v>189</v>
      </c>
      <c r="B125" s="58">
        <f>VLOOKUP($A125,'S0 remplacer avec S44'!$C:$BQ,32,0)</f>
        <v>364.55</v>
      </c>
      <c r="C125" s="58">
        <f>VLOOKUP($A125,'S0 remplacer avec S44'!$C:$BQ,39,0)</f>
        <v>173</v>
      </c>
      <c r="D125" s="58">
        <f>VLOOKUP($A125,'S0 remplacer avec S44'!$C:$BQ,40,0)</f>
        <v>281</v>
      </c>
      <c r="E125" s="58">
        <f>VLOOKUP($A125,'S0 remplacer avec S44'!$C:$BQ,22,0)</f>
        <v>4201.0185750000001</v>
      </c>
      <c r="F125" s="66">
        <f>VLOOKUP($A125,'S0 remplacer avec S44'!$C:$BQ,29,0)</f>
        <v>686</v>
      </c>
      <c r="G125" s="66">
        <f>VLOOKUP($A125,'S0 remplacer avec S44'!$C:$BQ,30,0)</f>
        <v>1663</v>
      </c>
      <c r="H125" s="66">
        <f>VLOOKUP($A125,'S0 remplacer avec S44'!$C:$BQ,52,0)</f>
        <v>405.2</v>
      </c>
      <c r="I125" s="66">
        <f>VLOOKUP($A125,'S0 remplacer avec S44'!$C:$BQ,59,0)</f>
        <v>0</v>
      </c>
      <c r="J125" s="66">
        <f>VLOOKUP($A125,'S0 remplacer avec S44'!$C:$BQ,60,0)</f>
        <v>0</v>
      </c>
      <c r="K125" s="58">
        <f>VLOOKUP($A125,'S45'!$C:$BQ,32,0)</f>
        <v>388.05</v>
      </c>
      <c r="L125" s="58">
        <f>VLOOKUP($A125,'S45'!$C:$BQ,39,0)</f>
        <v>150</v>
      </c>
      <c r="M125" s="58">
        <f>VLOOKUP($A125,'S45'!$C:$BQ,40,0)</f>
        <v>257</v>
      </c>
      <c r="N125" s="58">
        <f>VLOOKUP($A125,'S45'!$C:$BQ,22,0)</f>
        <v>4264.502125</v>
      </c>
      <c r="O125" s="66">
        <f>VLOOKUP($A125,'S45'!$C:$BQ,29,0)</f>
        <v>623</v>
      </c>
      <c r="P125" s="66">
        <f>VLOOKUP($A125,'S45'!$C:$BQ,30,0)</f>
        <v>1600</v>
      </c>
      <c r="Q125" s="66">
        <f>VLOOKUP($A125,'S45'!$C:$BQ,52,0)</f>
        <v>416.2</v>
      </c>
      <c r="R125" s="66">
        <f>VLOOKUP($A125,'S45'!$C:$BQ,59,0)</f>
        <v>0</v>
      </c>
      <c r="S125" s="66">
        <f>VLOOKUP($A125,'S45'!$C:$BQ,60,0)</f>
        <v>0</v>
      </c>
      <c r="T125" s="58">
        <f>VLOOKUP($A125,'S46'!$C:$BQ,32,0)</f>
        <v>394.55</v>
      </c>
      <c r="U125" s="58">
        <f>VLOOKUP($A125,'S46'!$C:$BQ,39,0)</f>
        <v>143</v>
      </c>
      <c r="V125" s="58">
        <f>VLOOKUP($A125,'S46'!$C:$BQ,40,0)</f>
        <v>251</v>
      </c>
      <c r="W125" s="58">
        <f>VLOOKUP($A125,'S46'!$C:$BQ,22,0)</f>
        <v>4298.3748850000002</v>
      </c>
      <c r="X125" s="66">
        <f>VLOOKUP($A125,'S46'!$C:$BQ,29,0)</f>
        <v>589</v>
      </c>
      <c r="Y125" s="66">
        <f>VLOOKUP($A125,'S46'!$C:$BQ,30,0)</f>
        <v>1566</v>
      </c>
      <c r="Z125" s="66">
        <f>VLOOKUP($A125,'S46'!$C:$BQ,52,0)</f>
        <v>424.2</v>
      </c>
      <c r="AA125" s="66">
        <f>VLOOKUP($A125,'S46'!$C:$BQ,59,0)</f>
        <v>0</v>
      </c>
      <c r="AB125" s="66">
        <f>VLOOKUP($A125,'S46'!$C:$BQ,60,0)</f>
        <v>0</v>
      </c>
      <c r="AC125" s="58">
        <f>VLOOKUP($A125,'S47'!$C:$BQ,32,0)</f>
        <v>406.05</v>
      </c>
      <c r="AD125" s="58">
        <f>VLOOKUP($A125,'S47'!$C:$BQ,39,0)</f>
        <v>132</v>
      </c>
      <c r="AE125" s="58">
        <f>VLOOKUP($A125,'S47'!$C:$BQ,40,0)</f>
        <v>239</v>
      </c>
      <c r="AF125" s="58">
        <f>VLOOKUP($A125,'S47'!$C:$BQ,22,0)</f>
        <v>4402.8476149999997</v>
      </c>
      <c r="AG125" s="66">
        <f>VLOOKUP($A125,'S47'!$C:$BQ,29,0)</f>
        <v>484</v>
      </c>
      <c r="AH125" s="66">
        <f>VLOOKUP($A125,'S47'!$C:$BQ,30,0)</f>
        <v>1462</v>
      </c>
      <c r="AI125" s="66">
        <f>VLOOKUP($A125,'S47'!$C:$BQ,52,0)</f>
        <v>436.2</v>
      </c>
      <c r="AJ125" s="66">
        <f>VLOOKUP($A125,'S47'!$C:$BQ,59,0)</f>
        <v>0</v>
      </c>
      <c r="AK125" s="66">
        <f>VLOOKUP($A125,'S47'!$C:$BQ,60,0)</f>
        <v>0</v>
      </c>
      <c r="AL125" s="58" t="e">
        <f>VLOOKUP($A125,'S48'!$C:$BQ,32,0)</f>
        <v>#N/A</v>
      </c>
      <c r="AM125" s="58" t="e">
        <f>VLOOKUP($A125,'S48'!$C:$BQ,39,0)</f>
        <v>#N/A</v>
      </c>
      <c r="AN125" s="58" t="e">
        <f>VLOOKUP($A125,'S48'!$C:$BQ,40,0)</f>
        <v>#N/A</v>
      </c>
      <c r="AO125" s="58" t="e">
        <f>VLOOKUP($A125,'S48'!$C:$BQ,22,0)</f>
        <v>#N/A</v>
      </c>
      <c r="AP125" s="66" t="e">
        <f>VLOOKUP($A125,'S48'!$C:$BQ,29,0)</f>
        <v>#N/A</v>
      </c>
      <c r="AQ125" s="66" t="e">
        <f>VLOOKUP($A125,'S48'!$C:$BQ,30,0)</f>
        <v>#N/A</v>
      </c>
      <c r="AR125" s="66" t="e">
        <f>VLOOKUP($A125,'S48'!$C:$BQ,52,0)</f>
        <v>#N/A</v>
      </c>
      <c r="AS125" s="66" t="e">
        <f>VLOOKUP($A125,'S48'!$C:$BQ,59,0)</f>
        <v>#N/A</v>
      </c>
      <c r="AT125" s="66" t="e">
        <f>VLOOKUP($A125,'S48'!$C:$BQ,60,0)</f>
        <v>#N/A</v>
      </c>
      <c r="AU125" s="58" t="e">
        <f>VLOOKUP($A125,'S49'!$C:$BQ,32,0)</f>
        <v>#N/A</v>
      </c>
      <c r="AV125" s="58" t="e">
        <f>VLOOKUP($A125,'S49'!$C:$BQ,39,0)</f>
        <v>#N/A</v>
      </c>
      <c r="AW125" s="58" t="e">
        <f>VLOOKUP($A125,'S49'!$C:$BQ,40,0)</f>
        <v>#N/A</v>
      </c>
      <c r="AX125" s="58" t="e">
        <f>VLOOKUP($A125,'S49'!$C:$BQ,22,0)</f>
        <v>#N/A</v>
      </c>
      <c r="AY125" s="66" t="e">
        <f>VLOOKUP($A125,'S49'!$C:$BQ,29,0)</f>
        <v>#N/A</v>
      </c>
      <c r="AZ125" s="66" t="e">
        <f>VLOOKUP($A125,'S49'!$C:$BQ,30,0)</f>
        <v>#N/A</v>
      </c>
      <c r="BA125" s="66" t="e">
        <f>VLOOKUP($A125,'S49'!$C:$BQ,52,0)</f>
        <v>#N/A</v>
      </c>
      <c r="BB125" s="66" t="e">
        <f>VLOOKUP($A125,'S49'!$C:$BQ,59,0)</f>
        <v>#N/A</v>
      </c>
      <c r="BC125" s="66" t="e">
        <f>VLOOKUP($A125,'S49'!$C:$BQ,60,0)</f>
        <v>#N/A</v>
      </c>
      <c r="BD125" s="58" t="e">
        <f>VLOOKUP($A125,'S50'!$C:$BQ,32,0)</f>
        <v>#N/A</v>
      </c>
      <c r="BE125" s="58" t="e">
        <f>VLOOKUP($A125,'S50'!$C:$BQ,39,0)</f>
        <v>#N/A</v>
      </c>
      <c r="BF125" s="58" t="e">
        <f>VLOOKUP($A125,'S50'!$C:$BQ,40,0)</f>
        <v>#N/A</v>
      </c>
      <c r="BG125" s="58" t="e">
        <f>VLOOKUP($A125,'S50'!$C:$BQ,22,0)</f>
        <v>#N/A</v>
      </c>
      <c r="BH125" s="66" t="e">
        <f>VLOOKUP($A125,'S50'!$C:$BQ,29,0)</f>
        <v>#N/A</v>
      </c>
      <c r="BI125" s="66" t="e">
        <f>VLOOKUP($A125,'S50'!$C:$BQ,30,0)</f>
        <v>#N/A</v>
      </c>
      <c r="BJ125" s="66" t="e">
        <f>VLOOKUP($A125,'S50'!$C:$BQ,52,0)</f>
        <v>#N/A</v>
      </c>
      <c r="BK125" s="66" t="e">
        <f>VLOOKUP($A125,'S50'!$C:$BQ,59,0)</f>
        <v>#N/A</v>
      </c>
      <c r="BL125" s="66" t="e">
        <f>VLOOKUP($A125,'S50'!$C:$BQ,60,0)</f>
        <v>#N/A</v>
      </c>
    </row>
    <row r="126" spans="1:64" x14ac:dyDescent="0.2">
      <c r="A126" s="57" t="s">
        <v>187</v>
      </c>
      <c r="B126" s="58">
        <f>VLOOKUP($A126,'S0 remplacer avec S44'!$C:$BQ,32,0)</f>
        <v>299</v>
      </c>
      <c r="C126" s="58">
        <f>VLOOKUP($A126,'S0 remplacer avec S44'!$C:$BQ,39,0)</f>
        <v>0</v>
      </c>
      <c r="D126" s="58">
        <f>VLOOKUP($A126,'S0 remplacer avec S44'!$C:$BQ,40,0)</f>
        <v>16</v>
      </c>
      <c r="E126" s="58">
        <f>VLOOKUP($A126,'S0 remplacer avec S44'!$C:$BQ,22,0)</f>
        <v>2772.46371</v>
      </c>
      <c r="F126" s="66">
        <f>VLOOKUP($A126,'S0 remplacer avec S44'!$C:$BQ,29,0)</f>
        <v>0</v>
      </c>
      <c r="G126" s="66">
        <f>VLOOKUP($A126,'S0 remplacer avec S44'!$C:$BQ,30,0)</f>
        <v>84</v>
      </c>
      <c r="H126" s="66">
        <f>VLOOKUP($A126,'S0 remplacer avec S44'!$C:$BQ,52,0)</f>
        <v>229.8</v>
      </c>
      <c r="I126" s="66">
        <f>VLOOKUP($A126,'S0 remplacer avec S44'!$C:$BQ,59,0)</f>
        <v>0</v>
      </c>
      <c r="J126" s="66">
        <f>VLOOKUP($A126,'S0 remplacer avec S44'!$C:$BQ,60,0)</f>
        <v>0</v>
      </c>
      <c r="K126" s="58">
        <f>VLOOKUP($A126,'S45'!$C:$BQ,32,0)</f>
        <v>301</v>
      </c>
      <c r="L126" s="58">
        <f>VLOOKUP($A126,'S45'!$C:$BQ,39,0)</f>
        <v>0</v>
      </c>
      <c r="M126" s="58">
        <f>VLOOKUP($A126,'S45'!$C:$BQ,40,0)</f>
        <v>14</v>
      </c>
      <c r="N126" s="58">
        <f>VLOOKUP($A126,'S45'!$C:$BQ,22,0)</f>
        <v>2794.2887700000001</v>
      </c>
      <c r="O126" s="66">
        <f>VLOOKUP($A126,'S45'!$C:$BQ,29,0)</f>
        <v>0</v>
      </c>
      <c r="P126" s="66">
        <f>VLOOKUP($A126,'S45'!$C:$BQ,30,0)</f>
        <v>63</v>
      </c>
      <c r="Q126" s="66">
        <f>VLOOKUP($A126,'S45'!$C:$BQ,52,0)</f>
        <v>231.8</v>
      </c>
      <c r="R126" s="66">
        <f>VLOOKUP($A126,'S45'!$C:$BQ,59,0)</f>
        <v>0</v>
      </c>
      <c r="S126" s="66">
        <f>VLOOKUP($A126,'S45'!$C:$BQ,60,0)</f>
        <v>0</v>
      </c>
      <c r="T126" s="58">
        <f>VLOOKUP($A126,'S46'!$C:$BQ,32,0)</f>
        <v>301</v>
      </c>
      <c r="U126" s="58">
        <f>VLOOKUP($A126,'S46'!$C:$BQ,39,0)</f>
        <v>0</v>
      </c>
      <c r="V126" s="58">
        <f>VLOOKUP($A126,'S46'!$C:$BQ,40,0)</f>
        <v>14</v>
      </c>
      <c r="W126" s="58">
        <f>VLOOKUP($A126,'S46'!$C:$BQ,22,0)</f>
        <v>2797.5131000000001</v>
      </c>
      <c r="X126" s="66">
        <f>VLOOKUP($A126,'S46'!$C:$BQ,29,0)</f>
        <v>0</v>
      </c>
      <c r="Y126" s="66">
        <f>VLOOKUP($A126,'S46'!$C:$BQ,30,0)</f>
        <v>59</v>
      </c>
      <c r="Z126" s="66">
        <f>VLOOKUP($A126,'S46'!$C:$BQ,52,0)</f>
        <v>234.8</v>
      </c>
      <c r="AA126" s="66">
        <f>VLOOKUP($A126,'S46'!$C:$BQ,59,0)</f>
        <v>0</v>
      </c>
      <c r="AB126" s="66">
        <f>VLOOKUP($A126,'S46'!$C:$BQ,60,0)</f>
        <v>0</v>
      </c>
      <c r="AC126" s="58">
        <f>VLOOKUP($A126,'S47'!$C:$BQ,32,0)</f>
        <v>307</v>
      </c>
      <c r="AD126" s="58">
        <f>VLOOKUP($A126,'S47'!$C:$BQ,39,0)</f>
        <v>0</v>
      </c>
      <c r="AE126" s="58">
        <f>VLOOKUP($A126,'S47'!$C:$BQ,40,0)</f>
        <v>8</v>
      </c>
      <c r="AF126" s="58">
        <f>VLOOKUP($A126,'S47'!$C:$BQ,22,0)</f>
        <v>2879.62228</v>
      </c>
      <c r="AG126" s="66">
        <f>VLOOKUP($A126,'S47'!$C:$BQ,29,0)</f>
        <v>0</v>
      </c>
      <c r="AH126" s="66">
        <f>VLOOKUP($A126,'S47'!$C:$BQ,30,0)</f>
        <v>0</v>
      </c>
      <c r="AI126" s="66">
        <f>VLOOKUP($A126,'S47'!$C:$BQ,52,0)</f>
        <v>248.8</v>
      </c>
      <c r="AJ126" s="66">
        <f>VLOOKUP($A126,'S47'!$C:$BQ,59,0)</f>
        <v>0</v>
      </c>
      <c r="AK126" s="66">
        <f>VLOOKUP($A126,'S47'!$C:$BQ,60,0)</f>
        <v>0</v>
      </c>
      <c r="AL126" s="58" t="e">
        <f>VLOOKUP($A126,'S48'!$C:$BQ,32,0)</f>
        <v>#N/A</v>
      </c>
      <c r="AM126" s="58" t="e">
        <f>VLOOKUP($A126,'S48'!$C:$BQ,39,0)</f>
        <v>#N/A</v>
      </c>
      <c r="AN126" s="58" t="e">
        <f>VLOOKUP($A126,'S48'!$C:$BQ,40,0)</f>
        <v>#N/A</v>
      </c>
      <c r="AO126" s="58" t="e">
        <f>VLOOKUP($A126,'S48'!$C:$BQ,22,0)</f>
        <v>#N/A</v>
      </c>
      <c r="AP126" s="66" t="e">
        <f>VLOOKUP($A126,'S48'!$C:$BQ,29,0)</f>
        <v>#N/A</v>
      </c>
      <c r="AQ126" s="66" t="e">
        <f>VLOOKUP($A126,'S48'!$C:$BQ,30,0)</f>
        <v>#N/A</v>
      </c>
      <c r="AR126" s="66" t="e">
        <f>VLOOKUP($A126,'S48'!$C:$BQ,52,0)</f>
        <v>#N/A</v>
      </c>
      <c r="AS126" s="66" t="e">
        <f>VLOOKUP($A126,'S48'!$C:$BQ,59,0)</f>
        <v>#N/A</v>
      </c>
      <c r="AT126" s="66" t="e">
        <f>VLOOKUP($A126,'S48'!$C:$BQ,60,0)</f>
        <v>#N/A</v>
      </c>
      <c r="AU126" s="58" t="e">
        <f>VLOOKUP($A126,'S49'!$C:$BQ,32,0)</f>
        <v>#N/A</v>
      </c>
      <c r="AV126" s="58" t="e">
        <f>VLOOKUP($A126,'S49'!$C:$BQ,39,0)</f>
        <v>#N/A</v>
      </c>
      <c r="AW126" s="58" t="e">
        <f>VLOOKUP($A126,'S49'!$C:$BQ,40,0)</f>
        <v>#N/A</v>
      </c>
      <c r="AX126" s="58" t="e">
        <f>VLOOKUP($A126,'S49'!$C:$BQ,22,0)</f>
        <v>#N/A</v>
      </c>
      <c r="AY126" s="66" t="e">
        <f>VLOOKUP($A126,'S49'!$C:$BQ,29,0)</f>
        <v>#N/A</v>
      </c>
      <c r="AZ126" s="66" t="e">
        <f>VLOOKUP($A126,'S49'!$C:$BQ,30,0)</f>
        <v>#N/A</v>
      </c>
      <c r="BA126" s="66" t="e">
        <f>VLOOKUP($A126,'S49'!$C:$BQ,52,0)</f>
        <v>#N/A</v>
      </c>
      <c r="BB126" s="66" t="e">
        <f>VLOOKUP($A126,'S49'!$C:$BQ,59,0)</f>
        <v>#N/A</v>
      </c>
      <c r="BC126" s="66" t="e">
        <f>VLOOKUP($A126,'S49'!$C:$BQ,60,0)</f>
        <v>#N/A</v>
      </c>
      <c r="BD126" s="58" t="e">
        <f>VLOOKUP($A126,'S50'!$C:$BQ,32,0)</f>
        <v>#N/A</v>
      </c>
      <c r="BE126" s="58" t="e">
        <f>VLOOKUP($A126,'S50'!$C:$BQ,39,0)</f>
        <v>#N/A</v>
      </c>
      <c r="BF126" s="58" t="e">
        <f>VLOOKUP($A126,'S50'!$C:$BQ,40,0)</f>
        <v>#N/A</v>
      </c>
      <c r="BG126" s="58" t="e">
        <f>VLOOKUP($A126,'S50'!$C:$BQ,22,0)</f>
        <v>#N/A</v>
      </c>
      <c r="BH126" s="66" t="e">
        <f>VLOOKUP($A126,'S50'!$C:$BQ,29,0)</f>
        <v>#N/A</v>
      </c>
      <c r="BI126" s="66" t="e">
        <f>VLOOKUP($A126,'S50'!$C:$BQ,30,0)</f>
        <v>#N/A</v>
      </c>
      <c r="BJ126" s="66" t="e">
        <f>VLOOKUP($A126,'S50'!$C:$BQ,52,0)</f>
        <v>#N/A</v>
      </c>
      <c r="BK126" s="66" t="e">
        <f>VLOOKUP($A126,'S50'!$C:$BQ,59,0)</f>
        <v>#N/A</v>
      </c>
      <c r="BL126" s="66" t="e">
        <f>VLOOKUP($A126,'S50'!$C:$BQ,60,0)</f>
        <v>#N/A</v>
      </c>
    </row>
    <row r="127" spans="1:64" x14ac:dyDescent="0.2">
      <c r="A127" s="57" t="s">
        <v>190</v>
      </c>
      <c r="B127" s="58">
        <f>VLOOKUP($A127,'S0 remplacer avec S44'!$C:$BQ,32,0)</f>
        <v>112.9</v>
      </c>
      <c r="C127" s="58">
        <f>VLOOKUP($A127,'S0 remplacer avec S44'!$C:$BQ,39,0)</f>
        <v>89</v>
      </c>
      <c r="D127" s="58">
        <f>VLOOKUP($A127,'S0 remplacer avec S44'!$C:$BQ,40,0)</f>
        <v>129</v>
      </c>
      <c r="E127" s="58">
        <f>VLOOKUP($A127,'S0 remplacer avec S44'!$C:$BQ,22,0)</f>
        <v>1278.6325650000001</v>
      </c>
      <c r="F127" s="66">
        <f>VLOOKUP($A127,'S0 remplacer avec S44'!$C:$BQ,29,0)</f>
        <v>554</v>
      </c>
      <c r="G127" s="66">
        <f>VLOOKUP($A127,'S0 remplacer avec S44'!$C:$BQ,30,0)</f>
        <v>920</v>
      </c>
      <c r="H127" s="66">
        <f>VLOOKUP($A127,'S0 remplacer avec S44'!$C:$BQ,52,0)</f>
        <v>119</v>
      </c>
      <c r="I127" s="66">
        <f>VLOOKUP($A127,'S0 remplacer avec S44'!$C:$BQ,59,0)</f>
        <v>0</v>
      </c>
      <c r="J127" s="66">
        <f>VLOOKUP($A127,'S0 remplacer avec S44'!$C:$BQ,60,0)</f>
        <v>4</v>
      </c>
      <c r="K127" s="58">
        <f>VLOOKUP($A127,'S45'!$C:$BQ,32,0)</f>
        <v>112.9</v>
      </c>
      <c r="L127" s="58">
        <f>VLOOKUP($A127,'S45'!$C:$BQ,39,0)</f>
        <v>89</v>
      </c>
      <c r="M127" s="58">
        <f>VLOOKUP($A127,'S45'!$C:$BQ,40,0)</f>
        <v>129</v>
      </c>
      <c r="N127" s="58">
        <f>VLOOKUP($A127,'S45'!$C:$BQ,22,0)</f>
        <v>1297.516095</v>
      </c>
      <c r="O127" s="66">
        <f>VLOOKUP($A127,'S45'!$C:$BQ,29,0)</f>
        <v>535</v>
      </c>
      <c r="P127" s="66">
        <f>VLOOKUP($A127,'S45'!$C:$BQ,30,0)</f>
        <v>902</v>
      </c>
      <c r="Q127" s="66">
        <f>VLOOKUP($A127,'S45'!$C:$BQ,52,0)</f>
        <v>122</v>
      </c>
      <c r="R127" s="66">
        <f>VLOOKUP($A127,'S45'!$C:$BQ,59,0)</f>
        <v>0</v>
      </c>
      <c r="S127" s="66">
        <f>VLOOKUP($A127,'S45'!$C:$BQ,60,0)</f>
        <v>1</v>
      </c>
      <c r="T127" s="58">
        <f>VLOOKUP($A127,'S46'!$C:$BQ,32,0)</f>
        <v>111.5</v>
      </c>
      <c r="U127" s="58">
        <f>VLOOKUP($A127,'S46'!$C:$BQ,39,0)</f>
        <v>90</v>
      </c>
      <c r="V127" s="58">
        <f>VLOOKUP($A127,'S46'!$C:$BQ,40,0)</f>
        <v>131</v>
      </c>
      <c r="W127" s="58">
        <f>VLOOKUP($A127,'S46'!$C:$BQ,22,0)</f>
        <v>1302.9017550000001</v>
      </c>
      <c r="X127" s="66">
        <f>VLOOKUP($A127,'S46'!$C:$BQ,29,0)</f>
        <v>530</v>
      </c>
      <c r="Y127" s="66">
        <f>VLOOKUP($A127,'S46'!$C:$BQ,30,0)</f>
        <v>896</v>
      </c>
      <c r="Z127" s="66">
        <f>VLOOKUP($A127,'S46'!$C:$BQ,52,0)</f>
        <v>122</v>
      </c>
      <c r="AA127" s="66">
        <f>VLOOKUP($A127,'S46'!$C:$BQ,59,0)</f>
        <v>0</v>
      </c>
      <c r="AB127" s="66">
        <f>VLOOKUP($A127,'S46'!$C:$BQ,60,0)</f>
        <v>1</v>
      </c>
      <c r="AC127" s="58">
        <f>VLOOKUP($A127,'S47'!$C:$BQ,32,0)</f>
        <v>111.5</v>
      </c>
      <c r="AD127" s="58">
        <f>VLOOKUP($A127,'S47'!$C:$BQ,39,0)</f>
        <v>90</v>
      </c>
      <c r="AE127" s="58">
        <f>VLOOKUP($A127,'S47'!$C:$BQ,40,0)</f>
        <v>131</v>
      </c>
      <c r="AF127" s="58">
        <f>VLOOKUP($A127,'S47'!$C:$BQ,22,0)</f>
        <v>1338.0501650000001</v>
      </c>
      <c r="AG127" s="66">
        <f>VLOOKUP($A127,'S47'!$C:$BQ,29,0)</f>
        <v>495</v>
      </c>
      <c r="AH127" s="66">
        <f>VLOOKUP($A127,'S47'!$C:$BQ,30,0)</f>
        <v>861</v>
      </c>
      <c r="AI127" s="66">
        <f>VLOOKUP($A127,'S47'!$C:$BQ,52,0)</f>
        <v>127</v>
      </c>
      <c r="AJ127" s="66">
        <f>VLOOKUP($A127,'S47'!$C:$BQ,59,0)</f>
        <v>0</v>
      </c>
      <c r="AK127" s="66">
        <f>VLOOKUP($A127,'S47'!$C:$BQ,60,0)</f>
        <v>0</v>
      </c>
      <c r="AL127" s="58" t="e">
        <f>VLOOKUP($A127,'S48'!$C:$BQ,32,0)</f>
        <v>#N/A</v>
      </c>
      <c r="AM127" s="58" t="e">
        <f>VLOOKUP($A127,'S48'!$C:$BQ,39,0)</f>
        <v>#N/A</v>
      </c>
      <c r="AN127" s="58" t="e">
        <f>VLOOKUP($A127,'S48'!$C:$BQ,40,0)</f>
        <v>#N/A</v>
      </c>
      <c r="AO127" s="58" t="e">
        <f>VLOOKUP($A127,'S48'!$C:$BQ,22,0)</f>
        <v>#N/A</v>
      </c>
      <c r="AP127" s="66" t="e">
        <f>VLOOKUP($A127,'S48'!$C:$BQ,29,0)</f>
        <v>#N/A</v>
      </c>
      <c r="AQ127" s="66" t="e">
        <f>VLOOKUP($A127,'S48'!$C:$BQ,30,0)</f>
        <v>#N/A</v>
      </c>
      <c r="AR127" s="66" t="e">
        <f>VLOOKUP($A127,'S48'!$C:$BQ,52,0)</f>
        <v>#N/A</v>
      </c>
      <c r="AS127" s="66" t="e">
        <f>VLOOKUP($A127,'S48'!$C:$BQ,59,0)</f>
        <v>#N/A</v>
      </c>
      <c r="AT127" s="66" t="e">
        <f>VLOOKUP($A127,'S48'!$C:$BQ,60,0)</f>
        <v>#N/A</v>
      </c>
      <c r="AU127" s="58" t="e">
        <f>VLOOKUP($A127,'S49'!$C:$BQ,32,0)</f>
        <v>#N/A</v>
      </c>
      <c r="AV127" s="58" t="e">
        <f>VLOOKUP($A127,'S49'!$C:$BQ,39,0)</f>
        <v>#N/A</v>
      </c>
      <c r="AW127" s="58" t="e">
        <f>VLOOKUP($A127,'S49'!$C:$BQ,40,0)</f>
        <v>#N/A</v>
      </c>
      <c r="AX127" s="58" t="e">
        <f>VLOOKUP($A127,'S49'!$C:$BQ,22,0)</f>
        <v>#N/A</v>
      </c>
      <c r="AY127" s="66" t="e">
        <f>VLOOKUP($A127,'S49'!$C:$BQ,29,0)</f>
        <v>#N/A</v>
      </c>
      <c r="AZ127" s="66" t="e">
        <f>VLOOKUP($A127,'S49'!$C:$BQ,30,0)</f>
        <v>#N/A</v>
      </c>
      <c r="BA127" s="66" t="e">
        <f>VLOOKUP($A127,'S49'!$C:$BQ,52,0)</f>
        <v>#N/A</v>
      </c>
      <c r="BB127" s="66" t="e">
        <f>VLOOKUP($A127,'S49'!$C:$BQ,59,0)</f>
        <v>#N/A</v>
      </c>
      <c r="BC127" s="66" t="e">
        <f>VLOOKUP($A127,'S49'!$C:$BQ,60,0)</f>
        <v>#N/A</v>
      </c>
      <c r="BD127" s="58" t="e">
        <f>VLOOKUP($A127,'S50'!$C:$BQ,32,0)</f>
        <v>#N/A</v>
      </c>
      <c r="BE127" s="58" t="e">
        <f>VLOOKUP($A127,'S50'!$C:$BQ,39,0)</f>
        <v>#N/A</v>
      </c>
      <c r="BF127" s="58" t="e">
        <f>VLOOKUP($A127,'S50'!$C:$BQ,40,0)</f>
        <v>#N/A</v>
      </c>
      <c r="BG127" s="58" t="e">
        <f>VLOOKUP($A127,'S50'!$C:$BQ,22,0)</f>
        <v>#N/A</v>
      </c>
      <c r="BH127" s="66" t="e">
        <f>VLOOKUP($A127,'S50'!$C:$BQ,29,0)</f>
        <v>#N/A</v>
      </c>
      <c r="BI127" s="66" t="e">
        <f>VLOOKUP($A127,'S50'!$C:$BQ,30,0)</f>
        <v>#N/A</v>
      </c>
      <c r="BJ127" s="66" t="e">
        <f>VLOOKUP($A127,'S50'!$C:$BQ,52,0)</f>
        <v>#N/A</v>
      </c>
      <c r="BK127" s="66" t="e">
        <f>VLOOKUP($A127,'S50'!$C:$BQ,59,0)</f>
        <v>#N/A</v>
      </c>
      <c r="BL127" s="66" t="e">
        <f>VLOOKUP($A127,'S50'!$C:$BQ,60,0)</f>
        <v>#N/A</v>
      </c>
    </row>
    <row r="128" spans="1:64" x14ac:dyDescent="0.2">
      <c r="A128" s="57" t="s">
        <v>191</v>
      </c>
      <c r="B128" s="58">
        <f>VLOOKUP($A128,'S0 remplacer avec S44'!$C:$BQ,32,0)</f>
        <v>242.1</v>
      </c>
      <c r="C128" s="58">
        <f>VLOOKUP($A128,'S0 remplacer avec S44'!$C:$BQ,39,0)</f>
        <v>0</v>
      </c>
      <c r="D128" s="58">
        <f>VLOOKUP($A128,'S0 remplacer avec S44'!$C:$BQ,40,0)</f>
        <v>35</v>
      </c>
      <c r="E128" s="58">
        <f>VLOOKUP($A128,'S0 remplacer avec S44'!$C:$BQ,22,0)</f>
        <v>1963.9371000000001</v>
      </c>
      <c r="F128" s="66">
        <f>VLOOKUP($A128,'S0 remplacer avec S44'!$C:$BQ,29,0)</f>
        <v>136</v>
      </c>
      <c r="G128" s="66">
        <f>VLOOKUP($A128,'S0 remplacer avec S44'!$C:$BQ,30,0)</f>
        <v>556</v>
      </c>
      <c r="H128" s="66">
        <f>VLOOKUP($A128,'S0 remplacer avec S44'!$C:$BQ,52,0)</f>
        <v>130.6</v>
      </c>
      <c r="I128" s="66">
        <f>VLOOKUP($A128,'S0 remplacer avec S44'!$C:$BQ,59,0)</f>
        <v>0</v>
      </c>
      <c r="J128" s="66">
        <f>VLOOKUP($A128,'S0 remplacer avec S44'!$C:$BQ,60,0)</f>
        <v>11</v>
      </c>
      <c r="K128" s="58">
        <f>VLOOKUP($A128,'S45'!$C:$BQ,32,0)</f>
        <v>246.1</v>
      </c>
      <c r="L128" s="58">
        <f>VLOOKUP($A128,'S45'!$C:$BQ,39,0)</f>
        <v>0</v>
      </c>
      <c r="M128" s="58">
        <f>VLOOKUP($A128,'S45'!$C:$BQ,40,0)</f>
        <v>31</v>
      </c>
      <c r="N128" s="58">
        <f>VLOOKUP($A128,'S45'!$C:$BQ,22,0)</f>
        <v>1976.73641</v>
      </c>
      <c r="O128" s="66">
        <f>VLOOKUP($A128,'S45'!$C:$BQ,29,0)</f>
        <v>124</v>
      </c>
      <c r="P128" s="66">
        <f>VLOOKUP($A128,'S45'!$C:$BQ,30,0)</f>
        <v>544</v>
      </c>
      <c r="Q128" s="66">
        <f>VLOOKUP($A128,'S45'!$C:$BQ,52,0)</f>
        <v>133.6</v>
      </c>
      <c r="R128" s="66">
        <f>VLOOKUP($A128,'S45'!$C:$BQ,59,0)</f>
        <v>0</v>
      </c>
      <c r="S128" s="66">
        <f>VLOOKUP($A128,'S45'!$C:$BQ,60,0)</f>
        <v>8</v>
      </c>
      <c r="T128" s="58">
        <f>VLOOKUP($A128,'S46'!$C:$BQ,32,0)</f>
        <v>246.1</v>
      </c>
      <c r="U128" s="58">
        <f>VLOOKUP($A128,'S46'!$C:$BQ,39,0)</f>
        <v>0</v>
      </c>
      <c r="V128" s="58">
        <f>VLOOKUP($A128,'S46'!$C:$BQ,40,0)</f>
        <v>31</v>
      </c>
      <c r="W128" s="58">
        <f>VLOOKUP($A128,'S46'!$C:$BQ,22,0)</f>
        <v>1977.59186</v>
      </c>
      <c r="X128" s="66">
        <f>VLOOKUP($A128,'S46'!$C:$BQ,29,0)</f>
        <v>123</v>
      </c>
      <c r="Y128" s="66">
        <f>VLOOKUP($A128,'S46'!$C:$BQ,30,0)</f>
        <v>543</v>
      </c>
      <c r="Z128" s="66">
        <f>VLOOKUP($A128,'S46'!$C:$BQ,52,0)</f>
        <v>134.6</v>
      </c>
      <c r="AA128" s="66">
        <f>VLOOKUP($A128,'S46'!$C:$BQ,59,0)</f>
        <v>0</v>
      </c>
      <c r="AB128" s="66">
        <f>VLOOKUP($A128,'S46'!$C:$BQ,60,0)</f>
        <v>7</v>
      </c>
      <c r="AC128" s="58">
        <f>VLOOKUP($A128,'S47'!$C:$BQ,32,0)</f>
        <v>245.8</v>
      </c>
      <c r="AD128" s="58">
        <f>VLOOKUP($A128,'S47'!$C:$BQ,39,0)</f>
        <v>0</v>
      </c>
      <c r="AE128" s="58">
        <f>VLOOKUP($A128,'S47'!$C:$BQ,40,0)</f>
        <v>32</v>
      </c>
      <c r="AF128" s="58">
        <f>VLOOKUP($A128,'S47'!$C:$BQ,22,0)</f>
        <v>2022.1221700000001</v>
      </c>
      <c r="AG128" s="66">
        <f>VLOOKUP($A128,'S47'!$C:$BQ,29,0)</f>
        <v>78</v>
      </c>
      <c r="AH128" s="66">
        <f>VLOOKUP($A128,'S47'!$C:$BQ,30,0)</f>
        <v>498</v>
      </c>
      <c r="AI128" s="66">
        <f>VLOOKUP($A128,'S47'!$C:$BQ,52,0)</f>
        <v>134.6</v>
      </c>
      <c r="AJ128" s="66">
        <f>VLOOKUP($A128,'S47'!$C:$BQ,59,0)</f>
        <v>0</v>
      </c>
      <c r="AK128" s="66">
        <f>VLOOKUP($A128,'S47'!$C:$BQ,60,0)</f>
        <v>7</v>
      </c>
      <c r="AL128" s="58" t="e">
        <f>VLOOKUP($A128,'S48'!$C:$BQ,32,0)</f>
        <v>#N/A</v>
      </c>
      <c r="AM128" s="58" t="e">
        <f>VLOOKUP($A128,'S48'!$C:$BQ,39,0)</f>
        <v>#N/A</v>
      </c>
      <c r="AN128" s="58" t="e">
        <f>VLOOKUP($A128,'S48'!$C:$BQ,40,0)</f>
        <v>#N/A</v>
      </c>
      <c r="AO128" s="58" t="e">
        <f>VLOOKUP($A128,'S48'!$C:$BQ,22,0)</f>
        <v>#N/A</v>
      </c>
      <c r="AP128" s="66" t="e">
        <f>VLOOKUP($A128,'S48'!$C:$BQ,29,0)</f>
        <v>#N/A</v>
      </c>
      <c r="AQ128" s="66" t="e">
        <f>VLOOKUP($A128,'S48'!$C:$BQ,30,0)</f>
        <v>#N/A</v>
      </c>
      <c r="AR128" s="66" t="e">
        <f>VLOOKUP($A128,'S48'!$C:$BQ,52,0)</f>
        <v>#N/A</v>
      </c>
      <c r="AS128" s="66" t="e">
        <f>VLOOKUP($A128,'S48'!$C:$BQ,59,0)</f>
        <v>#N/A</v>
      </c>
      <c r="AT128" s="66" t="e">
        <f>VLOOKUP($A128,'S48'!$C:$BQ,60,0)</f>
        <v>#N/A</v>
      </c>
      <c r="AU128" s="58" t="e">
        <f>VLOOKUP($A128,'S49'!$C:$BQ,32,0)</f>
        <v>#N/A</v>
      </c>
      <c r="AV128" s="58" t="e">
        <f>VLOOKUP($A128,'S49'!$C:$BQ,39,0)</f>
        <v>#N/A</v>
      </c>
      <c r="AW128" s="58" t="e">
        <f>VLOOKUP($A128,'S49'!$C:$BQ,40,0)</f>
        <v>#N/A</v>
      </c>
      <c r="AX128" s="58" t="e">
        <f>VLOOKUP($A128,'S49'!$C:$BQ,22,0)</f>
        <v>#N/A</v>
      </c>
      <c r="AY128" s="66" t="e">
        <f>VLOOKUP($A128,'S49'!$C:$BQ,29,0)</f>
        <v>#N/A</v>
      </c>
      <c r="AZ128" s="66" t="e">
        <f>VLOOKUP($A128,'S49'!$C:$BQ,30,0)</f>
        <v>#N/A</v>
      </c>
      <c r="BA128" s="66" t="e">
        <f>VLOOKUP($A128,'S49'!$C:$BQ,52,0)</f>
        <v>#N/A</v>
      </c>
      <c r="BB128" s="66" t="e">
        <f>VLOOKUP($A128,'S49'!$C:$BQ,59,0)</f>
        <v>#N/A</v>
      </c>
      <c r="BC128" s="66" t="e">
        <f>VLOOKUP($A128,'S49'!$C:$BQ,60,0)</f>
        <v>#N/A</v>
      </c>
      <c r="BD128" s="58" t="e">
        <f>VLOOKUP($A128,'S50'!$C:$BQ,32,0)</f>
        <v>#N/A</v>
      </c>
      <c r="BE128" s="58" t="e">
        <f>VLOOKUP($A128,'S50'!$C:$BQ,39,0)</f>
        <v>#N/A</v>
      </c>
      <c r="BF128" s="58" t="e">
        <f>VLOOKUP($A128,'S50'!$C:$BQ,40,0)</f>
        <v>#N/A</v>
      </c>
      <c r="BG128" s="58" t="e">
        <f>VLOOKUP($A128,'S50'!$C:$BQ,22,0)</f>
        <v>#N/A</v>
      </c>
      <c r="BH128" s="66" t="e">
        <f>VLOOKUP($A128,'S50'!$C:$BQ,29,0)</f>
        <v>#N/A</v>
      </c>
      <c r="BI128" s="66" t="e">
        <f>VLOOKUP($A128,'S50'!$C:$BQ,30,0)</f>
        <v>#N/A</v>
      </c>
      <c r="BJ128" s="66" t="e">
        <f>VLOOKUP($A128,'S50'!$C:$BQ,52,0)</f>
        <v>#N/A</v>
      </c>
      <c r="BK128" s="66" t="e">
        <f>VLOOKUP($A128,'S50'!$C:$BQ,59,0)</f>
        <v>#N/A</v>
      </c>
      <c r="BL128" s="66" t="e">
        <f>VLOOKUP($A128,'S50'!$C:$BQ,60,0)</f>
        <v>#N/A</v>
      </c>
    </row>
    <row r="129" spans="1:64" x14ac:dyDescent="0.2">
      <c r="A129" s="57" t="s">
        <v>192</v>
      </c>
      <c r="B129" s="58">
        <f>VLOOKUP($A129,'S0 remplacer avec S44'!$C:$BQ,32,0)</f>
        <v>220.15</v>
      </c>
      <c r="C129" s="58">
        <f>VLOOKUP($A129,'S0 remplacer avec S44'!$C:$BQ,39,0)</f>
        <v>0</v>
      </c>
      <c r="D129" s="58">
        <f>VLOOKUP($A129,'S0 remplacer avec S44'!$C:$BQ,40,0)</f>
        <v>0</v>
      </c>
      <c r="E129" s="58">
        <f>VLOOKUP($A129,'S0 remplacer avec S44'!$C:$BQ,22,0)</f>
        <v>1439.0324450000001</v>
      </c>
      <c r="F129" s="66">
        <f>VLOOKUP($A129,'S0 remplacer avec S44'!$C:$BQ,29,0)</f>
        <v>178</v>
      </c>
      <c r="G129" s="66">
        <f>VLOOKUP($A129,'S0 remplacer avec S44'!$C:$BQ,30,0)</f>
        <v>501</v>
      </c>
      <c r="H129" s="66">
        <f>VLOOKUP($A129,'S0 remplacer avec S44'!$C:$BQ,52,0)</f>
        <v>130</v>
      </c>
      <c r="I129" s="66">
        <f>VLOOKUP($A129,'S0 remplacer avec S44'!$C:$BQ,59,0)</f>
        <v>0</v>
      </c>
      <c r="J129" s="66">
        <f>VLOOKUP($A129,'S0 remplacer avec S44'!$C:$BQ,60,0)</f>
        <v>0</v>
      </c>
      <c r="K129" s="58">
        <f>VLOOKUP($A129,'S45'!$C:$BQ,32,0)</f>
        <v>226.15</v>
      </c>
      <c r="L129" s="58">
        <f>VLOOKUP($A129,'S45'!$C:$BQ,39,0)</f>
        <v>0</v>
      </c>
      <c r="M129" s="58">
        <f>VLOOKUP($A129,'S45'!$C:$BQ,40,0)</f>
        <v>0</v>
      </c>
      <c r="N129" s="58">
        <f>VLOOKUP($A129,'S45'!$C:$BQ,22,0)</f>
        <v>1442.704305</v>
      </c>
      <c r="O129" s="66">
        <f>VLOOKUP($A129,'S45'!$C:$BQ,29,0)</f>
        <v>174</v>
      </c>
      <c r="P129" s="66">
        <f>VLOOKUP($A129,'S45'!$C:$BQ,30,0)</f>
        <v>497</v>
      </c>
      <c r="Q129" s="66">
        <f>VLOOKUP($A129,'S45'!$C:$BQ,52,0)</f>
        <v>138</v>
      </c>
      <c r="R129" s="66">
        <f>VLOOKUP($A129,'S45'!$C:$BQ,59,0)</f>
        <v>0</v>
      </c>
      <c r="S129" s="66">
        <f>VLOOKUP($A129,'S45'!$C:$BQ,60,0)</f>
        <v>0</v>
      </c>
      <c r="T129" s="58">
        <f>VLOOKUP($A129,'S46'!$C:$BQ,32,0)</f>
        <v>225.65</v>
      </c>
      <c r="U129" s="58">
        <f>VLOOKUP($A129,'S46'!$C:$BQ,39,0)</f>
        <v>0</v>
      </c>
      <c r="V129" s="58">
        <f>VLOOKUP($A129,'S46'!$C:$BQ,40,0)</f>
        <v>0</v>
      </c>
      <c r="W129" s="58">
        <f>VLOOKUP($A129,'S46'!$C:$BQ,22,0)</f>
        <v>1468.9706650000001</v>
      </c>
      <c r="X129" s="66">
        <f>VLOOKUP($A129,'S46'!$C:$BQ,29,0)</f>
        <v>148</v>
      </c>
      <c r="Y129" s="66">
        <f>VLOOKUP($A129,'S46'!$C:$BQ,30,0)</f>
        <v>471</v>
      </c>
      <c r="Z129" s="66">
        <f>VLOOKUP($A129,'S46'!$C:$BQ,52,0)</f>
        <v>139</v>
      </c>
      <c r="AA129" s="66">
        <f>VLOOKUP($A129,'S46'!$C:$BQ,59,0)</f>
        <v>0</v>
      </c>
      <c r="AB129" s="66">
        <f>VLOOKUP($A129,'S46'!$C:$BQ,60,0)</f>
        <v>0</v>
      </c>
      <c r="AC129" s="58">
        <f>VLOOKUP($A129,'S47'!$C:$BQ,32,0)</f>
        <v>230.15</v>
      </c>
      <c r="AD129" s="58">
        <f>VLOOKUP($A129,'S47'!$C:$BQ,39,0)</f>
        <v>0</v>
      </c>
      <c r="AE129" s="58">
        <f>VLOOKUP($A129,'S47'!$C:$BQ,40,0)</f>
        <v>0</v>
      </c>
      <c r="AF129" s="58">
        <f>VLOOKUP($A129,'S47'!$C:$BQ,22,0)</f>
        <v>1490.257165</v>
      </c>
      <c r="AG129" s="66">
        <f>VLOOKUP($A129,'S47'!$C:$BQ,29,0)</f>
        <v>126</v>
      </c>
      <c r="AH129" s="66">
        <f>VLOOKUP($A129,'S47'!$C:$BQ,30,0)</f>
        <v>450</v>
      </c>
      <c r="AI129" s="66">
        <f>VLOOKUP($A129,'S47'!$C:$BQ,52,0)</f>
        <v>141</v>
      </c>
      <c r="AJ129" s="66">
        <f>VLOOKUP($A129,'S47'!$C:$BQ,59,0)</f>
        <v>0</v>
      </c>
      <c r="AK129" s="66">
        <f>VLOOKUP($A129,'S47'!$C:$BQ,60,0)</f>
        <v>0</v>
      </c>
      <c r="AL129" s="58" t="e">
        <f>VLOOKUP($A129,'S48'!$C:$BQ,32,0)</f>
        <v>#N/A</v>
      </c>
      <c r="AM129" s="58" t="e">
        <f>VLOOKUP($A129,'S48'!$C:$BQ,39,0)</f>
        <v>#N/A</v>
      </c>
      <c r="AN129" s="58" t="e">
        <f>VLOOKUP($A129,'S48'!$C:$BQ,40,0)</f>
        <v>#N/A</v>
      </c>
      <c r="AO129" s="58" t="e">
        <f>VLOOKUP($A129,'S48'!$C:$BQ,22,0)</f>
        <v>#N/A</v>
      </c>
      <c r="AP129" s="66" t="e">
        <f>VLOOKUP($A129,'S48'!$C:$BQ,29,0)</f>
        <v>#N/A</v>
      </c>
      <c r="AQ129" s="66" t="e">
        <f>VLOOKUP($A129,'S48'!$C:$BQ,30,0)</f>
        <v>#N/A</v>
      </c>
      <c r="AR129" s="66" t="e">
        <f>VLOOKUP($A129,'S48'!$C:$BQ,52,0)</f>
        <v>#N/A</v>
      </c>
      <c r="AS129" s="66" t="e">
        <f>VLOOKUP($A129,'S48'!$C:$BQ,59,0)</f>
        <v>#N/A</v>
      </c>
      <c r="AT129" s="66" t="e">
        <f>VLOOKUP($A129,'S48'!$C:$BQ,60,0)</f>
        <v>#N/A</v>
      </c>
      <c r="AU129" s="58" t="e">
        <f>VLOOKUP($A129,'S49'!$C:$BQ,32,0)</f>
        <v>#N/A</v>
      </c>
      <c r="AV129" s="58" t="e">
        <f>VLOOKUP($A129,'S49'!$C:$BQ,39,0)</f>
        <v>#N/A</v>
      </c>
      <c r="AW129" s="58" t="e">
        <f>VLOOKUP($A129,'S49'!$C:$BQ,40,0)</f>
        <v>#N/A</v>
      </c>
      <c r="AX129" s="58" t="e">
        <f>VLOOKUP($A129,'S49'!$C:$BQ,22,0)</f>
        <v>#N/A</v>
      </c>
      <c r="AY129" s="66" t="e">
        <f>VLOOKUP($A129,'S49'!$C:$BQ,29,0)</f>
        <v>#N/A</v>
      </c>
      <c r="AZ129" s="66" t="e">
        <f>VLOOKUP($A129,'S49'!$C:$BQ,30,0)</f>
        <v>#N/A</v>
      </c>
      <c r="BA129" s="66" t="e">
        <f>VLOOKUP($A129,'S49'!$C:$BQ,52,0)</f>
        <v>#N/A</v>
      </c>
      <c r="BB129" s="66" t="e">
        <f>VLOOKUP($A129,'S49'!$C:$BQ,59,0)</f>
        <v>#N/A</v>
      </c>
      <c r="BC129" s="66" t="e">
        <f>VLOOKUP($A129,'S49'!$C:$BQ,60,0)</f>
        <v>#N/A</v>
      </c>
      <c r="BD129" s="58" t="e">
        <f>VLOOKUP($A129,'S50'!$C:$BQ,32,0)</f>
        <v>#N/A</v>
      </c>
      <c r="BE129" s="58" t="e">
        <f>VLOOKUP($A129,'S50'!$C:$BQ,39,0)</f>
        <v>#N/A</v>
      </c>
      <c r="BF129" s="58" t="e">
        <f>VLOOKUP($A129,'S50'!$C:$BQ,40,0)</f>
        <v>#N/A</v>
      </c>
      <c r="BG129" s="58" t="e">
        <f>VLOOKUP($A129,'S50'!$C:$BQ,22,0)</f>
        <v>#N/A</v>
      </c>
      <c r="BH129" s="66" t="e">
        <f>VLOOKUP($A129,'S50'!$C:$BQ,29,0)</f>
        <v>#N/A</v>
      </c>
      <c r="BI129" s="66" t="e">
        <f>VLOOKUP($A129,'S50'!$C:$BQ,30,0)</f>
        <v>#N/A</v>
      </c>
      <c r="BJ129" s="66" t="e">
        <f>VLOOKUP($A129,'S50'!$C:$BQ,52,0)</f>
        <v>#N/A</v>
      </c>
      <c r="BK129" s="66" t="e">
        <f>VLOOKUP($A129,'S50'!$C:$BQ,59,0)</f>
        <v>#N/A</v>
      </c>
      <c r="BL129" s="66" t="e">
        <f>VLOOKUP($A129,'S50'!$C:$BQ,60,0)</f>
        <v>#N/A</v>
      </c>
    </row>
    <row r="130" spans="1:64" x14ac:dyDescent="0.2">
      <c r="A130" s="57" t="s">
        <v>193</v>
      </c>
      <c r="B130" s="58">
        <f>VLOOKUP($A130,'S0 remplacer avec S44'!$C:$BQ,32,0)</f>
        <v>134.30000000000001</v>
      </c>
      <c r="C130" s="58">
        <f>VLOOKUP($A130,'S0 remplacer avec S44'!$C:$BQ,39,0)</f>
        <v>0</v>
      </c>
      <c r="D130" s="58">
        <f>VLOOKUP($A130,'S0 remplacer avec S44'!$C:$BQ,40,0)</f>
        <v>14</v>
      </c>
      <c r="E130" s="58">
        <f>VLOOKUP($A130,'S0 remplacer avec S44'!$C:$BQ,22,0)</f>
        <v>1786.96288</v>
      </c>
      <c r="F130" s="66">
        <f>VLOOKUP($A130,'S0 remplacer avec S44'!$C:$BQ,29,0)</f>
        <v>0</v>
      </c>
      <c r="G130" s="66">
        <f>VLOOKUP($A130,'S0 remplacer avec S44'!$C:$BQ,30,0)</f>
        <v>0</v>
      </c>
      <c r="H130" s="66">
        <f>VLOOKUP($A130,'S0 remplacer avec S44'!$C:$BQ,52,0)</f>
        <v>95.6</v>
      </c>
      <c r="I130" s="66">
        <f>VLOOKUP($A130,'S0 remplacer avec S44'!$C:$BQ,59,0)</f>
        <v>0</v>
      </c>
      <c r="J130" s="66">
        <f>VLOOKUP($A130,'S0 remplacer avec S44'!$C:$BQ,60,0)</f>
        <v>0</v>
      </c>
      <c r="K130" s="58">
        <f>VLOOKUP($A130,'S45'!$C:$BQ,32,0)</f>
        <v>135.30000000000001</v>
      </c>
      <c r="L130" s="58">
        <f>VLOOKUP($A130,'S45'!$C:$BQ,39,0)</f>
        <v>0</v>
      </c>
      <c r="M130" s="58">
        <f>VLOOKUP($A130,'S45'!$C:$BQ,40,0)</f>
        <v>13</v>
      </c>
      <c r="N130" s="58">
        <f>VLOOKUP($A130,'S45'!$C:$BQ,22,0)</f>
        <v>1820.7009499999999</v>
      </c>
      <c r="O130" s="66">
        <f>VLOOKUP($A130,'S45'!$C:$BQ,29,0)</f>
        <v>0</v>
      </c>
      <c r="P130" s="66">
        <f>VLOOKUP($A130,'S45'!$C:$BQ,30,0)</f>
        <v>0</v>
      </c>
      <c r="Q130" s="66">
        <f>VLOOKUP($A130,'S45'!$C:$BQ,52,0)</f>
        <v>99.6</v>
      </c>
      <c r="R130" s="66">
        <f>VLOOKUP($A130,'S45'!$C:$BQ,59,0)</f>
        <v>0</v>
      </c>
      <c r="S130" s="66">
        <f>VLOOKUP($A130,'S45'!$C:$BQ,60,0)</f>
        <v>0</v>
      </c>
      <c r="T130" s="58">
        <f>VLOOKUP($A130,'S46'!$C:$BQ,32,0)</f>
        <v>135.30000000000001</v>
      </c>
      <c r="U130" s="58">
        <f>VLOOKUP($A130,'S46'!$C:$BQ,39,0)</f>
        <v>0</v>
      </c>
      <c r="V130" s="58">
        <f>VLOOKUP($A130,'S46'!$C:$BQ,40,0)</f>
        <v>13</v>
      </c>
      <c r="W130" s="58">
        <f>VLOOKUP($A130,'S46'!$C:$BQ,22,0)</f>
        <v>1824.6906799999999</v>
      </c>
      <c r="X130" s="66">
        <f>VLOOKUP($A130,'S46'!$C:$BQ,29,0)</f>
        <v>0</v>
      </c>
      <c r="Y130" s="66">
        <f>VLOOKUP($A130,'S46'!$C:$BQ,30,0)</f>
        <v>0</v>
      </c>
      <c r="Z130" s="66">
        <f>VLOOKUP($A130,'S46'!$C:$BQ,52,0)</f>
        <v>102.6</v>
      </c>
      <c r="AA130" s="66">
        <f>VLOOKUP($A130,'S46'!$C:$BQ,59,0)</f>
        <v>0</v>
      </c>
      <c r="AB130" s="66">
        <f>VLOOKUP($A130,'S46'!$C:$BQ,60,0)</f>
        <v>0</v>
      </c>
      <c r="AC130" s="58">
        <f>VLOOKUP($A130,'S47'!$C:$BQ,32,0)</f>
        <v>135.30000000000001</v>
      </c>
      <c r="AD130" s="58">
        <f>VLOOKUP($A130,'S47'!$C:$BQ,39,0)</f>
        <v>0</v>
      </c>
      <c r="AE130" s="58">
        <f>VLOOKUP($A130,'S47'!$C:$BQ,40,0)</f>
        <v>13</v>
      </c>
      <c r="AF130" s="58">
        <f>VLOOKUP($A130,'S47'!$C:$BQ,22,0)</f>
        <v>1852.24875</v>
      </c>
      <c r="AG130" s="66">
        <f>VLOOKUP($A130,'S47'!$C:$BQ,29,0)</f>
        <v>0</v>
      </c>
      <c r="AH130" s="66">
        <f>VLOOKUP($A130,'S47'!$C:$BQ,30,0)</f>
        <v>0</v>
      </c>
      <c r="AI130" s="66">
        <f>VLOOKUP($A130,'S47'!$C:$BQ,52,0)</f>
        <v>104.6</v>
      </c>
      <c r="AJ130" s="66">
        <f>VLOOKUP($A130,'S47'!$C:$BQ,59,0)</f>
        <v>0</v>
      </c>
      <c r="AK130" s="66">
        <f>VLOOKUP($A130,'S47'!$C:$BQ,60,0)</f>
        <v>0</v>
      </c>
      <c r="AL130" s="58" t="e">
        <f>VLOOKUP($A130,'S48'!$C:$BQ,32,0)</f>
        <v>#N/A</v>
      </c>
      <c r="AM130" s="58" t="e">
        <f>VLOOKUP($A130,'S48'!$C:$BQ,39,0)</f>
        <v>#N/A</v>
      </c>
      <c r="AN130" s="58" t="e">
        <f>VLOOKUP($A130,'S48'!$C:$BQ,40,0)</f>
        <v>#N/A</v>
      </c>
      <c r="AO130" s="58" t="e">
        <f>VLOOKUP($A130,'S48'!$C:$BQ,22,0)</f>
        <v>#N/A</v>
      </c>
      <c r="AP130" s="66" t="e">
        <f>VLOOKUP($A130,'S48'!$C:$BQ,29,0)</f>
        <v>#N/A</v>
      </c>
      <c r="AQ130" s="66" t="e">
        <f>VLOOKUP($A130,'S48'!$C:$BQ,30,0)</f>
        <v>#N/A</v>
      </c>
      <c r="AR130" s="66" t="e">
        <f>VLOOKUP($A130,'S48'!$C:$BQ,52,0)</f>
        <v>#N/A</v>
      </c>
      <c r="AS130" s="66" t="e">
        <f>VLOOKUP($A130,'S48'!$C:$BQ,59,0)</f>
        <v>#N/A</v>
      </c>
      <c r="AT130" s="66" t="e">
        <f>VLOOKUP($A130,'S48'!$C:$BQ,60,0)</f>
        <v>#N/A</v>
      </c>
      <c r="AU130" s="58" t="e">
        <f>VLOOKUP($A130,'S49'!$C:$BQ,32,0)</f>
        <v>#N/A</v>
      </c>
      <c r="AV130" s="58" t="e">
        <f>VLOOKUP($A130,'S49'!$C:$BQ,39,0)</f>
        <v>#N/A</v>
      </c>
      <c r="AW130" s="58" t="e">
        <f>VLOOKUP($A130,'S49'!$C:$BQ,40,0)</f>
        <v>#N/A</v>
      </c>
      <c r="AX130" s="58" t="e">
        <f>VLOOKUP($A130,'S49'!$C:$BQ,22,0)</f>
        <v>#N/A</v>
      </c>
      <c r="AY130" s="66" t="e">
        <f>VLOOKUP($A130,'S49'!$C:$BQ,29,0)</f>
        <v>#N/A</v>
      </c>
      <c r="AZ130" s="66" t="e">
        <f>VLOOKUP($A130,'S49'!$C:$BQ,30,0)</f>
        <v>#N/A</v>
      </c>
      <c r="BA130" s="66" t="e">
        <f>VLOOKUP($A130,'S49'!$C:$BQ,52,0)</f>
        <v>#N/A</v>
      </c>
      <c r="BB130" s="66" t="e">
        <f>VLOOKUP($A130,'S49'!$C:$BQ,59,0)</f>
        <v>#N/A</v>
      </c>
      <c r="BC130" s="66" t="e">
        <f>VLOOKUP($A130,'S49'!$C:$BQ,60,0)</f>
        <v>#N/A</v>
      </c>
      <c r="BD130" s="58" t="e">
        <f>VLOOKUP($A130,'S50'!$C:$BQ,32,0)</f>
        <v>#N/A</v>
      </c>
      <c r="BE130" s="58" t="e">
        <f>VLOOKUP($A130,'S50'!$C:$BQ,39,0)</f>
        <v>#N/A</v>
      </c>
      <c r="BF130" s="58" t="e">
        <f>VLOOKUP($A130,'S50'!$C:$BQ,40,0)</f>
        <v>#N/A</v>
      </c>
      <c r="BG130" s="58" t="e">
        <f>VLOOKUP($A130,'S50'!$C:$BQ,22,0)</f>
        <v>#N/A</v>
      </c>
      <c r="BH130" s="66" t="e">
        <f>VLOOKUP($A130,'S50'!$C:$BQ,29,0)</f>
        <v>#N/A</v>
      </c>
      <c r="BI130" s="66" t="e">
        <f>VLOOKUP($A130,'S50'!$C:$BQ,30,0)</f>
        <v>#N/A</v>
      </c>
      <c r="BJ130" s="66" t="e">
        <f>VLOOKUP($A130,'S50'!$C:$BQ,52,0)</f>
        <v>#N/A</v>
      </c>
      <c r="BK130" s="66" t="e">
        <f>VLOOKUP($A130,'S50'!$C:$BQ,59,0)</f>
        <v>#N/A</v>
      </c>
      <c r="BL130" s="66" t="e">
        <f>VLOOKUP($A130,'S50'!$C:$BQ,60,0)</f>
        <v>#N/A</v>
      </c>
    </row>
    <row r="131" spans="1:64" x14ac:dyDescent="0.2">
      <c r="A131" s="57" t="s">
        <v>194</v>
      </c>
      <c r="B131" s="58">
        <f>VLOOKUP($A131,'S0 remplacer avec S44'!$C:$BQ,32,0)</f>
        <v>372.4</v>
      </c>
      <c r="C131" s="58">
        <f>VLOOKUP($A131,'S0 remplacer avec S44'!$C:$BQ,39,0)</f>
        <v>5</v>
      </c>
      <c r="D131" s="58">
        <f>VLOOKUP($A131,'S0 remplacer avec S44'!$C:$BQ,40,0)</f>
        <v>81</v>
      </c>
      <c r="E131" s="58">
        <f>VLOOKUP($A131,'S0 remplacer avec S44'!$C:$BQ,22,0)</f>
        <v>2431.5339399999998</v>
      </c>
      <c r="F131" s="66">
        <f>VLOOKUP($A131,'S0 remplacer avec S44'!$C:$BQ,29,0)</f>
        <v>1001</v>
      </c>
      <c r="G131" s="66">
        <f>VLOOKUP($A131,'S0 remplacer avec S44'!$C:$BQ,30,0)</f>
        <v>1688</v>
      </c>
      <c r="H131" s="66">
        <f>VLOOKUP($A131,'S0 remplacer avec S44'!$C:$BQ,52,0)</f>
        <v>215.2</v>
      </c>
      <c r="I131" s="66">
        <f>VLOOKUP($A131,'S0 remplacer avec S44'!$C:$BQ,59,0)</f>
        <v>0</v>
      </c>
      <c r="J131" s="66">
        <f>VLOOKUP($A131,'S0 remplacer avec S44'!$C:$BQ,60,0)</f>
        <v>15</v>
      </c>
      <c r="K131" s="58">
        <f>VLOOKUP($A131,'S45'!$C:$BQ,32,0)</f>
        <v>380.9</v>
      </c>
      <c r="L131" s="58">
        <f>VLOOKUP($A131,'S45'!$C:$BQ,39,0)</f>
        <v>0</v>
      </c>
      <c r="M131" s="58">
        <f>VLOOKUP($A131,'S45'!$C:$BQ,40,0)</f>
        <v>72</v>
      </c>
      <c r="N131" s="58">
        <f>VLOOKUP($A131,'S45'!$C:$BQ,22,0)</f>
        <v>2441.2841699999999</v>
      </c>
      <c r="O131" s="66">
        <f>VLOOKUP($A131,'S45'!$C:$BQ,29,0)</f>
        <v>992</v>
      </c>
      <c r="P131" s="66">
        <f>VLOOKUP($A131,'S45'!$C:$BQ,30,0)</f>
        <v>1678</v>
      </c>
      <c r="Q131" s="66">
        <f>VLOOKUP($A131,'S45'!$C:$BQ,52,0)</f>
        <v>221.2</v>
      </c>
      <c r="R131" s="66">
        <f>VLOOKUP($A131,'S45'!$C:$BQ,59,0)</f>
        <v>0</v>
      </c>
      <c r="S131" s="66">
        <f>VLOOKUP($A131,'S45'!$C:$BQ,60,0)</f>
        <v>9</v>
      </c>
      <c r="T131" s="58">
        <f>VLOOKUP($A131,'S46'!$C:$BQ,32,0)</f>
        <v>379.4</v>
      </c>
      <c r="U131" s="58">
        <f>VLOOKUP($A131,'S46'!$C:$BQ,39,0)</f>
        <v>0</v>
      </c>
      <c r="V131" s="58">
        <f>VLOOKUP($A131,'S46'!$C:$BQ,40,0)</f>
        <v>74</v>
      </c>
      <c r="W131" s="58">
        <f>VLOOKUP($A131,'S46'!$C:$BQ,22,0)</f>
        <v>2444.8002900000001</v>
      </c>
      <c r="X131" s="66">
        <f>VLOOKUP($A131,'S46'!$C:$BQ,29,0)</f>
        <v>988</v>
      </c>
      <c r="Y131" s="66">
        <f>VLOOKUP($A131,'S46'!$C:$BQ,30,0)</f>
        <v>1675</v>
      </c>
      <c r="Z131" s="66">
        <f>VLOOKUP($A131,'S46'!$C:$BQ,52,0)</f>
        <v>222.2</v>
      </c>
      <c r="AA131" s="66">
        <f>VLOOKUP($A131,'S46'!$C:$BQ,59,0)</f>
        <v>0</v>
      </c>
      <c r="AB131" s="66">
        <f>VLOOKUP($A131,'S46'!$C:$BQ,60,0)</f>
        <v>8</v>
      </c>
      <c r="AC131" s="58">
        <f>VLOOKUP($A131,'S47'!$C:$BQ,32,0)</f>
        <v>386.4</v>
      </c>
      <c r="AD131" s="58">
        <f>VLOOKUP($A131,'S47'!$C:$BQ,39,0)</f>
        <v>0</v>
      </c>
      <c r="AE131" s="58">
        <f>VLOOKUP($A131,'S47'!$C:$BQ,40,0)</f>
        <v>67</v>
      </c>
      <c r="AF131" s="58">
        <f>VLOOKUP($A131,'S47'!$C:$BQ,22,0)</f>
        <v>2470.6591400000002</v>
      </c>
      <c r="AG131" s="66">
        <f>VLOOKUP($A131,'S47'!$C:$BQ,29,0)</f>
        <v>962</v>
      </c>
      <c r="AH131" s="66">
        <f>VLOOKUP($A131,'S47'!$C:$BQ,30,0)</f>
        <v>1649</v>
      </c>
      <c r="AI131" s="66">
        <f>VLOOKUP($A131,'S47'!$C:$BQ,52,0)</f>
        <v>224.2</v>
      </c>
      <c r="AJ131" s="66">
        <f>VLOOKUP($A131,'S47'!$C:$BQ,59,0)</f>
        <v>0</v>
      </c>
      <c r="AK131" s="66">
        <f>VLOOKUP($A131,'S47'!$C:$BQ,60,0)</f>
        <v>6</v>
      </c>
      <c r="AL131" s="58" t="e">
        <f>VLOOKUP($A131,'S48'!$C:$BQ,32,0)</f>
        <v>#N/A</v>
      </c>
      <c r="AM131" s="58" t="e">
        <f>VLOOKUP($A131,'S48'!$C:$BQ,39,0)</f>
        <v>#N/A</v>
      </c>
      <c r="AN131" s="58" t="e">
        <f>VLOOKUP($A131,'S48'!$C:$BQ,40,0)</f>
        <v>#N/A</v>
      </c>
      <c r="AO131" s="58" t="e">
        <f>VLOOKUP($A131,'S48'!$C:$BQ,22,0)</f>
        <v>#N/A</v>
      </c>
      <c r="AP131" s="66" t="e">
        <f>VLOOKUP($A131,'S48'!$C:$BQ,29,0)</f>
        <v>#N/A</v>
      </c>
      <c r="AQ131" s="66" t="e">
        <f>VLOOKUP($A131,'S48'!$C:$BQ,30,0)</f>
        <v>#N/A</v>
      </c>
      <c r="AR131" s="66" t="e">
        <f>VLOOKUP($A131,'S48'!$C:$BQ,52,0)</f>
        <v>#N/A</v>
      </c>
      <c r="AS131" s="66" t="e">
        <f>VLOOKUP($A131,'S48'!$C:$BQ,59,0)</f>
        <v>#N/A</v>
      </c>
      <c r="AT131" s="66" t="e">
        <f>VLOOKUP($A131,'S48'!$C:$BQ,60,0)</f>
        <v>#N/A</v>
      </c>
      <c r="AU131" s="58" t="e">
        <f>VLOOKUP($A131,'S49'!$C:$BQ,32,0)</f>
        <v>#N/A</v>
      </c>
      <c r="AV131" s="58" t="e">
        <f>VLOOKUP($A131,'S49'!$C:$BQ,39,0)</f>
        <v>#N/A</v>
      </c>
      <c r="AW131" s="58" t="e">
        <f>VLOOKUP($A131,'S49'!$C:$BQ,40,0)</f>
        <v>#N/A</v>
      </c>
      <c r="AX131" s="58" t="e">
        <f>VLOOKUP($A131,'S49'!$C:$BQ,22,0)</f>
        <v>#N/A</v>
      </c>
      <c r="AY131" s="66" t="e">
        <f>VLOOKUP($A131,'S49'!$C:$BQ,29,0)</f>
        <v>#N/A</v>
      </c>
      <c r="AZ131" s="66" t="e">
        <f>VLOOKUP($A131,'S49'!$C:$BQ,30,0)</f>
        <v>#N/A</v>
      </c>
      <c r="BA131" s="66" t="e">
        <f>VLOOKUP($A131,'S49'!$C:$BQ,52,0)</f>
        <v>#N/A</v>
      </c>
      <c r="BB131" s="66" t="e">
        <f>VLOOKUP($A131,'S49'!$C:$BQ,59,0)</f>
        <v>#N/A</v>
      </c>
      <c r="BC131" s="66" t="e">
        <f>VLOOKUP($A131,'S49'!$C:$BQ,60,0)</f>
        <v>#N/A</v>
      </c>
      <c r="BD131" s="58" t="e">
        <f>VLOOKUP($A131,'S50'!$C:$BQ,32,0)</f>
        <v>#N/A</v>
      </c>
      <c r="BE131" s="58" t="e">
        <f>VLOOKUP($A131,'S50'!$C:$BQ,39,0)</f>
        <v>#N/A</v>
      </c>
      <c r="BF131" s="58" t="e">
        <f>VLOOKUP($A131,'S50'!$C:$BQ,40,0)</f>
        <v>#N/A</v>
      </c>
      <c r="BG131" s="58" t="e">
        <f>VLOOKUP($A131,'S50'!$C:$BQ,22,0)</f>
        <v>#N/A</v>
      </c>
      <c r="BH131" s="66" t="e">
        <f>VLOOKUP($A131,'S50'!$C:$BQ,29,0)</f>
        <v>#N/A</v>
      </c>
      <c r="BI131" s="66" t="e">
        <f>VLOOKUP($A131,'S50'!$C:$BQ,30,0)</f>
        <v>#N/A</v>
      </c>
      <c r="BJ131" s="66" t="e">
        <f>VLOOKUP($A131,'S50'!$C:$BQ,52,0)</f>
        <v>#N/A</v>
      </c>
      <c r="BK131" s="66" t="e">
        <f>VLOOKUP($A131,'S50'!$C:$BQ,59,0)</f>
        <v>#N/A</v>
      </c>
      <c r="BL131" s="66" t="e">
        <f>VLOOKUP($A131,'S50'!$C:$BQ,60,0)</f>
        <v>#N/A</v>
      </c>
    </row>
    <row r="132" spans="1:64" x14ac:dyDescent="0.2">
      <c r="A132" s="57" t="s">
        <v>195</v>
      </c>
      <c r="B132" s="58">
        <f>VLOOKUP($A132,'S0 remplacer avec S44'!$C:$BQ,32,0)</f>
        <v>268.2</v>
      </c>
      <c r="C132" s="58">
        <f>VLOOKUP($A132,'S0 remplacer avec S44'!$C:$BQ,39,0)</f>
        <v>0</v>
      </c>
      <c r="D132" s="58">
        <f>VLOOKUP($A132,'S0 remplacer avec S44'!$C:$BQ,40,0)</f>
        <v>25</v>
      </c>
      <c r="E132" s="58">
        <f>VLOOKUP($A132,'S0 remplacer avec S44'!$C:$BQ,22,0)</f>
        <v>2605.9686649999999</v>
      </c>
      <c r="F132" s="66">
        <f>VLOOKUP($A132,'S0 remplacer avec S44'!$C:$BQ,29,0)</f>
        <v>0</v>
      </c>
      <c r="G132" s="66">
        <f>VLOOKUP($A132,'S0 remplacer avec S44'!$C:$BQ,30,0)</f>
        <v>58</v>
      </c>
      <c r="H132" s="66">
        <f>VLOOKUP($A132,'S0 remplacer avec S44'!$C:$BQ,52,0)</f>
        <v>212.8</v>
      </c>
      <c r="I132" s="66">
        <f>VLOOKUP($A132,'S0 remplacer avec S44'!$C:$BQ,59,0)</f>
        <v>0</v>
      </c>
      <c r="J132" s="66">
        <f>VLOOKUP($A132,'S0 remplacer avec S44'!$C:$BQ,60,0)</f>
        <v>0</v>
      </c>
      <c r="K132" s="58">
        <f>VLOOKUP($A132,'S45'!$C:$BQ,32,0)</f>
        <v>270.2</v>
      </c>
      <c r="L132" s="58">
        <f>VLOOKUP($A132,'S45'!$C:$BQ,39,0)</f>
        <v>0</v>
      </c>
      <c r="M132" s="58">
        <f>VLOOKUP($A132,'S45'!$C:$BQ,40,0)</f>
        <v>23</v>
      </c>
      <c r="N132" s="58">
        <f>VLOOKUP($A132,'S45'!$C:$BQ,22,0)</f>
        <v>2617.5759349999998</v>
      </c>
      <c r="O132" s="66">
        <f>VLOOKUP($A132,'S45'!$C:$BQ,29,0)</f>
        <v>0</v>
      </c>
      <c r="P132" s="66">
        <f>VLOOKUP($A132,'S45'!$C:$BQ,30,0)</f>
        <v>46</v>
      </c>
      <c r="Q132" s="66">
        <f>VLOOKUP($A132,'S45'!$C:$BQ,52,0)</f>
        <v>213.8</v>
      </c>
      <c r="R132" s="66">
        <f>VLOOKUP($A132,'S45'!$C:$BQ,59,0)</f>
        <v>0</v>
      </c>
      <c r="S132" s="66">
        <f>VLOOKUP($A132,'S45'!$C:$BQ,60,0)</f>
        <v>0</v>
      </c>
      <c r="T132" s="58">
        <f>VLOOKUP($A132,'S46'!$C:$BQ,32,0)</f>
        <v>270.2</v>
      </c>
      <c r="U132" s="58">
        <f>VLOOKUP($A132,'S46'!$C:$BQ,39,0)</f>
        <v>0</v>
      </c>
      <c r="V132" s="58">
        <f>VLOOKUP($A132,'S46'!$C:$BQ,40,0)</f>
        <v>23</v>
      </c>
      <c r="W132" s="58">
        <f>VLOOKUP($A132,'S46'!$C:$BQ,22,0)</f>
        <v>2634.9689349999999</v>
      </c>
      <c r="X132" s="66">
        <f>VLOOKUP($A132,'S46'!$C:$BQ,29,0)</f>
        <v>0</v>
      </c>
      <c r="Y132" s="66">
        <f>VLOOKUP($A132,'S46'!$C:$BQ,30,0)</f>
        <v>29</v>
      </c>
      <c r="Z132" s="66">
        <f>VLOOKUP($A132,'S46'!$C:$BQ,52,0)</f>
        <v>213.8</v>
      </c>
      <c r="AA132" s="66">
        <f>VLOOKUP($A132,'S46'!$C:$BQ,59,0)</f>
        <v>0</v>
      </c>
      <c r="AB132" s="66">
        <f>VLOOKUP($A132,'S46'!$C:$BQ,60,0)</f>
        <v>0</v>
      </c>
      <c r="AC132" s="58">
        <f>VLOOKUP($A132,'S47'!$C:$BQ,32,0)</f>
        <v>276.7</v>
      </c>
      <c r="AD132" s="58">
        <f>VLOOKUP($A132,'S47'!$C:$BQ,39,0)</f>
        <v>0</v>
      </c>
      <c r="AE132" s="58">
        <f>VLOOKUP($A132,'S47'!$C:$BQ,40,0)</f>
        <v>17</v>
      </c>
      <c r="AF132" s="58">
        <f>VLOOKUP($A132,'S47'!$C:$BQ,22,0)</f>
        <v>2671.8047750000001</v>
      </c>
      <c r="AG132" s="66">
        <f>VLOOKUP($A132,'S47'!$C:$BQ,29,0)</f>
        <v>0</v>
      </c>
      <c r="AH132" s="66">
        <f>VLOOKUP($A132,'S47'!$C:$BQ,30,0)</f>
        <v>0</v>
      </c>
      <c r="AI132" s="66">
        <f>VLOOKUP($A132,'S47'!$C:$BQ,52,0)</f>
        <v>214.8</v>
      </c>
      <c r="AJ132" s="66">
        <f>VLOOKUP($A132,'S47'!$C:$BQ,59,0)</f>
        <v>0</v>
      </c>
      <c r="AK132" s="66">
        <f>VLOOKUP($A132,'S47'!$C:$BQ,60,0)</f>
        <v>0</v>
      </c>
      <c r="AL132" s="58" t="e">
        <f>VLOOKUP($A132,'S48'!$C:$BQ,32,0)</f>
        <v>#N/A</v>
      </c>
      <c r="AM132" s="58" t="e">
        <f>VLOOKUP($A132,'S48'!$C:$BQ,39,0)</f>
        <v>#N/A</v>
      </c>
      <c r="AN132" s="58" t="e">
        <f>VLOOKUP($A132,'S48'!$C:$BQ,40,0)</f>
        <v>#N/A</v>
      </c>
      <c r="AO132" s="58" t="e">
        <f>VLOOKUP($A132,'S48'!$C:$BQ,22,0)</f>
        <v>#N/A</v>
      </c>
      <c r="AP132" s="66" t="e">
        <f>VLOOKUP($A132,'S48'!$C:$BQ,29,0)</f>
        <v>#N/A</v>
      </c>
      <c r="AQ132" s="66" t="e">
        <f>VLOOKUP($A132,'S48'!$C:$BQ,30,0)</f>
        <v>#N/A</v>
      </c>
      <c r="AR132" s="66" t="e">
        <f>VLOOKUP($A132,'S48'!$C:$BQ,52,0)</f>
        <v>#N/A</v>
      </c>
      <c r="AS132" s="66" t="e">
        <f>VLOOKUP($A132,'S48'!$C:$BQ,59,0)</f>
        <v>#N/A</v>
      </c>
      <c r="AT132" s="66" t="e">
        <f>VLOOKUP($A132,'S48'!$C:$BQ,60,0)</f>
        <v>#N/A</v>
      </c>
      <c r="AU132" s="58" t="e">
        <f>VLOOKUP($A132,'S49'!$C:$BQ,32,0)</f>
        <v>#N/A</v>
      </c>
      <c r="AV132" s="58" t="e">
        <f>VLOOKUP($A132,'S49'!$C:$BQ,39,0)</f>
        <v>#N/A</v>
      </c>
      <c r="AW132" s="58" t="e">
        <f>VLOOKUP($A132,'S49'!$C:$BQ,40,0)</f>
        <v>#N/A</v>
      </c>
      <c r="AX132" s="58" t="e">
        <f>VLOOKUP($A132,'S49'!$C:$BQ,22,0)</f>
        <v>#N/A</v>
      </c>
      <c r="AY132" s="66" t="e">
        <f>VLOOKUP($A132,'S49'!$C:$BQ,29,0)</f>
        <v>#N/A</v>
      </c>
      <c r="AZ132" s="66" t="e">
        <f>VLOOKUP($A132,'S49'!$C:$BQ,30,0)</f>
        <v>#N/A</v>
      </c>
      <c r="BA132" s="66" t="e">
        <f>VLOOKUP($A132,'S49'!$C:$BQ,52,0)</f>
        <v>#N/A</v>
      </c>
      <c r="BB132" s="66" t="e">
        <f>VLOOKUP($A132,'S49'!$C:$BQ,59,0)</f>
        <v>#N/A</v>
      </c>
      <c r="BC132" s="66" t="e">
        <f>VLOOKUP($A132,'S49'!$C:$BQ,60,0)</f>
        <v>#N/A</v>
      </c>
      <c r="BD132" s="58" t="e">
        <f>VLOOKUP($A132,'S50'!$C:$BQ,32,0)</f>
        <v>#N/A</v>
      </c>
      <c r="BE132" s="58" t="e">
        <f>VLOOKUP($A132,'S50'!$C:$BQ,39,0)</f>
        <v>#N/A</v>
      </c>
      <c r="BF132" s="58" t="e">
        <f>VLOOKUP($A132,'S50'!$C:$BQ,40,0)</f>
        <v>#N/A</v>
      </c>
      <c r="BG132" s="58" t="e">
        <f>VLOOKUP($A132,'S50'!$C:$BQ,22,0)</f>
        <v>#N/A</v>
      </c>
      <c r="BH132" s="66" t="e">
        <f>VLOOKUP($A132,'S50'!$C:$BQ,29,0)</f>
        <v>#N/A</v>
      </c>
      <c r="BI132" s="66" t="e">
        <f>VLOOKUP($A132,'S50'!$C:$BQ,30,0)</f>
        <v>#N/A</v>
      </c>
      <c r="BJ132" s="66" t="e">
        <f>VLOOKUP($A132,'S50'!$C:$BQ,52,0)</f>
        <v>#N/A</v>
      </c>
      <c r="BK132" s="66" t="e">
        <f>VLOOKUP($A132,'S50'!$C:$BQ,59,0)</f>
        <v>#N/A</v>
      </c>
      <c r="BL132" s="66" t="e">
        <f>VLOOKUP($A132,'S50'!$C:$BQ,60,0)</f>
        <v>#N/A</v>
      </c>
    </row>
    <row r="133" spans="1:64" x14ac:dyDescent="0.2">
      <c r="A133" s="57" t="s">
        <v>196</v>
      </c>
      <c r="B133" s="58">
        <f>VLOOKUP($A133,'S0 remplacer avec S44'!$C:$BQ,32,0)</f>
        <v>147.85</v>
      </c>
      <c r="C133" s="58">
        <f>VLOOKUP($A133,'S0 remplacer avec S44'!$C:$BQ,39,0)</f>
        <v>28</v>
      </c>
      <c r="D133" s="58">
        <f>VLOOKUP($A133,'S0 remplacer avec S44'!$C:$BQ,40,0)</f>
        <v>63</v>
      </c>
      <c r="E133" s="58">
        <f>VLOOKUP($A133,'S0 remplacer avec S44'!$C:$BQ,22,0)</f>
        <v>1659.5316399999999</v>
      </c>
      <c r="F133" s="66">
        <f>VLOOKUP($A133,'S0 remplacer avec S44'!$C:$BQ,29,0)</f>
        <v>0</v>
      </c>
      <c r="G133" s="66">
        <f>VLOOKUP($A133,'S0 remplacer avec S44'!$C:$BQ,30,0)</f>
        <v>253</v>
      </c>
      <c r="H133" s="66">
        <f>VLOOKUP($A133,'S0 remplacer avec S44'!$C:$BQ,52,0)</f>
        <v>105.6</v>
      </c>
      <c r="I133" s="66">
        <f>VLOOKUP($A133,'S0 remplacer avec S44'!$C:$BQ,59,0)</f>
        <v>0</v>
      </c>
      <c r="J133" s="66">
        <f>VLOOKUP($A133,'S0 remplacer avec S44'!$C:$BQ,60,0)</f>
        <v>2</v>
      </c>
      <c r="K133" s="58">
        <f>VLOOKUP($A133,'S45'!$C:$BQ,32,0)</f>
        <v>149.85</v>
      </c>
      <c r="L133" s="58">
        <f>VLOOKUP($A133,'S45'!$C:$BQ,39,0)</f>
        <v>26</v>
      </c>
      <c r="M133" s="58">
        <f>VLOOKUP($A133,'S45'!$C:$BQ,40,0)</f>
        <v>61</v>
      </c>
      <c r="N133" s="58">
        <f>VLOOKUP($A133,'S45'!$C:$BQ,22,0)</f>
        <v>1674.7716399999999</v>
      </c>
      <c r="O133" s="66">
        <f>VLOOKUP($A133,'S45'!$C:$BQ,29,0)</f>
        <v>0</v>
      </c>
      <c r="P133" s="66">
        <f>VLOOKUP($A133,'S45'!$C:$BQ,30,0)</f>
        <v>238</v>
      </c>
      <c r="Q133" s="66">
        <f>VLOOKUP($A133,'S45'!$C:$BQ,52,0)</f>
        <v>105.6</v>
      </c>
      <c r="R133" s="66">
        <f>VLOOKUP($A133,'S45'!$C:$BQ,59,0)</f>
        <v>0</v>
      </c>
      <c r="S133" s="66">
        <f>VLOOKUP($A133,'S45'!$C:$BQ,60,0)</f>
        <v>2</v>
      </c>
      <c r="T133" s="58">
        <f>VLOOKUP($A133,'S46'!$C:$BQ,32,0)</f>
        <v>149.85</v>
      </c>
      <c r="U133" s="58">
        <f>VLOOKUP($A133,'S46'!$C:$BQ,39,0)</f>
        <v>26</v>
      </c>
      <c r="V133" s="58">
        <f>VLOOKUP($A133,'S46'!$C:$BQ,40,0)</f>
        <v>61</v>
      </c>
      <c r="W133" s="58">
        <f>VLOOKUP($A133,'S46'!$C:$BQ,22,0)</f>
        <v>1676.7504200000001</v>
      </c>
      <c r="X133" s="66">
        <f>VLOOKUP($A133,'S46'!$C:$BQ,29,0)</f>
        <v>0</v>
      </c>
      <c r="Y133" s="66">
        <f>VLOOKUP($A133,'S46'!$C:$BQ,30,0)</f>
        <v>236</v>
      </c>
      <c r="Z133" s="66">
        <f>VLOOKUP($A133,'S46'!$C:$BQ,52,0)</f>
        <v>108.6</v>
      </c>
      <c r="AA133" s="66">
        <f>VLOOKUP($A133,'S46'!$C:$BQ,59,0)</f>
        <v>0</v>
      </c>
      <c r="AB133" s="66">
        <f>VLOOKUP($A133,'S46'!$C:$BQ,60,0)</f>
        <v>0</v>
      </c>
      <c r="AC133" s="58">
        <f>VLOOKUP($A133,'S47'!$C:$BQ,32,0)</f>
        <v>149.85</v>
      </c>
      <c r="AD133" s="58">
        <f>VLOOKUP($A133,'S47'!$C:$BQ,39,0)</f>
        <v>26</v>
      </c>
      <c r="AE133" s="58">
        <f>VLOOKUP($A133,'S47'!$C:$BQ,40,0)</f>
        <v>61</v>
      </c>
      <c r="AF133" s="58">
        <f>VLOOKUP($A133,'S47'!$C:$BQ,22,0)</f>
        <v>1726.07482</v>
      </c>
      <c r="AG133" s="66">
        <f>VLOOKUP($A133,'S47'!$C:$BQ,29,0)</f>
        <v>0</v>
      </c>
      <c r="AH133" s="66">
        <f>VLOOKUP($A133,'S47'!$C:$BQ,30,0)</f>
        <v>186</v>
      </c>
      <c r="AI133" s="66">
        <f>VLOOKUP($A133,'S47'!$C:$BQ,52,0)</f>
        <v>109.6</v>
      </c>
      <c r="AJ133" s="66">
        <f>VLOOKUP($A133,'S47'!$C:$BQ,59,0)</f>
        <v>0</v>
      </c>
      <c r="AK133" s="66">
        <f>VLOOKUP($A133,'S47'!$C:$BQ,60,0)</f>
        <v>0</v>
      </c>
      <c r="AL133" s="58" t="e">
        <f>VLOOKUP($A133,'S48'!$C:$BQ,32,0)</f>
        <v>#N/A</v>
      </c>
      <c r="AM133" s="58" t="e">
        <f>VLOOKUP($A133,'S48'!$C:$BQ,39,0)</f>
        <v>#N/A</v>
      </c>
      <c r="AN133" s="58" t="e">
        <f>VLOOKUP($A133,'S48'!$C:$BQ,40,0)</f>
        <v>#N/A</v>
      </c>
      <c r="AO133" s="58" t="e">
        <f>VLOOKUP($A133,'S48'!$C:$BQ,22,0)</f>
        <v>#N/A</v>
      </c>
      <c r="AP133" s="66" t="e">
        <f>VLOOKUP($A133,'S48'!$C:$BQ,29,0)</f>
        <v>#N/A</v>
      </c>
      <c r="AQ133" s="66" t="e">
        <f>VLOOKUP($A133,'S48'!$C:$BQ,30,0)</f>
        <v>#N/A</v>
      </c>
      <c r="AR133" s="66" t="e">
        <f>VLOOKUP($A133,'S48'!$C:$BQ,52,0)</f>
        <v>#N/A</v>
      </c>
      <c r="AS133" s="66" t="e">
        <f>VLOOKUP($A133,'S48'!$C:$BQ,59,0)</f>
        <v>#N/A</v>
      </c>
      <c r="AT133" s="66" t="e">
        <f>VLOOKUP($A133,'S48'!$C:$BQ,60,0)</f>
        <v>#N/A</v>
      </c>
      <c r="AU133" s="58" t="e">
        <f>VLOOKUP($A133,'S49'!$C:$BQ,32,0)</f>
        <v>#N/A</v>
      </c>
      <c r="AV133" s="58" t="e">
        <f>VLOOKUP($A133,'S49'!$C:$BQ,39,0)</f>
        <v>#N/A</v>
      </c>
      <c r="AW133" s="58" t="e">
        <f>VLOOKUP($A133,'S49'!$C:$BQ,40,0)</f>
        <v>#N/A</v>
      </c>
      <c r="AX133" s="58" t="e">
        <f>VLOOKUP($A133,'S49'!$C:$BQ,22,0)</f>
        <v>#N/A</v>
      </c>
      <c r="AY133" s="66" t="e">
        <f>VLOOKUP($A133,'S49'!$C:$BQ,29,0)</f>
        <v>#N/A</v>
      </c>
      <c r="AZ133" s="66" t="e">
        <f>VLOOKUP($A133,'S49'!$C:$BQ,30,0)</f>
        <v>#N/A</v>
      </c>
      <c r="BA133" s="66" t="e">
        <f>VLOOKUP($A133,'S49'!$C:$BQ,52,0)</f>
        <v>#N/A</v>
      </c>
      <c r="BB133" s="66" t="e">
        <f>VLOOKUP($A133,'S49'!$C:$BQ,59,0)</f>
        <v>#N/A</v>
      </c>
      <c r="BC133" s="66" t="e">
        <f>VLOOKUP($A133,'S49'!$C:$BQ,60,0)</f>
        <v>#N/A</v>
      </c>
      <c r="BD133" s="58" t="e">
        <f>VLOOKUP($A133,'S50'!$C:$BQ,32,0)</f>
        <v>#N/A</v>
      </c>
      <c r="BE133" s="58" t="e">
        <f>VLOOKUP($A133,'S50'!$C:$BQ,39,0)</f>
        <v>#N/A</v>
      </c>
      <c r="BF133" s="58" t="e">
        <f>VLOOKUP($A133,'S50'!$C:$BQ,40,0)</f>
        <v>#N/A</v>
      </c>
      <c r="BG133" s="58" t="e">
        <f>VLOOKUP($A133,'S50'!$C:$BQ,22,0)</f>
        <v>#N/A</v>
      </c>
      <c r="BH133" s="66" t="e">
        <f>VLOOKUP($A133,'S50'!$C:$BQ,29,0)</f>
        <v>#N/A</v>
      </c>
      <c r="BI133" s="66" t="e">
        <f>VLOOKUP($A133,'S50'!$C:$BQ,30,0)</f>
        <v>#N/A</v>
      </c>
      <c r="BJ133" s="66" t="e">
        <f>VLOOKUP($A133,'S50'!$C:$BQ,52,0)</f>
        <v>#N/A</v>
      </c>
      <c r="BK133" s="66" t="e">
        <f>VLOOKUP($A133,'S50'!$C:$BQ,59,0)</f>
        <v>#N/A</v>
      </c>
      <c r="BL133" s="66" t="e">
        <f>VLOOKUP($A133,'S50'!$C:$BQ,60,0)</f>
        <v>#N/A</v>
      </c>
    </row>
    <row r="134" spans="1:64" x14ac:dyDescent="0.2">
      <c r="A134" s="57" t="s">
        <v>197</v>
      </c>
      <c r="B134" s="58">
        <f>VLOOKUP($A134,'S0 remplacer avec S44'!$C:$BQ,32,0)</f>
        <v>390.5</v>
      </c>
      <c r="C134" s="58">
        <f>VLOOKUP($A134,'S0 remplacer avec S44'!$C:$BQ,39,0)</f>
        <v>158</v>
      </c>
      <c r="D134" s="58">
        <f>VLOOKUP($A134,'S0 remplacer avec S44'!$C:$BQ,40,0)</f>
        <v>268</v>
      </c>
      <c r="E134" s="58">
        <f>VLOOKUP($A134,'S0 remplacer avec S44'!$C:$BQ,22,0)</f>
        <v>4431.7639150000005</v>
      </c>
      <c r="F134" s="66">
        <f>VLOOKUP($A134,'S0 remplacer avec S44'!$C:$BQ,29,0)</f>
        <v>553</v>
      </c>
      <c r="G134" s="66">
        <f>VLOOKUP($A134,'S0 remplacer avec S44'!$C:$BQ,30,0)</f>
        <v>1550</v>
      </c>
      <c r="H134" s="66">
        <f>VLOOKUP($A134,'S0 remplacer avec S44'!$C:$BQ,52,0)</f>
        <v>293.8</v>
      </c>
      <c r="I134" s="66">
        <f>VLOOKUP($A134,'S0 remplacer avec S44'!$C:$BQ,59,0)</f>
        <v>0</v>
      </c>
      <c r="J134" s="66">
        <f>VLOOKUP($A134,'S0 remplacer avec S44'!$C:$BQ,60,0)</f>
        <v>41</v>
      </c>
      <c r="K134" s="58">
        <f>VLOOKUP($A134,'S45'!$C:$BQ,32,0)</f>
        <v>402</v>
      </c>
      <c r="L134" s="58">
        <f>VLOOKUP($A134,'S45'!$C:$BQ,39,0)</f>
        <v>147</v>
      </c>
      <c r="M134" s="58">
        <f>VLOOKUP($A134,'S45'!$C:$BQ,40,0)</f>
        <v>256</v>
      </c>
      <c r="N134" s="58">
        <f>VLOOKUP($A134,'S45'!$C:$BQ,22,0)</f>
        <v>4582.7212849999996</v>
      </c>
      <c r="O134" s="66">
        <f>VLOOKUP($A134,'S45'!$C:$BQ,29,0)</f>
        <v>402</v>
      </c>
      <c r="P134" s="66">
        <f>VLOOKUP($A134,'S45'!$C:$BQ,30,0)</f>
        <v>1399</v>
      </c>
      <c r="Q134" s="66">
        <f>VLOOKUP($A134,'S45'!$C:$BQ,52,0)</f>
        <v>297.8</v>
      </c>
      <c r="R134" s="66">
        <f>VLOOKUP($A134,'S45'!$C:$BQ,59,0)</f>
        <v>0</v>
      </c>
      <c r="S134" s="66">
        <f>VLOOKUP($A134,'S45'!$C:$BQ,60,0)</f>
        <v>37</v>
      </c>
      <c r="T134" s="58">
        <f>VLOOKUP($A134,'S46'!$C:$BQ,32,0)</f>
        <v>402</v>
      </c>
      <c r="U134" s="58">
        <f>VLOOKUP($A134,'S46'!$C:$BQ,39,0)</f>
        <v>147</v>
      </c>
      <c r="V134" s="58">
        <f>VLOOKUP($A134,'S46'!$C:$BQ,40,0)</f>
        <v>256</v>
      </c>
      <c r="W134" s="58">
        <f>VLOOKUP($A134,'S46'!$C:$BQ,22,0)</f>
        <v>4610.4986049999998</v>
      </c>
      <c r="X134" s="66">
        <f>VLOOKUP($A134,'S46'!$C:$BQ,29,0)</f>
        <v>375</v>
      </c>
      <c r="Y134" s="66">
        <f>VLOOKUP($A134,'S46'!$C:$BQ,30,0)</f>
        <v>1372</v>
      </c>
      <c r="Z134" s="66">
        <f>VLOOKUP($A134,'S46'!$C:$BQ,52,0)</f>
        <v>300.8</v>
      </c>
      <c r="AA134" s="66">
        <f>VLOOKUP($A134,'S46'!$C:$BQ,59,0)</f>
        <v>0</v>
      </c>
      <c r="AB134" s="66">
        <f>VLOOKUP($A134,'S46'!$C:$BQ,60,0)</f>
        <v>34</v>
      </c>
      <c r="AC134" s="58">
        <f>VLOOKUP($A134,'S47'!$C:$BQ,32,0)</f>
        <v>410.5</v>
      </c>
      <c r="AD134" s="58">
        <f>VLOOKUP($A134,'S47'!$C:$BQ,39,0)</f>
        <v>138</v>
      </c>
      <c r="AE134" s="58">
        <f>VLOOKUP($A134,'S47'!$C:$BQ,40,0)</f>
        <v>248</v>
      </c>
      <c r="AF134" s="58">
        <f>VLOOKUP($A134,'S47'!$C:$BQ,22,0)</f>
        <v>4702.1999249999999</v>
      </c>
      <c r="AG134" s="66">
        <f>VLOOKUP($A134,'S47'!$C:$BQ,29,0)</f>
        <v>283</v>
      </c>
      <c r="AH134" s="66">
        <f>VLOOKUP($A134,'S47'!$C:$BQ,30,0)</f>
        <v>1280</v>
      </c>
      <c r="AI134" s="66">
        <f>VLOOKUP($A134,'S47'!$C:$BQ,52,0)</f>
        <v>309.8</v>
      </c>
      <c r="AJ134" s="66">
        <f>VLOOKUP($A134,'S47'!$C:$BQ,59,0)</f>
        <v>0</v>
      </c>
      <c r="AK134" s="66">
        <f>VLOOKUP($A134,'S47'!$C:$BQ,60,0)</f>
        <v>25</v>
      </c>
      <c r="AL134" s="58" t="e">
        <f>VLOOKUP($A134,'S48'!$C:$BQ,32,0)</f>
        <v>#N/A</v>
      </c>
      <c r="AM134" s="58" t="e">
        <f>VLOOKUP($A134,'S48'!$C:$BQ,39,0)</f>
        <v>#N/A</v>
      </c>
      <c r="AN134" s="58" t="e">
        <f>VLOOKUP($A134,'S48'!$C:$BQ,40,0)</f>
        <v>#N/A</v>
      </c>
      <c r="AO134" s="58" t="e">
        <f>VLOOKUP($A134,'S48'!$C:$BQ,22,0)</f>
        <v>#N/A</v>
      </c>
      <c r="AP134" s="66" t="e">
        <f>VLOOKUP($A134,'S48'!$C:$BQ,29,0)</f>
        <v>#N/A</v>
      </c>
      <c r="AQ134" s="66" t="e">
        <f>VLOOKUP($A134,'S48'!$C:$BQ,30,0)</f>
        <v>#N/A</v>
      </c>
      <c r="AR134" s="66" t="e">
        <f>VLOOKUP($A134,'S48'!$C:$BQ,52,0)</f>
        <v>#N/A</v>
      </c>
      <c r="AS134" s="66" t="e">
        <f>VLOOKUP($A134,'S48'!$C:$BQ,59,0)</f>
        <v>#N/A</v>
      </c>
      <c r="AT134" s="66" t="e">
        <f>VLOOKUP($A134,'S48'!$C:$BQ,60,0)</f>
        <v>#N/A</v>
      </c>
      <c r="AU134" s="58" t="e">
        <f>VLOOKUP($A134,'S49'!$C:$BQ,32,0)</f>
        <v>#N/A</v>
      </c>
      <c r="AV134" s="58" t="e">
        <f>VLOOKUP($A134,'S49'!$C:$BQ,39,0)</f>
        <v>#N/A</v>
      </c>
      <c r="AW134" s="58" t="e">
        <f>VLOOKUP($A134,'S49'!$C:$BQ,40,0)</f>
        <v>#N/A</v>
      </c>
      <c r="AX134" s="58" t="e">
        <f>VLOOKUP($A134,'S49'!$C:$BQ,22,0)</f>
        <v>#N/A</v>
      </c>
      <c r="AY134" s="66" t="e">
        <f>VLOOKUP($A134,'S49'!$C:$BQ,29,0)</f>
        <v>#N/A</v>
      </c>
      <c r="AZ134" s="66" t="e">
        <f>VLOOKUP($A134,'S49'!$C:$BQ,30,0)</f>
        <v>#N/A</v>
      </c>
      <c r="BA134" s="66" t="e">
        <f>VLOOKUP($A134,'S49'!$C:$BQ,52,0)</f>
        <v>#N/A</v>
      </c>
      <c r="BB134" s="66" t="e">
        <f>VLOOKUP($A134,'S49'!$C:$BQ,59,0)</f>
        <v>#N/A</v>
      </c>
      <c r="BC134" s="66" t="e">
        <f>VLOOKUP($A134,'S49'!$C:$BQ,60,0)</f>
        <v>#N/A</v>
      </c>
      <c r="BD134" s="58" t="e">
        <f>VLOOKUP($A134,'S50'!$C:$BQ,32,0)</f>
        <v>#N/A</v>
      </c>
      <c r="BE134" s="58" t="e">
        <f>VLOOKUP($A134,'S50'!$C:$BQ,39,0)</f>
        <v>#N/A</v>
      </c>
      <c r="BF134" s="58" t="e">
        <f>VLOOKUP($A134,'S50'!$C:$BQ,40,0)</f>
        <v>#N/A</v>
      </c>
      <c r="BG134" s="58" t="e">
        <f>VLOOKUP($A134,'S50'!$C:$BQ,22,0)</f>
        <v>#N/A</v>
      </c>
      <c r="BH134" s="66" t="e">
        <f>VLOOKUP($A134,'S50'!$C:$BQ,29,0)</f>
        <v>#N/A</v>
      </c>
      <c r="BI134" s="66" t="e">
        <f>VLOOKUP($A134,'S50'!$C:$BQ,30,0)</f>
        <v>#N/A</v>
      </c>
      <c r="BJ134" s="66" t="e">
        <f>VLOOKUP($A134,'S50'!$C:$BQ,52,0)</f>
        <v>#N/A</v>
      </c>
      <c r="BK134" s="66" t="e">
        <f>VLOOKUP($A134,'S50'!$C:$BQ,59,0)</f>
        <v>#N/A</v>
      </c>
      <c r="BL134" s="66" t="e">
        <f>VLOOKUP($A134,'S50'!$C:$BQ,60,0)</f>
        <v>#N/A</v>
      </c>
    </row>
    <row r="135" spans="1:64" x14ac:dyDescent="0.2">
      <c r="A135" s="57" t="s">
        <v>198</v>
      </c>
      <c r="B135" s="58">
        <f>VLOOKUP($A135,'S0 remplacer avec S44'!$C:$BQ,32,0)</f>
        <v>255.8</v>
      </c>
      <c r="C135" s="58">
        <f>VLOOKUP($A135,'S0 remplacer avec S44'!$C:$BQ,39,0)</f>
        <v>0</v>
      </c>
      <c r="D135" s="58">
        <f>VLOOKUP($A135,'S0 remplacer avec S44'!$C:$BQ,40,0)</f>
        <v>0</v>
      </c>
      <c r="E135" s="58">
        <f>VLOOKUP($A135,'S0 remplacer avec S44'!$C:$BQ,22,0)</f>
        <v>1966.0537899999999</v>
      </c>
      <c r="F135" s="66">
        <f>VLOOKUP($A135,'S0 remplacer avec S44'!$C:$BQ,29,0)</f>
        <v>0</v>
      </c>
      <c r="G135" s="66">
        <f>VLOOKUP($A135,'S0 remplacer avec S44'!$C:$BQ,30,0)</f>
        <v>46</v>
      </c>
      <c r="H135" s="66">
        <f>VLOOKUP($A135,'S0 remplacer avec S44'!$C:$BQ,52,0)</f>
        <v>147.80000000000001</v>
      </c>
      <c r="I135" s="66">
        <f>VLOOKUP($A135,'S0 remplacer avec S44'!$C:$BQ,59,0)</f>
        <v>0</v>
      </c>
      <c r="J135" s="66">
        <f>VLOOKUP($A135,'S0 remplacer avec S44'!$C:$BQ,60,0)</f>
        <v>0</v>
      </c>
      <c r="K135" s="58">
        <f>VLOOKUP($A135,'S45'!$C:$BQ,32,0)</f>
        <v>260.8</v>
      </c>
      <c r="L135" s="58">
        <f>VLOOKUP($A135,'S45'!$C:$BQ,39,0)</f>
        <v>0</v>
      </c>
      <c r="M135" s="58">
        <f>VLOOKUP($A135,'S45'!$C:$BQ,40,0)</f>
        <v>0</v>
      </c>
      <c r="N135" s="58">
        <f>VLOOKUP($A135,'S45'!$C:$BQ,22,0)</f>
        <v>2009.7134900000001</v>
      </c>
      <c r="O135" s="66">
        <f>VLOOKUP($A135,'S45'!$C:$BQ,29,0)</f>
        <v>0</v>
      </c>
      <c r="P135" s="66">
        <f>VLOOKUP($A135,'S45'!$C:$BQ,30,0)</f>
        <v>3</v>
      </c>
      <c r="Q135" s="66">
        <f>VLOOKUP($A135,'S45'!$C:$BQ,52,0)</f>
        <v>151.80000000000001</v>
      </c>
      <c r="R135" s="66">
        <f>VLOOKUP($A135,'S45'!$C:$BQ,59,0)</f>
        <v>0</v>
      </c>
      <c r="S135" s="66">
        <f>VLOOKUP($A135,'S45'!$C:$BQ,60,0)</f>
        <v>0</v>
      </c>
      <c r="T135" s="58">
        <f>VLOOKUP($A135,'S46'!$C:$BQ,32,0)</f>
        <v>261.8</v>
      </c>
      <c r="U135" s="58">
        <f>VLOOKUP($A135,'S46'!$C:$BQ,39,0)</f>
        <v>0</v>
      </c>
      <c r="V135" s="58">
        <f>VLOOKUP($A135,'S46'!$C:$BQ,40,0)</f>
        <v>0</v>
      </c>
      <c r="W135" s="58">
        <f>VLOOKUP($A135,'S46'!$C:$BQ,22,0)</f>
        <v>2016.0512699999999</v>
      </c>
      <c r="X135" s="66">
        <f>VLOOKUP($A135,'S46'!$C:$BQ,29,0)</f>
        <v>0</v>
      </c>
      <c r="Y135" s="66">
        <f>VLOOKUP($A135,'S46'!$C:$BQ,30,0)</f>
        <v>0</v>
      </c>
      <c r="Z135" s="66">
        <f>VLOOKUP($A135,'S46'!$C:$BQ,52,0)</f>
        <v>151.80000000000001</v>
      </c>
      <c r="AA135" s="66">
        <f>VLOOKUP($A135,'S46'!$C:$BQ,59,0)</f>
        <v>0</v>
      </c>
      <c r="AB135" s="66">
        <f>VLOOKUP($A135,'S46'!$C:$BQ,60,0)</f>
        <v>0</v>
      </c>
      <c r="AC135" s="58">
        <f>VLOOKUP($A135,'S47'!$C:$BQ,32,0)</f>
        <v>265</v>
      </c>
      <c r="AD135" s="58">
        <f>VLOOKUP($A135,'S47'!$C:$BQ,39,0)</f>
        <v>0</v>
      </c>
      <c r="AE135" s="58">
        <f>VLOOKUP($A135,'S47'!$C:$BQ,40,0)</f>
        <v>0</v>
      </c>
      <c r="AF135" s="58">
        <f>VLOOKUP($A135,'S47'!$C:$BQ,22,0)</f>
        <v>2065.0716200000002</v>
      </c>
      <c r="AG135" s="66">
        <f>VLOOKUP($A135,'S47'!$C:$BQ,29,0)</f>
        <v>0</v>
      </c>
      <c r="AH135" s="66">
        <f>VLOOKUP($A135,'S47'!$C:$BQ,30,0)</f>
        <v>0</v>
      </c>
      <c r="AI135" s="66">
        <f>VLOOKUP($A135,'S47'!$C:$BQ,52,0)</f>
        <v>155.80000000000001</v>
      </c>
      <c r="AJ135" s="66">
        <f>VLOOKUP($A135,'S47'!$C:$BQ,59,0)</f>
        <v>0</v>
      </c>
      <c r="AK135" s="66">
        <f>VLOOKUP($A135,'S47'!$C:$BQ,60,0)</f>
        <v>0</v>
      </c>
      <c r="AL135" s="58" t="e">
        <f>VLOOKUP($A135,'S48'!$C:$BQ,32,0)</f>
        <v>#N/A</v>
      </c>
      <c r="AM135" s="58" t="e">
        <f>VLOOKUP($A135,'S48'!$C:$BQ,39,0)</f>
        <v>#N/A</v>
      </c>
      <c r="AN135" s="58" t="e">
        <f>VLOOKUP($A135,'S48'!$C:$BQ,40,0)</f>
        <v>#N/A</v>
      </c>
      <c r="AO135" s="58" t="e">
        <f>VLOOKUP($A135,'S48'!$C:$BQ,22,0)</f>
        <v>#N/A</v>
      </c>
      <c r="AP135" s="66" t="e">
        <f>VLOOKUP($A135,'S48'!$C:$BQ,29,0)</f>
        <v>#N/A</v>
      </c>
      <c r="AQ135" s="66" t="e">
        <f>VLOOKUP($A135,'S48'!$C:$BQ,30,0)</f>
        <v>#N/A</v>
      </c>
      <c r="AR135" s="66" t="e">
        <f>VLOOKUP($A135,'S48'!$C:$BQ,52,0)</f>
        <v>#N/A</v>
      </c>
      <c r="AS135" s="66" t="e">
        <f>VLOOKUP($A135,'S48'!$C:$BQ,59,0)</f>
        <v>#N/A</v>
      </c>
      <c r="AT135" s="66" t="e">
        <f>VLOOKUP($A135,'S48'!$C:$BQ,60,0)</f>
        <v>#N/A</v>
      </c>
      <c r="AU135" s="58" t="e">
        <f>VLOOKUP($A135,'S49'!$C:$BQ,32,0)</f>
        <v>#N/A</v>
      </c>
      <c r="AV135" s="58" t="e">
        <f>VLOOKUP($A135,'S49'!$C:$BQ,39,0)</f>
        <v>#N/A</v>
      </c>
      <c r="AW135" s="58" t="e">
        <f>VLOOKUP($A135,'S49'!$C:$BQ,40,0)</f>
        <v>#N/A</v>
      </c>
      <c r="AX135" s="58" t="e">
        <f>VLOOKUP($A135,'S49'!$C:$BQ,22,0)</f>
        <v>#N/A</v>
      </c>
      <c r="AY135" s="66" t="e">
        <f>VLOOKUP($A135,'S49'!$C:$BQ,29,0)</f>
        <v>#N/A</v>
      </c>
      <c r="AZ135" s="66" t="e">
        <f>VLOOKUP($A135,'S49'!$C:$BQ,30,0)</f>
        <v>#N/A</v>
      </c>
      <c r="BA135" s="66" t="e">
        <f>VLOOKUP($A135,'S49'!$C:$BQ,52,0)</f>
        <v>#N/A</v>
      </c>
      <c r="BB135" s="66" t="e">
        <f>VLOOKUP($A135,'S49'!$C:$BQ,59,0)</f>
        <v>#N/A</v>
      </c>
      <c r="BC135" s="66" t="e">
        <f>VLOOKUP($A135,'S49'!$C:$BQ,60,0)</f>
        <v>#N/A</v>
      </c>
      <c r="BD135" s="58" t="e">
        <f>VLOOKUP($A135,'S50'!$C:$BQ,32,0)</f>
        <v>#N/A</v>
      </c>
      <c r="BE135" s="58" t="e">
        <f>VLOOKUP($A135,'S50'!$C:$BQ,39,0)</f>
        <v>#N/A</v>
      </c>
      <c r="BF135" s="58" t="e">
        <f>VLOOKUP($A135,'S50'!$C:$BQ,40,0)</f>
        <v>#N/A</v>
      </c>
      <c r="BG135" s="58" t="e">
        <f>VLOOKUP($A135,'S50'!$C:$BQ,22,0)</f>
        <v>#N/A</v>
      </c>
      <c r="BH135" s="66" t="e">
        <f>VLOOKUP($A135,'S50'!$C:$BQ,29,0)</f>
        <v>#N/A</v>
      </c>
      <c r="BI135" s="66" t="e">
        <f>VLOOKUP($A135,'S50'!$C:$BQ,30,0)</f>
        <v>#N/A</v>
      </c>
      <c r="BJ135" s="66" t="e">
        <f>VLOOKUP($A135,'S50'!$C:$BQ,52,0)</f>
        <v>#N/A</v>
      </c>
      <c r="BK135" s="66" t="e">
        <f>VLOOKUP($A135,'S50'!$C:$BQ,59,0)</f>
        <v>#N/A</v>
      </c>
      <c r="BL135" s="66" t="e">
        <f>VLOOKUP($A135,'S50'!$C:$BQ,60,0)</f>
        <v>#N/A</v>
      </c>
    </row>
    <row r="136" spans="1:64" x14ac:dyDescent="0.2">
      <c r="A136" s="57" t="s">
        <v>199</v>
      </c>
      <c r="B136" s="58">
        <f>VLOOKUP($A136,'S0 remplacer avec S44'!$C:$BQ,32,0)</f>
        <v>277.2</v>
      </c>
      <c r="C136" s="58">
        <f>VLOOKUP($A136,'S0 remplacer avec S44'!$C:$BQ,39,0)</f>
        <v>0</v>
      </c>
      <c r="D136" s="58">
        <f>VLOOKUP($A136,'S0 remplacer avec S44'!$C:$BQ,40,0)</f>
        <v>0</v>
      </c>
      <c r="E136" s="58">
        <f>VLOOKUP($A136,'S0 remplacer avec S44'!$C:$BQ,22,0)</f>
        <v>2466.9282699999999</v>
      </c>
      <c r="F136" s="66">
        <f>VLOOKUP($A136,'S0 remplacer avec S44'!$C:$BQ,29,0)</f>
        <v>0</v>
      </c>
      <c r="G136" s="66">
        <f>VLOOKUP($A136,'S0 remplacer avec S44'!$C:$BQ,30,0)</f>
        <v>0</v>
      </c>
      <c r="H136" s="66">
        <f>VLOOKUP($A136,'S0 remplacer avec S44'!$C:$BQ,52,0)</f>
        <v>161.4</v>
      </c>
      <c r="I136" s="66">
        <f>VLOOKUP($A136,'S0 remplacer avec S44'!$C:$BQ,59,0)</f>
        <v>0</v>
      </c>
      <c r="J136" s="66">
        <f>VLOOKUP($A136,'S0 remplacer avec S44'!$C:$BQ,60,0)</f>
        <v>0</v>
      </c>
      <c r="K136" s="58">
        <f>VLOOKUP($A136,'S45'!$C:$BQ,32,0)</f>
        <v>280.7</v>
      </c>
      <c r="L136" s="58">
        <f>VLOOKUP($A136,'S45'!$C:$BQ,39,0)</f>
        <v>0</v>
      </c>
      <c r="M136" s="58">
        <f>VLOOKUP($A136,'S45'!$C:$BQ,40,0)</f>
        <v>0</v>
      </c>
      <c r="N136" s="58">
        <f>VLOOKUP($A136,'S45'!$C:$BQ,22,0)</f>
        <v>2468.7742800000001</v>
      </c>
      <c r="O136" s="66">
        <f>VLOOKUP($A136,'S45'!$C:$BQ,29,0)</f>
        <v>0</v>
      </c>
      <c r="P136" s="66">
        <f>VLOOKUP($A136,'S45'!$C:$BQ,30,0)</f>
        <v>0</v>
      </c>
      <c r="Q136" s="66">
        <f>VLOOKUP($A136,'S45'!$C:$BQ,52,0)</f>
        <v>164.4</v>
      </c>
      <c r="R136" s="66">
        <f>VLOOKUP($A136,'S45'!$C:$BQ,59,0)</f>
        <v>0</v>
      </c>
      <c r="S136" s="66">
        <f>VLOOKUP($A136,'S45'!$C:$BQ,60,0)</f>
        <v>0</v>
      </c>
      <c r="T136" s="58">
        <f>VLOOKUP($A136,'S46'!$C:$BQ,32,0)</f>
        <v>280.7</v>
      </c>
      <c r="U136" s="58">
        <f>VLOOKUP($A136,'S46'!$C:$BQ,39,0)</f>
        <v>0</v>
      </c>
      <c r="V136" s="58">
        <f>VLOOKUP($A136,'S46'!$C:$BQ,40,0)</f>
        <v>0</v>
      </c>
      <c r="W136" s="58">
        <f>VLOOKUP($A136,'S46'!$C:$BQ,22,0)</f>
        <v>2491.0676600000002</v>
      </c>
      <c r="X136" s="66">
        <f>VLOOKUP($A136,'S46'!$C:$BQ,29,0)</f>
        <v>0</v>
      </c>
      <c r="Y136" s="66">
        <f>VLOOKUP($A136,'S46'!$C:$BQ,30,0)</f>
        <v>0</v>
      </c>
      <c r="Z136" s="66">
        <f>VLOOKUP($A136,'S46'!$C:$BQ,52,0)</f>
        <v>164.4</v>
      </c>
      <c r="AA136" s="66">
        <f>VLOOKUP($A136,'S46'!$C:$BQ,59,0)</f>
        <v>0</v>
      </c>
      <c r="AB136" s="66">
        <f>VLOOKUP($A136,'S46'!$C:$BQ,60,0)</f>
        <v>0</v>
      </c>
      <c r="AC136" s="58">
        <f>VLOOKUP($A136,'S47'!$C:$BQ,32,0)</f>
        <v>282.2</v>
      </c>
      <c r="AD136" s="58">
        <f>VLOOKUP($A136,'S47'!$C:$BQ,39,0)</f>
        <v>0</v>
      </c>
      <c r="AE136" s="58">
        <f>VLOOKUP($A136,'S47'!$C:$BQ,40,0)</f>
        <v>0</v>
      </c>
      <c r="AF136" s="58">
        <f>VLOOKUP($A136,'S47'!$C:$BQ,22,0)</f>
        <v>2514.6544399999998</v>
      </c>
      <c r="AG136" s="66">
        <f>VLOOKUP($A136,'S47'!$C:$BQ,29,0)</f>
        <v>0</v>
      </c>
      <c r="AH136" s="66">
        <f>VLOOKUP($A136,'S47'!$C:$BQ,30,0)</f>
        <v>0</v>
      </c>
      <c r="AI136" s="66">
        <f>VLOOKUP($A136,'S47'!$C:$BQ,52,0)</f>
        <v>166.4</v>
      </c>
      <c r="AJ136" s="66">
        <f>VLOOKUP($A136,'S47'!$C:$BQ,59,0)</f>
        <v>0</v>
      </c>
      <c r="AK136" s="66">
        <f>VLOOKUP($A136,'S47'!$C:$BQ,60,0)</f>
        <v>0</v>
      </c>
      <c r="AL136" s="58" t="e">
        <f>VLOOKUP($A136,'S48'!$C:$BQ,32,0)</f>
        <v>#N/A</v>
      </c>
      <c r="AM136" s="58" t="e">
        <f>VLOOKUP($A136,'S48'!$C:$BQ,39,0)</f>
        <v>#N/A</v>
      </c>
      <c r="AN136" s="58" t="e">
        <f>VLOOKUP($A136,'S48'!$C:$BQ,40,0)</f>
        <v>#N/A</v>
      </c>
      <c r="AO136" s="58" t="e">
        <f>VLOOKUP($A136,'S48'!$C:$BQ,22,0)</f>
        <v>#N/A</v>
      </c>
      <c r="AP136" s="66" t="e">
        <f>VLOOKUP($A136,'S48'!$C:$BQ,29,0)</f>
        <v>#N/A</v>
      </c>
      <c r="AQ136" s="66" t="e">
        <f>VLOOKUP($A136,'S48'!$C:$BQ,30,0)</f>
        <v>#N/A</v>
      </c>
      <c r="AR136" s="66" t="e">
        <f>VLOOKUP($A136,'S48'!$C:$BQ,52,0)</f>
        <v>#N/A</v>
      </c>
      <c r="AS136" s="66" t="e">
        <f>VLOOKUP($A136,'S48'!$C:$BQ,59,0)</f>
        <v>#N/A</v>
      </c>
      <c r="AT136" s="66" t="e">
        <f>VLOOKUP($A136,'S48'!$C:$BQ,60,0)</f>
        <v>#N/A</v>
      </c>
      <c r="AU136" s="58" t="e">
        <f>VLOOKUP($A136,'S49'!$C:$BQ,32,0)</f>
        <v>#N/A</v>
      </c>
      <c r="AV136" s="58" t="e">
        <f>VLOOKUP($A136,'S49'!$C:$BQ,39,0)</f>
        <v>#N/A</v>
      </c>
      <c r="AW136" s="58" t="e">
        <f>VLOOKUP($A136,'S49'!$C:$BQ,40,0)</f>
        <v>#N/A</v>
      </c>
      <c r="AX136" s="58" t="e">
        <f>VLOOKUP($A136,'S49'!$C:$BQ,22,0)</f>
        <v>#N/A</v>
      </c>
      <c r="AY136" s="66" t="e">
        <f>VLOOKUP($A136,'S49'!$C:$BQ,29,0)</f>
        <v>#N/A</v>
      </c>
      <c r="AZ136" s="66" t="e">
        <f>VLOOKUP($A136,'S49'!$C:$BQ,30,0)</f>
        <v>#N/A</v>
      </c>
      <c r="BA136" s="66" t="e">
        <f>VLOOKUP($A136,'S49'!$C:$BQ,52,0)</f>
        <v>#N/A</v>
      </c>
      <c r="BB136" s="66" t="e">
        <f>VLOOKUP($A136,'S49'!$C:$BQ,59,0)</f>
        <v>#N/A</v>
      </c>
      <c r="BC136" s="66" t="e">
        <f>VLOOKUP($A136,'S49'!$C:$BQ,60,0)</f>
        <v>#N/A</v>
      </c>
      <c r="BD136" s="58" t="e">
        <f>VLOOKUP($A136,'S50'!$C:$BQ,32,0)</f>
        <v>#N/A</v>
      </c>
      <c r="BE136" s="58" t="e">
        <f>VLOOKUP($A136,'S50'!$C:$BQ,39,0)</f>
        <v>#N/A</v>
      </c>
      <c r="BF136" s="58" t="e">
        <f>VLOOKUP($A136,'S50'!$C:$BQ,40,0)</f>
        <v>#N/A</v>
      </c>
      <c r="BG136" s="58" t="e">
        <f>VLOOKUP($A136,'S50'!$C:$BQ,22,0)</f>
        <v>#N/A</v>
      </c>
      <c r="BH136" s="66" t="e">
        <f>VLOOKUP($A136,'S50'!$C:$BQ,29,0)</f>
        <v>#N/A</v>
      </c>
      <c r="BI136" s="66" t="e">
        <f>VLOOKUP($A136,'S50'!$C:$BQ,30,0)</f>
        <v>#N/A</v>
      </c>
      <c r="BJ136" s="66" t="e">
        <f>VLOOKUP($A136,'S50'!$C:$BQ,52,0)</f>
        <v>#N/A</v>
      </c>
      <c r="BK136" s="66" t="e">
        <f>VLOOKUP($A136,'S50'!$C:$BQ,59,0)</f>
        <v>#N/A</v>
      </c>
      <c r="BL136" s="66" t="e">
        <f>VLOOKUP($A136,'S50'!$C:$BQ,60,0)</f>
        <v>#N/A</v>
      </c>
    </row>
    <row r="137" spans="1:64" x14ac:dyDescent="0.2">
      <c r="A137" s="57" t="s">
        <v>200</v>
      </c>
      <c r="B137" s="58">
        <f>VLOOKUP($A137,'S0 remplacer avec S44'!$C:$BQ,32,0)</f>
        <v>51.6</v>
      </c>
      <c r="C137" s="58">
        <f>VLOOKUP($A137,'S0 remplacer avec S44'!$C:$BQ,39,0)</f>
        <v>0</v>
      </c>
      <c r="D137" s="58">
        <f>VLOOKUP($A137,'S0 remplacer avec S44'!$C:$BQ,40,0)</f>
        <v>0</v>
      </c>
      <c r="E137" s="58">
        <f>VLOOKUP($A137,'S0 remplacer avec S44'!$C:$BQ,22,0)</f>
        <v>389.79370999999998</v>
      </c>
      <c r="F137" s="66">
        <f>VLOOKUP($A137,'S0 remplacer avec S44'!$C:$BQ,29,0)</f>
        <v>0</v>
      </c>
      <c r="G137" s="66">
        <f>VLOOKUP($A137,'S0 remplacer avec S44'!$C:$BQ,30,0)</f>
        <v>40</v>
      </c>
      <c r="H137" s="66">
        <f>VLOOKUP($A137,'S0 remplacer avec S44'!$C:$BQ,52,0)</f>
        <v>26.2</v>
      </c>
      <c r="I137" s="66">
        <f>VLOOKUP($A137,'S0 remplacer avec S44'!$C:$BQ,59,0)</f>
        <v>0</v>
      </c>
      <c r="J137" s="66">
        <f>VLOOKUP($A137,'S0 remplacer avec S44'!$C:$BQ,60,0)</f>
        <v>0</v>
      </c>
      <c r="K137" s="58">
        <f>VLOOKUP($A137,'S45'!$C:$BQ,32,0)</f>
        <v>51.6</v>
      </c>
      <c r="L137" s="58">
        <f>VLOOKUP($A137,'S45'!$C:$BQ,39,0)</f>
        <v>0</v>
      </c>
      <c r="M137" s="58">
        <f>VLOOKUP($A137,'S45'!$C:$BQ,40,0)</f>
        <v>0</v>
      </c>
      <c r="N137" s="58">
        <f>VLOOKUP($A137,'S45'!$C:$BQ,22,0)</f>
        <v>389.79370999999998</v>
      </c>
      <c r="O137" s="66">
        <f>VLOOKUP($A137,'S45'!$C:$BQ,29,0)</f>
        <v>0</v>
      </c>
      <c r="P137" s="66">
        <f>VLOOKUP($A137,'S45'!$C:$BQ,30,0)</f>
        <v>40</v>
      </c>
      <c r="Q137" s="66">
        <f>VLOOKUP($A137,'S45'!$C:$BQ,52,0)</f>
        <v>26.2</v>
      </c>
      <c r="R137" s="66">
        <f>VLOOKUP($A137,'S45'!$C:$BQ,59,0)</f>
        <v>0</v>
      </c>
      <c r="S137" s="66">
        <f>VLOOKUP($A137,'S45'!$C:$BQ,60,0)</f>
        <v>0</v>
      </c>
      <c r="T137" s="58">
        <f>VLOOKUP($A137,'S46'!$C:$BQ,32,0)</f>
        <v>51.6</v>
      </c>
      <c r="U137" s="58">
        <f>VLOOKUP($A137,'S46'!$C:$BQ,39,0)</f>
        <v>0</v>
      </c>
      <c r="V137" s="58">
        <f>VLOOKUP($A137,'S46'!$C:$BQ,40,0)</f>
        <v>0</v>
      </c>
      <c r="W137" s="58">
        <f>VLOOKUP($A137,'S46'!$C:$BQ,22,0)</f>
        <v>389.79370999999998</v>
      </c>
      <c r="X137" s="66">
        <f>VLOOKUP($A137,'S46'!$C:$BQ,29,0)</f>
        <v>0</v>
      </c>
      <c r="Y137" s="66">
        <f>VLOOKUP($A137,'S46'!$C:$BQ,30,0)</f>
        <v>40</v>
      </c>
      <c r="Z137" s="66">
        <f>VLOOKUP($A137,'S46'!$C:$BQ,52,0)</f>
        <v>26.2</v>
      </c>
      <c r="AA137" s="66">
        <f>VLOOKUP($A137,'S46'!$C:$BQ,59,0)</f>
        <v>0</v>
      </c>
      <c r="AB137" s="66">
        <f>VLOOKUP($A137,'S46'!$C:$BQ,60,0)</f>
        <v>0</v>
      </c>
      <c r="AC137" s="58">
        <f>VLOOKUP($A137,'S47'!$C:$BQ,32,0)</f>
        <v>51.6</v>
      </c>
      <c r="AD137" s="58">
        <f>VLOOKUP($A137,'S47'!$C:$BQ,39,0)</f>
        <v>0</v>
      </c>
      <c r="AE137" s="58">
        <f>VLOOKUP($A137,'S47'!$C:$BQ,40,0)</f>
        <v>0</v>
      </c>
      <c r="AF137" s="58">
        <f>VLOOKUP($A137,'S47'!$C:$BQ,22,0)</f>
        <v>389.79370999999998</v>
      </c>
      <c r="AG137" s="66">
        <f>VLOOKUP($A137,'S47'!$C:$BQ,29,0)</f>
        <v>0</v>
      </c>
      <c r="AH137" s="66">
        <f>VLOOKUP($A137,'S47'!$C:$BQ,30,0)</f>
        <v>40</v>
      </c>
      <c r="AI137" s="66">
        <f>VLOOKUP($A137,'S47'!$C:$BQ,52,0)</f>
        <v>26.2</v>
      </c>
      <c r="AJ137" s="66">
        <f>VLOOKUP($A137,'S47'!$C:$BQ,59,0)</f>
        <v>0</v>
      </c>
      <c r="AK137" s="66">
        <f>VLOOKUP($A137,'S47'!$C:$BQ,60,0)</f>
        <v>0</v>
      </c>
      <c r="AL137" s="58" t="e">
        <f>VLOOKUP($A137,'S48'!$C:$BQ,32,0)</f>
        <v>#N/A</v>
      </c>
      <c r="AM137" s="58" t="e">
        <f>VLOOKUP($A137,'S48'!$C:$BQ,39,0)</f>
        <v>#N/A</v>
      </c>
      <c r="AN137" s="58" t="e">
        <f>VLOOKUP($A137,'S48'!$C:$BQ,40,0)</f>
        <v>#N/A</v>
      </c>
      <c r="AO137" s="58" t="e">
        <f>VLOOKUP($A137,'S48'!$C:$BQ,22,0)</f>
        <v>#N/A</v>
      </c>
      <c r="AP137" s="66" t="e">
        <f>VLOOKUP($A137,'S48'!$C:$BQ,29,0)</f>
        <v>#N/A</v>
      </c>
      <c r="AQ137" s="66" t="e">
        <f>VLOOKUP($A137,'S48'!$C:$BQ,30,0)</f>
        <v>#N/A</v>
      </c>
      <c r="AR137" s="66" t="e">
        <f>VLOOKUP($A137,'S48'!$C:$BQ,52,0)</f>
        <v>#N/A</v>
      </c>
      <c r="AS137" s="66" t="e">
        <f>VLOOKUP($A137,'S48'!$C:$BQ,59,0)</f>
        <v>#N/A</v>
      </c>
      <c r="AT137" s="66" t="e">
        <f>VLOOKUP($A137,'S48'!$C:$BQ,60,0)</f>
        <v>#N/A</v>
      </c>
      <c r="AU137" s="58" t="e">
        <f>VLOOKUP($A137,'S49'!$C:$BQ,32,0)</f>
        <v>#N/A</v>
      </c>
      <c r="AV137" s="58" t="e">
        <f>VLOOKUP($A137,'S49'!$C:$BQ,39,0)</f>
        <v>#N/A</v>
      </c>
      <c r="AW137" s="58" t="e">
        <f>VLOOKUP($A137,'S49'!$C:$BQ,40,0)</f>
        <v>#N/A</v>
      </c>
      <c r="AX137" s="58" t="e">
        <f>VLOOKUP($A137,'S49'!$C:$BQ,22,0)</f>
        <v>#N/A</v>
      </c>
      <c r="AY137" s="66" t="e">
        <f>VLOOKUP($A137,'S49'!$C:$BQ,29,0)</f>
        <v>#N/A</v>
      </c>
      <c r="AZ137" s="66" t="e">
        <f>VLOOKUP($A137,'S49'!$C:$BQ,30,0)</f>
        <v>#N/A</v>
      </c>
      <c r="BA137" s="66" t="e">
        <f>VLOOKUP($A137,'S49'!$C:$BQ,52,0)</f>
        <v>#N/A</v>
      </c>
      <c r="BB137" s="66" t="e">
        <f>VLOOKUP($A137,'S49'!$C:$BQ,59,0)</f>
        <v>#N/A</v>
      </c>
      <c r="BC137" s="66" t="e">
        <f>VLOOKUP($A137,'S49'!$C:$BQ,60,0)</f>
        <v>#N/A</v>
      </c>
      <c r="BD137" s="58" t="e">
        <f>VLOOKUP($A137,'S50'!$C:$BQ,32,0)</f>
        <v>#N/A</v>
      </c>
      <c r="BE137" s="58" t="e">
        <f>VLOOKUP($A137,'S50'!$C:$BQ,39,0)</f>
        <v>#N/A</v>
      </c>
      <c r="BF137" s="58" t="e">
        <f>VLOOKUP($A137,'S50'!$C:$BQ,40,0)</f>
        <v>#N/A</v>
      </c>
      <c r="BG137" s="58" t="e">
        <f>VLOOKUP($A137,'S50'!$C:$BQ,22,0)</f>
        <v>#N/A</v>
      </c>
      <c r="BH137" s="66" t="e">
        <f>VLOOKUP($A137,'S50'!$C:$BQ,29,0)</f>
        <v>#N/A</v>
      </c>
      <c r="BI137" s="66" t="e">
        <f>VLOOKUP($A137,'S50'!$C:$BQ,30,0)</f>
        <v>#N/A</v>
      </c>
      <c r="BJ137" s="66" t="e">
        <f>VLOOKUP($A137,'S50'!$C:$BQ,52,0)</f>
        <v>#N/A</v>
      </c>
      <c r="BK137" s="66" t="e">
        <f>VLOOKUP($A137,'S50'!$C:$BQ,59,0)</f>
        <v>#N/A</v>
      </c>
      <c r="BL137" s="66" t="e">
        <f>VLOOKUP($A137,'S50'!$C:$BQ,60,0)</f>
        <v>#N/A</v>
      </c>
    </row>
    <row r="138" spans="1:64" x14ac:dyDescent="0.2">
      <c r="A138" s="57" t="s">
        <v>202</v>
      </c>
      <c r="B138" s="58">
        <f>VLOOKUP($A138,'S0 remplacer avec S44'!$C:$BQ,32,0)</f>
        <v>171.95</v>
      </c>
      <c r="C138" s="58">
        <f>VLOOKUP($A138,'S0 remplacer avec S44'!$C:$BQ,39,0)</f>
        <v>0</v>
      </c>
      <c r="D138" s="58">
        <f>VLOOKUP($A138,'S0 remplacer avec S44'!$C:$BQ,40,0)</f>
        <v>33</v>
      </c>
      <c r="E138" s="58">
        <f>VLOOKUP($A138,'S0 remplacer avec S44'!$C:$BQ,22,0)</f>
        <v>1826.08158</v>
      </c>
      <c r="F138" s="66">
        <f>VLOOKUP($A138,'S0 remplacer avec S44'!$C:$BQ,29,0)</f>
        <v>0</v>
      </c>
      <c r="G138" s="66">
        <f>VLOOKUP($A138,'S0 remplacer avec S44'!$C:$BQ,30,0)</f>
        <v>36</v>
      </c>
      <c r="H138" s="66">
        <f>VLOOKUP($A138,'S0 remplacer avec S44'!$C:$BQ,52,0)</f>
        <v>137.4</v>
      </c>
      <c r="I138" s="66">
        <f>VLOOKUP($A138,'S0 remplacer avec S44'!$C:$BQ,59,0)</f>
        <v>0</v>
      </c>
      <c r="J138" s="66">
        <f>VLOOKUP($A138,'S0 remplacer avec S44'!$C:$BQ,60,0)</f>
        <v>0</v>
      </c>
      <c r="K138" s="58">
        <f>VLOOKUP($A138,'S45'!$C:$BQ,32,0)</f>
        <v>178.95</v>
      </c>
      <c r="L138" s="58">
        <f>VLOOKUP($A138,'S45'!$C:$BQ,39,0)</f>
        <v>0</v>
      </c>
      <c r="M138" s="58">
        <f>VLOOKUP($A138,'S45'!$C:$BQ,40,0)</f>
        <v>26</v>
      </c>
      <c r="N138" s="58">
        <f>VLOOKUP($A138,'S45'!$C:$BQ,22,0)</f>
        <v>1851.3474900000001</v>
      </c>
      <c r="O138" s="66">
        <f>VLOOKUP($A138,'S45'!$C:$BQ,29,0)</f>
        <v>0</v>
      </c>
      <c r="P138" s="66">
        <f>VLOOKUP($A138,'S45'!$C:$BQ,30,0)</f>
        <v>10</v>
      </c>
      <c r="Q138" s="66">
        <f>VLOOKUP($A138,'S45'!$C:$BQ,52,0)</f>
        <v>140.4</v>
      </c>
      <c r="R138" s="66">
        <f>VLOOKUP($A138,'S45'!$C:$BQ,59,0)</f>
        <v>0</v>
      </c>
      <c r="S138" s="66">
        <f>VLOOKUP($A138,'S45'!$C:$BQ,60,0)</f>
        <v>0</v>
      </c>
      <c r="T138" s="58">
        <f>VLOOKUP($A138,'S46'!$C:$BQ,32,0)</f>
        <v>180.95</v>
      </c>
      <c r="U138" s="58">
        <f>VLOOKUP($A138,'S46'!$C:$BQ,39,0)</f>
        <v>0</v>
      </c>
      <c r="V138" s="58">
        <f>VLOOKUP($A138,'S46'!$C:$BQ,40,0)</f>
        <v>24</v>
      </c>
      <c r="W138" s="58">
        <f>VLOOKUP($A138,'S46'!$C:$BQ,22,0)</f>
        <v>1870.1538399999999</v>
      </c>
      <c r="X138" s="66">
        <f>VLOOKUP($A138,'S46'!$C:$BQ,29,0)</f>
        <v>0</v>
      </c>
      <c r="Y138" s="66">
        <f>VLOOKUP($A138,'S46'!$C:$BQ,30,0)</f>
        <v>0</v>
      </c>
      <c r="Z138" s="66">
        <f>VLOOKUP($A138,'S46'!$C:$BQ,52,0)</f>
        <v>142.4</v>
      </c>
      <c r="AA138" s="66">
        <f>VLOOKUP($A138,'S46'!$C:$BQ,59,0)</f>
        <v>0</v>
      </c>
      <c r="AB138" s="66">
        <f>VLOOKUP($A138,'S46'!$C:$BQ,60,0)</f>
        <v>0</v>
      </c>
      <c r="AC138" s="58">
        <f>VLOOKUP($A138,'S47'!$C:$BQ,32,0)</f>
        <v>194.45</v>
      </c>
      <c r="AD138" s="58">
        <f>VLOOKUP($A138,'S47'!$C:$BQ,39,0)</f>
        <v>0</v>
      </c>
      <c r="AE138" s="58">
        <f>VLOOKUP($A138,'S47'!$C:$BQ,40,0)</f>
        <v>11</v>
      </c>
      <c r="AF138" s="58">
        <f>VLOOKUP($A138,'S47'!$C:$BQ,22,0)</f>
        <v>1910.87799</v>
      </c>
      <c r="AG138" s="66">
        <f>VLOOKUP($A138,'S47'!$C:$BQ,29,0)</f>
        <v>0</v>
      </c>
      <c r="AH138" s="66">
        <f>VLOOKUP($A138,'S47'!$C:$BQ,30,0)</f>
        <v>0</v>
      </c>
      <c r="AI138" s="66">
        <f>VLOOKUP($A138,'S47'!$C:$BQ,52,0)</f>
        <v>145.4</v>
      </c>
      <c r="AJ138" s="66">
        <f>VLOOKUP($A138,'S47'!$C:$BQ,59,0)</f>
        <v>0</v>
      </c>
      <c r="AK138" s="66">
        <f>VLOOKUP($A138,'S47'!$C:$BQ,60,0)</f>
        <v>0</v>
      </c>
      <c r="AL138" s="58" t="e">
        <f>VLOOKUP($A138,'S48'!$C:$BQ,32,0)</f>
        <v>#N/A</v>
      </c>
      <c r="AM138" s="58" t="e">
        <f>VLOOKUP($A138,'S48'!$C:$BQ,39,0)</f>
        <v>#N/A</v>
      </c>
      <c r="AN138" s="58" t="e">
        <f>VLOOKUP($A138,'S48'!$C:$BQ,40,0)</f>
        <v>#N/A</v>
      </c>
      <c r="AO138" s="58" t="e">
        <f>VLOOKUP($A138,'S48'!$C:$BQ,22,0)</f>
        <v>#N/A</v>
      </c>
      <c r="AP138" s="66" t="e">
        <f>VLOOKUP($A138,'S48'!$C:$BQ,29,0)</f>
        <v>#N/A</v>
      </c>
      <c r="AQ138" s="66" t="e">
        <f>VLOOKUP($A138,'S48'!$C:$BQ,30,0)</f>
        <v>#N/A</v>
      </c>
      <c r="AR138" s="66" t="e">
        <f>VLOOKUP($A138,'S48'!$C:$BQ,52,0)</f>
        <v>#N/A</v>
      </c>
      <c r="AS138" s="66" t="e">
        <f>VLOOKUP($A138,'S48'!$C:$BQ,59,0)</f>
        <v>#N/A</v>
      </c>
      <c r="AT138" s="66" t="e">
        <f>VLOOKUP($A138,'S48'!$C:$BQ,60,0)</f>
        <v>#N/A</v>
      </c>
      <c r="AU138" s="58" t="e">
        <f>VLOOKUP($A138,'S49'!$C:$BQ,32,0)</f>
        <v>#N/A</v>
      </c>
      <c r="AV138" s="58" t="e">
        <f>VLOOKUP($A138,'S49'!$C:$BQ,39,0)</f>
        <v>#N/A</v>
      </c>
      <c r="AW138" s="58" t="e">
        <f>VLOOKUP($A138,'S49'!$C:$BQ,40,0)</f>
        <v>#N/A</v>
      </c>
      <c r="AX138" s="58" t="e">
        <f>VLOOKUP($A138,'S49'!$C:$BQ,22,0)</f>
        <v>#N/A</v>
      </c>
      <c r="AY138" s="66" t="e">
        <f>VLOOKUP($A138,'S49'!$C:$BQ,29,0)</f>
        <v>#N/A</v>
      </c>
      <c r="AZ138" s="66" t="e">
        <f>VLOOKUP($A138,'S49'!$C:$BQ,30,0)</f>
        <v>#N/A</v>
      </c>
      <c r="BA138" s="66" t="e">
        <f>VLOOKUP($A138,'S49'!$C:$BQ,52,0)</f>
        <v>#N/A</v>
      </c>
      <c r="BB138" s="66" t="e">
        <f>VLOOKUP($A138,'S49'!$C:$BQ,59,0)</f>
        <v>#N/A</v>
      </c>
      <c r="BC138" s="66" t="e">
        <f>VLOOKUP($A138,'S49'!$C:$BQ,60,0)</f>
        <v>#N/A</v>
      </c>
      <c r="BD138" s="58" t="e">
        <f>VLOOKUP($A138,'S50'!$C:$BQ,32,0)</f>
        <v>#N/A</v>
      </c>
      <c r="BE138" s="58" t="e">
        <f>VLOOKUP($A138,'S50'!$C:$BQ,39,0)</f>
        <v>#N/A</v>
      </c>
      <c r="BF138" s="58" t="e">
        <f>VLOOKUP($A138,'S50'!$C:$BQ,40,0)</f>
        <v>#N/A</v>
      </c>
      <c r="BG138" s="58" t="e">
        <f>VLOOKUP($A138,'S50'!$C:$BQ,22,0)</f>
        <v>#N/A</v>
      </c>
      <c r="BH138" s="66" t="e">
        <f>VLOOKUP($A138,'S50'!$C:$BQ,29,0)</f>
        <v>#N/A</v>
      </c>
      <c r="BI138" s="66" t="e">
        <f>VLOOKUP($A138,'S50'!$C:$BQ,30,0)</f>
        <v>#N/A</v>
      </c>
      <c r="BJ138" s="66" t="e">
        <f>VLOOKUP($A138,'S50'!$C:$BQ,52,0)</f>
        <v>#N/A</v>
      </c>
      <c r="BK138" s="66" t="e">
        <f>VLOOKUP($A138,'S50'!$C:$BQ,59,0)</f>
        <v>#N/A</v>
      </c>
      <c r="BL138" s="66" t="e">
        <f>VLOOKUP($A138,'S50'!$C:$BQ,60,0)</f>
        <v>#N/A</v>
      </c>
    </row>
    <row r="139" spans="1:64" x14ac:dyDescent="0.2">
      <c r="A139" s="57" t="s">
        <v>203</v>
      </c>
      <c r="B139" s="58">
        <f>VLOOKUP($A139,'S0 remplacer avec S44'!$C:$BQ,32,0)</f>
        <v>213.2</v>
      </c>
      <c r="C139" s="58">
        <f>VLOOKUP($A139,'S0 remplacer avec S44'!$C:$BQ,39,0)</f>
        <v>0</v>
      </c>
      <c r="D139" s="58">
        <f>VLOOKUP($A139,'S0 remplacer avec S44'!$C:$BQ,40,0)</f>
        <v>13</v>
      </c>
      <c r="E139" s="58">
        <f>VLOOKUP($A139,'S0 remplacer avec S44'!$C:$BQ,22,0)</f>
        <v>1998.3595800000001</v>
      </c>
      <c r="F139" s="66">
        <f>VLOOKUP($A139,'S0 remplacer avec S44'!$C:$BQ,29,0)</f>
        <v>0</v>
      </c>
      <c r="G139" s="66">
        <f>VLOOKUP($A139,'S0 remplacer avec S44'!$C:$BQ,30,0)</f>
        <v>58</v>
      </c>
      <c r="H139" s="66">
        <f>VLOOKUP($A139,'S0 remplacer avec S44'!$C:$BQ,52,0)</f>
        <v>130.80000000000001</v>
      </c>
      <c r="I139" s="66">
        <f>VLOOKUP($A139,'S0 remplacer avec S44'!$C:$BQ,59,0)</f>
        <v>0</v>
      </c>
      <c r="J139" s="66">
        <f>VLOOKUP($A139,'S0 remplacer avec S44'!$C:$BQ,60,0)</f>
        <v>0</v>
      </c>
      <c r="K139" s="58">
        <f>VLOOKUP($A139,'S45'!$C:$BQ,32,0)</f>
        <v>214.7</v>
      </c>
      <c r="L139" s="58">
        <f>VLOOKUP($A139,'S45'!$C:$BQ,39,0)</f>
        <v>0</v>
      </c>
      <c r="M139" s="58">
        <f>VLOOKUP($A139,'S45'!$C:$BQ,40,0)</f>
        <v>12</v>
      </c>
      <c r="N139" s="58">
        <f>VLOOKUP($A139,'S45'!$C:$BQ,22,0)</f>
        <v>2022.49756</v>
      </c>
      <c r="O139" s="66">
        <f>VLOOKUP($A139,'S45'!$C:$BQ,29,0)</f>
        <v>0</v>
      </c>
      <c r="P139" s="66">
        <f>VLOOKUP($A139,'S45'!$C:$BQ,30,0)</f>
        <v>34</v>
      </c>
      <c r="Q139" s="66">
        <f>VLOOKUP($A139,'S45'!$C:$BQ,52,0)</f>
        <v>134.80000000000001</v>
      </c>
      <c r="R139" s="66">
        <f>VLOOKUP($A139,'S45'!$C:$BQ,59,0)</f>
        <v>0</v>
      </c>
      <c r="S139" s="66">
        <f>VLOOKUP($A139,'S45'!$C:$BQ,60,0)</f>
        <v>0</v>
      </c>
      <c r="T139" s="58">
        <f>VLOOKUP($A139,'S46'!$C:$BQ,32,0)</f>
        <v>218.2</v>
      </c>
      <c r="U139" s="58">
        <f>VLOOKUP($A139,'S46'!$C:$BQ,39,0)</f>
        <v>0</v>
      </c>
      <c r="V139" s="58">
        <f>VLOOKUP($A139,'S46'!$C:$BQ,40,0)</f>
        <v>8</v>
      </c>
      <c r="W139" s="58">
        <f>VLOOKUP($A139,'S46'!$C:$BQ,22,0)</f>
        <v>2043.66543</v>
      </c>
      <c r="X139" s="66">
        <f>VLOOKUP($A139,'S46'!$C:$BQ,29,0)</f>
        <v>0</v>
      </c>
      <c r="Y139" s="66">
        <f>VLOOKUP($A139,'S46'!$C:$BQ,30,0)</f>
        <v>12</v>
      </c>
      <c r="Z139" s="66">
        <f>VLOOKUP($A139,'S46'!$C:$BQ,52,0)</f>
        <v>136.80000000000001</v>
      </c>
      <c r="AA139" s="66">
        <f>VLOOKUP($A139,'S46'!$C:$BQ,59,0)</f>
        <v>0</v>
      </c>
      <c r="AB139" s="66">
        <f>VLOOKUP($A139,'S46'!$C:$BQ,60,0)</f>
        <v>0</v>
      </c>
      <c r="AC139" s="58">
        <f>VLOOKUP($A139,'S47'!$C:$BQ,32,0)</f>
        <v>222.2</v>
      </c>
      <c r="AD139" s="58">
        <f>VLOOKUP($A139,'S47'!$C:$BQ,39,0)</f>
        <v>0</v>
      </c>
      <c r="AE139" s="58">
        <f>VLOOKUP($A139,'S47'!$C:$BQ,40,0)</f>
        <v>4</v>
      </c>
      <c r="AF139" s="58">
        <f>VLOOKUP($A139,'S47'!$C:$BQ,22,0)</f>
        <v>2070.3073599999998</v>
      </c>
      <c r="AG139" s="66">
        <f>VLOOKUP($A139,'S47'!$C:$BQ,29,0)</f>
        <v>0</v>
      </c>
      <c r="AH139" s="66">
        <f>VLOOKUP($A139,'S47'!$C:$BQ,30,0)</f>
        <v>0</v>
      </c>
      <c r="AI139" s="66">
        <f>VLOOKUP($A139,'S47'!$C:$BQ,52,0)</f>
        <v>140.80000000000001</v>
      </c>
      <c r="AJ139" s="66">
        <f>VLOOKUP($A139,'S47'!$C:$BQ,59,0)</f>
        <v>0</v>
      </c>
      <c r="AK139" s="66">
        <f>VLOOKUP($A139,'S47'!$C:$BQ,60,0)</f>
        <v>0</v>
      </c>
      <c r="AL139" s="58" t="e">
        <f>VLOOKUP($A139,'S48'!$C:$BQ,32,0)</f>
        <v>#N/A</v>
      </c>
      <c r="AM139" s="58" t="e">
        <f>VLOOKUP($A139,'S48'!$C:$BQ,39,0)</f>
        <v>#N/A</v>
      </c>
      <c r="AN139" s="58" t="e">
        <f>VLOOKUP($A139,'S48'!$C:$BQ,40,0)</f>
        <v>#N/A</v>
      </c>
      <c r="AO139" s="58" t="e">
        <f>VLOOKUP($A139,'S48'!$C:$BQ,22,0)</f>
        <v>#N/A</v>
      </c>
      <c r="AP139" s="66" t="e">
        <f>VLOOKUP($A139,'S48'!$C:$BQ,29,0)</f>
        <v>#N/A</v>
      </c>
      <c r="AQ139" s="66" t="e">
        <f>VLOOKUP($A139,'S48'!$C:$BQ,30,0)</f>
        <v>#N/A</v>
      </c>
      <c r="AR139" s="66" t="e">
        <f>VLOOKUP($A139,'S48'!$C:$BQ,52,0)</f>
        <v>#N/A</v>
      </c>
      <c r="AS139" s="66" t="e">
        <f>VLOOKUP($A139,'S48'!$C:$BQ,59,0)</f>
        <v>#N/A</v>
      </c>
      <c r="AT139" s="66" t="e">
        <f>VLOOKUP($A139,'S48'!$C:$BQ,60,0)</f>
        <v>#N/A</v>
      </c>
      <c r="AU139" s="58" t="e">
        <f>VLOOKUP($A139,'S49'!$C:$BQ,32,0)</f>
        <v>#N/A</v>
      </c>
      <c r="AV139" s="58" t="e">
        <f>VLOOKUP($A139,'S49'!$C:$BQ,39,0)</f>
        <v>#N/A</v>
      </c>
      <c r="AW139" s="58" t="e">
        <f>VLOOKUP($A139,'S49'!$C:$BQ,40,0)</f>
        <v>#N/A</v>
      </c>
      <c r="AX139" s="58" t="e">
        <f>VLOOKUP($A139,'S49'!$C:$BQ,22,0)</f>
        <v>#N/A</v>
      </c>
      <c r="AY139" s="66" t="e">
        <f>VLOOKUP($A139,'S49'!$C:$BQ,29,0)</f>
        <v>#N/A</v>
      </c>
      <c r="AZ139" s="66" t="e">
        <f>VLOOKUP($A139,'S49'!$C:$BQ,30,0)</f>
        <v>#N/A</v>
      </c>
      <c r="BA139" s="66" t="e">
        <f>VLOOKUP($A139,'S49'!$C:$BQ,52,0)</f>
        <v>#N/A</v>
      </c>
      <c r="BB139" s="66" t="e">
        <f>VLOOKUP($A139,'S49'!$C:$BQ,59,0)</f>
        <v>#N/A</v>
      </c>
      <c r="BC139" s="66" t="e">
        <f>VLOOKUP($A139,'S49'!$C:$BQ,60,0)</f>
        <v>#N/A</v>
      </c>
      <c r="BD139" s="58" t="e">
        <f>VLOOKUP($A139,'S50'!$C:$BQ,32,0)</f>
        <v>#N/A</v>
      </c>
      <c r="BE139" s="58" t="e">
        <f>VLOOKUP($A139,'S50'!$C:$BQ,39,0)</f>
        <v>#N/A</v>
      </c>
      <c r="BF139" s="58" t="e">
        <f>VLOOKUP($A139,'S50'!$C:$BQ,40,0)</f>
        <v>#N/A</v>
      </c>
      <c r="BG139" s="58" t="e">
        <f>VLOOKUP($A139,'S50'!$C:$BQ,22,0)</f>
        <v>#N/A</v>
      </c>
      <c r="BH139" s="66" t="e">
        <f>VLOOKUP($A139,'S50'!$C:$BQ,29,0)</f>
        <v>#N/A</v>
      </c>
      <c r="BI139" s="66" t="e">
        <f>VLOOKUP($A139,'S50'!$C:$BQ,30,0)</f>
        <v>#N/A</v>
      </c>
      <c r="BJ139" s="66" t="e">
        <f>VLOOKUP($A139,'S50'!$C:$BQ,52,0)</f>
        <v>#N/A</v>
      </c>
      <c r="BK139" s="66" t="e">
        <f>VLOOKUP($A139,'S50'!$C:$BQ,59,0)</f>
        <v>#N/A</v>
      </c>
      <c r="BL139" s="66" t="e">
        <f>VLOOKUP($A139,'S50'!$C:$BQ,60,0)</f>
        <v>#N/A</v>
      </c>
    </row>
    <row r="140" spans="1:64" x14ac:dyDescent="0.2">
      <c r="A140" s="57" t="s">
        <v>204</v>
      </c>
      <c r="B140" s="58">
        <f>VLOOKUP($A140,'S0 remplacer avec S44'!$C:$BQ,32,0)</f>
        <v>155.5</v>
      </c>
      <c r="C140" s="58">
        <f>VLOOKUP($A140,'S0 remplacer avec S44'!$C:$BQ,39,0)</f>
        <v>29</v>
      </c>
      <c r="D140" s="58">
        <f>VLOOKUP($A140,'S0 remplacer avec S44'!$C:$BQ,40,0)</f>
        <v>66</v>
      </c>
      <c r="E140" s="58">
        <f>VLOOKUP($A140,'S0 remplacer avec S44'!$C:$BQ,22,0)</f>
        <v>2261.97957</v>
      </c>
      <c r="F140" s="66">
        <f>VLOOKUP($A140,'S0 remplacer avec S44'!$C:$BQ,29,0)</f>
        <v>0</v>
      </c>
      <c r="G140" s="66">
        <f>VLOOKUP($A140,'S0 remplacer avec S44'!$C:$BQ,30,0)</f>
        <v>0</v>
      </c>
      <c r="H140" s="66">
        <f>VLOOKUP($A140,'S0 remplacer avec S44'!$C:$BQ,52,0)</f>
        <v>154</v>
      </c>
      <c r="I140" s="66">
        <f>VLOOKUP($A140,'S0 remplacer avec S44'!$C:$BQ,59,0)</f>
        <v>0</v>
      </c>
      <c r="J140" s="66">
        <f>VLOOKUP($A140,'S0 remplacer avec S44'!$C:$BQ,60,0)</f>
        <v>0</v>
      </c>
      <c r="K140" s="58">
        <f>VLOOKUP($A140,'S45'!$C:$BQ,32,0)</f>
        <v>157.5</v>
      </c>
      <c r="L140" s="58">
        <f>VLOOKUP($A140,'S45'!$C:$BQ,39,0)</f>
        <v>27</v>
      </c>
      <c r="M140" s="58">
        <f>VLOOKUP($A140,'S45'!$C:$BQ,40,0)</f>
        <v>64</v>
      </c>
      <c r="N140" s="58">
        <f>VLOOKUP($A140,'S45'!$C:$BQ,22,0)</f>
        <v>2262.2831000000001</v>
      </c>
      <c r="O140" s="66">
        <f>VLOOKUP($A140,'S45'!$C:$BQ,29,0)</f>
        <v>0</v>
      </c>
      <c r="P140" s="66">
        <f>VLOOKUP($A140,'S45'!$C:$BQ,30,0)</f>
        <v>0</v>
      </c>
      <c r="Q140" s="66">
        <f>VLOOKUP($A140,'S45'!$C:$BQ,52,0)</f>
        <v>155</v>
      </c>
      <c r="R140" s="66">
        <f>VLOOKUP($A140,'S45'!$C:$BQ,59,0)</f>
        <v>0</v>
      </c>
      <c r="S140" s="66">
        <f>VLOOKUP($A140,'S45'!$C:$BQ,60,0)</f>
        <v>0</v>
      </c>
      <c r="T140" s="58">
        <f>VLOOKUP($A140,'S46'!$C:$BQ,32,0)</f>
        <v>154.1</v>
      </c>
      <c r="U140" s="58">
        <f>VLOOKUP($A140,'S46'!$C:$BQ,39,0)</f>
        <v>31</v>
      </c>
      <c r="V140" s="58">
        <f>VLOOKUP($A140,'S46'!$C:$BQ,40,0)</f>
        <v>68</v>
      </c>
      <c r="W140" s="58">
        <f>VLOOKUP($A140,'S46'!$C:$BQ,22,0)</f>
        <v>2249.1283800000001</v>
      </c>
      <c r="X140" s="66">
        <f>VLOOKUP($A140,'S46'!$C:$BQ,29,0)</f>
        <v>0</v>
      </c>
      <c r="Y140" s="66">
        <f>VLOOKUP($A140,'S46'!$C:$BQ,30,0)</f>
        <v>0</v>
      </c>
      <c r="Z140" s="66">
        <f>VLOOKUP($A140,'S46'!$C:$BQ,52,0)</f>
        <v>153</v>
      </c>
      <c r="AA140" s="66">
        <f>VLOOKUP($A140,'S46'!$C:$BQ,59,0)</f>
        <v>0</v>
      </c>
      <c r="AB140" s="66">
        <f>VLOOKUP($A140,'S46'!$C:$BQ,60,0)</f>
        <v>0</v>
      </c>
      <c r="AC140" s="58">
        <f>VLOOKUP($A140,'S47'!$C:$BQ,32,0)</f>
        <v>158.1</v>
      </c>
      <c r="AD140" s="58">
        <f>VLOOKUP($A140,'S47'!$C:$BQ,39,0)</f>
        <v>27</v>
      </c>
      <c r="AE140" s="58">
        <f>VLOOKUP($A140,'S47'!$C:$BQ,40,0)</f>
        <v>64</v>
      </c>
      <c r="AF140" s="58">
        <f>VLOOKUP($A140,'S47'!$C:$BQ,22,0)</f>
        <v>2355.2183799999998</v>
      </c>
      <c r="AG140" s="66">
        <f>VLOOKUP($A140,'S47'!$C:$BQ,29,0)</f>
        <v>0</v>
      </c>
      <c r="AH140" s="66">
        <f>VLOOKUP($A140,'S47'!$C:$BQ,30,0)</f>
        <v>0</v>
      </c>
      <c r="AI140" s="66">
        <f>VLOOKUP($A140,'S47'!$C:$BQ,52,0)</f>
        <v>158</v>
      </c>
      <c r="AJ140" s="66">
        <f>VLOOKUP($A140,'S47'!$C:$BQ,59,0)</f>
        <v>0</v>
      </c>
      <c r="AK140" s="66">
        <f>VLOOKUP($A140,'S47'!$C:$BQ,60,0)</f>
        <v>0</v>
      </c>
      <c r="AL140" s="58" t="e">
        <f>VLOOKUP($A140,'S48'!$C:$BQ,32,0)</f>
        <v>#N/A</v>
      </c>
      <c r="AM140" s="58" t="e">
        <f>VLOOKUP($A140,'S48'!$C:$BQ,39,0)</f>
        <v>#N/A</v>
      </c>
      <c r="AN140" s="58" t="e">
        <f>VLOOKUP($A140,'S48'!$C:$BQ,40,0)</f>
        <v>#N/A</v>
      </c>
      <c r="AO140" s="58" t="e">
        <f>VLOOKUP($A140,'S48'!$C:$BQ,22,0)</f>
        <v>#N/A</v>
      </c>
      <c r="AP140" s="66" t="e">
        <f>VLOOKUP($A140,'S48'!$C:$BQ,29,0)</f>
        <v>#N/A</v>
      </c>
      <c r="AQ140" s="66" t="e">
        <f>VLOOKUP($A140,'S48'!$C:$BQ,30,0)</f>
        <v>#N/A</v>
      </c>
      <c r="AR140" s="66" t="e">
        <f>VLOOKUP($A140,'S48'!$C:$BQ,52,0)</f>
        <v>#N/A</v>
      </c>
      <c r="AS140" s="66" t="e">
        <f>VLOOKUP($A140,'S48'!$C:$BQ,59,0)</f>
        <v>#N/A</v>
      </c>
      <c r="AT140" s="66" t="e">
        <f>VLOOKUP($A140,'S48'!$C:$BQ,60,0)</f>
        <v>#N/A</v>
      </c>
      <c r="AU140" s="58" t="e">
        <f>VLOOKUP($A140,'S49'!$C:$BQ,32,0)</f>
        <v>#N/A</v>
      </c>
      <c r="AV140" s="58" t="e">
        <f>VLOOKUP($A140,'S49'!$C:$BQ,39,0)</f>
        <v>#N/A</v>
      </c>
      <c r="AW140" s="58" t="e">
        <f>VLOOKUP($A140,'S49'!$C:$BQ,40,0)</f>
        <v>#N/A</v>
      </c>
      <c r="AX140" s="58" t="e">
        <f>VLOOKUP($A140,'S49'!$C:$BQ,22,0)</f>
        <v>#N/A</v>
      </c>
      <c r="AY140" s="66" t="e">
        <f>VLOOKUP($A140,'S49'!$C:$BQ,29,0)</f>
        <v>#N/A</v>
      </c>
      <c r="AZ140" s="66" t="e">
        <f>VLOOKUP($A140,'S49'!$C:$BQ,30,0)</f>
        <v>#N/A</v>
      </c>
      <c r="BA140" s="66" t="e">
        <f>VLOOKUP($A140,'S49'!$C:$BQ,52,0)</f>
        <v>#N/A</v>
      </c>
      <c r="BB140" s="66" t="e">
        <f>VLOOKUP($A140,'S49'!$C:$BQ,59,0)</f>
        <v>#N/A</v>
      </c>
      <c r="BC140" s="66" t="e">
        <f>VLOOKUP($A140,'S49'!$C:$BQ,60,0)</f>
        <v>#N/A</v>
      </c>
      <c r="BD140" s="58" t="e">
        <f>VLOOKUP($A140,'S50'!$C:$BQ,32,0)</f>
        <v>#N/A</v>
      </c>
      <c r="BE140" s="58" t="e">
        <f>VLOOKUP($A140,'S50'!$C:$BQ,39,0)</f>
        <v>#N/A</v>
      </c>
      <c r="BF140" s="58" t="e">
        <f>VLOOKUP($A140,'S50'!$C:$BQ,40,0)</f>
        <v>#N/A</v>
      </c>
      <c r="BG140" s="58" t="e">
        <f>VLOOKUP($A140,'S50'!$C:$BQ,22,0)</f>
        <v>#N/A</v>
      </c>
      <c r="BH140" s="66" t="e">
        <f>VLOOKUP($A140,'S50'!$C:$BQ,29,0)</f>
        <v>#N/A</v>
      </c>
      <c r="BI140" s="66" t="e">
        <f>VLOOKUP($A140,'S50'!$C:$BQ,30,0)</f>
        <v>#N/A</v>
      </c>
      <c r="BJ140" s="66" t="e">
        <f>VLOOKUP($A140,'S50'!$C:$BQ,52,0)</f>
        <v>#N/A</v>
      </c>
      <c r="BK140" s="66" t="e">
        <f>VLOOKUP($A140,'S50'!$C:$BQ,59,0)</f>
        <v>#N/A</v>
      </c>
      <c r="BL140" s="66" t="e">
        <f>VLOOKUP($A140,'S50'!$C:$BQ,60,0)</f>
        <v>#N/A</v>
      </c>
    </row>
    <row r="141" spans="1:64" x14ac:dyDescent="0.2">
      <c r="A141" s="57" t="s">
        <v>205</v>
      </c>
      <c r="B141" s="58">
        <f>VLOOKUP($A141,'S0 remplacer avec S44'!$C:$BQ,32,0)</f>
        <v>113.1</v>
      </c>
      <c r="C141" s="58">
        <f>VLOOKUP($A141,'S0 remplacer avec S44'!$C:$BQ,39,0)</f>
        <v>55</v>
      </c>
      <c r="D141" s="58">
        <f>VLOOKUP($A141,'S0 remplacer avec S44'!$C:$BQ,40,0)</f>
        <v>89</v>
      </c>
      <c r="E141" s="58">
        <f>VLOOKUP($A141,'S0 remplacer avec S44'!$C:$BQ,22,0)</f>
        <v>1087.1326550000001</v>
      </c>
      <c r="F141" s="66">
        <f>VLOOKUP($A141,'S0 remplacer avec S44'!$C:$BQ,29,0)</f>
        <v>442</v>
      </c>
      <c r="G141" s="66">
        <f>VLOOKUP($A141,'S0 remplacer avec S44'!$C:$BQ,30,0)</f>
        <v>748</v>
      </c>
      <c r="H141" s="66">
        <f>VLOOKUP($A141,'S0 remplacer avec S44'!$C:$BQ,52,0)</f>
        <v>106.8</v>
      </c>
      <c r="I141" s="66">
        <f>VLOOKUP($A141,'S0 remplacer avec S44'!$C:$BQ,59,0)</f>
        <v>0</v>
      </c>
      <c r="J141" s="66">
        <f>VLOOKUP($A141,'S0 remplacer avec S44'!$C:$BQ,60,0)</f>
        <v>0</v>
      </c>
      <c r="K141" s="58">
        <f>VLOOKUP($A141,'S45'!$C:$BQ,32,0)</f>
        <v>117.1</v>
      </c>
      <c r="L141" s="58">
        <f>VLOOKUP($A141,'S45'!$C:$BQ,39,0)</f>
        <v>51</v>
      </c>
      <c r="M141" s="58">
        <f>VLOOKUP($A141,'S45'!$C:$BQ,40,0)</f>
        <v>85</v>
      </c>
      <c r="N141" s="58">
        <f>VLOOKUP($A141,'S45'!$C:$BQ,22,0)</f>
        <v>1096.337685</v>
      </c>
      <c r="O141" s="66">
        <f>VLOOKUP($A141,'S45'!$C:$BQ,29,0)</f>
        <v>433</v>
      </c>
      <c r="P141" s="66">
        <f>VLOOKUP($A141,'S45'!$C:$BQ,30,0)</f>
        <v>739</v>
      </c>
      <c r="Q141" s="66">
        <f>VLOOKUP($A141,'S45'!$C:$BQ,52,0)</f>
        <v>107.8</v>
      </c>
      <c r="R141" s="66">
        <f>VLOOKUP($A141,'S45'!$C:$BQ,59,0)</f>
        <v>0</v>
      </c>
      <c r="S141" s="66">
        <f>VLOOKUP($A141,'S45'!$C:$BQ,60,0)</f>
        <v>0</v>
      </c>
      <c r="T141" s="58">
        <f>VLOOKUP($A141,'S46'!$C:$BQ,32,0)</f>
        <v>117.1</v>
      </c>
      <c r="U141" s="58">
        <f>VLOOKUP($A141,'S46'!$C:$BQ,39,0)</f>
        <v>51</v>
      </c>
      <c r="V141" s="58">
        <f>VLOOKUP($A141,'S46'!$C:$BQ,40,0)</f>
        <v>85</v>
      </c>
      <c r="W141" s="58">
        <f>VLOOKUP($A141,'S46'!$C:$BQ,22,0)</f>
        <v>1099.487355</v>
      </c>
      <c r="X141" s="66">
        <f>VLOOKUP($A141,'S46'!$C:$BQ,29,0)</f>
        <v>430</v>
      </c>
      <c r="Y141" s="66">
        <f>VLOOKUP($A141,'S46'!$C:$BQ,30,0)</f>
        <v>736</v>
      </c>
      <c r="Z141" s="66">
        <f>VLOOKUP($A141,'S46'!$C:$BQ,52,0)</f>
        <v>107.8</v>
      </c>
      <c r="AA141" s="66">
        <f>VLOOKUP($A141,'S46'!$C:$BQ,59,0)</f>
        <v>0</v>
      </c>
      <c r="AB141" s="66">
        <f>VLOOKUP($A141,'S46'!$C:$BQ,60,0)</f>
        <v>0</v>
      </c>
      <c r="AC141" s="58">
        <f>VLOOKUP($A141,'S47'!$C:$BQ,32,0)</f>
        <v>121.1</v>
      </c>
      <c r="AD141" s="58">
        <f>VLOOKUP($A141,'S47'!$C:$BQ,39,0)</f>
        <v>47</v>
      </c>
      <c r="AE141" s="58">
        <f>VLOOKUP($A141,'S47'!$C:$BQ,40,0)</f>
        <v>81</v>
      </c>
      <c r="AF141" s="58">
        <f>VLOOKUP($A141,'S47'!$C:$BQ,22,0)</f>
        <v>1102.8725750000001</v>
      </c>
      <c r="AG141" s="66">
        <f>VLOOKUP($A141,'S47'!$C:$BQ,29,0)</f>
        <v>426</v>
      </c>
      <c r="AH141" s="66">
        <f>VLOOKUP($A141,'S47'!$C:$BQ,30,0)</f>
        <v>732</v>
      </c>
      <c r="AI141" s="66">
        <f>VLOOKUP($A141,'S47'!$C:$BQ,52,0)</f>
        <v>107.8</v>
      </c>
      <c r="AJ141" s="66">
        <f>VLOOKUP($A141,'S47'!$C:$BQ,59,0)</f>
        <v>0</v>
      </c>
      <c r="AK141" s="66">
        <f>VLOOKUP($A141,'S47'!$C:$BQ,60,0)</f>
        <v>0</v>
      </c>
      <c r="AL141" s="58" t="e">
        <f>VLOOKUP($A141,'S48'!$C:$BQ,32,0)</f>
        <v>#N/A</v>
      </c>
      <c r="AM141" s="58" t="e">
        <f>VLOOKUP($A141,'S48'!$C:$BQ,39,0)</f>
        <v>#N/A</v>
      </c>
      <c r="AN141" s="58" t="e">
        <f>VLOOKUP($A141,'S48'!$C:$BQ,40,0)</f>
        <v>#N/A</v>
      </c>
      <c r="AO141" s="58" t="e">
        <f>VLOOKUP($A141,'S48'!$C:$BQ,22,0)</f>
        <v>#N/A</v>
      </c>
      <c r="AP141" s="66" t="e">
        <f>VLOOKUP($A141,'S48'!$C:$BQ,29,0)</f>
        <v>#N/A</v>
      </c>
      <c r="AQ141" s="66" t="e">
        <f>VLOOKUP($A141,'S48'!$C:$BQ,30,0)</f>
        <v>#N/A</v>
      </c>
      <c r="AR141" s="66" t="e">
        <f>VLOOKUP($A141,'S48'!$C:$BQ,52,0)</f>
        <v>#N/A</v>
      </c>
      <c r="AS141" s="66" t="e">
        <f>VLOOKUP($A141,'S48'!$C:$BQ,59,0)</f>
        <v>#N/A</v>
      </c>
      <c r="AT141" s="66" t="e">
        <f>VLOOKUP($A141,'S48'!$C:$BQ,60,0)</f>
        <v>#N/A</v>
      </c>
      <c r="AU141" s="58" t="e">
        <f>VLOOKUP($A141,'S49'!$C:$BQ,32,0)</f>
        <v>#N/A</v>
      </c>
      <c r="AV141" s="58" t="e">
        <f>VLOOKUP($A141,'S49'!$C:$BQ,39,0)</f>
        <v>#N/A</v>
      </c>
      <c r="AW141" s="58" t="e">
        <f>VLOOKUP($A141,'S49'!$C:$BQ,40,0)</f>
        <v>#N/A</v>
      </c>
      <c r="AX141" s="58" t="e">
        <f>VLOOKUP($A141,'S49'!$C:$BQ,22,0)</f>
        <v>#N/A</v>
      </c>
      <c r="AY141" s="66" t="e">
        <f>VLOOKUP($A141,'S49'!$C:$BQ,29,0)</f>
        <v>#N/A</v>
      </c>
      <c r="AZ141" s="66" t="e">
        <f>VLOOKUP($A141,'S49'!$C:$BQ,30,0)</f>
        <v>#N/A</v>
      </c>
      <c r="BA141" s="66" t="e">
        <f>VLOOKUP($A141,'S49'!$C:$BQ,52,0)</f>
        <v>#N/A</v>
      </c>
      <c r="BB141" s="66" t="e">
        <f>VLOOKUP($A141,'S49'!$C:$BQ,59,0)</f>
        <v>#N/A</v>
      </c>
      <c r="BC141" s="66" t="e">
        <f>VLOOKUP($A141,'S49'!$C:$BQ,60,0)</f>
        <v>#N/A</v>
      </c>
      <c r="BD141" s="58" t="e">
        <f>VLOOKUP($A141,'S50'!$C:$BQ,32,0)</f>
        <v>#N/A</v>
      </c>
      <c r="BE141" s="58" t="e">
        <f>VLOOKUP($A141,'S50'!$C:$BQ,39,0)</f>
        <v>#N/A</v>
      </c>
      <c r="BF141" s="58" t="e">
        <f>VLOOKUP($A141,'S50'!$C:$BQ,40,0)</f>
        <v>#N/A</v>
      </c>
      <c r="BG141" s="58" t="e">
        <f>VLOOKUP($A141,'S50'!$C:$BQ,22,0)</f>
        <v>#N/A</v>
      </c>
      <c r="BH141" s="66" t="e">
        <f>VLOOKUP($A141,'S50'!$C:$BQ,29,0)</f>
        <v>#N/A</v>
      </c>
      <c r="BI141" s="66" t="e">
        <f>VLOOKUP($A141,'S50'!$C:$BQ,30,0)</f>
        <v>#N/A</v>
      </c>
      <c r="BJ141" s="66" t="e">
        <f>VLOOKUP($A141,'S50'!$C:$BQ,52,0)</f>
        <v>#N/A</v>
      </c>
      <c r="BK141" s="66" t="e">
        <f>VLOOKUP($A141,'S50'!$C:$BQ,59,0)</f>
        <v>#N/A</v>
      </c>
      <c r="BL141" s="66" t="e">
        <f>VLOOKUP($A141,'S50'!$C:$BQ,60,0)</f>
        <v>#N/A</v>
      </c>
    </row>
    <row r="142" spans="1:64" x14ac:dyDescent="0.2">
      <c r="A142" s="57" t="s">
        <v>206</v>
      </c>
      <c r="B142" s="58">
        <f>VLOOKUP($A142,'S0 remplacer avec S44'!$C:$BQ,32,0)</f>
        <v>694.95</v>
      </c>
      <c r="C142" s="58">
        <f>VLOOKUP($A142,'S0 remplacer avec S44'!$C:$BQ,39,0)</f>
        <v>0</v>
      </c>
      <c r="D142" s="58">
        <f>VLOOKUP($A142,'S0 remplacer avec S44'!$C:$BQ,40,0)</f>
        <v>109</v>
      </c>
      <c r="E142" s="58">
        <f>VLOOKUP($A142,'S0 remplacer avec S44'!$C:$BQ,22,0)</f>
        <v>6281.4003199999997</v>
      </c>
      <c r="F142" s="66">
        <f>VLOOKUP($A142,'S0 remplacer avec S44'!$C:$BQ,29,0)</f>
        <v>0</v>
      </c>
      <c r="G142" s="66">
        <f>VLOOKUP($A142,'S0 remplacer avec S44'!$C:$BQ,30,0)</f>
        <v>1028</v>
      </c>
      <c r="H142" s="66">
        <f>VLOOKUP($A142,'S0 remplacer avec S44'!$C:$BQ,52,0)</f>
        <v>408.8</v>
      </c>
      <c r="I142" s="66">
        <f>VLOOKUP($A142,'S0 remplacer avec S44'!$C:$BQ,59,0)</f>
        <v>0</v>
      </c>
      <c r="J142" s="66">
        <f>VLOOKUP($A142,'S0 remplacer avec S44'!$C:$BQ,60,0)</f>
        <v>0</v>
      </c>
      <c r="K142" s="58">
        <f>VLOOKUP($A142,'S45'!$C:$BQ,32,0)</f>
        <v>696.45</v>
      </c>
      <c r="L142" s="58">
        <f>VLOOKUP($A142,'S45'!$C:$BQ,39,0)</f>
        <v>0</v>
      </c>
      <c r="M142" s="58">
        <f>VLOOKUP($A142,'S45'!$C:$BQ,40,0)</f>
        <v>108</v>
      </c>
      <c r="N142" s="58">
        <f>VLOOKUP($A142,'S45'!$C:$BQ,22,0)</f>
        <v>6438.8153000000002</v>
      </c>
      <c r="O142" s="66">
        <f>VLOOKUP($A142,'S45'!$C:$BQ,29,0)</f>
        <v>0</v>
      </c>
      <c r="P142" s="66">
        <f>VLOOKUP($A142,'S45'!$C:$BQ,30,0)</f>
        <v>870</v>
      </c>
      <c r="Q142" s="66">
        <f>VLOOKUP($A142,'S45'!$C:$BQ,52,0)</f>
        <v>412.8</v>
      </c>
      <c r="R142" s="66">
        <f>VLOOKUP($A142,'S45'!$C:$BQ,59,0)</f>
        <v>0</v>
      </c>
      <c r="S142" s="66">
        <f>VLOOKUP($A142,'S45'!$C:$BQ,60,0)</f>
        <v>0</v>
      </c>
      <c r="T142" s="58">
        <f>VLOOKUP($A142,'S46'!$C:$BQ,32,0)</f>
        <v>697.45</v>
      </c>
      <c r="U142" s="58">
        <f>VLOOKUP($A142,'S46'!$C:$BQ,39,0)</f>
        <v>0</v>
      </c>
      <c r="V142" s="58">
        <f>VLOOKUP($A142,'S46'!$C:$BQ,40,0)</f>
        <v>107</v>
      </c>
      <c r="W142" s="58">
        <f>VLOOKUP($A142,'S46'!$C:$BQ,22,0)</f>
        <v>6439.5715700000001</v>
      </c>
      <c r="X142" s="66">
        <f>VLOOKUP($A142,'S46'!$C:$BQ,29,0)</f>
        <v>0</v>
      </c>
      <c r="Y142" s="66">
        <f>VLOOKUP($A142,'S46'!$C:$BQ,30,0)</f>
        <v>869</v>
      </c>
      <c r="Z142" s="66">
        <f>VLOOKUP($A142,'S46'!$C:$BQ,52,0)</f>
        <v>418.8</v>
      </c>
      <c r="AA142" s="66">
        <f>VLOOKUP($A142,'S46'!$C:$BQ,59,0)</f>
        <v>0</v>
      </c>
      <c r="AB142" s="66">
        <f>VLOOKUP($A142,'S46'!$C:$BQ,60,0)</f>
        <v>0</v>
      </c>
      <c r="AC142" s="58">
        <f>VLOOKUP($A142,'S47'!$C:$BQ,32,0)</f>
        <v>708.45</v>
      </c>
      <c r="AD142" s="58">
        <f>VLOOKUP($A142,'S47'!$C:$BQ,39,0)</f>
        <v>0</v>
      </c>
      <c r="AE142" s="58">
        <f>VLOOKUP($A142,'S47'!$C:$BQ,40,0)</f>
        <v>96</v>
      </c>
      <c r="AF142" s="58">
        <f>VLOOKUP($A142,'S47'!$C:$BQ,22,0)</f>
        <v>6561.4659499999998</v>
      </c>
      <c r="AG142" s="66">
        <f>VLOOKUP($A142,'S47'!$C:$BQ,29,0)</f>
        <v>0</v>
      </c>
      <c r="AH142" s="66">
        <f>VLOOKUP($A142,'S47'!$C:$BQ,30,0)</f>
        <v>747</v>
      </c>
      <c r="AI142" s="66">
        <f>VLOOKUP($A142,'S47'!$C:$BQ,52,0)</f>
        <v>431.8</v>
      </c>
      <c r="AJ142" s="66">
        <f>VLOOKUP($A142,'S47'!$C:$BQ,59,0)</f>
        <v>0</v>
      </c>
      <c r="AK142" s="66">
        <f>VLOOKUP($A142,'S47'!$C:$BQ,60,0)</f>
        <v>0</v>
      </c>
      <c r="AL142" s="58" t="e">
        <f>VLOOKUP($A142,'S48'!$C:$BQ,32,0)</f>
        <v>#N/A</v>
      </c>
      <c r="AM142" s="58" t="e">
        <f>VLOOKUP($A142,'S48'!$C:$BQ,39,0)</f>
        <v>#N/A</v>
      </c>
      <c r="AN142" s="58" t="e">
        <f>VLOOKUP($A142,'S48'!$C:$BQ,40,0)</f>
        <v>#N/A</v>
      </c>
      <c r="AO142" s="58" t="e">
        <f>VLOOKUP($A142,'S48'!$C:$BQ,22,0)</f>
        <v>#N/A</v>
      </c>
      <c r="AP142" s="66" t="e">
        <f>VLOOKUP($A142,'S48'!$C:$BQ,29,0)</f>
        <v>#N/A</v>
      </c>
      <c r="AQ142" s="66" t="e">
        <f>VLOOKUP($A142,'S48'!$C:$BQ,30,0)</f>
        <v>#N/A</v>
      </c>
      <c r="AR142" s="66" t="e">
        <f>VLOOKUP($A142,'S48'!$C:$BQ,52,0)</f>
        <v>#N/A</v>
      </c>
      <c r="AS142" s="66" t="e">
        <f>VLOOKUP($A142,'S48'!$C:$BQ,59,0)</f>
        <v>#N/A</v>
      </c>
      <c r="AT142" s="66" t="e">
        <f>VLOOKUP($A142,'S48'!$C:$BQ,60,0)</f>
        <v>#N/A</v>
      </c>
      <c r="AU142" s="58" t="e">
        <f>VLOOKUP($A142,'S49'!$C:$BQ,32,0)</f>
        <v>#N/A</v>
      </c>
      <c r="AV142" s="58" t="e">
        <f>VLOOKUP($A142,'S49'!$C:$BQ,39,0)</f>
        <v>#N/A</v>
      </c>
      <c r="AW142" s="58" t="e">
        <f>VLOOKUP($A142,'S49'!$C:$BQ,40,0)</f>
        <v>#N/A</v>
      </c>
      <c r="AX142" s="58" t="e">
        <f>VLOOKUP($A142,'S49'!$C:$BQ,22,0)</f>
        <v>#N/A</v>
      </c>
      <c r="AY142" s="66" t="e">
        <f>VLOOKUP($A142,'S49'!$C:$BQ,29,0)</f>
        <v>#N/A</v>
      </c>
      <c r="AZ142" s="66" t="e">
        <f>VLOOKUP($A142,'S49'!$C:$BQ,30,0)</f>
        <v>#N/A</v>
      </c>
      <c r="BA142" s="66" t="e">
        <f>VLOOKUP($A142,'S49'!$C:$BQ,52,0)</f>
        <v>#N/A</v>
      </c>
      <c r="BB142" s="66" t="e">
        <f>VLOOKUP($A142,'S49'!$C:$BQ,59,0)</f>
        <v>#N/A</v>
      </c>
      <c r="BC142" s="66" t="e">
        <f>VLOOKUP($A142,'S49'!$C:$BQ,60,0)</f>
        <v>#N/A</v>
      </c>
      <c r="BD142" s="58" t="e">
        <f>VLOOKUP($A142,'S50'!$C:$BQ,32,0)</f>
        <v>#N/A</v>
      </c>
      <c r="BE142" s="58" t="e">
        <f>VLOOKUP($A142,'S50'!$C:$BQ,39,0)</f>
        <v>#N/A</v>
      </c>
      <c r="BF142" s="58" t="e">
        <f>VLOOKUP($A142,'S50'!$C:$BQ,40,0)</f>
        <v>#N/A</v>
      </c>
      <c r="BG142" s="58" t="e">
        <f>VLOOKUP($A142,'S50'!$C:$BQ,22,0)</f>
        <v>#N/A</v>
      </c>
      <c r="BH142" s="66" t="e">
        <f>VLOOKUP($A142,'S50'!$C:$BQ,29,0)</f>
        <v>#N/A</v>
      </c>
      <c r="BI142" s="66" t="e">
        <f>VLOOKUP($A142,'S50'!$C:$BQ,30,0)</f>
        <v>#N/A</v>
      </c>
      <c r="BJ142" s="66" t="e">
        <f>VLOOKUP($A142,'S50'!$C:$BQ,52,0)</f>
        <v>#N/A</v>
      </c>
      <c r="BK142" s="66" t="e">
        <f>VLOOKUP($A142,'S50'!$C:$BQ,59,0)</f>
        <v>#N/A</v>
      </c>
      <c r="BL142" s="66" t="e">
        <f>VLOOKUP($A142,'S50'!$C:$BQ,60,0)</f>
        <v>#N/A</v>
      </c>
    </row>
    <row r="143" spans="1:64" x14ac:dyDescent="0.2">
      <c r="A143" s="57" t="s">
        <v>207</v>
      </c>
      <c r="B143" s="58">
        <f>VLOOKUP($A143,'S0 remplacer avec S44'!$C:$BQ,32,0)</f>
        <v>140.6</v>
      </c>
      <c r="C143" s="58">
        <f>VLOOKUP($A143,'S0 remplacer avec S44'!$C:$BQ,39,0)</f>
        <v>9</v>
      </c>
      <c r="D143" s="58">
        <f>VLOOKUP($A143,'S0 remplacer avec S44'!$C:$BQ,40,0)</f>
        <v>39</v>
      </c>
      <c r="E143" s="58">
        <f>VLOOKUP($A143,'S0 remplacer avec S44'!$C:$BQ,22,0)</f>
        <v>1520.49155</v>
      </c>
      <c r="F143" s="66">
        <f>VLOOKUP($A143,'S0 remplacer avec S44'!$C:$BQ,29,0)</f>
        <v>0</v>
      </c>
      <c r="G143" s="66">
        <f>VLOOKUP($A143,'S0 remplacer avec S44'!$C:$BQ,30,0)</f>
        <v>107</v>
      </c>
      <c r="H143" s="66">
        <f>VLOOKUP($A143,'S0 remplacer avec S44'!$C:$BQ,52,0)</f>
        <v>155</v>
      </c>
      <c r="I143" s="66">
        <f>VLOOKUP($A143,'S0 remplacer avec S44'!$C:$BQ,59,0)</f>
        <v>0</v>
      </c>
      <c r="J143" s="66">
        <f>VLOOKUP($A143,'S0 remplacer avec S44'!$C:$BQ,60,0)</f>
        <v>0</v>
      </c>
      <c r="K143" s="58">
        <f>VLOOKUP($A143,'S45'!$C:$BQ,32,0)</f>
        <v>139.6</v>
      </c>
      <c r="L143" s="58">
        <f>VLOOKUP($A143,'S45'!$C:$BQ,39,0)</f>
        <v>10</v>
      </c>
      <c r="M143" s="58">
        <f>VLOOKUP($A143,'S45'!$C:$BQ,40,0)</f>
        <v>40</v>
      </c>
      <c r="N143" s="58">
        <f>VLOOKUP($A143,'S45'!$C:$BQ,22,0)</f>
        <v>1541.7847300000001</v>
      </c>
      <c r="O143" s="66">
        <f>VLOOKUP($A143,'S45'!$C:$BQ,29,0)</f>
        <v>0</v>
      </c>
      <c r="P143" s="66">
        <f>VLOOKUP($A143,'S45'!$C:$BQ,30,0)</f>
        <v>85</v>
      </c>
      <c r="Q143" s="66">
        <f>VLOOKUP($A143,'S45'!$C:$BQ,52,0)</f>
        <v>158</v>
      </c>
      <c r="R143" s="66">
        <f>VLOOKUP($A143,'S45'!$C:$BQ,59,0)</f>
        <v>0</v>
      </c>
      <c r="S143" s="66">
        <f>VLOOKUP($A143,'S45'!$C:$BQ,60,0)</f>
        <v>0</v>
      </c>
      <c r="T143" s="58">
        <f>VLOOKUP($A143,'S46'!$C:$BQ,32,0)</f>
        <v>138.6</v>
      </c>
      <c r="U143" s="58">
        <f>VLOOKUP($A143,'S46'!$C:$BQ,39,0)</f>
        <v>11</v>
      </c>
      <c r="V143" s="58">
        <f>VLOOKUP($A143,'S46'!$C:$BQ,40,0)</f>
        <v>41</v>
      </c>
      <c r="W143" s="58">
        <f>VLOOKUP($A143,'S46'!$C:$BQ,22,0)</f>
        <v>1543.13373</v>
      </c>
      <c r="X143" s="66">
        <f>VLOOKUP($A143,'S46'!$C:$BQ,29,0)</f>
        <v>0</v>
      </c>
      <c r="Y143" s="66">
        <f>VLOOKUP($A143,'S46'!$C:$BQ,30,0)</f>
        <v>84</v>
      </c>
      <c r="Z143" s="66">
        <f>VLOOKUP($A143,'S46'!$C:$BQ,52,0)</f>
        <v>158</v>
      </c>
      <c r="AA143" s="66">
        <f>VLOOKUP($A143,'S46'!$C:$BQ,59,0)</f>
        <v>0</v>
      </c>
      <c r="AB143" s="66">
        <f>VLOOKUP($A143,'S46'!$C:$BQ,60,0)</f>
        <v>0</v>
      </c>
      <c r="AC143" s="58">
        <f>VLOOKUP($A143,'S47'!$C:$BQ,32,0)</f>
        <v>142.1</v>
      </c>
      <c r="AD143" s="58">
        <f>VLOOKUP($A143,'S47'!$C:$BQ,39,0)</f>
        <v>7</v>
      </c>
      <c r="AE143" s="58">
        <f>VLOOKUP($A143,'S47'!$C:$BQ,40,0)</f>
        <v>37</v>
      </c>
      <c r="AF143" s="58">
        <f>VLOOKUP($A143,'S47'!$C:$BQ,22,0)</f>
        <v>1559.6367299999999</v>
      </c>
      <c r="AG143" s="66">
        <f>VLOOKUP($A143,'S47'!$C:$BQ,29,0)</f>
        <v>0</v>
      </c>
      <c r="AH143" s="66">
        <f>VLOOKUP($A143,'S47'!$C:$BQ,30,0)</f>
        <v>67</v>
      </c>
      <c r="AI143" s="66">
        <f>VLOOKUP($A143,'S47'!$C:$BQ,52,0)</f>
        <v>159</v>
      </c>
      <c r="AJ143" s="66">
        <f>VLOOKUP($A143,'S47'!$C:$BQ,59,0)</f>
        <v>0</v>
      </c>
      <c r="AK143" s="66">
        <f>VLOOKUP($A143,'S47'!$C:$BQ,60,0)</f>
        <v>0</v>
      </c>
      <c r="AL143" s="58" t="e">
        <f>VLOOKUP($A143,'S48'!$C:$BQ,32,0)</f>
        <v>#N/A</v>
      </c>
      <c r="AM143" s="58" t="e">
        <f>VLOOKUP($A143,'S48'!$C:$BQ,39,0)</f>
        <v>#N/A</v>
      </c>
      <c r="AN143" s="58" t="e">
        <f>VLOOKUP($A143,'S48'!$C:$BQ,40,0)</f>
        <v>#N/A</v>
      </c>
      <c r="AO143" s="58" t="e">
        <f>VLOOKUP($A143,'S48'!$C:$BQ,22,0)</f>
        <v>#N/A</v>
      </c>
      <c r="AP143" s="66" t="e">
        <f>VLOOKUP($A143,'S48'!$C:$BQ,29,0)</f>
        <v>#N/A</v>
      </c>
      <c r="AQ143" s="66" t="e">
        <f>VLOOKUP($A143,'S48'!$C:$BQ,30,0)</f>
        <v>#N/A</v>
      </c>
      <c r="AR143" s="66" t="e">
        <f>VLOOKUP($A143,'S48'!$C:$BQ,52,0)</f>
        <v>#N/A</v>
      </c>
      <c r="AS143" s="66" t="e">
        <f>VLOOKUP($A143,'S48'!$C:$BQ,59,0)</f>
        <v>#N/A</v>
      </c>
      <c r="AT143" s="66" t="e">
        <f>VLOOKUP($A143,'S48'!$C:$BQ,60,0)</f>
        <v>#N/A</v>
      </c>
      <c r="AU143" s="58" t="e">
        <f>VLOOKUP($A143,'S49'!$C:$BQ,32,0)</f>
        <v>#N/A</v>
      </c>
      <c r="AV143" s="58" t="e">
        <f>VLOOKUP($A143,'S49'!$C:$BQ,39,0)</f>
        <v>#N/A</v>
      </c>
      <c r="AW143" s="58" t="e">
        <f>VLOOKUP($A143,'S49'!$C:$BQ,40,0)</f>
        <v>#N/A</v>
      </c>
      <c r="AX143" s="58" t="e">
        <f>VLOOKUP($A143,'S49'!$C:$BQ,22,0)</f>
        <v>#N/A</v>
      </c>
      <c r="AY143" s="66" t="e">
        <f>VLOOKUP($A143,'S49'!$C:$BQ,29,0)</f>
        <v>#N/A</v>
      </c>
      <c r="AZ143" s="66" t="e">
        <f>VLOOKUP($A143,'S49'!$C:$BQ,30,0)</f>
        <v>#N/A</v>
      </c>
      <c r="BA143" s="66" t="e">
        <f>VLOOKUP($A143,'S49'!$C:$BQ,52,0)</f>
        <v>#N/A</v>
      </c>
      <c r="BB143" s="66" t="e">
        <f>VLOOKUP($A143,'S49'!$C:$BQ,59,0)</f>
        <v>#N/A</v>
      </c>
      <c r="BC143" s="66" t="e">
        <f>VLOOKUP($A143,'S49'!$C:$BQ,60,0)</f>
        <v>#N/A</v>
      </c>
      <c r="BD143" s="58" t="e">
        <f>VLOOKUP($A143,'S50'!$C:$BQ,32,0)</f>
        <v>#N/A</v>
      </c>
      <c r="BE143" s="58" t="e">
        <f>VLOOKUP($A143,'S50'!$C:$BQ,39,0)</f>
        <v>#N/A</v>
      </c>
      <c r="BF143" s="58" t="e">
        <f>VLOOKUP($A143,'S50'!$C:$BQ,40,0)</f>
        <v>#N/A</v>
      </c>
      <c r="BG143" s="58" t="e">
        <f>VLOOKUP($A143,'S50'!$C:$BQ,22,0)</f>
        <v>#N/A</v>
      </c>
      <c r="BH143" s="66" t="e">
        <f>VLOOKUP($A143,'S50'!$C:$BQ,29,0)</f>
        <v>#N/A</v>
      </c>
      <c r="BI143" s="66" t="e">
        <f>VLOOKUP($A143,'S50'!$C:$BQ,30,0)</f>
        <v>#N/A</v>
      </c>
      <c r="BJ143" s="66" t="e">
        <f>VLOOKUP($A143,'S50'!$C:$BQ,52,0)</f>
        <v>#N/A</v>
      </c>
      <c r="BK143" s="66" t="e">
        <f>VLOOKUP($A143,'S50'!$C:$BQ,59,0)</f>
        <v>#N/A</v>
      </c>
      <c r="BL143" s="66" t="e">
        <f>VLOOKUP($A143,'S50'!$C:$BQ,60,0)</f>
        <v>#N/A</v>
      </c>
    </row>
    <row r="144" spans="1:64" x14ac:dyDescent="0.2">
      <c r="A144" s="57" t="s">
        <v>208</v>
      </c>
      <c r="B144" s="58">
        <f>VLOOKUP($A144,'S0 remplacer avec S44'!$C:$BQ,32,0)</f>
        <v>119</v>
      </c>
      <c r="C144" s="58">
        <f>VLOOKUP($A144,'S0 remplacer avec S44'!$C:$BQ,39,0)</f>
        <v>1</v>
      </c>
      <c r="D144" s="58">
        <f>VLOOKUP($A144,'S0 remplacer avec S44'!$C:$BQ,40,0)</f>
        <v>24</v>
      </c>
      <c r="E144" s="58">
        <f>VLOOKUP($A144,'S0 remplacer avec S44'!$C:$BQ,22,0)</f>
        <v>1187.9262000000001</v>
      </c>
      <c r="F144" s="66">
        <f>VLOOKUP($A144,'S0 remplacer avec S44'!$C:$BQ,29,0)</f>
        <v>0</v>
      </c>
      <c r="G144" s="66">
        <f>VLOOKUP($A144,'S0 remplacer avec S44'!$C:$BQ,30,0)</f>
        <v>112</v>
      </c>
      <c r="H144" s="66">
        <f>VLOOKUP($A144,'S0 remplacer avec S44'!$C:$BQ,52,0)</f>
        <v>83.6</v>
      </c>
      <c r="I144" s="66">
        <f>VLOOKUP($A144,'S0 remplacer avec S44'!$C:$BQ,59,0)</f>
        <v>0</v>
      </c>
      <c r="J144" s="66">
        <f>VLOOKUP($A144,'S0 remplacer avec S44'!$C:$BQ,60,0)</f>
        <v>0</v>
      </c>
      <c r="K144" s="58">
        <f>VLOOKUP($A144,'S45'!$C:$BQ,32,0)</f>
        <v>119</v>
      </c>
      <c r="L144" s="58">
        <f>VLOOKUP($A144,'S45'!$C:$BQ,39,0)</f>
        <v>1</v>
      </c>
      <c r="M144" s="58">
        <f>VLOOKUP($A144,'S45'!$C:$BQ,40,0)</f>
        <v>24</v>
      </c>
      <c r="N144" s="58">
        <f>VLOOKUP($A144,'S45'!$C:$BQ,22,0)</f>
        <v>1204.1726200000001</v>
      </c>
      <c r="O144" s="66">
        <f>VLOOKUP($A144,'S45'!$C:$BQ,29,0)</f>
        <v>0</v>
      </c>
      <c r="P144" s="66">
        <f>VLOOKUP($A144,'S45'!$C:$BQ,30,0)</f>
        <v>96</v>
      </c>
      <c r="Q144" s="66">
        <f>VLOOKUP($A144,'S45'!$C:$BQ,52,0)</f>
        <v>85.6</v>
      </c>
      <c r="R144" s="66">
        <f>VLOOKUP($A144,'S45'!$C:$BQ,59,0)</f>
        <v>0</v>
      </c>
      <c r="S144" s="66">
        <f>VLOOKUP($A144,'S45'!$C:$BQ,60,0)</f>
        <v>0</v>
      </c>
      <c r="T144" s="58">
        <f>VLOOKUP($A144,'S46'!$C:$BQ,32,0)</f>
        <v>120</v>
      </c>
      <c r="U144" s="58">
        <f>VLOOKUP($A144,'S46'!$C:$BQ,39,0)</f>
        <v>0</v>
      </c>
      <c r="V144" s="58">
        <f>VLOOKUP($A144,'S46'!$C:$BQ,40,0)</f>
        <v>23</v>
      </c>
      <c r="W144" s="58">
        <f>VLOOKUP($A144,'S46'!$C:$BQ,22,0)</f>
        <v>1216.49713</v>
      </c>
      <c r="X144" s="66">
        <f>VLOOKUP($A144,'S46'!$C:$BQ,29,0)</f>
        <v>0</v>
      </c>
      <c r="Y144" s="66">
        <f>VLOOKUP($A144,'S46'!$C:$BQ,30,0)</f>
        <v>83</v>
      </c>
      <c r="Z144" s="66">
        <f>VLOOKUP($A144,'S46'!$C:$BQ,52,0)</f>
        <v>87.6</v>
      </c>
      <c r="AA144" s="66">
        <f>VLOOKUP($A144,'S46'!$C:$BQ,59,0)</f>
        <v>0</v>
      </c>
      <c r="AB144" s="66">
        <f>VLOOKUP($A144,'S46'!$C:$BQ,60,0)</f>
        <v>0</v>
      </c>
      <c r="AC144" s="58">
        <f>VLOOKUP($A144,'S47'!$C:$BQ,32,0)</f>
        <v>119</v>
      </c>
      <c r="AD144" s="58">
        <f>VLOOKUP($A144,'S47'!$C:$BQ,39,0)</f>
        <v>1</v>
      </c>
      <c r="AE144" s="58">
        <f>VLOOKUP($A144,'S47'!$C:$BQ,40,0)</f>
        <v>24</v>
      </c>
      <c r="AF144" s="58">
        <f>VLOOKUP($A144,'S47'!$C:$BQ,22,0)</f>
        <v>1246.8568399999999</v>
      </c>
      <c r="AG144" s="66">
        <f>VLOOKUP($A144,'S47'!$C:$BQ,29,0)</f>
        <v>0</v>
      </c>
      <c r="AH144" s="66">
        <f>VLOOKUP($A144,'S47'!$C:$BQ,30,0)</f>
        <v>53</v>
      </c>
      <c r="AI144" s="66">
        <f>VLOOKUP($A144,'S47'!$C:$BQ,52,0)</f>
        <v>87.6</v>
      </c>
      <c r="AJ144" s="66">
        <f>VLOOKUP($A144,'S47'!$C:$BQ,59,0)</f>
        <v>0</v>
      </c>
      <c r="AK144" s="66">
        <f>VLOOKUP($A144,'S47'!$C:$BQ,60,0)</f>
        <v>0</v>
      </c>
      <c r="AL144" s="58" t="e">
        <f>VLOOKUP($A144,'S48'!$C:$BQ,32,0)</f>
        <v>#N/A</v>
      </c>
      <c r="AM144" s="58" t="e">
        <f>VLOOKUP($A144,'S48'!$C:$BQ,39,0)</f>
        <v>#N/A</v>
      </c>
      <c r="AN144" s="58" t="e">
        <f>VLOOKUP($A144,'S48'!$C:$BQ,40,0)</f>
        <v>#N/A</v>
      </c>
      <c r="AO144" s="58" t="e">
        <f>VLOOKUP($A144,'S48'!$C:$BQ,22,0)</f>
        <v>#N/A</v>
      </c>
      <c r="AP144" s="66" t="e">
        <f>VLOOKUP($A144,'S48'!$C:$BQ,29,0)</f>
        <v>#N/A</v>
      </c>
      <c r="AQ144" s="66" t="e">
        <f>VLOOKUP($A144,'S48'!$C:$BQ,30,0)</f>
        <v>#N/A</v>
      </c>
      <c r="AR144" s="66" t="e">
        <f>VLOOKUP($A144,'S48'!$C:$BQ,52,0)</f>
        <v>#N/A</v>
      </c>
      <c r="AS144" s="66" t="e">
        <f>VLOOKUP($A144,'S48'!$C:$BQ,59,0)</f>
        <v>#N/A</v>
      </c>
      <c r="AT144" s="66" t="e">
        <f>VLOOKUP($A144,'S48'!$C:$BQ,60,0)</f>
        <v>#N/A</v>
      </c>
      <c r="AU144" s="58" t="e">
        <f>VLOOKUP($A144,'S49'!$C:$BQ,32,0)</f>
        <v>#N/A</v>
      </c>
      <c r="AV144" s="58" t="e">
        <f>VLOOKUP($A144,'S49'!$C:$BQ,39,0)</f>
        <v>#N/A</v>
      </c>
      <c r="AW144" s="58" t="e">
        <f>VLOOKUP($A144,'S49'!$C:$BQ,40,0)</f>
        <v>#N/A</v>
      </c>
      <c r="AX144" s="58" t="e">
        <f>VLOOKUP($A144,'S49'!$C:$BQ,22,0)</f>
        <v>#N/A</v>
      </c>
      <c r="AY144" s="66" t="e">
        <f>VLOOKUP($A144,'S49'!$C:$BQ,29,0)</f>
        <v>#N/A</v>
      </c>
      <c r="AZ144" s="66" t="e">
        <f>VLOOKUP($A144,'S49'!$C:$BQ,30,0)</f>
        <v>#N/A</v>
      </c>
      <c r="BA144" s="66" t="e">
        <f>VLOOKUP($A144,'S49'!$C:$BQ,52,0)</f>
        <v>#N/A</v>
      </c>
      <c r="BB144" s="66" t="e">
        <f>VLOOKUP($A144,'S49'!$C:$BQ,59,0)</f>
        <v>#N/A</v>
      </c>
      <c r="BC144" s="66" t="e">
        <f>VLOOKUP($A144,'S49'!$C:$BQ,60,0)</f>
        <v>#N/A</v>
      </c>
      <c r="BD144" s="58" t="e">
        <f>VLOOKUP($A144,'S50'!$C:$BQ,32,0)</f>
        <v>#N/A</v>
      </c>
      <c r="BE144" s="58" t="e">
        <f>VLOOKUP($A144,'S50'!$C:$BQ,39,0)</f>
        <v>#N/A</v>
      </c>
      <c r="BF144" s="58" t="e">
        <f>VLOOKUP($A144,'S50'!$C:$BQ,40,0)</f>
        <v>#N/A</v>
      </c>
      <c r="BG144" s="58" t="e">
        <f>VLOOKUP($A144,'S50'!$C:$BQ,22,0)</f>
        <v>#N/A</v>
      </c>
      <c r="BH144" s="66" t="e">
        <f>VLOOKUP($A144,'S50'!$C:$BQ,29,0)</f>
        <v>#N/A</v>
      </c>
      <c r="BI144" s="66" t="e">
        <f>VLOOKUP($A144,'S50'!$C:$BQ,30,0)</f>
        <v>#N/A</v>
      </c>
      <c r="BJ144" s="66" t="e">
        <f>VLOOKUP($A144,'S50'!$C:$BQ,52,0)</f>
        <v>#N/A</v>
      </c>
      <c r="BK144" s="66" t="e">
        <f>VLOOKUP($A144,'S50'!$C:$BQ,59,0)</f>
        <v>#N/A</v>
      </c>
      <c r="BL144" s="66" t="e">
        <f>VLOOKUP($A144,'S50'!$C:$BQ,60,0)</f>
        <v>#N/A</v>
      </c>
    </row>
    <row r="145" spans="1:64" x14ac:dyDescent="0.2">
      <c r="A145" s="57" t="s">
        <v>209</v>
      </c>
      <c r="B145" s="58">
        <f>VLOOKUP($A145,'S0 remplacer avec S44'!$C:$BQ,32,0)</f>
        <v>464.15</v>
      </c>
      <c r="C145" s="58">
        <f>VLOOKUP($A145,'S0 remplacer avec S44'!$C:$BQ,39,0)</f>
        <v>42</v>
      </c>
      <c r="D145" s="58">
        <f>VLOOKUP($A145,'S0 remplacer avec S44'!$C:$BQ,40,0)</f>
        <v>143</v>
      </c>
      <c r="E145" s="58">
        <f>VLOOKUP($A145,'S0 remplacer avec S44'!$C:$BQ,22,0)</f>
        <v>4261.0627949999998</v>
      </c>
      <c r="F145" s="66">
        <f>VLOOKUP($A145,'S0 remplacer avec S44'!$C:$BQ,29,0)</f>
        <v>336</v>
      </c>
      <c r="G145" s="66">
        <f>VLOOKUP($A145,'S0 remplacer avec S44'!$C:$BQ,30,0)</f>
        <v>1255</v>
      </c>
      <c r="H145" s="66">
        <f>VLOOKUP($A145,'S0 remplacer avec S44'!$C:$BQ,52,0)</f>
        <v>344.6</v>
      </c>
      <c r="I145" s="66">
        <f>VLOOKUP($A145,'S0 remplacer avec S44'!$C:$BQ,59,0)</f>
        <v>0</v>
      </c>
      <c r="J145" s="66">
        <f>VLOOKUP($A145,'S0 remplacer avec S44'!$C:$BQ,60,0)</f>
        <v>0</v>
      </c>
      <c r="K145" s="58">
        <f>VLOOKUP($A145,'S45'!$C:$BQ,32,0)</f>
        <v>473.85</v>
      </c>
      <c r="L145" s="58">
        <f>VLOOKUP($A145,'S45'!$C:$BQ,39,0)</f>
        <v>32</v>
      </c>
      <c r="M145" s="58">
        <f>VLOOKUP($A145,'S45'!$C:$BQ,40,0)</f>
        <v>133</v>
      </c>
      <c r="N145" s="58">
        <f>VLOOKUP($A145,'S45'!$C:$BQ,22,0)</f>
        <v>4379.0881749999999</v>
      </c>
      <c r="O145" s="66">
        <f>VLOOKUP($A145,'S45'!$C:$BQ,29,0)</f>
        <v>218</v>
      </c>
      <c r="P145" s="66">
        <f>VLOOKUP($A145,'S45'!$C:$BQ,30,0)</f>
        <v>1137</v>
      </c>
      <c r="Q145" s="66">
        <f>VLOOKUP($A145,'S45'!$C:$BQ,52,0)</f>
        <v>355.6</v>
      </c>
      <c r="R145" s="66">
        <f>VLOOKUP($A145,'S45'!$C:$BQ,59,0)</f>
        <v>0</v>
      </c>
      <c r="S145" s="66">
        <f>VLOOKUP($A145,'S45'!$C:$BQ,60,0)</f>
        <v>0</v>
      </c>
      <c r="T145" s="58">
        <f>VLOOKUP($A145,'S46'!$C:$BQ,32,0)</f>
        <v>469.55</v>
      </c>
      <c r="U145" s="58">
        <f>VLOOKUP($A145,'S46'!$C:$BQ,39,0)</f>
        <v>36</v>
      </c>
      <c r="V145" s="58">
        <f>VLOOKUP($A145,'S46'!$C:$BQ,40,0)</f>
        <v>137</v>
      </c>
      <c r="W145" s="58">
        <f>VLOOKUP($A145,'S46'!$C:$BQ,22,0)</f>
        <v>4382.3393550000001</v>
      </c>
      <c r="X145" s="66">
        <f>VLOOKUP($A145,'S46'!$C:$BQ,29,0)</f>
        <v>215</v>
      </c>
      <c r="Y145" s="66">
        <f>VLOOKUP($A145,'S46'!$C:$BQ,30,0)</f>
        <v>1134</v>
      </c>
      <c r="Z145" s="66">
        <f>VLOOKUP($A145,'S46'!$C:$BQ,52,0)</f>
        <v>358.6</v>
      </c>
      <c r="AA145" s="66">
        <f>VLOOKUP($A145,'S46'!$C:$BQ,59,0)</f>
        <v>0</v>
      </c>
      <c r="AB145" s="66">
        <f>VLOOKUP($A145,'S46'!$C:$BQ,60,0)</f>
        <v>0</v>
      </c>
      <c r="AC145" s="58">
        <f>VLOOKUP($A145,'S47'!$C:$BQ,32,0)</f>
        <v>470.05</v>
      </c>
      <c r="AD145" s="58">
        <f>VLOOKUP($A145,'S47'!$C:$BQ,39,0)</f>
        <v>36</v>
      </c>
      <c r="AE145" s="58">
        <f>VLOOKUP($A145,'S47'!$C:$BQ,40,0)</f>
        <v>137</v>
      </c>
      <c r="AF145" s="58">
        <f>VLOOKUP($A145,'S47'!$C:$BQ,22,0)</f>
        <v>4933.2632649999996</v>
      </c>
      <c r="AG145" s="66">
        <f>VLOOKUP($A145,'S47'!$C:$BQ,29,0)</f>
        <v>0</v>
      </c>
      <c r="AH145" s="66">
        <f>VLOOKUP($A145,'S47'!$C:$BQ,30,0)</f>
        <v>583</v>
      </c>
      <c r="AI145" s="66">
        <f>VLOOKUP($A145,'S47'!$C:$BQ,52,0)</f>
        <v>365.6</v>
      </c>
      <c r="AJ145" s="66">
        <f>VLOOKUP($A145,'S47'!$C:$BQ,59,0)</f>
        <v>0</v>
      </c>
      <c r="AK145" s="66">
        <f>VLOOKUP($A145,'S47'!$C:$BQ,60,0)</f>
        <v>0</v>
      </c>
      <c r="AL145" s="58" t="e">
        <f>VLOOKUP($A145,'S48'!$C:$BQ,32,0)</f>
        <v>#N/A</v>
      </c>
      <c r="AM145" s="58" t="e">
        <f>VLOOKUP($A145,'S48'!$C:$BQ,39,0)</f>
        <v>#N/A</v>
      </c>
      <c r="AN145" s="58" t="e">
        <f>VLOOKUP($A145,'S48'!$C:$BQ,40,0)</f>
        <v>#N/A</v>
      </c>
      <c r="AO145" s="58" t="e">
        <f>VLOOKUP($A145,'S48'!$C:$BQ,22,0)</f>
        <v>#N/A</v>
      </c>
      <c r="AP145" s="66" t="e">
        <f>VLOOKUP($A145,'S48'!$C:$BQ,29,0)</f>
        <v>#N/A</v>
      </c>
      <c r="AQ145" s="66" t="e">
        <f>VLOOKUP($A145,'S48'!$C:$BQ,30,0)</f>
        <v>#N/A</v>
      </c>
      <c r="AR145" s="66" t="e">
        <f>VLOOKUP($A145,'S48'!$C:$BQ,52,0)</f>
        <v>#N/A</v>
      </c>
      <c r="AS145" s="66" t="e">
        <f>VLOOKUP($A145,'S48'!$C:$BQ,59,0)</f>
        <v>#N/A</v>
      </c>
      <c r="AT145" s="66" t="e">
        <f>VLOOKUP($A145,'S48'!$C:$BQ,60,0)</f>
        <v>#N/A</v>
      </c>
      <c r="AU145" s="58" t="e">
        <f>VLOOKUP($A145,'S49'!$C:$BQ,32,0)</f>
        <v>#N/A</v>
      </c>
      <c r="AV145" s="58" t="e">
        <f>VLOOKUP($A145,'S49'!$C:$BQ,39,0)</f>
        <v>#N/A</v>
      </c>
      <c r="AW145" s="58" t="e">
        <f>VLOOKUP($A145,'S49'!$C:$BQ,40,0)</f>
        <v>#N/A</v>
      </c>
      <c r="AX145" s="58" t="e">
        <f>VLOOKUP($A145,'S49'!$C:$BQ,22,0)</f>
        <v>#N/A</v>
      </c>
      <c r="AY145" s="66" t="e">
        <f>VLOOKUP($A145,'S49'!$C:$BQ,29,0)</f>
        <v>#N/A</v>
      </c>
      <c r="AZ145" s="66" t="e">
        <f>VLOOKUP($A145,'S49'!$C:$BQ,30,0)</f>
        <v>#N/A</v>
      </c>
      <c r="BA145" s="66" t="e">
        <f>VLOOKUP($A145,'S49'!$C:$BQ,52,0)</f>
        <v>#N/A</v>
      </c>
      <c r="BB145" s="66" t="e">
        <f>VLOOKUP($A145,'S49'!$C:$BQ,59,0)</f>
        <v>#N/A</v>
      </c>
      <c r="BC145" s="66" t="e">
        <f>VLOOKUP($A145,'S49'!$C:$BQ,60,0)</f>
        <v>#N/A</v>
      </c>
      <c r="BD145" s="58" t="e">
        <f>VLOOKUP($A145,'S50'!$C:$BQ,32,0)</f>
        <v>#N/A</v>
      </c>
      <c r="BE145" s="58" t="e">
        <f>VLOOKUP($A145,'S50'!$C:$BQ,39,0)</f>
        <v>#N/A</v>
      </c>
      <c r="BF145" s="58" t="e">
        <f>VLOOKUP($A145,'S50'!$C:$BQ,40,0)</f>
        <v>#N/A</v>
      </c>
      <c r="BG145" s="58" t="e">
        <f>VLOOKUP($A145,'S50'!$C:$BQ,22,0)</f>
        <v>#N/A</v>
      </c>
      <c r="BH145" s="66" t="e">
        <f>VLOOKUP($A145,'S50'!$C:$BQ,29,0)</f>
        <v>#N/A</v>
      </c>
      <c r="BI145" s="66" t="e">
        <f>VLOOKUP($A145,'S50'!$C:$BQ,30,0)</f>
        <v>#N/A</v>
      </c>
      <c r="BJ145" s="66" t="e">
        <f>VLOOKUP($A145,'S50'!$C:$BQ,52,0)</f>
        <v>#N/A</v>
      </c>
      <c r="BK145" s="66" t="e">
        <f>VLOOKUP($A145,'S50'!$C:$BQ,59,0)</f>
        <v>#N/A</v>
      </c>
      <c r="BL145" s="66" t="e">
        <f>VLOOKUP($A145,'S50'!$C:$BQ,60,0)</f>
        <v>#N/A</v>
      </c>
    </row>
    <row r="146" spans="1:64" x14ac:dyDescent="0.2">
      <c r="A146" s="57" t="s">
        <v>210</v>
      </c>
      <c r="B146" s="58">
        <f>VLOOKUP($A146,'S0 remplacer avec S44'!$C:$BQ,32,0)</f>
        <v>240.4</v>
      </c>
      <c r="C146" s="58">
        <f>VLOOKUP($A146,'S0 remplacer avec S44'!$C:$BQ,39,0)</f>
        <v>0</v>
      </c>
      <c r="D146" s="58">
        <f>VLOOKUP($A146,'S0 remplacer avec S44'!$C:$BQ,40,0)</f>
        <v>40</v>
      </c>
      <c r="E146" s="58">
        <f>VLOOKUP($A146,'S0 remplacer avec S44'!$C:$BQ,22,0)</f>
        <v>2492.0674049999998</v>
      </c>
      <c r="F146" s="66">
        <f>VLOOKUP($A146,'S0 remplacer avec S44'!$C:$BQ,29,0)</f>
        <v>0</v>
      </c>
      <c r="G146" s="66">
        <f>VLOOKUP($A146,'S0 remplacer avec S44'!$C:$BQ,30,0)</f>
        <v>50</v>
      </c>
      <c r="H146" s="66">
        <f>VLOOKUP($A146,'S0 remplacer avec S44'!$C:$BQ,52,0)</f>
        <v>204</v>
      </c>
      <c r="I146" s="66">
        <f>VLOOKUP($A146,'S0 remplacer avec S44'!$C:$BQ,59,0)</f>
        <v>0</v>
      </c>
      <c r="J146" s="66">
        <f>VLOOKUP($A146,'S0 remplacer avec S44'!$C:$BQ,60,0)</f>
        <v>0</v>
      </c>
      <c r="K146" s="58">
        <f>VLOOKUP($A146,'S45'!$C:$BQ,32,0)</f>
        <v>242.4</v>
      </c>
      <c r="L146" s="58">
        <f>VLOOKUP($A146,'S45'!$C:$BQ,39,0)</f>
        <v>0</v>
      </c>
      <c r="M146" s="58">
        <f>VLOOKUP($A146,'S45'!$C:$BQ,40,0)</f>
        <v>38</v>
      </c>
      <c r="N146" s="58">
        <f>VLOOKUP($A146,'S45'!$C:$BQ,22,0)</f>
        <v>2503.112725</v>
      </c>
      <c r="O146" s="66">
        <f>VLOOKUP($A146,'S45'!$C:$BQ,29,0)</f>
        <v>0</v>
      </c>
      <c r="P146" s="66">
        <f>VLOOKUP($A146,'S45'!$C:$BQ,30,0)</f>
        <v>39</v>
      </c>
      <c r="Q146" s="66">
        <f>VLOOKUP($A146,'S45'!$C:$BQ,52,0)</f>
        <v>205</v>
      </c>
      <c r="R146" s="66">
        <f>VLOOKUP($A146,'S45'!$C:$BQ,59,0)</f>
        <v>0</v>
      </c>
      <c r="S146" s="66">
        <f>VLOOKUP($A146,'S45'!$C:$BQ,60,0)</f>
        <v>0</v>
      </c>
      <c r="T146" s="58">
        <f>VLOOKUP($A146,'S46'!$C:$BQ,32,0)</f>
        <v>241.4</v>
      </c>
      <c r="U146" s="58">
        <f>VLOOKUP($A146,'S46'!$C:$BQ,39,0)</f>
        <v>0</v>
      </c>
      <c r="V146" s="58">
        <f>VLOOKUP($A146,'S46'!$C:$BQ,40,0)</f>
        <v>39</v>
      </c>
      <c r="W146" s="58">
        <f>VLOOKUP($A146,'S46'!$C:$BQ,22,0)</f>
        <v>2504.3202350000001</v>
      </c>
      <c r="X146" s="66">
        <f>VLOOKUP($A146,'S46'!$C:$BQ,29,0)</f>
        <v>0</v>
      </c>
      <c r="Y146" s="66">
        <f>VLOOKUP($A146,'S46'!$C:$BQ,30,0)</f>
        <v>37</v>
      </c>
      <c r="Z146" s="66">
        <f>VLOOKUP($A146,'S46'!$C:$BQ,52,0)</f>
        <v>205</v>
      </c>
      <c r="AA146" s="66">
        <f>VLOOKUP($A146,'S46'!$C:$BQ,59,0)</f>
        <v>0</v>
      </c>
      <c r="AB146" s="66">
        <f>VLOOKUP($A146,'S46'!$C:$BQ,60,0)</f>
        <v>0</v>
      </c>
      <c r="AC146" s="58">
        <f>VLOOKUP($A146,'S47'!$C:$BQ,32,0)</f>
        <v>251.4</v>
      </c>
      <c r="AD146" s="58">
        <f>VLOOKUP($A146,'S47'!$C:$BQ,39,0)</f>
        <v>0</v>
      </c>
      <c r="AE146" s="58">
        <f>VLOOKUP($A146,'S47'!$C:$BQ,40,0)</f>
        <v>29</v>
      </c>
      <c r="AF146" s="58">
        <f>VLOOKUP($A146,'S47'!$C:$BQ,22,0)</f>
        <v>2540.845335</v>
      </c>
      <c r="AG146" s="66">
        <f>VLOOKUP($A146,'S47'!$C:$BQ,29,0)</f>
        <v>0</v>
      </c>
      <c r="AH146" s="66">
        <f>VLOOKUP($A146,'S47'!$C:$BQ,30,0)</f>
        <v>1</v>
      </c>
      <c r="AI146" s="66">
        <f>VLOOKUP($A146,'S47'!$C:$BQ,52,0)</f>
        <v>207</v>
      </c>
      <c r="AJ146" s="66">
        <f>VLOOKUP($A146,'S47'!$C:$BQ,59,0)</f>
        <v>0</v>
      </c>
      <c r="AK146" s="66">
        <f>VLOOKUP($A146,'S47'!$C:$BQ,60,0)</f>
        <v>0</v>
      </c>
      <c r="AL146" s="58" t="e">
        <f>VLOOKUP($A146,'S48'!$C:$BQ,32,0)</f>
        <v>#N/A</v>
      </c>
      <c r="AM146" s="58" t="e">
        <f>VLOOKUP($A146,'S48'!$C:$BQ,39,0)</f>
        <v>#N/A</v>
      </c>
      <c r="AN146" s="58" t="e">
        <f>VLOOKUP($A146,'S48'!$C:$BQ,40,0)</f>
        <v>#N/A</v>
      </c>
      <c r="AO146" s="58" t="e">
        <f>VLOOKUP($A146,'S48'!$C:$BQ,22,0)</f>
        <v>#N/A</v>
      </c>
      <c r="AP146" s="66" t="e">
        <f>VLOOKUP($A146,'S48'!$C:$BQ,29,0)</f>
        <v>#N/A</v>
      </c>
      <c r="AQ146" s="66" t="e">
        <f>VLOOKUP($A146,'S48'!$C:$BQ,30,0)</f>
        <v>#N/A</v>
      </c>
      <c r="AR146" s="66" t="e">
        <f>VLOOKUP($A146,'S48'!$C:$BQ,52,0)</f>
        <v>#N/A</v>
      </c>
      <c r="AS146" s="66" t="e">
        <f>VLOOKUP($A146,'S48'!$C:$BQ,59,0)</f>
        <v>#N/A</v>
      </c>
      <c r="AT146" s="66" t="e">
        <f>VLOOKUP($A146,'S48'!$C:$BQ,60,0)</f>
        <v>#N/A</v>
      </c>
      <c r="AU146" s="58" t="e">
        <f>VLOOKUP($A146,'S49'!$C:$BQ,32,0)</f>
        <v>#N/A</v>
      </c>
      <c r="AV146" s="58" t="e">
        <f>VLOOKUP($A146,'S49'!$C:$BQ,39,0)</f>
        <v>#N/A</v>
      </c>
      <c r="AW146" s="58" t="e">
        <f>VLOOKUP($A146,'S49'!$C:$BQ,40,0)</f>
        <v>#N/A</v>
      </c>
      <c r="AX146" s="58" t="e">
        <f>VLOOKUP($A146,'S49'!$C:$BQ,22,0)</f>
        <v>#N/A</v>
      </c>
      <c r="AY146" s="66" t="e">
        <f>VLOOKUP($A146,'S49'!$C:$BQ,29,0)</f>
        <v>#N/A</v>
      </c>
      <c r="AZ146" s="66" t="e">
        <f>VLOOKUP($A146,'S49'!$C:$BQ,30,0)</f>
        <v>#N/A</v>
      </c>
      <c r="BA146" s="66" t="e">
        <f>VLOOKUP($A146,'S49'!$C:$BQ,52,0)</f>
        <v>#N/A</v>
      </c>
      <c r="BB146" s="66" t="e">
        <f>VLOOKUP($A146,'S49'!$C:$BQ,59,0)</f>
        <v>#N/A</v>
      </c>
      <c r="BC146" s="66" t="e">
        <f>VLOOKUP($A146,'S49'!$C:$BQ,60,0)</f>
        <v>#N/A</v>
      </c>
      <c r="BD146" s="58" t="e">
        <f>VLOOKUP($A146,'S50'!$C:$BQ,32,0)</f>
        <v>#N/A</v>
      </c>
      <c r="BE146" s="58" t="e">
        <f>VLOOKUP($A146,'S50'!$C:$BQ,39,0)</f>
        <v>#N/A</v>
      </c>
      <c r="BF146" s="58" t="e">
        <f>VLOOKUP($A146,'S50'!$C:$BQ,40,0)</f>
        <v>#N/A</v>
      </c>
      <c r="BG146" s="58" t="e">
        <f>VLOOKUP($A146,'S50'!$C:$BQ,22,0)</f>
        <v>#N/A</v>
      </c>
      <c r="BH146" s="66" t="e">
        <f>VLOOKUP($A146,'S50'!$C:$BQ,29,0)</f>
        <v>#N/A</v>
      </c>
      <c r="BI146" s="66" t="e">
        <f>VLOOKUP($A146,'S50'!$C:$BQ,30,0)</f>
        <v>#N/A</v>
      </c>
      <c r="BJ146" s="66" t="e">
        <f>VLOOKUP($A146,'S50'!$C:$BQ,52,0)</f>
        <v>#N/A</v>
      </c>
      <c r="BK146" s="66" t="e">
        <f>VLOOKUP($A146,'S50'!$C:$BQ,59,0)</f>
        <v>#N/A</v>
      </c>
      <c r="BL146" s="66" t="e">
        <f>VLOOKUP($A146,'S50'!$C:$BQ,60,0)</f>
        <v>#N/A</v>
      </c>
    </row>
    <row r="147" spans="1:64" x14ac:dyDescent="0.2">
      <c r="A147" s="57" t="s">
        <v>211</v>
      </c>
      <c r="B147" s="58">
        <f>VLOOKUP($A147,'S0 remplacer avec S44'!$C:$BQ,32,0)</f>
        <v>176.05</v>
      </c>
      <c r="C147" s="58">
        <f>VLOOKUP($A147,'S0 remplacer avec S44'!$C:$BQ,39,0)</f>
        <v>1</v>
      </c>
      <c r="D147" s="58">
        <f>VLOOKUP($A147,'S0 remplacer avec S44'!$C:$BQ,40,0)</f>
        <v>37</v>
      </c>
      <c r="E147" s="58">
        <f>VLOOKUP($A147,'S0 remplacer avec S44'!$C:$BQ,22,0)</f>
        <v>1732.9791700000001</v>
      </c>
      <c r="F147" s="66">
        <f>VLOOKUP($A147,'S0 remplacer avec S44'!$C:$BQ,29,0)</f>
        <v>0</v>
      </c>
      <c r="G147" s="66">
        <f>VLOOKUP($A147,'S0 remplacer avec S44'!$C:$BQ,30,0)</f>
        <v>197</v>
      </c>
      <c r="H147" s="66">
        <f>VLOOKUP($A147,'S0 remplacer avec S44'!$C:$BQ,52,0)</f>
        <v>160.4</v>
      </c>
      <c r="I147" s="66">
        <f>VLOOKUP($A147,'S0 remplacer avec S44'!$C:$BQ,59,0)</f>
        <v>0</v>
      </c>
      <c r="J147" s="66">
        <f>VLOOKUP($A147,'S0 remplacer avec S44'!$C:$BQ,60,0)</f>
        <v>0</v>
      </c>
      <c r="K147" s="58">
        <f>VLOOKUP($A147,'S45'!$C:$BQ,32,0)</f>
        <v>178.15</v>
      </c>
      <c r="L147" s="58">
        <f>VLOOKUP($A147,'S45'!$C:$BQ,39,0)</f>
        <v>0</v>
      </c>
      <c r="M147" s="58">
        <f>VLOOKUP($A147,'S45'!$C:$BQ,40,0)</f>
        <v>34</v>
      </c>
      <c r="N147" s="58">
        <f>VLOOKUP($A147,'S45'!$C:$BQ,22,0)</f>
        <v>1775.2221999999999</v>
      </c>
      <c r="O147" s="66">
        <f>VLOOKUP($A147,'S45'!$C:$BQ,29,0)</f>
        <v>0</v>
      </c>
      <c r="P147" s="66">
        <f>VLOOKUP($A147,'S45'!$C:$BQ,30,0)</f>
        <v>155</v>
      </c>
      <c r="Q147" s="66">
        <f>VLOOKUP($A147,'S45'!$C:$BQ,52,0)</f>
        <v>163.4</v>
      </c>
      <c r="R147" s="66">
        <f>VLOOKUP($A147,'S45'!$C:$BQ,59,0)</f>
        <v>0</v>
      </c>
      <c r="S147" s="66">
        <f>VLOOKUP($A147,'S45'!$C:$BQ,60,0)</f>
        <v>0</v>
      </c>
      <c r="T147" s="58">
        <f>VLOOKUP($A147,'S46'!$C:$BQ,32,0)</f>
        <v>178.15</v>
      </c>
      <c r="U147" s="58">
        <f>VLOOKUP($A147,'S46'!$C:$BQ,39,0)</f>
        <v>0</v>
      </c>
      <c r="V147" s="58">
        <f>VLOOKUP($A147,'S46'!$C:$BQ,40,0)</f>
        <v>34</v>
      </c>
      <c r="W147" s="58">
        <f>VLOOKUP($A147,'S46'!$C:$BQ,22,0)</f>
        <v>1775.0390500000001</v>
      </c>
      <c r="X147" s="66">
        <f>VLOOKUP($A147,'S46'!$C:$BQ,29,0)</f>
        <v>0</v>
      </c>
      <c r="Y147" s="66">
        <f>VLOOKUP($A147,'S46'!$C:$BQ,30,0)</f>
        <v>155</v>
      </c>
      <c r="Z147" s="66">
        <f>VLOOKUP($A147,'S46'!$C:$BQ,52,0)</f>
        <v>164.4</v>
      </c>
      <c r="AA147" s="66">
        <f>VLOOKUP($A147,'S46'!$C:$BQ,59,0)</f>
        <v>0</v>
      </c>
      <c r="AB147" s="66">
        <f>VLOOKUP($A147,'S46'!$C:$BQ,60,0)</f>
        <v>0</v>
      </c>
      <c r="AC147" s="58">
        <f>VLOOKUP($A147,'S47'!$C:$BQ,32,0)</f>
        <v>177.65</v>
      </c>
      <c r="AD147" s="58">
        <f>VLOOKUP($A147,'S47'!$C:$BQ,39,0)</f>
        <v>0</v>
      </c>
      <c r="AE147" s="58">
        <f>VLOOKUP($A147,'S47'!$C:$BQ,40,0)</f>
        <v>35</v>
      </c>
      <c r="AF147" s="58">
        <f>VLOOKUP($A147,'S47'!$C:$BQ,22,0)</f>
        <v>1785.2129600000001</v>
      </c>
      <c r="AG147" s="66">
        <f>VLOOKUP($A147,'S47'!$C:$BQ,29,0)</f>
        <v>0</v>
      </c>
      <c r="AH147" s="66">
        <f>VLOOKUP($A147,'S47'!$C:$BQ,30,0)</f>
        <v>145</v>
      </c>
      <c r="AI147" s="66">
        <f>VLOOKUP($A147,'S47'!$C:$BQ,52,0)</f>
        <v>164.4</v>
      </c>
      <c r="AJ147" s="66">
        <f>VLOOKUP($A147,'S47'!$C:$BQ,59,0)</f>
        <v>0</v>
      </c>
      <c r="AK147" s="66">
        <f>VLOOKUP($A147,'S47'!$C:$BQ,60,0)</f>
        <v>0</v>
      </c>
      <c r="AL147" s="58" t="e">
        <f>VLOOKUP($A147,'S48'!$C:$BQ,32,0)</f>
        <v>#N/A</v>
      </c>
      <c r="AM147" s="58" t="e">
        <f>VLOOKUP($A147,'S48'!$C:$BQ,39,0)</f>
        <v>#N/A</v>
      </c>
      <c r="AN147" s="58" t="e">
        <f>VLOOKUP($A147,'S48'!$C:$BQ,40,0)</f>
        <v>#N/A</v>
      </c>
      <c r="AO147" s="58" t="e">
        <f>VLOOKUP($A147,'S48'!$C:$BQ,22,0)</f>
        <v>#N/A</v>
      </c>
      <c r="AP147" s="66" t="e">
        <f>VLOOKUP($A147,'S48'!$C:$BQ,29,0)</f>
        <v>#N/A</v>
      </c>
      <c r="AQ147" s="66" t="e">
        <f>VLOOKUP($A147,'S48'!$C:$BQ,30,0)</f>
        <v>#N/A</v>
      </c>
      <c r="AR147" s="66" t="e">
        <f>VLOOKUP($A147,'S48'!$C:$BQ,52,0)</f>
        <v>#N/A</v>
      </c>
      <c r="AS147" s="66" t="e">
        <f>VLOOKUP($A147,'S48'!$C:$BQ,59,0)</f>
        <v>#N/A</v>
      </c>
      <c r="AT147" s="66" t="e">
        <f>VLOOKUP($A147,'S48'!$C:$BQ,60,0)</f>
        <v>#N/A</v>
      </c>
      <c r="AU147" s="58" t="e">
        <f>VLOOKUP($A147,'S49'!$C:$BQ,32,0)</f>
        <v>#N/A</v>
      </c>
      <c r="AV147" s="58" t="e">
        <f>VLOOKUP($A147,'S49'!$C:$BQ,39,0)</f>
        <v>#N/A</v>
      </c>
      <c r="AW147" s="58" t="e">
        <f>VLOOKUP($A147,'S49'!$C:$BQ,40,0)</f>
        <v>#N/A</v>
      </c>
      <c r="AX147" s="58" t="e">
        <f>VLOOKUP($A147,'S49'!$C:$BQ,22,0)</f>
        <v>#N/A</v>
      </c>
      <c r="AY147" s="66" t="e">
        <f>VLOOKUP($A147,'S49'!$C:$BQ,29,0)</f>
        <v>#N/A</v>
      </c>
      <c r="AZ147" s="66" t="e">
        <f>VLOOKUP($A147,'S49'!$C:$BQ,30,0)</f>
        <v>#N/A</v>
      </c>
      <c r="BA147" s="66" t="e">
        <f>VLOOKUP($A147,'S49'!$C:$BQ,52,0)</f>
        <v>#N/A</v>
      </c>
      <c r="BB147" s="66" t="e">
        <f>VLOOKUP($A147,'S49'!$C:$BQ,59,0)</f>
        <v>#N/A</v>
      </c>
      <c r="BC147" s="66" t="e">
        <f>VLOOKUP($A147,'S49'!$C:$BQ,60,0)</f>
        <v>#N/A</v>
      </c>
      <c r="BD147" s="58" t="e">
        <f>VLOOKUP($A147,'S50'!$C:$BQ,32,0)</f>
        <v>#N/A</v>
      </c>
      <c r="BE147" s="58" t="e">
        <f>VLOOKUP($A147,'S50'!$C:$BQ,39,0)</f>
        <v>#N/A</v>
      </c>
      <c r="BF147" s="58" t="e">
        <f>VLOOKUP($A147,'S50'!$C:$BQ,40,0)</f>
        <v>#N/A</v>
      </c>
      <c r="BG147" s="58" t="e">
        <f>VLOOKUP($A147,'S50'!$C:$BQ,22,0)</f>
        <v>#N/A</v>
      </c>
      <c r="BH147" s="66" t="e">
        <f>VLOOKUP($A147,'S50'!$C:$BQ,29,0)</f>
        <v>#N/A</v>
      </c>
      <c r="BI147" s="66" t="e">
        <f>VLOOKUP($A147,'S50'!$C:$BQ,30,0)</f>
        <v>#N/A</v>
      </c>
      <c r="BJ147" s="66" t="e">
        <f>VLOOKUP($A147,'S50'!$C:$BQ,52,0)</f>
        <v>#N/A</v>
      </c>
      <c r="BK147" s="66" t="e">
        <f>VLOOKUP($A147,'S50'!$C:$BQ,59,0)</f>
        <v>#N/A</v>
      </c>
      <c r="BL147" s="66" t="e">
        <f>VLOOKUP($A147,'S50'!$C:$BQ,60,0)</f>
        <v>#N/A</v>
      </c>
    </row>
    <row r="148" spans="1:64" x14ac:dyDescent="0.2">
      <c r="A148" s="57" t="s">
        <v>212</v>
      </c>
      <c r="B148" s="58">
        <f>VLOOKUP($A148,'S0 remplacer avec S44'!$C:$BQ,32,0)</f>
        <v>216.45</v>
      </c>
      <c r="C148" s="58">
        <f>VLOOKUP($A148,'S0 remplacer avec S44'!$C:$BQ,39,0)</f>
        <v>19</v>
      </c>
      <c r="D148" s="58">
        <f>VLOOKUP($A148,'S0 remplacer avec S44'!$C:$BQ,40,0)</f>
        <v>66</v>
      </c>
      <c r="E148" s="58">
        <f>VLOOKUP($A148,'S0 remplacer avec S44'!$C:$BQ,22,0)</f>
        <v>1681.955305</v>
      </c>
      <c r="F148" s="66">
        <f>VLOOKUP($A148,'S0 remplacer avec S44'!$C:$BQ,29,0)</f>
        <v>453</v>
      </c>
      <c r="G148" s="66">
        <f>VLOOKUP($A148,'S0 remplacer avec S44'!$C:$BQ,30,0)</f>
        <v>880</v>
      </c>
      <c r="H148" s="66">
        <f>VLOOKUP($A148,'S0 remplacer avec S44'!$C:$BQ,52,0)</f>
        <v>195.2</v>
      </c>
      <c r="I148" s="66">
        <f>VLOOKUP($A148,'S0 remplacer avec S44'!$C:$BQ,59,0)</f>
        <v>0</v>
      </c>
      <c r="J148" s="66">
        <f>VLOOKUP($A148,'S0 remplacer avec S44'!$C:$BQ,60,0)</f>
        <v>0</v>
      </c>
      <c r="K148" s="58">
        <f>VLOOKUP($A148,'S45'!$C:$BQ,32,0)</f>
        <v>221.45</v>
      </c>
      <c r="L148" s="58">
        <f>VLOOKUP($A148,'S45'!$C:$BQ,39,0)</f>
        <v>14</v>
      </c>
      <c r="M148" s="58">
        <f>VLOOKUP($A148,'S45'!$C:$BQ,40,0)</f>
        <v>61</v>
      </c>
      <c r="N148" s="58">
        <f>VLOOKUP($A148,'S45'!$C:$BQ,22,0)</f>
        <v>1703.938165</v>
      </c>
      <c r="O148" s="66">
        <f>VLOOKUP($A148,'S45'!$C:$BQ,29,0)</f>
        <v>431</v>
      </c>
      <c r="P148" s="66">
        <f>VLOOKUP($A148,'S45'!$C:$BQ,30,0)</f>
        <v>858</v>
      </c>
      <c r="Q148" s="66">
        <f>VLOOKUP($A148,'S45'!$C:$BQ,52,0)</f>
        <v>196.2</v>
      </c>
      <c r="R148" s="66">
        <f>VLOOKUP($A148,'S45'!$C:$BQ,59,0)</f>
        <v>0</v>
      </c>
      <c r="S148" s="66">
        <f>VLOOKUP($A148,'S45'!$C:$BQ,60,0)</f>
        <v>0</v>
      </c>
      <c r="T148" s="58">
        <f>VLOOKUP($A148,'S46'!$C:$BQ,32,0)</f>
        <v>221.95</v>
      </c>
      <c r="U148" s="58">
        <f>VLOOKUP($A148,'S46'!$C:$BQ,39,0)</f>
        <v>13</v>
      </c>
      <c r="V148" s="58">
        <f>VLOOKUP($A148,'S46'!$C:$BQ,40,0)</f>
        <v>60</v>
      </c>
      <c r="W148" s="58">
        <f>VLOOKUP($A148,'S46'!$C:$BQ,22,0)</f>
        <v>1741.1142749999999</v>
      </c>
      <c r="X148" s="66">
        <f>VLOOKUP($A148,'S46'!$C:$BQ,29,0)</f>
        <v>394</v>
      </c>
      <c r="Y148" s="66">
        <f>VLOOKUP($A148,'S46'!$C:$BQ,30,0)</f>
        <v>821</v>
      </c>
      <c r="Z148" s="66">
        <f>VLOOKUP($A148,'S46'!$C:$BQ,52,0)</f>
        <v>196.2</v>
      </c>
      <c r="AA148" s="66">
        <f>VLOOKUP($A148,'S46'!$C:$BQ,59,0)</f>
        <v>0</v>
      </c>
      <c r="AB148" s="66">
        <f>VLOOKUP($A148,'S46'!$C:$BQ,60,0)</f>
        <v>0</v>
      </c>
      <c r="AC148" s="58">
        <f>VLOOKUP($A148,'S47'!$C:$BQ,32,0)</f>
        <v>222.95</v>
      </c>
      <c r="AD148" s="58">
        <f>VLOOKUP($A148,'S47'!$C:$BQ,39,0)</f>
        <v>12</v>
      </c>
      <c r="AE148" s="58">
        <f>VLOOKUP($A148,'S47'!$C:$BQ,40,0)</f>
        <v>59</v>
      </c>
      <c r="AF148" s="58">
        <f>VLOOKUP($A148,'S47'!$C:$BQ,22,0)</f>
        <v>1870.709255</v>
      </c>
      <c r="AG148" s="66">
        <f>VLOOKUP($A148,'S47'!$C:$BQ,29,0)</f>
        <v>264</v>
      </c>
      <c r="AH148" s="66">
        <f>VLOOKUP($A148,'S47'!$C:$BQ,30,0)</f>
        <v>691</v>
      </c>
      <c r="AI148" s="66">
        <f>VLOOKUP($A148,'S47'!$C:$BQ,52,0)</f>
        <v>196.2</v>
      </c>
      <c r="AJ148" s="66">
        <f>VLOOKUP($A148,'S47'!$C:$BQ,59,0)</f>
        <v>0</v>
      </c>
      <c r="AK148" s="66">
        <f>VLOOKUP($A148,'S47'!$C:$BQ,60,0)</f>
        <v>0</v>
      </c>
      <c r="AL148" s="58" t="e">
        <f>VLOOKUP($A148,'S48'!$C:$BQ,32,0)</f>
        <v>#N/A</v>
      </c>
      <c r="AM148" s="58" t="e">
        <f>VLOOKUP($A148,'S48'!$C:$BQ,39,0)</f>
        <v>#N/A</v>
      </c>
      <c r="AN148" s="58" t="e">
        <f>VLOOKUP($A148,'S48'!$C:$BQ,40,0)</f>
        <v>#N/A</v>
      </c>
      <c r="AO148" s="58" t="e">
        <f>VLOOKUP($A148,'S48'!$C:$BQ,22,0)</f>
        <v>#N/A</v>
      </c>
      <c r="AP148" s="66" t="e">
        <f>VLOOKUP($A148,'S48'!$C:$BQ,29,0)</f>
        <v>#N/A</v>
      </c>
      <c r="AQ148" s="66" t="e">
        <f>VLOOKUP($A148,'S48'!$C:$BQ,30,0)</f>
        <v>#N/A</v>
      </c>
      <c r="AR148" s="66" t="e">
        <f>VLOOKUP($A148,'S48'!$C:$BQ,52,0)</f>
        <v>#N/A</v>
      </c>
      <c r="AS148" s="66" t="e">
        <f>VLOOKUP($A148,'S48'!$C:$BQ,59,0)</f>
        <v>#N/A</v>
      </c>
      <c r="AT148" s="66" t="e">
        <f>VLOOKUP($A148,'S48'!$C:$BQ,60,0)</f>
        <v>#N/A</v>
      </c>
      <c r="AU148" s="58" t="e">
        <f>VLOOKUP($A148,'S49'!$C:$BQ,32,0)</f>
        <v>#N/A</v>
      </c>
      <c r="AV148" s="58" t="e">
        <f>VLOOKUP($A148,'S49'!$C:$BQ,39,0)</f>
        <v>#N/A</v>
      </c>
      <c r="AW148" s="58" t="e">
        <f>VLOOKUP($A148,'S49'!$C:$BQ,40,0)</f>
        <v>#N/A</v>
      </c>
      <c r="AX148" s="58" t="e">
        <f>VLOOKUP($A148,'S49'!$C:$BQ,22,0)</f>
        <v>#N/A</v>
      </c>
      <c r="AY148" s="66" t="e">
        <f>VLOOKUP($A148,'S49'!$C:$BQ,29,0)</f>
        <v>#N/A</v>
      </c>
      <c r="AZ148" s="66" t="e">
        <f>VLOOKUP($A148,'S49'!$C:$BQ,30,0)</f>
        <v>#N/A</v>
      </c>
      <c r="BA148" s="66" t="e">
        <f>VLOOKUP($A148,'S49'!$C:$BQ,52,0)</f>
        <v>#N/A</v>
      </c>
      <c r="BB148" s="66" t="e">
        <f>VLOOKUP($A148,'S49'!$C:$BQ,59,0)</f>
        <v>#N/A</v>
      </c>
      <c r="BC148" s="66" t="e">
        <f>VLOOKUP($A148,'S49'!$C:$BQ,60,0)</f>
        <v>#N/A</v>
      </c>
      <c r="BD148" s="58" t="e">
        <f>VLOOKUP($A148,'S50'!$C:$BQ,32,0)</f>
        <v>#N/A</v>
      </c>
      <c r="BE148" s="58" t="e">
        <f>VLOOKUP($A148,'S50'!$C:$BQ,39,0)</f>
        <v>#N/A</v>
      </c>
      <c r="BF148" s="58" t="e">
        <f>VLOOKUP($A148,'S50'!$C:$BQ,40,0)</f>
        <v>#N/A</v>
      </c>
      <c r="BG148" s="58" t="e">
        <f>VLOOKUP($A148,'S50'!$C:$BQ,22,0)</f>
        <v>#N/A</v>
      </c>
      <c r="BH148" s="66" t="e">
        <f>VLOOKUP($A148,'S50'!$C:$BQ,29,0)</f>
        <v>#N/A</v>
      </c>
      <c r="BI148" s="66" t="e">
        <f>VLOOKUP($A148,'S50'!$C:$BQ,30,0)</f>
        <v>#N/A</v>
      </c>
      <c r="BJ148" s="66" t="e">
        <f>VLOOKUP($A148,'S50'!$C:$BQ,52,0)</f>
        <v>#N/A</v>
      </c>
      <c r="BK148" s="66" t="e">
        <f>VLOOKUP($A148,'S50'!$C:$BQ,59,0)</f>
        <v>#N/A</v>
      </c>
      <c r="BL148" s="66" t="e">
        <f>VLOOKUP($A148,'S50'!$C:$BQ,60,0)</f>
        <v>#N/A</v>
      </c>
    </row>
    <row r="149" spans="1:64" x14ac:dyDescent="0.2">
      <c r="A149" s="57" t="s">
        <v>213</v>
      </c>
      <c r="B149" s="58">
        <f>VLOOKUP($A149,'S0 remplacer avec S44'!$C:$BQ,32,0)</f>
        <v>281.3</v>
      </c>
      <c r="C149" s="58">
        <f>VLOOKUP($A149,'S0 remplacer avec S44'!$C:$BQ,39,0)</f>
        <v>219</v>
      </c>
      <c r="D149" s="58">
        <f>VLOOKUP($A149,'S0 remplacer avec S44'!$C:$BQ,40,0)</f>
        <v>319</v>
      </c>
      <c r="E149" s="58">
        <f>VLOOKUP($A149,'S0 remplacer avec S44'!$C:$BQ,22,0)</f>
        <v>2932.4932050000002</v>
      </c>
      <c r="F149" s="66">
        <f>VLOOKUP($A149,'S0 remplacer avec S44'!$C:$BQ,29,0)</f>
        <v>1613</v>
      </c>
      <c r="G149" s="66">
        <f>VLOOKUP($A149,'S0 remplacer avec S44'!$C:$BQ,30,0)</f>
        <v>2522</v>
      </c>
      <c r="H149" s="66">
        <f>VLOOKUP($A149,'S0 remplacer avec S44'!$C:$BQ,52,0)</f>
        <v>246.4</v>
      </c>
      <c r="I149" s="66">
        <f>VLOOKUP($A149,'S0 remplacer avec S44'!$C:$BQ,59,0)</f>
        <v>8</v>
      </c>
      <c r="J149" s="66">
        <f>VLOOKUP($A149,'S0 remplacer avec S44'!$C:$BQ,60,0)</f>
        <v>59</v>
      </c>
      <c r="K149" s="58">
        <f>VLOOKUP($A149,'S45'!$C:$BQ,32,0)</f>
        <v>289</v>
      </c>
      <c r="L149" s="58">
        <f>VLOOKUP($A149,'S45'!$C:$BQ,39,0)</f>
        <v>211</v>
      </c>
      <c r="M149" s="58">
        <f>VLOOKUP($A149,'S45'!$C:$BQ,40,0)</f>
        <v>311</v>
      </c>
      <c r="N149" s="58">
        <f>VLOOKUP($A149,'S45'!$C:$BQ,22,0)</f>
        <v>3102.303715</v>
      </c>
      <c r="O149" s="66">
        <f>VLOOKUP($A149,'S45'!$C:$BQ,29,0)</f>
        <v>1443</v>
      </c>
      <c r="P149" s="66">
        <f>VLOOKUP($A149,'S45'!$C:$BQ,30,0)</f>
        <v>2352</v>
      </c>
      <c r="Q149" s="66">
        <f>VLOOKUP($A149,'S45'!$C:$BQ,52,0)</f>
        <v>256.39999999999998</v>
      </c>
      <c r="R149" s="66">
        <f>VLOOKUP($A149,'S45'!$C:$BQ,59,0)</f>
        <v>0</v>
      </c>
      <c r="S149" s="66">
        <f>VLOOKUP($A149,'S45'!$C:$BQ,60,0)</f>
        <v>49</v>
      </c>
      <c r="T149" s="58">
        <f>VLOOKUP($A149,'S46'!$C:$BQ,32,0)</f>
        <v>291.5</v>
      </c>
      <c r="U149" s="58">
        <f>VLOOKUP($A149,'S46'!$C:$BQ,39,0)</f>
        <v>209</v>
      </c>
      <c r="V149" s="58">
        <f>VLOOKUP($A149,'S46'!$C:$BQ,40,0)</f>
        <v>309</v>
      </c>
      <c r="W149" s="58">
        <f>VLOOKUP($A149,'S46'!$C:$BQ,22,0)</f>
        <v>3105.3231350000001</v>
      </c>
      <c r="X149" s="66">
        <f>VLOOKUP($A149,'S46'!$C:$BQ,29,0)</f>
        <v>1440</v>
      </c>
      <c r="Y149" s="66">
        <f>VLOOKUP($A149,'S46'!$C:$BQ,30,0)</f>
        <v>2349</v>
      </c>
      <c r="Z149" s="66">
        <f>VLOOKUP($A149,'S46'!$C:$BQ,52,0)</f>
        <v>259.39999999999998</v>
      </c>
      <c r="AA149" s="66">
        <f>VLOOKUP($A149,'S46'!$C:$BQ,59,0)</f>
        <v>0</v>
      </c>
      <c r="AB149" s="66">
        <f>VLOOKUP($A149,'S46'!$C:$BQ,60,0)</f>
        <v>46</v>
      </c>
      <c r="AC149" s="58">
        <f>VLOOKUP($A149,'S47'!$C:$BQ,32,0)</f>
        <v>299.2</v>
      </c>
      <c r="AD149" s="58">
        <f>VLOOKUP($A149,'S47'!$C:$BQ,39,0)</f>
        <v>201</v>
      </c>
      <c r="AE149" s="58">
        <f>VLOOKUP($A149,'S47'!$C:$BQ,40,0)</f>
        <v>301</v>
      </c>
      <c r="AF149" s="58">
        <f>VLOOKUP($A149,'S47'!$C:$BQ,22,0)</f>
        <v>3201.4128350000001</v>
      </c>
      <c r="AG149" s="66">
        <f>VLOOKUP($A149,'S47'!$C:$BQ,29,0)</f>
        <v>1344</v>
      </c>
      <c r="AH149" s="66">
        <f>VLOOKUP($A149,'S47'!$C:$BQ,30,0)</f>
        <v>2253</v>
      </c>
      <c r="AI149" s="66">
        <f>VLOOKUP($A149,'S47'!$C:$BQ,52,0)</f>
        <v>261.39999999999998</v>
      </c>
      <c r="AJ149" s="66">
        <f>VLOOKUP($A149,'S47'!$C:$BQ,59,0)</f>
        <v>0</v>
      </c>
      <c r="AK149" s="66">
        <f>VLOOKUP($A149,'S47'!$C:$BQ,60,0)</f>
        <v>44</v>
      </c>
      <c r="AL149" s="58" t="e">
        <f>VLOOKUP($A149,'S48'!$C:$BQ,32,0)</f>
        <v>#N/A</v>
      </c>
      <c r="AM149" s="58" t="e">
        <f>VLOOKUP($A149,'S48'!$C:$BQ,39,0)</f>
        <v>#N/A</v>
      </c>
      <c r="AN149" s="58" t="e">
        <f>VLOOKUP($A149,'S48'!$C:$BQ,40,0)</f>
        <v>#N/A</v>
      </c>
      <c r="AO149" s="58" t="e">
        <f>VLOOKUP($A149,'S48'!$C:$BQ,22,0)</f>
        <v>#N/A</v>
      </c>
      <c r="AP149" s="66" t="e">
        <f>VLOOKUP($A149,'S48'!$C:$BQ,29,0)</f>
        <v>#N/A</v>
      </c>
      <c r="AQ149" s="66" t="e">
        <f>VLOOKUP($A149,'S48'!$C:$BQ,30,0)</f>
        <v>#N/A</v>
      </c>
      <c r="AR149" s="66" t="e">
        <f>VLOOKUP($A149,'S48'!$C:$BQ,52,0)</f>
        <v>#N/A</v>
      </c>
      <c r="AS149" s="66" t="e">
        <f>VLOOKUP($A149,'S48'!$C:$BQ,59,0)</f>
        <v>#N/A</v>
      </c>
      <c r="AT149" s="66" t="e">
        <f>VLOOKUP($A149,'S48'!$C:$BQ,60,0)</f>
        <v>#N/A</v>
      </c>
      <c r="AU149" s="58" t="e">
        <f>VLOOKUP($A149,'S49'!$C:$BQ,32,0)</f>
        <v>#N/A</v>
      </c>
      <c r="AV149" s="58" t="e">
        <f>VLOOKUP($A149,'S49'!$C:$BQ,39,0)</f>
        <v>#N/A</v>
      </c>
      <c r="AW149" s="58" t="e">
        <f>VLOOKUP($A149,'S49'!$C:$BQ,40,0)</f>
        <v>#N/A</v>
      </c>
      <c r="AX149" s="58" t="e">
        <f>VLOOKUP($A149,'S49'!$C:$BQ,22,0)</f>
        <v>#N/A</v>
      </c>
      <c r="AY149" s="66" t="e">
        <f>VLOOKUP($A149,'S49'!$C:$BQ,29,0)</f>
        <v>#N/A</v>
      </c>
      <c r="AZ149" s="66" t="e">
        <f>VLOOKUP($A149,'S49'!$C:$BQ,30,0)</f>
        <v>#N/A</v>
      </c>
      <c r="BA149" s="66" t="e">
        <f>VLOOKUP($A149,'S49'!$C:$BQ,52,0)</f>
        <v>#N/A</v>
      </c>
      <c r="BB149" s="66" t="e">
        <f>VLOOKUP($A149,'S49'!$C:$BQ,59,0)</f>
        <v>#N/A</v>
      </c>
      <c r="BC149" s="66" t="e">
        <f>VLOOKUP($A149,'S49'!$C:$BQ,60,0)</f>
        <v>#N/A</v>
      </c>
      <c r="BD149" s="58" t="e">
        <f>VLOOKUP($A149,'S50'!$C:$BQ,32,0)</f>
        <v>#N/A</v>
      </c>
      <c r="BE149" s="58" t="e">
        <f>VLOOKUP($A149,'S50'!$C:$BQ,39,0)</f>
        <v>#N/A</v>
      </c>
      <c r="BF149" s="58" t="e">
        <f>VLOOKUP($A149,'S50'!$C:$BQ,40,0)</f>
        <v>#N/A</v>
      </c>
      <c r="BG149" s="58" t="e">
        <f>VLOOKUP($A149,'S50'!$C:$BQ,22,0)</f>
        <v>#N/A</v>
      </c>
      <c r="BH149" s="66" t="e">
        <f>VLOOKUP($A149,'S50'!$C:$BQ,29,0)</f>
        <v>#N/A</v>
      </c>
      <c r="BI149" s="66" t="e">
        <f>VLOOKUP($A149,'S50'!$C:$BQ,30,0)</f>
        <v>#N/A</v>
      </c>
      <c r="BJ149" s="66" t="e">
        <f>VLOOKUP($A149,'S50'!$C:$BQ,52,0)</f>
        <v>#N/A</v>
      </c>
      <c r="BK149" s="66" t="e">
        <f>VLOOKUP($A149,'S50'!$C:$BQ,59,0)</f>
        <v>#N/A</v>
      </c>
      <c r="BL149" s="66" t="e">
        <f>VLOOKUP($A149,'S50'!$C:$BQ,60,0)</f>
        <v>#N/A</v>
      </c>
    </row>
    <row r="150" spans="1:64" x14ac:dyDescent="0.2">
      <c r="A150" s="57" t="s">
        <v>214</v>
      </c>
      <c r="B150" s="58">
        <f>VLOOKUP($A150,'S0 remplacer avec S44'!$C:$BQ,32,0)</f>
        <v>248.7</v>
      </c>
      <c r="C150" s="58">
        <f>VLOOKUP($A150,'S0 remplacer avec S44'!$C:$BQ,39,0)</f>
        <v>7</v>
      </c>
      <c r="D150" s="58">
        <f>VLOOKUP($A150,'S0 remplacer avec S44'!$C:$BQ,40,0)</f>
        <v>58</v>
      </c>
      <c r="E150" s="58">
        <f>VLOOKUP($A150,'S0 remplacer avec S44'!$C:$BQ,22,0)</f>
        <v>2377.2549549999999</v>
      </c>
      <c r="F150" s="66">
        <f>VLOOKUP($A150,'S0 remplacer avec S44'!$C:$BQ,29,0)</f>
        <v>0</v>
      </c>
      <c r="G150" s="66">
        <f>VLOOKUP($A150,'S0 remplacer avec S44'!$C:$BQ,30,0)</f>
        <v>404</v>
      </c>
      <c r="H150" s="66">
        <f>VLOOKUP($A150,'S0 remplacer avec S44'!$C:$BQ,52,0)</f>
        <v>196.4</v>
      </c>
      <c r="I150" s="66">
        <f>VLOOKUP($A150,'S0 remplacer avec S44'!$C:$BQ,59,0)</f>
        <v>0</v>
      </c>
      <c r="J150" s="66">
        <f>VLOOKUP($A150,'S0 remplacer avec S44'!$C:$BQ,60,0)</f>
        <v>0</v>
      </c>
      <c r="K150" s="58">
        <f>VLOOKUP($A150,'S45'!$C:$BQ,32,0)</f>
        <v>258.7</v>
      </c>
      <c r="L150" s="58">
        <f>VLOOKUP($A150,'S45'!$C:$BQ,39,0)</f>
        <v>0</v>
      </c>
      <c r="M150" s="58">
        <f>VLOOKUP($A150,'S45'!$C:$BQ,40,0)</f>
        <v>48</v>
      </c>
      <c r="N150" s="58">
        <f>VLOOKUP($A150,'S45'!$C:$BQ,22,0)</f>
        <v>2405.323355</v>
      </c>
      <c r="O150" s="66">
        <f>VLOOKUP($A150,'S45'!$C:$BQ,29,0)</f>
        <v>0</v>
      </c>
      <c r="P150" s="66">
        <f>VLOOKUP($A150,'S45'!$C:$BQ,30,0)</f>
        <v>376</v>
      </c>
      <c r="Q150" s="66">
        <f>VLOOKUP($A150,'S45'!$C:$BQ,52,0)</f>
        <v>198.4</v>
      </c>
      <c r="R150" s="66">
        <f>VLOOKUP($A150,'S45'!$C:$BQ,59,0)</f>
        <v>0</v>
      </c>
      <c r="S150" s="66">
        <f>VLOOKUP($A150,'S45'!$C:$BQ,60,0)</f>
        <v>0</v>
      </c>
      <c r="T150" s="58">
        <f>VLOOKUP($A150,'S46'!$C:$BQ,32,0)</f>
        <v>257.7</v>
      </c>
      <c r="U150" s="58">
        <f>VLOOKUP($A150,'S46'!$C:$BQ,39,0)</f>
        <v>0</v>
      </c>
      <c r="V150" s="58">
        <f>VLOOKUP($A150,'S46'!$C:$BQ,40,0)</f>
        <v>49</v>
      </c>
      <c r="W150" s="58">
        <f>VLOOKUP($A150,'S46'!$C:$BQ,22,0)</f>
        <v>2406.814065</v>
      </c>
      <c r="X150" s="66">
        <f>VLOOKUP($A150,'S46'!$C:$BQ,29,0)</f>
        <v>0</v>
      </c>
      <c r="Y150" s="66">
        <f>VLOOKUP($A150,'S46'!$C:$BQ,30,0)</f>
        <v>375</v>
      </c>
      <c r="Z150" s="66">
        <f>VLOOKUP($A150,'S46'!$C:$BQ,52,0)</f>
        <v>198.4</v>
      </c>
      <c r="AA150" s="66">
        <f>VLOOKUP($A150,'S46'!$C:$BQ,59,0)</f>
        <v>0</v>
      </c>
      <c r="AB150" s="66">
        <f>VLOOKUP($A150,'S46'!$C:$BQ,60,0)</f>
        <v>0</v>
      </c>
      <c r="AC150" s="58">
        <f>VLOOKUP($A150,'S47'!$C:$BQ,32,0)</f>
        <v>267.7</v>
      </c>
      <c r="AD150" s="58">
        <f>VLOOKUP($A150,'S47'!$C:$BQ,39,0)</f>
        <v>0</v>
      </c>
      <c r="AE150" s="58">
        <f>VLOOKUP($A150,'S47'!$C:$BQ,40,0)</f>
        <v>39</v>
      </c>
      <c r="AF150" s="58">
        <f>VLOOKUP($A150,'S47'!$C:$BQ,22,0)</f>
        <v>2553.4404650000001</v>
      </c>
      <c r="AG150" s="66">
        <f>VLOOKUP($A150,'S47'!$C:$BQ,29,0)</f>
        <v>0</v>
      </c>
      <c r="AH150" s="66">
        <f>VLOOKUP($A150,'S47'!$C:$BQ,30,0)</f>
        <v>228</v>
      </c>
      <c r="AI150" s="66">
        <f>VLOOKUP($A150,'S47'!$C:$BQ,52,0)</f>
        <v>205.4</v>
      </c>
      <c r="AJ150" s="66">
        <f>VLOOKUP($A150,'S47'!$C:$BQ,59,0)</f>
        <v>0</v>
      </c>
      <c r="AK150" s="66">
        <f>VLOOKUP($A150,'S47'!$C:$BQ,60,0)</f>
        <v>0</v>
      </c>
      <c r="AL150" s="58" t="e">
        <f>VLOOKUP($A150,'S48'!$C:$BQ,32,0)</f>
        <v>#N/A</v>
      </c>
      <c r="AM150" s="58" t="e">
        <f>VLOOKUP($A150,'S48'!$C:$BQ,39,0)</f>
        <v>#N/A</v>
      </c>
      <c r="AN150" s="58" t="e">
        <f>VLOOKUP($A150,'S48'!$C:$BQ,40,0)</f>
        <v>#N/A</v>
      </c>
      <c r="AO150" s="58" t="e">
        <f>VLOOKUP($A150,'S48'!$C:$BQ,22,0)</f>
        <v>#N/A</v>
      </c>
      <c r="AP150" s="66" t="e">
        <f>VLOOKUP($A150,'S48'!$C:$BQ,29,0)</f>
        <v>#N/A</v>
      </c>
      <c r="AQ150" s="66" t="e">
        <f>VLOOKUP($A150,'S48'!$C:$BQ,30,0)</f>
        <v>#N/A</v>
      </c>
      <c r="AR150" s="66" t="e">
        <f>VLOOKUP($A150,'S48'!$C:$BQ,52,0)</f>
        <v>#N/A</v>
      </c>
      <c r="AS150" s="66" t="e">
        <f>VLOOKUP($A150,'S48'!$C:$BQ,59,0)</f>
        <v>#N/A</v>
      </c>
      <c r="AT150" s="66" t="e">
        <f>VLOOKUP($A150,'S48'!$C:$BQ,60,0)</f>
        <v>#N/A</v>
      </c>
      <c r="AU150" s="58" t="e">
        <f>VLOOKUP($A150,'S49'!$C:$BQ,32,0)</f>
        <v>#N/A</v>
      </c>
      <c r="AV150" s="58" t="e">
        <f>VLOOKUP($A150,'S49'!$C:$BQ,39,0)</f>
        <v>#N/A</v>
      </c>
      <c r="AW150" s="58" t="e">
        <f>VLOOKUP($A150,'S49'!$C:$BQ,40,0)</f>
        <v>#N/A</v>
      </c>
      <c r="AX150" s="58" t="e">
        <f>VLOOKUP($A150,'S49'!$C:$BQ,22,0)</f>
        <v>#N/A</v>
      </c>
      <c r="AY150" s="66" t="e">
        <f>VLOOKUP($A150,'S49'!$C:$BQ,29,0)</f>
        <v>#N/A</v>
      </c>
      <c r="AZ150" s="66" t="e">
        <f>VLOOKUP($A150,'S49'!$C:$BQ,30,0)</f>
        <v>#N/A</v>
      </c>
      <c r="BA150" s="66" t="e">
        <f>VLOOKUP($A150,'S49'!$C:$BQ,52,0)</f>
        <v>#N/A</v>
      </c>
      <c r="BB150" s="66" t="e">
        <f>VLOOKUP($A150,'S49'!$C:$BQ,59,0)</f>
        <v>#N/A</v>
      </c>
      <c r="BC150" s="66" t="e">
        <f>VLOOKUP($A150,'S49'!$C:$BQ,60,0)</f>
        <v>#N/A</v>
      </c>
      <c r="BD150" s="58" t="e">
        <f>VLOOKUP($A150,'S50'!$C:$BQ,32,0)</f>
        <v>#N/A</v>
      </c>
      <c r="BE150" s="58" t="e">
        <f>VLOOKUP($A150,'S50'!$C:$BQ,39,0)</f>
        <v>#N/A</v>
      </c>
      <c r="BF150" s="58" t="e">
        <f>VLOOKUP($A150,'S50'!$C:$BQ,40,0)</f>
        <v>#N/A</v>
      </c>
      <c r="BG150" s="58" t="e">
        <f>VLOOKUP($A150,'S50'!$C:$BQ,22,0)</f>
        <v>#N/A</v>
      </c>
      <c r="BH150" s="66" t="e">
        <f>VLOOKUP($A150,'S50'!$C:$BQ,29,0)</f>
        <v>#N/A</v>
      </c>
      <c r="BI150" s="66" t="e">
        <f>VLOOKUP($A150,'S50'!$C:$BQ,30,0)</f>
        <v>#N/A</v>
      </c>
      <c r="BJ150" s="66" t="e">
        <f>VLOOKUP($A150,'S50'!$C:$BQ,52,0)</f>
        <v>#N/A</v>
      </c>
      <c r="BK150" s="66" t="e">
        <f>VLOOKUP($A150,'S50'!$C:$BQ,59,0)</f>
        <v>#N/A</v>
      </c>
      <c r="BL150" s="66" t="e">
        <f>VLOOKUP($A150,'S50'!$C:$BQ,60,0)</f>
        <v>#N/A</v>
      </c>
    </row>
    <row r="151" spans="1:64" x14ac:dyDescent="0.2">
      <c r="A151" s="57" t="s">
        <v>215</v>
      </c>
      <c r="B151" s="58">
        <f>VLOOKUP($A151,'S0 remplacer avec S44'!$C:$BQ,32,0)</f>
        <v>225.95</v>
      </c>
      <c r="C151" s="58">
        <f>VLOOKUP($A151,'S0 remplacer avec S44'!$C:$BQ,39,0)</f>
        <v>0</v>
      </c>
      <c r="D151" s="58">
        <f>VLOOKUP($A151,'S0 remplacer avec S44'!$C:$BQ,40,0)</f>
        <v>0</v>
      </c>
      <c r="E151" s="58">
        <f>VLOOKUP($A151,'S0 remplacer avec S44'!$C:$BQ,22,0)</f>
        <v>1808.51594</v>
      </c>
      <c r="F151" s="66">
        <f>VLOOKUP($A151,'S0 remplacer avec S44'!$C:$BQ,29,0)</f>
        <v>0</v>
      </c>
      <c r="G151" s="66">
        <f>VLOOKUP($A151,'S0 remplacer avec S44'!$C:$BQ,30,0)</f>
        <v>186</v>
      </c>
      <c r="H151" s="66">
        <f>VLOOKUP($A151,'S0 remplacer avec S44'!$C:$BQ,52,0)</f>
        <v>140.4</v>
      </c>
      <c r="I151" s="66">
        <f>VLOOKUP($A151,'S0 remplacer avec S44'!$C:$BQ,59,0)</f>
        <v>0</v>
      </c>
      <c r="J151" s="66">
        <f>VLOOKUP($A151,'S0 remplacer avec S44'!$C:$BQ,60,0)</f>
        <v>0</v>
      </c>
      <c r="K151" s="58">
        <f>VLOOKUP($A151,'S45'!$C:$BQ,32,0)</f>
        <v>231.55</v>
      </c>
      <c r="L151" s="58">
        <f>VLOOKUP($A151,'S45'!$C:$BQ,39,0)</f>
        <v>0</v>
      </c>
      <c r="M151" s="58">
        <f>VLOOKUP($A151,'S45'!$C:$BQ,40,0)</f>
        <v>0</v>
      </c>
      <c r="N151" s="58">
        <f>VLOOKUP($A151,'S45'!$C:$BQ,22,0)</f>
        <v>1857.85798</v>
      </c>
      <c r="O151" s="66">
        <f>VLOOKUP($A151,'S45'!$C:$BQ,29,0)</f>
        <v>0</v>
      </c>
      <c r="P151" s="66">
        <f>VLOOKUP($A151,'S45'!$C:$BQ,30,0)</f>
        <v>136</v>
      </c>
      <c r="Q151" s="66">
        <f>VLOOKUP($A151,'S45'!$C:$BQ,52,0)</f>
        <v>142.4</v>
      </c>
      <c r="R151" s="66">
        <f>VLOOKUP($A151,'S45'!$C:$BQ,59,0)</f>
        <v>0</v>
      </c>
      <c r="S151" s="66">
        <f>VLOOKUP($A151,'S45'!$C:$BQ,60,0)</f>
        <v>0</v>
      </c>
      <c r="T151" s="58">
        <f>VLOOKUP($A151,'S46'!$C:$BQ,32,0)</f>
        <v>231.05</v>
      </c>
      <c r="U151" s="58">
        <f>VLOOKUP($A151,'S46'!$C:$BQ,39,0)</f>
        <v>0</v>
      </c>
      <c r="V151" s="58">
        <f>VLOOKUP($A151,'S46'!$C:$BQ,40,0)</f>
        <v>0</v>
      </c>
      <c r="W151" s="58">
        <f>VLOOKUP($A151,'S46'!$C:$BQ,22,0)</f>
        <v>1859.9781599999999</v>
      </c>
      <c r="X151" s="66">
        <f>VLOOKUP($A151,'S46'!$C:$BQ,29,0)</f>
        <v>0</v>
      </c>
      <c r="Y151" s="66">
        <f>VLOOKUP($A151,'S46'!$C:$BQ,30,0)</f>
        <v>134</v>
      </c>
      <c r="Z151" s="66">
        <f>VLOOKUP($A151,'S46'!$C:$BQ,52,0)</f>
        <v>144.4</v>
      </c>
      <c r="AA151" s="66">
        <f>VLOOKUP($A151,'S46'!$C:$BQ,59,0)</f>
        <v>0</v>
      </c>
      <c r="AB151" s="66">
        <f>VLOOKUP($A151,'S46'!$C:$BQ,60,0)</f>
        <v>0</v>
      </c>
      <c r="AC151" s="58">
        <f>VLOOKUP($A151,'S47'!$C:$BQ,32,0)</f>
        <v>224.95</v>
      </c>
      <c r="AD151" s="58">
        <f>VLOOKUP($A151,'S47'!$C:$BQ,39,0)</f>
        <v>0</v>
      </c>
      <c r="AE151" s="58">
        <f>VLOOKUP($A151,'S47'!$C:$BQ,40,0)</f>
        <v>0</v>
      </c>
      <c r="AF151" s="58">
        <f>VLOOKUP($A151,'S47'!$C:$BQ,22,0)</f>
        <v>1965.57529</v>
      </c>
      <c r="AG151" s="66">
        <f>VLOOKUP($A151,'S47'!$C:$BQ,29,0)</f>
        <v>0</v>
      </c>
      <c r="AH151" s="66">
        <f>VLOOKUP($A151,'S47'!$C:$BQ,30,0)</f>
        <v>29</v>
      </c>
      <c r="AI151" s="66">
        <f>VLOOKUP($A151,'S47'!$C:$BQ,52,0)</f>
        <v>150.4</v>
      </c>
      <c r="AJ151" s="66">
        <f>VLOOKUP($A151,'S47'!$C:$BQ,59,0)</f>
        <v>0</v>
      </c>
      <c r="AK151" s="66">
        <f>VLOOKUP($A151,'S47'!$C:$BQ,60,0)</f>
        <v>0</v>
      </c>
      <c r="AL151" s="58" t="e">
        <f>VLOOKUP($A151,'S48'!$C:$BQ,32,0)</f>
        <v>#N/A</v>
      </c>
      <c r="AM151" s="58" t="e">
        <f>VLOOKUP($A151,'S48'!$C:$BQ,39,0)</f>
        <v>#N/A</v>
      </c>
      <c r="AN151" s="58" t="e">
        <f>VLOOKUP($A151,'S48'!$C:$BQ,40,0)</f>
        <v>#N/A</v>
      </c>
      <c r="AO151" s="58" t="e">
        <f>VLOOKUP($A151,'S48'!$C:$BQ,22,0)</f>
        <v>#N/A</v>
      </c>
      <c r="AP151" s="66" t="e">
        <f>VLOOKUP($A151,'S48'!$C:$BQ,29,0)</f>
        <v>#N/A</v>
      </c>
      <c r="AQ151" s="66" t="e">
        <f>VLOOKUP($A151,'S48'!$C:$BQ,30,0)</f>
        <v>#N/A</v>
      </c>
      <c r="AR151" s="66" t="e">
        <f>VLOOKUP($A151,'S48'!$C:$BQ,52,0)</f>
        <v>#N/A</v>
      </c>
      <c r="AS151" s="66" t="e">
        <f>VLOOKUP($A151,'S48'!$C:$BQ,59,0)</f>
        <v>#N/A</v>
      </c>
      <c r="AT151" s="66" t="e">
        <f>VLOOKUP($A151,'S48'!$C:$BQ,60,0)</f>
        <v>#N/A</v>
      </c>
      <c r="AU151" s="58" t="e">
        <f>VLOOKUP($A151,'S49'!$C:$BQ,32,0)</f>
        <v>#N/A</v>
      </c>
      <c r="AV151" s="58" t="e">
        <f>VLOOKUP($A151,'S49'!$C:$BQ,39,0)</f>
        <v>#N/A</v>
      </c>
      <c r="AW151" s="58" t="e">
        <f>VLOOKUP($A151,'S49'!$C:$BQ,40,0)</f>
        <v>#N/A</v>
      </c>
      <c r="AX151" s="58" t="e">
        <f>VLOOKUP($A151,'S49'!$C:$BQ,22,0)</f>
        <v>#N/A</v>
      </c>
      <c r="AY151" s="66" t="e">
        <f>VLOOKUP($A151,'S49'!$C:$BQ,29,0)</f>
        <v>#N/A</v>
      </c>
      <c r="AZ151" s="66" t="e">
        <f>VLOOKUP($A151,'S49'!$C:$BQ,30,0)</f>
        <v>#N/A</v>
      </c>
      <c r="BA151" s="66" t="e">
        <f>VLOOKUP($A151,'S49'!$C:$BQ,52,0)</f>
        <v>#N/A</v>
      </c>
      <c r="BB151" s="66" t="e">
        <f>VLOOKUP($A151,'S49'!$C:$BQ,59,0)</f>
        <v>#N/A</v>
      </c>
      <c r="BC151" s="66" t="e">
        <f>VLOOKUP($A151,'S49'!$C:$BQ,60,0)</f>
        <v>#N/A</v>
      </c>
      <c r="BD151" s="58" t="e">
        <f>VLOOKUP($A151,'S50'!$C:$BQ,32,0)</f>
        <v>#N/A</v>
      </c>
      <c r="BE151" s="58" t="e">
        <f>VLOOKUP($A151,'S50'!$C:$BQ,39,0)</f>
        <v>#N/A</v>
      </c>
      <c r="BF151" s="58" t="e">
        <f>VLOOKUP($A151,'S50'!$C:$BQ,40,0)</f>
        <v>#N/A</v>
      </c>
      <c r="BG151" s="58" t="e">
        <f>VLOOKUP($A151,'S50'!$C:$BQ,22,0)</f>
        <v>#N/A</v>
      </c>
      <c r="BH151" s="66" t="e">
        <f>VLOOKUP($A151,'S50'!$C:$BQ,29,0)</f>
        <v>#N/A</v>
      </c>
      <c r="BI151" s="66" t="e">
        <f>VLOOKUP($A151,'S50'!$C:$BQ,30,0)</f>
        <v>#N/A</v>
      </c>
      <c r="BJ151" s="66" t="e">
        <f>VLOOKUP($A151,'S50'!$C:$BQ,52,0)</f>
        <v>#N/A</v>
      </c>
      <c r="BK151" s="66" t="e">
        <f>VLOOKUP($A151,'S50'!$C:$BQ,59,0)</f>
        <v>#N/A</v>
      </c>
      <c r="BL151" s="66" t="e">
        <f>VLOOKUP($A151,'S50'!$C:$BQ,60,0)</f>
        <v>#N/A</v>
      </c>
    </row>
    <row r="152" spans="1:64" x14ac:dyDescent="0.2">
      <c r="A152" s="57" t="s">
        <v>216</v>
      </c>
      <c r="B152" s="58">
        <f>VLOOKUP($A152,'S0 remplacer avec S44'!$C:$BQ,32,0)</f>
        <v>227.1</v>
      </c>
      <c r="C152" s="58">
        <f>VLOOKUP($A152,'S0 remplacer avec S44'!$C:$BQ,39,0)</f>
        <v>83</v>
      </c>
      <c r="D152" s="58">
        <f>VLOOKUP($A152,'S0 remplacer avec S44'!$C:$BQ,40,0)</f>
        <v>145</v>
      </c>
      <c r="E152" s="58">
        <f>VLOOKUP($A152,'S0 remplacer avec S44'!$C:$BQ,22,0)</f>
        <v>2706.737365</v>
      </c>
      <c r="F152" s="66">
        <f>VLOOKUP($A152,'S0 remplacer avec S44'!$C:$BQ,29,0)</f>
        <v>108</v>
      </c>
      <c r="G152" s="66">
        <f>VLOOKUP($A152,'S0 remplacer avec S44'!$C:$BQ,30,0)</f>
        <v>671</v>
      </c>
      <c r="H152" s="66">
        <f>VLOOKUP($A152,'S0 remplacer avec S44'!$C:$BQ,52,0)</f>
        <v>169.4</v>
      </c>
      <c r="I152" s="66">
        <f>VLOOKUP($A152,'S0 remplacer avec S44'!$C:$BQ,59,0)</f>
        <v>0</v>
      </c>
      <c r="J152" s="66">
        <f>VLOOKUP($A152,'S0 remplacer avec S44'!$C:$BQ,60,0)</f>
        <v>20</v>
      </c>
      <c r="K152" s="58">
        <f>VLOOKUP($A152,'S45'!$C:$BQ,32,0)</f>
        <v>233.1</v>
      </c>
      <c r="L152" s="58">
        <f>VLOOKUP($A152,'S45'!$C:$BQ,39,0)</f>
        <v>77</v>
      </c>
      <c r="M152" s="58">
        <f>VLOOKUP($A152,'S45'!$C:$BQ,40,0)</f>
        <v>139</v>
      </c>
      <c r="N152" s="58">
        <f>VLOOKUP($A152,'S45'!$C:$BQ,22,0)</f>
        <v>2743.7991149999998</v>
      </c>
      <c r="O152" s="66">
        <f>VLOOKUP($A152,'S45'!$C:$BQ,29,0)</f>
        <v>71</v>
      </c>
      <c r="P152" s="66">
        <f>VLOOKUP($A152,'S45'!$C:$BQ,30,0)</f>
        <v>634</v>
      </c>
      <c r="Q152" s="66">
        <f>VLOOKUP($A152,'S45'!$C:$BQ,52,0)</f>
        <v>171.4</v>
      </c>
      <c r="R152" s="66">
        <f>VLOOKUP($A152,'S45'!$C:$BQ,59,0)</f>
        <v>0</v>
      </c>
      <c r="S152" s="66">
        <f>VLOOKUP($A152,'S45'!$C:$BQ,60,0)</f>
        <v>18</v>
      </c>
      <c r="T152" s="58">
        <f>VLOOKUP($A152,'S46'!$C:$BQ,32,0)</f>
        <v>234.1</v>
      </c>
      <c r="U152" s="58">
        <f>VLOOKUP($A152,'S46'!$C:$BQ,39,0)</f>
        <v>76</v>
      </c>
      <c r="V152" s="58">
        <f>VLOOKUP($A152,'S46'!$C:$BQ,40,0)</f>
        <v>138</v>
      </c>
      <c r="W152" s="58">
        <f>VLOOKUP($A152,'S46'!$C:$BQ,22,0)</f>
        <v>2789.7111150000001</v>
      </c>
      <c r="X152" s="66">
        <f>VLOOKUP($A152,'S46'!$C:$BQ,29,0)</f>
        <v>25</v>
      </c>
      <c r="Y152" s="66">
        <f>VLOOKUP($A152,'S46'!$C:$BQ,30,0)</f>
        <v>588</v>
      </c>
      <c r="Z152" s="66">
        <f>VLOOKUP($A152,'S46'!$C:$BQ,52,0)</f>
        <v>172.4</v>
      </c>
      <c r="AA152" s="66">
        <f>VLOOKUP($A152,'S46'!$C:$BQ,59,0)</f>
        <v>0</v>
      </c>
      <c r="AB152" s="66">
        <f>VLOOKUP($A152,'S46'!$C:$BQ,60,0)</f>
        <v>17</v>
      </c>
      <c r="AC152" s="58">
        <f>VLOOKUP($A152,'S47'!$C:$BQ,32,0)</f>
        <v>233.6</v>
      </c>
      <c r="AD152" s="58">
        <f>VLOOKUP($A152,'S47'!$C:$BQ,39,0)</f>
        <v>76</v>
      </c>
      <c r="AE152" s="58">
        <f>VLOOKUP($A152,'S47'!$C:$BQ,40,0)</f>
        <v>138</v>
      </c>
      <c r="AF152" s="58">
        <f>VLOOKUP($A152,'S47'!$C:$BQ,22,0)</f>
        <v>2821.732645</v>
      </c>
      <c r="AG152" s="66">
        <f>VLOOKUP($A152,'S47'!$C:$BQ,29,0)</f>
        <v>0</v>
      </c>
      <c r="AH152" s="66">
        <f>VLOOKUP($A152,'S47'!$C:$BQ,30,0)</f>
        <v>556</v>
      </c>
      <c r="AI152" s="66">
        <f>VLOOKUP($A152,'S47'!$C:$BQ,52,0)</f>
        <v>173.4</v>
      </c>
      <c r="AJ152" s="66">
        <f>VLOOKUP($A152,'S47'!$C:$BQ,59,0)</f>
        <v>0</v>
      </c>
      <c r="AK152" s="66">
        <f>VLOOKUP($A152,'S47'!$C:$BQ,60,0)</f>
        <v>16</v>
      </c>
      <c r="AL152" s="58" t="e">
        <f>VLOOKUP($A152,'S48'!$C:$BQ,32,0)</f>
        <v>#N/A</v>
      </c>
      <c r="AM152" s="58" t="e">
        <f>VLOOKUP($A152,'S48'!$C:$BQ,39,0)</f>
        <v>#N/A</v>
      </c>
      <c r="AN152" s="58" t="e">
        <f>VLOOKUP($A152,'S48'!$C:$BQ,40,0)</f>
        <v>#N/A</v>
      </c>
      <c r="AO152" s="58" t="e">
        <f>VLOOKUP($A152,'S48'!$C:$BQ,22,0)</f>
        <v>#N/A</v>
      </c>
      <c r="AP152" s="66" t="e">
        <f>VLOOKUP($A152,'S48'!$C:$BQ,29,0)</f>
        <v>#N/A</v>
      </c>
      <c r="AQ152" s="66" t="e">
        <f>VLOOKUP($A152,'S48'!$C:$BQ,30,0)</f>
        <v>#N/A</v>
      </c>
      <c r="AR152" s="66" t="e">
        <f>VLOOKUP($A152,'S48'!$C:$BQ,52,0)</f>
        <v>#N/A</v>
      </c>
      <c r="AS152" s="66" t="e">
        <f>VLOOKUP($A152,'S48'!$C:$BQ,59,0)</f>
        <v>#N/A</v>
      </c>
      <c r="AT152" s="66" t="e">
        <f>VLOOKUP($A152,'S48'!$C:$BQ,60,0)</f>
        <v>#N/A</v>
      </c>
      <c r="AU152" s="58" t="e">
        <f>VLOOKUP($A152,'S49'!$C:$BQ,32,0)</f>
        <v>#N/A</v>
      </c>
      <c r="AV152" s="58" t="e">
        <f>VLOOKUP($A152,'S49'!$C:$BQ,39,0)</f>
        <v>#N/A</v>
      </c>
      <c r="AW152" s="58" t="e">
        <f>VLOOKUP($A152,'S49'!$C:$BQ,40,0)</f>
        <v>#N/A</v>
      </c>
      <c r="AX152" s="58" t="e">
        <f>VLOOKUP($A152,'S49'!$C:$BQ,22,0)</f>
        <v>#N/A</v>
      </c>
      <c r="AY152" s="66" t="e">
        <f>VLOOKUP($A152,'S49'!$C:$BQ,29,0)</f>
        <v>#N/A</v>
      </c>
      <c r="AZ152" s="66" t="e">
        <f>VLOOKUP($A152,'S49'!$C:$BQ,30,0)</f>
        <v>#N/A</v>
      </c>
      <c r="BA152" s="66" t="e">
        <f>VLOOKUP($A152,'S49'!$C:$BQ,52,0)</f>
        <v>#N/A</v>
      </c>
      <c r="BB152" s="66" t="e">
        <f>VLOOKUP($A152,'S49'!$C:$BQ,59,0)</f>
        <v>#N/A</v>
      </c>
      <c r="BC152" s="66" t="e">
        <f>VLOOKUP($A152,'S49'!$C:$BQ,60,0)</f>
        <v>#N/A</v>
      </c>
      <c r="BD152" s="58" t="e">
        <f>VLOOKUP($A152,'S50'!$C:$BQ,32,0)</f>
        <v>#N/A</v>
      </c>
      <c r="BE152" s="58" t="e">
        <f>VLOOKUP($A152,'S50'!$C:$BQ,39,0)</f>
        <v>#N/A</v>
      </c>
      <c r="BF152" s="58" t="e">
        <f>VLOOKUP($A152,'S50'!$C:$BQ,40,0)</f>
        <v>#N/A</v>
      </c>
      <c r="BG152" s="58" t="e">
        <f>VLOOKUP($A152,'S50'!$C:$BQ,22,0)</f>
        <v>#N/A</v>
      </c>
      <c r="BH152" s="66" t="e">
        <f>VLOOKUP($A152,'S50'!$C:$BQ,29,0)</f>
        <v>#N/A</v>
      </c>
      <c r="BI152" s="66" t="e">
        <f>VLOOKUP($A152,'S50'!$C:$BQ,30,0)</f>
        <v>#N/A</v>
      </c>
      <c r="BJ152" s="66" t="e">
        <f>VLOOKUP($A152,'S50'!$C:$BQ,52,0)</f>
        <v>#N/A</v>
      </c>
      <c r="BK152" s="66" t="e">
        <f>VLOOKUP($A152,'S50'!$C:$BQ,59,0)</f>
        <v>#N/A</v>
      </c>
      <c r="BL152" s="66" t="e">
        <f>VLOOKUP($A152,'S50'!$C:$BQ,60,0)</f>
        <v>#N/A</v>
      </c>
    </row>
    <row r="153" spans="1:64" x14ac:dyDescent="0.2">
      <c r="A153" s="57" t="s">
        <v>217</v>
      </c>
      <c r="B153" s="58">
        <f>VLOOKUP($A153,'S0 remplacer avec S44'!$C:$BQ,32,0)</f>
        <v>159.30000000000001</v>
      </c>
      <c r="C153" s="58">
        <f>VLOOKUP($A153,'S0 remplacer avec S44'!$C:$BQ,39,0)</f>
        <v>18</v>
      </c>
      <c r="D153" s="58">
        <f>VLOOKUP($A153,'S0 remplacer avec S44'!$C:$BQ,40,0)</f>
        <v>53</v>
      </c>
      <c r="E153" s="58">
        <f>VLOOKUP($A153,'S0 remplacer avec S44'!$C:$BQ,22,0)</f>
        <v>1690.031385</v>
      </c>
      <c r="F153" s="66">
        <f>VLOOKUP($A153,'S0 remplacer avec S44'!$C:$BQ,29,0)</f>
        <v>0</v>
      </c>
      <c r="G153" s="66">
        <f>VLOOKUP($A153,'S0 remplacer avec S44'!$C:$BQ,30,0)</f>
        <v>241</v>
      </c>
      <c r="H153" s="66">
        <f>VLOOKUP($A153,'S0 remplacer avec S44'!$C:$BQ,52,0)</f>
        <v>175.2</v>
      </c>
      <c r="I153" s="66">
        <f>VLOOKUP($A153,'S0 remplacer avec S44'!$C:$BQ,59,0)</f>
        <v>0</v>
      </c>
      <c r="J153" s="66">
        <f>VLOOKUP($A153,'S0 remplacer avec S44'!$C:$BQ,60,0)</f>
        <v>0</v>
      </c>
      <c r="K153" s="58">
        <f>VLOOKUP($A153,'S45'!$C:$BQ,32,0)</f>
        <v>163.30000000000001</v>
      </c>
      <c r="L153" s="58">
        <f>VLOOKUP($A153,'S45'!$C:$BQ,39,0)</f>
        <v>14</v>
      </c>
      <c r="M153" s="58">
        <f>VLOOKUP($A153,'S45'!$C:$BQ,40,0)</f>
        <v>49</v>
      </c>
      <c r="N153" s="58">
        <f>VLOOKUP($A153,'S45'!$C:$BQ,22,0)</f>
        <v>1725.7082849999999</v>
      </c>
      <c r="O153" s="66">
        <f>VLOOKUP($A153,'S45'!$C:$BQ,29,0)</f>
        <v>0</v>
      </c>
      <c r="P153" s="66">
        <f>VLOOKUP($A153,'S45'!$C:$BQ,30,0)</f>
        <v>205</v>
      </c>
      <c r="Q153" s="66">
        <f>VLOOKUP($A153,'S45'!$C:$BQ,52,0)</f>
        <v>186.2</v>
      </c>
      <c r="R153" s="66">
        <f>VLOOKUP($A153,'S45'!$C:$BQ,59,0)</f>
        <v>0</v>
      </c>
      <c r="S153" s="66">
        <f>VLOOKUP($A153,'S45'!$C:$BQ,60,0)</f>
        <v>0</v>
      </c>
      <c r="T153" s="58">
        <f>VLOOKUP($A153,'S46'!$C:$BQ,32,0)</f>
        <v>167.8</v>
      </c>
      <c r="U153" s="58">
        <f>VLOOKUP($A153,'S46'!$C:$BQ,39,0)</f>
        <v>10</v>
      </c>
      <c r="V153" s="58">
        <f>VLOOKUP($A153,'S46'!$C:$BQ,40,0)</f>
        <v>45</v>
      </c>
      <c r="W153" s="58">
        <f>VLOOKUP($A153,'S46'!$C:$BQ,22,0)</f>
        <v>1728.0844950000001</v>
      </c>
      <c r="X153" s="66">
        <f>VLOOKUP($A153,'S46'!$C:$BQ,29,0)</f>
        <v>0</v>
      </c>
      <c r="Y153" s="66">
        <f>VLOOKUP($A153,'S46'!$C:$BQ,30,0)</f>
        <v>203</v>
      </c>
      <c r="Z153" s="66">
        <f>VLOOKUP($A153,'S46'!$C:$BQ,52,0)</f>
        <v>188.2</v>
      </c>
      <c r="AA153" s="66">
        <f>VLOOKUP($A153,'S46'!$C:$BQ,59,0)</f>
        <v>0</v>
      </c>
      <c r="AB153" s="66">
        <f>VLOOKUP($A153,'S46'!$C:$BQ,60,0)</f>
        <v>0</v>
      </c>
      <c r="AC153" s="58">
        <f>VLOOKUP($A153,'S47'!$C:$BQ,32,0)</f>
        <v>177.8</v>
      </c>
      <c r="AD153" s="58">
        <f>VLOOKUP($A153,'S47'!$C:$BQ,39,0)</f>
        <v>0</v>
      </c>
      <c r="AE153" s="58">
        <f>VLOOKUP($A153,'S47'!$C:$BQ,40,0)</f>
        <v>35</v>
      </c>
      <c r="AF153" s="58">
        <f>VLOOKUP($A153,'S47'!$C:$BQ,22,0)</f>
        <v>1774.1372449999999</v>
      </c>
      <c r="AG153" s="66">
        <f>VLOOKUP($A153,'S47'!$C:$BQ,29,0)</f>
        <v>0</v>
      </c>
      <c r="AH153" s="66">
        <f>VLOOKUP($A153,'S47'!$C:$BQ,30,0)</f>
        <v>157</v>
      </c>
      <c r="AI153" s="66">
        <f>VLOOKUP($A153,'S47'!$C:$BQ,52,0)</f>
        <v>190.2</v>
      </c>
      <c r="AJ153" s="66">
        <f>VLOOKUP($A153,'S47'!$C:$BQ,59,0)</f>
        <v>0</v>
      </c>
      <c r="AK153" s="66">
        <f>VLOOKUP($A153,'S47'!$C:$BQ,60,0)</f>
        <v>0</v>
      </c>
      <c r="AL153" s="58" t="e">
        <f>VLOOKUP($A153,'S48'!$C:$BQ,32,0)</f>
        <v>#N/A</v>
      </c>
      <c r="AM153" s="58" t="e">
        <f>VLOOKUP($A153,'S48'!$C:$BQ,39,0)</f>
        <v>#N/A</v>
      </c>
      <c r="AN153" s="58" t="e">
        <f>VLOOKUP($A153,'S48'!$C:$BQ,40,0)</f>
        <v>#N/A</v>
      </c>
      <c r="AO153" s="58" t="e">
        <f>VLOOKUP($A153,'S48'!$C:$BQ,22,0)</f>
        <v>#N/A</v>
      </c>
      <c r="AP153" s="66" t="e">
        <f>VLOOKUP($A153,'S48'!$C:$BQ,29,0)</f>
        <v>#N/A</v>
      </c>
      <c r="AQ153" s="66" t="e">
        <f>VLOOKUP($A153,'S48'!$C:$BQ,30,0)</f>
        <v>#N/A</v>
      </c>
      <c r="AR153" s="66" t="e">
        <f>VLOOKUP($A153,'S48'!$C:$BQ,52,0)</f>
        <v>#N/A</v>
      </c>
      <c r="AS153" s="66" t="e">
        <f>VLOOKUP($A153,'S48'!$C:$BQ,59,0)</f>
        <v>#N/A</v>
      </c>
      <c r="AT153" s="66" t="e">
        <f>VLOOKUP($A153,'S48'!$C:$BQ,60,0)</f>
        <v>#N/A</v>
      </c>
      <c r="AU153" s="58" t="e">
        <f>VLOOKUP($A153,'S49'!$C:$BQ,32,0)</f>
        <v>#N/A</v>
      </c>
      <c r="AV153" s="58" t="e">
        <f>VLOOKUP($A153,'S49'!$C:$BQ,39,0)</f>
        <v>#N/A</v>
      </c>
      <c r="AW153" s="58" t="e">
        <f>VLOOKUP($A153,'S49'!$C:$BQ,40,0)</f>
        <v>#N/A</v>
      </c>
      <c r="AX153" s="58" t="e">
        <f>VLOOKUP($A153,'S49'!$C:$BQ,22,0)</f>
        <v>#N/A</v>
      </c>
      <c r="AY153" s="66" t="e">
        <f>VLOOKUP($A153,'S49'!$C:$BQ,29,0)</f>
        <v>#N/A</v>
      </c>
      <c r="AZ153" s="66" t="e">
        <f>VLOOKUP($A153,'S49'!$C:$BQ,30,0)</f>
        <v>#N/A</v>
      </c>
      <c r="BA153" s="66" t="e">
        <f>VLOOKUP($A153,'S49'!$C:$BQ,52,0)</f>
        <v>#N/A</v>
      </c>
      <c r="BB153" s="66" t="e">
        <f>VLOOKUP($A153,'S49'!$C:$BQ,59,0)</f>
        <v>#N/A</v>
      </c>
      <c r="BC153" s="66" t="e">
        <f>VLOOKUP($A153,'S49'!$C:$BQ,60,0)</f>
        <v>#N/A</v>
      </c>
      <c r="BD153" s="58" t="e">
        <f>VLOOKUP($A153,'S50'!$C:$BQ,32,0)</f>
        <v>#N/A</v>
      </c>
      <c r="BE153" s="58" t="e">
        <f>VLOOKUP($A153,'S50'!$C:$BQ,39,0)</f>
        <v>#N/A</v>
      </c>
      <c r="BF153" s="58" t="e">
        <f>VLOOKUP($A153,'S50'!$C:$BQ,40,0)</f>
        <v>#N/A</v>
      </c>
      <c r="BG153" s="58" t="e">
        <f>VLOOKUP($A153,'S50'!$C:$BQ,22,0)</f>
        <v>#N/A</v>
      </c>
      <c r="BH153" s="66" t="e">
        <f>VLOOKUP($A153,'S50'!$C:$BQ,29,0)</f>
        <v>#N/A</v>
      </c>
      <c r="BI153" s="66" t="e">
        <f>VLOOKUP($A153,'S50'!$C:$BQ,30,0)</f>
        <v>#N/A</v>
      </c>
      <c r="BJ153" s="66" t="e">
        <f>VLOOKUP($A153,'S50'!$C:$BQ,52,0)</f>
        <v>#N/A</v>
      </c>
      <c r="BK153" s="66" t="e">
        <f>VLOOKUP($A153,'S50'!$C:$BQ,59,0)</f>
        <v>#N/A</v>
      </c>
      <c r="BL153" s="66" t="e">
        <f>VLOOKUP($A153,'S50'!$C:$BQ,60,0)</f>
        <v>#N/A</v>
      </c>
    </row>
    <row r="154" spans="1:64" x14ac:dyDescent="0.2">
      <c r="A154" s="57" t="s">
        <v>218</v>
      </c>
      <c r="B154" s="58">
        <f>VLOOKUP($A154,'S0 remplacer avec S44'!$C:$BQ,32,0)</f>
        <v>454.3</v>
      </c>
      <c r="C154" s="58">
        <f>VLOOKUP($A154,'S0 remplacer avec S44'!$C:$BQ,39,0)</f>
        <v>59</v>
      </c>
      <c r="D154" s="58">
        <f>VLOOKUP($A154,'S0 remplacer avec S44'!$C:$BQ,40,0)</f>
        <v>162</v>
      </c>
      <c r="E154" s="58">
        <f>VLOOKUP($A154,'S0 remplacer avec S44'!$C:$BQ,22,0)</f>
        <v>4793.1490100000001</v>
      </c>
      <c r="F154" s="66">
        <f>VLOOKUP($A154,'S0 remplacer avec S44'!$C:$BQ,29,0)</f>
        <v>0</v>
      </c>
      <c r="G154" s="66">
        <f>VLOOKUP($A154,'S0 remplacer avec S44'!$C:$BQ,30,0)</f>
        <v>808</v>
      </c>
      <c r="H154" s="66">
        <f>VLOOKUP($A154,'S0 remplacer avec S44'!$C:$BQ,52,0)</f>
        <v>329.2</v>
      </c>
      <c r="I154" s="66">
        <f>VLOOKUP($A154,'S0 remplacer avec S44'!$C:$BQ,59,0)</f>
        <v>0</v>
      </c>
      <c r="J154" s="66">
        <f>VLOOKUP($A154,'S0 remplacer avec S44'!$C:$BQ,60,0)</f>
        <v>0</v>
      </c>
      <c r="K154" s="58">
        <f>VLOOKUP($A154,'S45'!$C:$BQ,32,0)</f>
        <v>455.15</v>
      </c>
      <c r="L154" s="58">
        <f>VLOOKUP($A154,'S45'!$C:$BQ,39,0)</f>
        <v>58</v>
      </c>
      <c r="M154" s="58">
        <f>VLOOKUP($A154,'S45'!$C:$BQ,40,0)</f>
        <v>161</v>
      </c>
      <c r="N154" s="58">
        <f>VLOOKUP($A154,'S45'!$C:$BQ,22,0)</f>
        <v>4819.9685200000004</v>
      </c>
      <c r="O154" s="66">
        <f>VLOOKUP($A154,'S45'!$C:$BQ,29,0)</f>
        <v>0</v>
      </c>
      <c r="P154" s="66">
        <f>VLOOKUP($A154,'S45'!$C:$BQ,30,0)</f>
        <v>781</v>
      </c>
      <c r="Q154" s="66">
        <f>VLOOKUP($A154,'S45'!$C:$BQ,52,0)</f>
        <v>335.2</v>
      </c>
      <c r="R154" s="66">
        <f>VLOOKUP($A154,'S45'!$C:$BQ,59,0)</f>
        <v>0</v>
      </c>
      <c r="S154" s="66">
        <f>VLOOKUP($A154,'S45'!$C:$BQ,60,0)</f>
        <v>0</v>
      </c>
      <c r="T154" s="58">
        <f>VLOOKUP($A154,'S46'!$C:$BQ,32,0)</f>
        <v>456.15</v>
      </c>
      <c r="U154" s="58">
        <f>VLOOKUP($A154,'S46'!$C:$BQ,39,0)</f>
        <v>57</v>
      </c>
      <c r="V154" s="58">
        <f>VLOOKUP($A154,'S46'!$C:$BQ,40,0)</f>
        <v>160</v>
      </c>
      <c r="W154" s="58">
        <f>VLOOKUP($A154,'S46'!$C:$BQ,22,0)</f>
        <v>4822.4092600000004</v>
      </c>
      <c r="X154" s="66">
        <f>VLOOKUP($A154,'S46'!$C:$BQ,29,0)</f>
        <v>0</v>
      </c>
      <c r="Y154" s="66">
        <f>VLOOKUP($A154,'S46'!$C:$BQ,30,0)</f>
        <v>779</v>
      </c>
      <c r="Z154" s="66">
        <f>VLOOKUP($A154,'S46'!$C:$BQ,52,0)</f>
        <v>335.2</v>
      </c>
      <c r="AA154" s="66">
        <f>VLOOKUP($A154,'S46'!$C:$BQ,59,0)</f>
        <v>0</v>
      </c>
      <c r="AB154" s="66">
        <f>VLOOKUP($A154,'S46'!$C:$BQ,60,0)</f>
        <v>0</v>
      </c>
      <c r="AC154" s="58">
        <f>VLOOKUP($A154,'S47'!$C:$BQ,32,0)</f>
        <v>464.15</v>
      </c>
      <c r="AD154" s="58">
        <f>VLOOKUP($A154,'S47'!$C:$BQ,39,0)</f>
        <v>49</v>
      </c>
      <c r="AE154" s="58">
        <f>VLOOKUP($A154,'S47'!$C:$BQ,40,0)</f>
        <v>152</v>
      </c>
      <c r="AF154" s="58">
        <f>VLOOKUP($A154,'S47'!$C:$BQ,22,0)</f>
        <v>5219.7546300000004</v>
      </c>
      <c r="AG154" s="66">
        <f>VLOOKUP($A154,'S47'!$C:$BQ,29,0)</f>
        <v>0</v>
      </c>
      <c r="AH154" s="66">
        <f>VLOOKUP($A154,'S47'!$C:$BQ,30,0)</f>
        <v>381</v>
      </c>
      <c r="AI154" s="66">
        <f>VLOOKUP($A154,'S47'!$C:$BQ,52,0)</f>
        <v>339.2</v>
      </c>
      <c r="AJ154" s="66">
        <f>VLOOKUP($A154,'S47'!$C:$BQ,59,0)</f>
        <v>0</v>
      </c>
      <c r="AK154" s="66">
        <f>VLOOKUP($A154,'S47'!$C:$BQ,60,0)</f>
        <v>0</v>
      </c>
      <c r="AL154" s="58" t="e">
        <f>VLOOKUP($A154,'S48'!$C:$BQ,32,0)</f>
        <v>#N/A</v>
      </c>
      <c r="AM154" s="58" t="e">
        <f>VLOOKUP($A154,'S48'!$C:$BQ,39,0)</f>
        <v>#N/A</v>
      </c>
      <c r="AN154" s="58" t="e">
        <f>VLOOKUP($A154,'S48'!$C:$BQ,40,0)</f>
        <v>#N/A</v>
      </c>
      <c r="AO154" s="58" t="e">
        <f>VLOOKUP($A154,'S48'!$C:$BQ,22,0)</f>
        <v>#N/A</v>
      </c>
      <c r="AP154" s="66" t="e">
        <f>VLOOKUP($A154,'S48'!$C:$BQ,29,0)</f>
        <v>#N/A</v>
      </c>
      <c r="AQ154" s="66" t="e">
        <f>VLOOKUP($A154,'S48'!$C:$BQ,30,0)</f>
        <v>#N/A</v>
      </c>
      <c r="AR154" s="66" t="e">
        <f>VLOOKUP($A154,'S48'!$C:$BQ,52,0)</f>
        <v>#N/A</v>
      </c>
      <c r="AS154" s="66" t="e">
        <f>VLOOKUP($A154,'S48'!$C:$BQ,59,0)</f>
        <v>#N/A</v>
      </c>
      <c r="AT154" s="66" t="e">
        <f>VLOOKUP($A154,'S48'!$C:$BQ,60,0)</f>
        <v>#N/A</v>
      </c>
      <c r="AU154" s="58" t="e">
        <f>VLOOKUP($A154,'S49'!$C:$BQ,32,0)</f>
        <v>#N/A</v>
      </c>
      <c r="AV154" s="58" t="e">
        <f>VLOOKUP($A154,'S49'!$C:$BQ,39,0)</f>
        <v>#N/A</v>
      </c>
      <c r="AW154" s="58" t="e">
        <f>VLOOKUP($A154,'S49'!$C:$BQ,40,0)</f>
        <v>#N/A</v>
      </c>
      <c r="AX154" s="58" t="e">
        <f>VLOOKUP($A154,'S49'!$C:$BQ,22,0)</f>
        <v>#N/A</v>
      </c>
      <c r="AY154" s="66" t="e">
        <f>VLOOKUP($A154,'S49'!$C:$BQ,29,0)</f>
        <v>#N/A</v>
      </c>
      <c r="AZ154" s="66" t="e">
        <f>VLOOKUP($A154,'S49'!$C:$BQ,30,0)</f>
        <v>#N/A</v>
      </c>
      <c r="BA154" s="66" t="e">
        <f>VLOOKUP($A154,'S49'!$C:$BQ,52,0)</f>
        <v>#N/A</v>
      </c>
      <c r="BB154" s="66" t="e">
        <f>VLOOKUP($A154,'S49'!$C:$BQ,59,0)</f>
        <v>#N/A</v>
      </c>
      <c r="BC154" s="66" t="e">
        <f>VLOOKUP($A154,'S49'!$C:$BQ,60,0)</f>
        <v>#N/A</v>
      </c>
      <c r="BD154" s="58" t="e">
        <f>VLOOKUP($A154,'S50'!$C:$BQ,32,0)</f>
        <v>#N/A</v>
      </c>
      <c r="BE154" s="58" t="e">
        <f>VLOOKUP($A154,'S50'!$C:$BQ,39,0)</f>
        <v>#N/A</v>
      </c>
      <c r="BF154" s="58" t="e">
        <f>VLOOKUP($A154,'S50'!$C:$BQ,40,0)</f>
        <v>#N/A</v>
      </c>
      <c r="BG154" s="58" t="e">
        <f>VLOOKUP($A154,'S50'!$C:$BQ,22,0)</f>
        <v>#N/A</v>
      </c>
      <c r="BH154" s="66" t="e">
        <f>VLOOKUP($A154,'S50'!$C:$BQ,29,0)</f>
        <v>#N/A</v>
      </c>
      <c r="BI154" s="66" t="e">
        <f>VLOOKUP($A154,'S50'!$C:$BQ,30,0)</f>
        <v>#N/A</v>
      </c>
      <c r="BJ154" s="66" t="e">
        <f>VLOOKUP($A154,'S50'!$C:$BQ,52,0)</f>
        <v>#N/A</v>
      </c>
      <c r="BK154" s="66" t="e">
        <f>VLOOKUP($A154,'S50'!$C:$BQ,59,0)</f>
        <v>#N/A</v>
      </c>
      <c r="BL154" s="66" t="e">
        <f>VLOOKUP($A154,'S50'!$C:$BQ,60,0)</f>
        <v>#N/A</v>
      </c>
    </row>
    <row r="155" spans="1:64" x14ac:dyDescent="0.2">
      <c r="A155" s="57" t="s">
        <v>219</v>
      </c>
      <c r="B155" s="58">
        <f>VLOOKUP($A155,'S0 remplacer avec S44'!$C:$BQ,32,0)</f>
        <v>267.10000000000002</v>
      </c>
      <c r="C155" s="58">
        <f>VLOOKUP($A155,'S0 remplacer avec S44'!$C:$BQ,39,0)</f>
        <v>48</v>
      </c>
      <c r="D155" s="58">
        <f>VLOOKUP($A155,'S0 remplacer avec S44'!$C:$BQ,40,0)</f>
        <v>111</v>
      </c>
      <c r="E155" s="58">
        <f>VLOOKUP($A155,'S0 remplacer avec S44'!$C:$BQ,22,0)</f>
        <v>3272.9072700000002</v>
      </c>
      <c r="F155" s="66">
        <f>VLOOKUP($A155,'S0 remplacer avec S44'!$C:$BQ,29,0)</f>
        <v>0</v>
      </c>
      <c r="G155" s="66">
        <f>VLOOKUP($A155,'S0 remplacer avec S44'!$C:$BQ,30,0)</f>
        <v>160</v>
      </c>
      <c r="H155" s="66">
        <f>VLOOKUP($A155,'S0 remplacer avec S44'!$C:$BQ,52,0)</f>
        <v>230</v>
      </c>
      <c r="I155" s="66">
        <f>VLOOKUP($A155,'S0 remplacer avec S44'!$C:$BQ,59,0)</f>
        <v>0</v>
      </c>
      <c r="J155" s="66">
        <f>VLOOKUP($A155,'S0 remplacer avec S44'!$C:$BQ,60,0)</f>
        <v>0</v>
      </c>
      <c r="K155" s="58">
        <f>VLOOKUP($A155,'S45'!$C:$BQ,32,0)</f>
        <v>275.10000000000002</v>
      </c>
      <c r="L155" s="58">
        <f>VLOOKUP($A155,'S45'!$C:$BQ,39,0)</f>
        <v>40</v>
      </c>
      <c r="M155" s="58">
        <f>VLOOKUP($A155,'S45'!$C:$BQ,40,0)</f>
        <v>103</v>
      </c>
      <c r="N155" s="58">
        <f>VLOOKUP($A155,'S45'!$C:$BQ,22,0)</f>
        <v>3381.4382700000001</v>
      </c>
      <c r="O155" s="66">
        <f>VLOOKUP($A155,'S45'!$C:$BQ,29,0)</f>
        <v>0</v>
      </c>
      <c r="P155" s="66">
        <f>VLOOKUP($A155,'S45'!$C:$BQ,30,0)</f>
        <v>51</v>
      </c>
      <c r="Q155" s="66">
        <f>VLOOKUP($A155,'S45'!$C:$BQ,52,0)</f>
        <v>234</v>
      </c>
      <c r="R155" s="66">
        <f>VLOOKUP($A155,'S45'!$C:$BQ,59,0)</f>
        <v>0</v>
      </c>
      <c r="S155" s="66">
        <f>VLOOKUP($A155,'S45'!$C:$BQ,60,0)</f>
        <v>0</v>
      </c>
      <c r="T155" s="58">
        <f>VLOOKUP($A155,'S46'!$C:$BQ,32,0)</f>
        <v>276.60000000000002</v>
      </c>
      <c r="U155" s="58">
        <f>VLOOKUP($A155,'S46'!$C:$BQ,39,0)</f>
        <v>38</v>
      </c>
      <c r="V155" s="58">
        <f>VLOOKUP($A155,'S46'!$C:$BQ,40,0)</f>
        <v>101</v>
      </c>
      <c r="W155" s="58">
        <f>VLOOKUP($A155,'S46'!$C:$BQ,22,0)</f>
        <v>3403.2442700000001</v>
      </c>
      <c r="X155" s="66">
        <f>VLOOKUP($A155,'S46'!$C:$BQ,29,0)</f>
        <v>0</v>
      </c>
      <c r="Y155" s="66">
        <f>VLOOKUP($A155,'S46'!$C:$BQ,30,0)</f>
        <v>29</v>
      </c>
      <c r="Z155" s="66">
        <f>VLOOKUP($A155,'S46'!$C:$BQ,52,0)</f>
        <v>236</v>
      </c>
      <c r="AA155" s="66">
        <f>VLOOKUP($A155,'S46'!$C:$BQ,59,0)</f>
        <v>0</v>
      </c>
      <c r="AB155" s="66">
        <f>VLOOKUP($A155,'S46'!$C:$BQ,60,0)</f>
        <v>0</v>
      </c>
      <c r="AC155" s="58">
        <f>VLOOKUP($A155,'S47'!$C:$BQ,32,0)</f>
        <v>287.10000000000002</v>
      </c>
      <c r="AD155" s="58">
        <f>VLOOKUP($A155,'S47'!$C:$BQ,39,0)</f>
        <v>28</v>
      </c>
      <c r="AE155" s="58">
        <f>VLOOKUP($A155,'S47'!$C:$BQ,40,0)</f>
        <v>91</v>
      </c>
      <c r="AF155" s="58">
        <f>VLOOKUP($A155,'S47'!$C:$BQ,22,0)</f>
        <v>3490.3972600000002</v>
      </c>
      <c r="AG155" s="66">
        <f>VLOOKUP($A155,'S47'!$C:$BQ,29,0)</f>
        <v>0</v>
      </c>
      <c r="AH155" s="66">
        <f>VLOOKUP($A155,'S47'!$C:$BQ,30,0)</f>
        <v>0</v>
      </c>
      <c r="AI155" s="66">
        <f>VLOOKUP($A155,'S47'!$C:$BQ,52,0)</f>
        <v>245</v>
      </c>
      <c r="AJ155" s="66">
        <f>VLOOKUP($A155,'S47'!$C:$BQ,59,0)</f>
        <v>0</v>
      </c>
      <c r="AK155" s="66">
        <f>VLOOKUP($A155,'S47'!$C:$BQ,60,0)</f>
        <v>0</v>
      </c>
      <c r="AL155" s="58" t="e">
        <f>VLOOKUP($A155,'S48'!$C:$BQ,32,0)</f>
        <v>#N/A</v>
      </c>
      <c r="AM155" s="58" t="e">
        <f>VLOOKUP($A155,'S48'!$C:$BQ,39,0)</f>
        <v>#N/A</v>
      </c>
      <c r="AN155" s="58" t="e">
        <f>VLOOKUP($A155,'S48'!$C:$BQ,40,0)</f>
        <v>#N/A</v>
      </c>
      <c r="AO155" s="58" t="e">
        <f>VLOOKUP($A155,'S48'!$C:$BQ,22,0)</f>
        <v>#N/A</v>
      </c>
      <c r="AP155" s="66" t="e">
        <f>VLOOKUP($A155,'S48'!$C:$BQ,29,0)</f>
        <v>#N/A</v>
      </c>
      <c r="AQ155" s="66" t="e">
        <f>VLOOKUP($A155,'S48'!$C:$BQ,30,0)</f>
        <v>#N/A</v>
      </c>
      <c r="AR155" s="66" t="e">
        <f>VLOOKUP($A155,'S48'!$C:$BQ,52,0)</f>
        <v>#N/A</v>
      </c>
      <c r="AS155" s="66" t="e">
        <f>VLOOKUP($A155,'S48'!$C:$BQ,59,0)</f>
        <v>#N/A</v>
      </c>
      <c r="AT155" s="66" t="e">
        <f>VLOOKUP($A155,'S48'!$C:$BQ,60,0)</f>
        <v>#N/A</v>
      </c>
      <c r="AU155" s="58" t="e">
        <f>VLOOKUP($A155,'S49'!$C:$BQ,32,0)</f>
        <v>#N/A</v>
      </c>
      <c r="AV155" s="58" t="e">
        <f>VLOOKUP($A155,'S49'!$C:$BQ,39,0)</f>
        <v>#N/A</v>
      </c>
      <c r="AW155" s="58" t="e">
        <f>VLOOKUP($A155,'S49'!$C:$BQ,40,0)</f>
        <v>#N/A</v>
      </c>
      <c r="AX155" s="58" t="e">
        <f>VLOOKUP($A155,'S49'!$C:$BQ,22,0)</f>
        <v>#N/A</v>
      </c>
      <c r="AY155" s="66" t="e">
        <f>VLOOKUP($A155,'S49'!$C:$BQ,29,0)</f>
        <v>#N/A</v>
      </c>
      <c r="AZ155" s="66" t="e">
        <f>VLOOKUP($A155,'S49'!$C:$BQ,30,0)</f>
        <v>#N/A</v>
      </c>
      <c r="BA155" s="66" t="e">
        <f>VLOOKUP($A155,'S49'!$C:$BQ,52,0)</f>
        <v>#N/A</v>
      </c>
      <c r="BB155" s="66" t="e">
        <f>VLOOKUP($A155,'S49'!$C:$BQ,59,0)</f>
        <v>#N/A</v>
      </c>
      <c r="BC155" s="66" t="e">
        <f>VLOOKUP($A155,'S49'!$C:$BQ,60,0)</f>
        <v>#N/A</v>
      </c>
      <c r="BD155" s="58" t="e">
        <f>VLOOKUP($A155,'S50'!$C:$BQ,32,0)</f>
        <v>#N/A</v>
      </c>
      <c r="BE155" s="58" t="e">
        <f>VLOOKUP($A155,'S50'!$C:$BQ,39,0)</f>
        <v>#N/A</v>
      </c>
      <c r="BF155" s="58" t="e">
        <f>VLOOKUP($A155,'S50'!$C:$BQ,40,0)</f>
        <v>#N/A</v>
      </c>
      <c r="BG155" s="58" t="e">
        <f>VLOOKUP($A155,'S50'!$C:$BQ,22,0)</f>
        <v>#N/A</v>
      </c>
      <c r="BH155" s="66" t="e">
        <f>VLOOKUP($A155,'S50'!$C:$BQ,29,0)</f>
        <v>#N/A</v>
      </c>
      <c r="BI155" s="66" t="e">
        <f>VLOOKUP($A155,'S50'!$C:$BQ,30,0)</f>
        <v>#N/A</v>
      </c>
      <c r="BJ155" s="66" t="e">
        <f>VLOOKUP($A155,'S50'!$C:$BQ,52,0)</f>
        <v>#N/A</v>
      </c>
      <c r="BK155" s="66" t="e">
        <f>VLOOKUP($A155,'S50'!$C:$BQ,59,0)</f>
        <v>#N/A</v>
      </c>
      <c r="BL155" s="66" t="e">
        <f>VLOOKUP($A155,'S50'!$C:$BQ,60,0)</f>
        <v>#N/A</v>
      </c>
    </row>
    <row r="156" spans="1:64" x14ac:dyDescent="0.2">
      <c r="A156" s="57" t="s">
        <v>222</v>
      </c>
      <c r="B156" s="58">
        <f>VLOOKUP($A156,'S0 remplacer avec S44'!$C:$BQ,32,0)</f>
        <v>122.7</v>
      </c>
      <c r="C156" s="58">
        <f>VLOOKUP($A156,'S0 remplacer avec S44'!$C:$BQ,39,0)</f>
        <v>35</v>
      </c>
      <c r="D156" s="58">
        <f>VLOOKUP($A156,'S0 remplacer avec S44'!$C:$BQ,40,0)</f>
        <v>67</v>
      </c>
      <c r="E156" s="58">
        <f>VLOOKUP($A156,'S0 remplacer avec S44'!$C:$BQ,22,0)</f>
        <v>1382.69615</v>
      </c>
      <c r="F156" s="66">
        <f>VLOOKUP($A156,'S0 remplacer avec S44'!$C:$BQ,29,0)</f>
        <v>52</v>
      </c>
      <c r="G156" s="66">
        <f>VLOOKUP($A156,'S0 remplacer avec S44'!$C:$BQ,30,0)</f>
        <v>338</v>
      </c>
      <c r="H156" s="66">
        <f>VLOOKUP($A156,'S0 remplacer avec S44'!$C:$BQ,52,0)</f>
        <v>54</v>
      </c>
      <c r="I156" s="66">
        <f>VLOOKUP($A156,'S0 remplacer avec S44'!$C:$BQ,59,0)</f>
        <v>27</v>
      </c>
      <c r="J156" s="66">
        <f>VLOOKUP($A156,'S0 remplacer avec S44'!$C:$BQ,60,0)</f>
        <v>43</v>
      </c>
      <c r="K156" s="58">
        <f>VLOOKUP($A156,'S45'!$C:$BQ,32,0)</f>
        <v>121.7</v>
      </c>
      <c r="L156" s="58">
        <f>VLOOKUP($A156,'S45'!$C:$BQ,39,0)</f>
        <v>36</v>
      </c>
      <c r="M156" s="58">
        <f>VLOOKUP($A156,'S45'!$C:$BQ,40,0)</f>
        <v>68</v>
      </c>
      <c r="N156" s="58">
        <f>VLOOKUP($A156,'S45'!$C:$BQ,22,0)</f>
        <v>1394.10925</v>
      </c>
      <c r="O156" s="66">
        <f>VLOOKUP($A156,'S45'!$C:$BQ,29,0)</f>
        <v>40</v>
      </c>
      <c r="P156" s="66">
        <f>VLOOKUP($A156,'S45'!$C:$BQ,30,0)</f>
        <v>327</v>
      </c>
      <c r="Q156" s="66">
        <f>VLOOKUP($A156,'S45'!$C:$BQ,52,0)</f>
        <v>58</v>
      </c>
      <c r="R156" s="66">
        <f>VLOOKUP($A156,'S45'!$C:$BQ,59,0)</f>
        <v>23</v>
      </c>
      <c r="S156" s="66">
        <f>VLOOKUP($A156,'S45'!$C:$BQ,60,0)</f>
        <v>39</v>
      </c>
      <c r="T156" s="58">
        <f>VLOOKUP($A156,'S46'!$C:$BQ,32,0)</f>
        <v>121.7</v>
      </c>
      <c r="U156" s="58">
        <f>VLOOKUP($A156,'S46'!$C:$BQ,39,0)</f>
        <v>36</v>
      </c>
      <c r="V156" s="58">
        <f>VLOOKUP($A156,'S46'!$C:$BQ,40,0)</f>
        <v>68</v>
      </c>
      <c r="W156" s="58">
        <f>VLOOKUP($A156,'S46'!$C:$BQ,22,0)</f>
        <v>1394.92947</v>
      </c>
      <c r="X156" s="66">
        <f>VLOOKUP($A156,'S46'!$C:$BQ,29,0)</f>
        <v>39</v>
      </c>
      <c r="Y156" s="66">
        <f>VLOOKUP($A156,'S46'!$C:$BQ,30,0)</f>
        <v>326</v>
      </c>
      <c r="Z156" s="66">
        <f>VLOOKUP($A156,'S46'!$C:$BQ,52,0)</f>
        <v>60</v>
      </c>
      <c r="AA156" s="66">
        <f>VLOOKUP($A156,'S46'!$C:$BQ,59,0)</f>
        <v>21</v>
      </c>
      <c r="AB156" s="66">
        <f>VLOOKUP($A156,'S46'!$C:$BQ,60,0)</f>
        <v>37</v>
      </c>
      <c r="AC156" s="58">
        <f>VLOOKUP($A156,'S47'!$C:$BQ,32,0)</f>
        <v>123.7</v>
      </c>
      <c r="AD156" s="58">
        <f>VLOOKUP($A156,'S47'!$C:$BQ,39,0)</f>
        <v>34</v>
      </c>
      <c r="AE156" s="58">
        <f>VLOOKUP($A156,'S47'!$C:$BQ,40,0)</f>
        <v>66</v>
      </c>
      <c r="AF156" s="58">
        <f>VLOOKUP($A156,'S47'!$C:$BQ,22,0)</f>
        <v>1435.7353900000001</v>
      </c>
      <c r="AG156" s="66">
        <f>VLOOKUP($A156,'S47'!$C:$BQ,29,0)</f>
        <v>0</v>
      </c>
      <c r="AH156" s="66">
        <f>VLOOKUP($A156,'S47'!$C:$BQ,30,0)</f>
        <v>285</v>
      </c>
      <c r="AI156" s="66">
        <f>VLOOKUP($A156,'S47'!$C:$BQ,52,0)</f>
        <v>60</v>
      </c>
      <c r="AJ156" s="66">
        <f>VLOOKUP($A156,'S47'!$C:$BQ,59,0)</f>
        <v>21</v>
      </c>
      <c r="AK156" s="66">
        <f>VLOOKUP($A156,'S47'!$C:$BQ,60,0)</f>
        <v>37</v>
      </c>
      <c r="AL156" s="58" t="e">
        <f>VLOOKUP($A156,'S48'!$C:$BQ,32,0)</f>
        <v>#N/A</v>
      </c>
      <c r="AM156" s="58" t="e">
        <f>VLOOKUP($A156,'S48'!$C:$BQ,39,0)</f>
        <v>#N/A</v>
      </c>
      <c r="AN156" s="58" t="e">
        <f>VLOOKUP($A156,'S48'!$C:$BQ,40,0)</f>
        <v>#N/A</v>
      </c>
      <c r="AO156" s="58" t="e">
        <f>VLOOKUP($A156,'S48'!$C:$BQ,22,0)</f>
        <v>#N/A</v>
      </c>
      <c r="AP156" s="66" t="e">
        <f>VLOOKUP($A156,'S48'!$C:$BQ,29,0)</f>
        <v>#N/A</v>
      </c>
      <c r="AQ156" s="66" t="e">
        <f>VLOOKUP($A156,'S48'!$C:$BQ,30,0)</f>
        <v>#N/A</v>
      </c>
      <c r="AR156" s="66" t="e">
        <f>VLOOKUP($A156,'S48'!$C:$BQ,52,0)</f>
        <v>#N/A</v>
      </c>
      <c r="AS156" s="66" t="e">
        <f>VLOOKUP($A156,'S48'!$C:$BQ,59,0)</f>
        <v>#N/A</v>
      </c>
      <c r="AT156" s="66" t="e">
        <f>VLOOKUP($A156,'S48'!$C:$BQ,60,0)</f>
        <v>#N/A</v>
      </c>
      <c r="AU156" s="58" t="e">
        <f>VLOOKUP($A156,'S49'!$C:$BQ,32,0)</f>
        <v>#N/A</v>
      </c>
      <c r="AV156" s="58" t="e">
        <f>VLOOKUP($A156,'S49'!$C:$BQ,39,0)</f>
        <v>#N/A</v>
      </c>
      <c r="AW156" s="58" t="e">
        <f>VLOOKUP($A156,'S49'!$C:$BQ,40,0)</f>
        <v>#N/A</v>
      </c>
      <c r="AX156" s="58" t="e">
        <f>VLOOKUP($A156,'S49'!$C:$BQ,22,0)</f>
        <v>#N/A</v>
      </c>
      <c r="AY156" s="66" t="e">
        <f>VLOOKUP($A156,'S49'!$C:$BQ,29,0)</f>
        <v>#N/A</v>
      </c>
      <c r="AZ156" s="66" t="e">
        <f>VLOOKUP($A156,'S49'!$C:$BQ,30,0)</f>
        <v>#N/A</v>
      </c>
      <c r="BA156" s="66" t="e">
        <f>VLOOKUP($A156,'S49'!$C:$BQ,52,0)</f>
        <v>#N/A</v>
      </c>
      <c r="BB156" s="66" t="e">
        <f>VLOOKUP($A156,'S49'!$C:$BQ,59,0)</f>
        <v>#N/A</v>
      </c>
      <c r="BC156" s="66" t="e">
        <f>VLOOKUP($A156,'S49'!$C:$BQ,60,0)</f>
        <v>#N/A</v>
      </c>
      <c r="BD156" s="58" t="e">
        <f>VLOOKUP($A156,'S50'!$C:$BQ,32,0)</f>
        <v>#N/A</v>
      </c>
      <c r="BE156" s="58" t="e">
        <f>VLOOKUP($A156,'S50'!$C:$BQ,39,0)</f>
        <v>#N/A</v>
      </c>
      <c r="BF156" s="58" t="e">
        <f>VLOOKUP($A156,'S50'!$C:$BQ,40,0)</f>
        <v>#N/A</v>
      </c>
      <c r="BG156" s="58" t="e">
        <f>VLOOKUP($A156,'S50'!$C:$BQ,22,0)</f>
        <v>#N/A</v>
      </c>
      <c r="BH156" s="66" t="e">
        <f>VLOOKUP($A156,'S50'!$C:$BQ,29,0)</f>
        <v>#N/A</v>
      </c>
      <c r="BI156" s="66" t="e">
        <f>VLOOKUP($A156,'S50'!$C:$BQ,30,0)</f>
        <v>#N/A</v>
      </c>
      <c r="BJ156" s="66" t="e">
        <f>VLOOKUP($A156,'S50'!$C:$BQ,52,0)</f>
        <v>#N/A</v>
      </c>
      <c r="BK156" s="66" t="e">
        <f>VLOOKUP($A156,'S50'!$C:$BQ,59,0)</f>
        <v>#N/A</v>
      </c>
      <c r="BL156" s="66" t="e">
        <f>VLOOKUP($A156,'S50'!$C:$BQ,60,0)</f>
        <v>#N/A</v>
      </c>
    </row>
    <row r="157" spans="1:64" x14ac:dyDescent="0.2">
      <c r="A157" s="57" t="s">
        <v>223</v>
      </c>
      <c r="B157" s="58">
        <f>VLOOKUP($A157,'S0 remplacer avec S44'!$C:$BQ,32,0)</f>
        <v>70.7</v>
      </c>
      <c r="C157" s="58">
        <f>VLOOKUP($A157,'S0 remplacer avec S44'!$C:$BQ,39,0)</f>
        <v>16</v>
      </c>
      <c r="D157" s="58">
        <f>VLOOKUP($A157,'S0 remplacer avec S44'!$C:$BQ,40,0)</f>
        <v>34</v>
      </c>
      <c r="E157" s="58">
        <f>VLOOKUP($A157,'S0 remplacer avec S44'!$C:$BQ,22,0)</f>
        <v>821.34510499999999</v>
      </c>
      <c r="F157" s="66">
        <f>VLOOKUP($A157,'S0 remplacer avec S44'!$C:$BQ,29,0)</f>
        <v>0</v>
      </c>
      <c r="G157" s="66">
        <f>VLOOKUP($A157,'S0 remplacer avec S44'!$C:$BQ,30,0)</f>
        <v>124</v>
      </c>
      <c r="H157" s="66">
        <f>VLOOKUP($A157,'S0 remplacer avec S44'!$C:$BQ,52,0)</f>
        <v>31.8</v>
      </c>
      <c r="I157" s="66">
        <f>VLOOKUP($A157,'S0 remplacer avec S44'!$C:$BQ,59,0)</f>
        <v>13</v>
      </c>
      <c r="J157" s="66">
        <f>VLOOKUP($A157,'S0 remplacer avec S44'!$C:$BQ,60,0)</f>
        <v>21</v>
      </c>
      <c r="K157" s="58">
        <f>VLOOKUP($A157,'S45'!$C:$BQ,32,0)</f>
        <v>70.7</v>
      </c>
      <c r="L157" s="58">
        <f>VLOOKUP($A157,'S45'!$C:$BQ,39,0)</f>
        <v>16</v>
      </c>
      <c r="M157" s="58">
        <f>VLOOKUP($A157,'S45'!$C:$BQ,40,0)</f>
        <v>34</v>
      </c>
      <c r="N157" s="58">
        <f>VLOOKUP($A157,'S45'!$C:$BQ,22,0)</f>
        <v>821.77718500000003</v>
      </c>
      <c r="O157" s="66">
        <f>VLOOKUP($A157,'S45'!$C:$BQ,29,0)</f>
        <v>0</v>
      </c>
      <c r="P157" s="66">
        <f>VLOOKUP($A157,'S45'!$C:$BQ,30,0)</f>
        <v>124</v>
      </c>
      <c r="Q157" s="66">
        <f>VLOOKUP($A157,'S45'!$C:$BQ,52,0)</f>
        <v>31.8</v>
      </c>
      <c r="R157" s="66">
        <f>VLOOKUP($A157,'S45'!$C:$BQ,59,0)</f>
        <v>13</v>
      </c>
      <c r="S157" s="66">
        <f>VLOOKUP($A157,'S45'!$C:$BQ,60,0)</f>
        <v>21</v>
      </c>
      <c r="T157" s="58">
        <f>VLOOKUP($A157,'S46'!$C:$BQ,32,0)</f>
        <v>71.2</v>
      </c>
      <c r="U157" s="58">
        <f>VLOOKUP($A157,'S46'!$C:$BQ,39,0)</f>
        <v>16</v>
      </c>
      <c r="V157" s="58">
        <f>VLOOKUP($A157,'S46'!$C:$BQ,40,0)</f>
        <v>33</v>
      </c>
      <c r="W157" s="58">
        <f>VLOOKUP($A157,'S46'!$C:$BQ,22,0)</f>
        <v>825.16083500000002</v>
      </c>
      <c r="X157" s="66">
        <f>VLOOKUP($A157,'S46'!$C:$BQ,29,0)</f>
        <v>0</v>
      </c>
      <c r="Y157" s="66">
        <f>VLOOKUP($A157,'S46'!$C:$BQ,30,0)</f>
        <v>121</v>
      </c>
      <c r="Z157" s="66">
        <f>VLOOKUP($A157,'S46'!$C:$BQ,52,0)</f>
        <v>31.8</v>
      </c>
      <c r="AA157" s="66">
        <f>VLOOKUP($A157,'S46'!$C:$BQ,59,0)</f>
        <v>13</v>
      </c>
      <c r="AB157" s="66">
        <f>VLOOKUP($A157,'S46'!$C:$BQ,60,0)</f>
        <v>21</v>
      </c>
      <c r="AC157" s="58">
        <f>VLOOKUP($A157,'S47'!$C:$BQ,32,0)</f>
        <v>72.7</v>
      </c>
      <c r="AD157" s="58">
        <f>VLOOKUP($A157,'S47'!$C:$BQ,39,0)</f>
        <v>14</v>
      </c>
      <c r="AE157" s="58">
        <f>VLOOKUP($A157,'S47'!$C:$BQ,40,0)</f>
        <v>32</v>
      </c>
      <c r="AF157" s="58">
        <f>VLOOKUP($A157,'S47'!$C:$BQ,22,0)</f>
        <v>825.39783499999999</v>
      </c>
      <c r="AG157" s="66">
        <f>VLOOKUP($A157,'S47'!$C:$BQ,29,0)</f>
        <v>0</v>
      </c>
      <c r="AH157" s="66">
        <f>VLOOKUP($A157,'S47'!$C:$BQ,30,0)</f>
        <v>120</v>
      </c>
      <c r="AI157" s="66">
        <f>VLOOKUP($A157,'S47'!$C:$BQ,52,0)</f>
        <v>31.8</v>
      </c>
      <c r="AJ157" s="66">
        <f>VLOOKUP($A157,'S47'!$C:$BQ,59,0)</f>
        <v>13</v>
      </c>
      <c r="AK157" s="66">
        <f>VLOOKUP($A157,'S47'!$C:$BQ,60,0)</f>
        <v>21</v>
      </c>
      <c r="AL157" s="58" t="e">
        <f>VLOOKUP($A157,'S48'!$C:$BQ,32,0)</f>
        <v>#N/A</v>
      </c>
      <c r="AM157" s="58" t="e">
        <f>VLOOKUP($A157,'S48'!$C:$BQ,39,0)</f>
        <v>#N/A</v>
      </c>
      <c r="AN157" s="58" t="e">
        <f>VLOOKUP($A157,'S48'!$C:$BQ,40,0)</f>
        <v>#N/A</v>
      </c>
      <c r="AO157" s="58" t="e">
        <f>VLOOKUP($A157,'S48'!$C:$BQ,22,0)</f>
        <v>#N/A</v>
      </c>
      <c r="AP157" s="66" t="e">
        <f>VLOOKUP($A157,'S48'!$C:$BQ,29,0)</f>
        <v>#N/A</v>
      </c>
      <c r="AQ157" s="66" t="e">
        <f>VLOOKUP($A157,'S48'!$C:$BQ,30,0)</f>
        <v>#N/A</v>
      </c>
      <c r="AR157" s="66" t="e">
        <f>VLOOKUP($A157,'S48'!$C:$BQ,52,0)</f>
        <v>#N/A</v>
      </c>
      <c r="AS157" s="66" t="e">
        <f>VLOOKUP($A157,'S48'!$C:$BQ,59,0)</f>
        <v>#N/A</v>
      </c>
      <c r="AT157" s="66" t="e">
        <f>VLOOKUP($A157,'S48'!$C:$BQ,60,0)</f>
        <v>#N/A</v>
      </c>
      <c r="AU157" s="58" t="e">
        <f>VLOOKUP($A157,'S49'!$C:$BQ,32,0)</f>
        <v>#N/A</v>
      </c>
      <c r="AV157" s="58" t="e">
        <f>VLOOKUP($A157,'S49'!$C:$BQ,39,0)</f>
        <v>#N/A</v>
      </c>
      <c r="AW157" s="58" t="e">
        <f>VLOOKUP($A157,'S49'!$C:$BQ,40,0)</f>
        <v>#N/A</v>
      </c>
      <c r="AX157" s="58" t="e">
        <f>VLOOKUP($A157,'S49'!$C:$BQ,22,0)</f>
        <v>#N/A</v>
      </c>
      <c r="AY157" s="66" t="e">
        <f>VLOOKUP($A157,'S49'!$C:$BQ,29,0)</f>
        <v>#N/A</v>
      </c>
      <c r="AZ157" s="66" t="e">
        <f>VLOOKUP($A157,'S49'!$C:$BQ,30,0)</f>
        <v>#N/A</v>
      </c>
      <c r="BA157" s="66" t="e">
        <f>VLOOKUP($A157,'S49'!$C:$BQ,52,0)</f>
        <v>#N/A</v>
      </c>
      <c r="BB157" s="66" t="e">
        <f>VLOOKUP($A157,'S49'!$C:$BQ,59,0)</f>
        <v>#N/A</v>
      </c>
      <c r="BC157" s="66" t="e">
        <f>VLOOKUP($A157,'S49'!$C:$BQ,60,0)</f>
        <v>#N/A</v>
      </c>
      <c r="BD157" s="58" t="e">
        <f>VLOOKUP($A157,'S50'!$C:$BQ,32,0)</f>
        <v>#N/A</v>
      </c>
      <c r="BE157" s="58" t="e">
        <f>VLOOKUP($A157,'S50'!$C:$BQ,39,0)</f>
        <v>#N/A</v>
      </c>
      <c r="BF157" s="58" t="e">
        <f>VLOOKUP($A157,'S50'!$C:$BQ,40,0)</f>
        <v>#N/A</v>
      </c>
      <c r="BG157" s="58" t="e">
        <f>VLOOKUP($A157,'S50'!$C:$BQ,22,0)</f>
        <v>#N/A</v>
      </c>
      <c r="BH157" s="66" t="e">
        <f>VLOOKUP($A157,'S50'!$C:$BQ,29,0)</f>
        <v>#N/A</v>
      </c>
      <c r="BI157" s="66" t="e">
        <f>VLOOKUP($A157,'S50'!$C:$BQ,30,0)</f>
        <v>#N/A</v>
      </c>
      <c r="BJ157" s="66" t="e">
        <f>VLOOKUP($A157,'S50'!$C:$BQ,52,0)</f>
        <v>#N/A</v>
      </c>
      <c r="BK157" s="66" t="e">
        <f>VLOOKUP($A157,'S50'!$C:$BQ,59,0)</f>
        <v>#N/A</v>
      </c>
      <c r="BL157" s="66" t="e">
        <f>VLOOKUP($A157,'S50'!$C:$BQ,60,0)</f>
        <v>#N/A</v>
      </c>
    </row>
    <row r="158" spans="1:64" x14ac:dyDescent="0.2">
      <c r="A158" s="57" t="s">
        <v>224</v>
      </c>
      <c r="B158" s="58">
        <f>VLOOKUP($A158,'S0 remplacer avec S44'!$C:$BQ,32,0)</f>
        <v>70.7</v>
      </c>
      <c r="C158" s="58">
        <f>VLOOKUP($A158,'S0 remplacer avec S44'!$C:$BQ,39,0)</f>
        <v>102</v>
      </c>
      <c r="D158" s="58">
        <f>VLOOKUP($A158,'S0 remplacer avec S44'!$C:$BQ,40,0)</f>
        <v>136</v>
      </c>
      <c r="E158" s="58">
        <f>VLOOKUP($A158,'S0 remplacer avec S44'!$C:$BQ,22,0)</f>
        <v>1628.1337149999999</v>
      </c>
      <c r="F158" s="66">
        <f>VLOOKUP($A158,'S0 remplacer avec S44'!$C:$BQ,29,0)</f>
        <v>0</v>
      </c>
      <c r="G158" s="66">
        <f>VLOOKUP($A158,'S0 remplacer avec S44'!$C:$BQ,30,0)</f>
        <v>249</v>
      </c>
      <c r="H158" s="66">
        <f>VLOOKUP($A158,'S0 remplacer avec S44'!$C:$BQ,52,0)</f>
        <v>94.6</v>
      </c>
      <c r="I158" s="66">
        <f>VLOOKUP($A158,'S0 remplacer avec S44'!$C:$BQ,59,0)</f>
        <v>0</v>
      </c>
      <c r="J158" s="66">
        <f>VLOOKUP($A158,'S0 remplacer avec S44'!$C:$BQ,60,0)</f>
        <v>11</v>
      </c>
      <c r="K158" s="58">
        <f>VLOOKUP($A158,'S45'!$C:$BQ,32,0)</f>
        <v>71.7</v>
      </c>
      <c r="L158" s="58">
        <f>VLOOKUP($A158,'S45'!$C:$BQ,39,0)</f>
        <v>101</v>
      </c>
      <c r="M158" s="58">
        <f>VLOOKUP($A158,'S45'!$C:$BQ,40,0)</f>
        <v>135</v>
      </c>
      <c r="N158" s="58">
        <f>VLOOKUP($A158,'S45'!$C:$BQ,22,0)</f>
        <v>1643.297615</v>
      </c>
      <c r="O158" s="66">
        <f>VLOOKUP($A158,'S45'!$C:$BQ,29,0)</f>
        <v>0</v>
      </c>
      <c r="P158" s="66">
        <f>VLOOKUP($A158,'S45'!$C:$BQ,30,0)</f>
        <v>234</v>
      </c>
      <c r="Q158" s="66">
        <f>VLOOKUP($A158,'S45'!$C:$BQ,52,0)</f>
        <v>97.6</v>
      </c>
      <c r="R158" s="66">
        <f>VLOOKUP($A158,'S45'!$C:$BQ,59,0)</f>
        <v>0</v>
      </c>
      <c r="S158" s="66">
        <f>VLOOKUP($A158,'S45'!$C:$BQ,60,0)</f>
        <v>8</v>
      </c>
      <c r="T158" s="58">
        <f>VLOOKUP($A158,'S46'!$C:$BQ,32,0)</f>
        <v>70.7</v>
      </c>
      <c r="U158" s="58">
        <f>VLOOKUP($A158,'S46'!$C:$BQ,39,0)</f>
        <v>102</v>
      </c>
      <c r="V158" s="58">
        <f>VLOOKUP($A158,'S46'!$C:$BQ,40,0)</f>
        <v>136</v>
      </c>
      <c r="W158" s="58">
        <f>VLOOKUP($A158,'S46'!$C:$BQ,22,0)</f>
        <v>1644.250935</v>
      </c>
      <c r="X158" s="66">
        <f>VLOOKUP($A158,'S46'!$C:$BQ,29,0)</f>
        <v>0</v>
      </c>
      <c r="Y158" s="66">
        <f>VLOOKUP($A158,'S46'!$C:$BQ,30,0)</f>
        <v>233</v>
      </c>
      <c r="Z158" s="66">
        <f>VLOOKUP($A158,'S46'!$C:$BQ,52,0)</f>
        <v>97.6</v>
      </c>
      <c r="AA158" s="66">
        <f>VLOOKUP($A158,'S46'!$C:$BQ,59,0)</f>
        <v>0</v>
      </c>
      <c r="AB158" s="66">
        <f>VLOOKUP($A158,'S46'!$C:$BQ,60,0)</f>
        <v>8</v>
      </c>
      <c r="AC158" s="58">
        <f>VLOOKUP($A158,'S47'!$C:$BQ,32,0)</f>
        <v>71.2</v>
      </c>
      <c r="AD158" s="58">
        <f>VLOOKUP($A158,'S47'!$C:$BQ,39,0)</f>
        <v>101</v>
      </c>
      <c r="AE158" s="58">
        <f>VLOOKUP($A158,'S47'!$C:$BQ,40,0)</f>
        <v>136</v>
      </c>
      <c r="AF158" s="58">
        <f>VLOOKUP($A158,'S47'!$C:$BQ,22,0)</f>
        <v>1650.8910350000001</v>
      </c>
      <c r="AG158" s="66">
        <f>VLOOKUP($A158,'S47'!$C:$BQ,29,0)</f>
        <v>0</v>
      </c>
      <c r="AH158" s="66">
        <f>VLOOKUP($A158,'S47'!$C:$BQ,30,0)</f>
        <v>226</v>
      </c>
      <c r="AI158" s="66">
        <f>VLOOKUP($A158,'S47'!$C:$BQ,52,0)</f>
        <v>100.6</v>
      </c>
      <c r="AJ158" s="66">
        <f>VLOOKUP($A158,'S47'!$C:$BQ,59,0)</f>
        <v>0</v>
      </c>
      <c r="AK158" s="66">
        <f>VLOOKUP($A158,'S47'!$C:$BQ,60,0)</f>
        <v>5</v>
      </c>
      <c r="AL158" s="58" t="e">
        <f>VLOOKUP($A158,'S48'!$C:$BQ,32,0)</f>
        <v>#N/A</v>
      </c>
      <c r="AM158" s="58" t="e">
        <f>VLOOKUP($A158,'S48'!$C:$BQ,39,0)</f>
        <v>#N/A</v>
      </c>
      <c r="AN158" s="58" t="e">
        <f>VLOOKUP($A158,'S48'!$C:$BQ,40,0)</f>
        <v>#N/A</v>
      </c>
      <c r="AO158" s="58" t="e">
        <f>VLOOKUP($A158,'S48'!$C:$BQ,22,0)</f>
        <v>#N/A</v>
      </c>
      <c r="AP158" s="66" t="e">
        <f>VLOOKUP($A158,'S48'!$C:$BQ,29,0)</f>
        <v>#N/A</v>
      </c>
      <c r="AQ158" s="66" t="e">
        <f>VLOOKUP($A158,'S48'!$C:$BQ,30,0)</f>
        <v>#N/A</v>
      </c>
      <c r="AR158" s="66" t="e">
        <f>VLOOKUP($A158,'S48'!$C:$BQ,52,0)</f>
        <v>#N/A</v>
      </c>
      <c r="AS158" s="66" t="e">
        <f>VLOOKUP($A158,'S48'!$C:$BQ,59,0)</f>
        <v>#N/A</v>
      </c>
      <c r="AT158" s="66" t="e">
        <f>VLOOKUP($A158,'S48'!$C:$BQ,60,0)</f>
        <v>#N/A</v>
      </c>
      <c r="AU158" s="58" t="e">
        <f>VLOOKUP($A158,'S49'!$C:$BQ,32,0)</f>
        <v>#N/A</v>
      </c>
      <c r="AV158" s="58" t="e">
        <f>VLOOKUP($A158,'S49'!$C:$BQ,39,0)</f>
        <v>#N/A</v>
      </c>
      <c r="AW158" s="58" t="e">
        <f>VLOOKUP($A158,'S49'!$C:$BQ,40,0)</f>
        <v>#N/A</v>
      </c>
      <c r="AX158" s="58" t="e">
        <f>VLOOKUP($A158,'S49'!$C:$BQ,22,0)</f>
        <v>#N/A</v>
      </c>
      <c r="AY158" s="66" t="e">
        <f>VLOOKUP($A158,'S49'!$C:$BQ,29,0)</f>
        <v>#N/A</v>
      </c>
      <c r="AZ158" s="66" t="e">
        <f>VLOOKUP($A158,'S49'!$C:$BQ,30,0)</f>
        <v>#N/A</v>
      </c>
      <c r="BA158" s="66" t="e">
        <f>VLOOKUP($A158,'S49'!$C:$BQ,52,0)</f>
        <v>#N/A</v>
      </c>
      <c r="BB158" s="66" t="e">
        <f>VLOOKUP($A158,'S49'!$C:$BQ,59,0)</f>
        <v>#N/A</v>
      </c>
      <c r="BC158" s="66" t="e">
        <f>VLOOKUP($A158,'S49'!$C:$BQ,60,0)</f>
        <v>#N/A</v>
      </c>
      <c r="BD158" s="58" t="e">
        <f>VLOOKUP($A158,'S50'!$C:$BQ,32,0)</f>
        <v>#N/A</v>
      </c>
      <c r="BE158" s="58" t="e">
        <f>VLOOKUP($A158,'S50'!$C:$BQ,39,0)</f>
        <v>#N/A</v>
      </c>
      <c r="BF158" s="58" t="e">
        <f>VLOOKUP($A158,'S50'!$C:$BQ,40,0)</f>
        <v>#N/A</v>
      </c>
      <c r="BG158" s="58" t="e">
        <f>VLOOKUP($A158,'S50'!$C:$BQ,22,0)</f>
        <v>#N/A</v>
      </c>
      <c r="BH158" s="66" t="e">
        <f>VLOOKUP($A158,'S50'!$C:$BQ,29,0)</f>
        <v>#N/A</v>
      </c>
      <c r="BI158" s="66" t="e">
        <f>VLOOKUP($A158,'S50'!$C:$BQ,30,0)</f>
        <v>#N/A</v>
      </c>
      <c r="BJ158" s="66" t="e">
        <f>VLOOKUP($A158,'S50'!$C:$BQ,52,0)</f>
        <v>#N/A</v>
      </c>
      <c r="BK158" s="66" t="e">
        <f>VLOOKUP($A158,'S50'!$C:$BQ,59,0)</f>
        <v>#N/A</v>
      </c>
      <c r="BL158" s="66" t="e">
        <f>VLOOKUP($A158,'S50'!$C:$BQ,60,0)</f>
        <v>#N/A</v>
      </c>
    </row>
    <row r="159" spans="1:64" x14ac:dyDescent="0.2">
      <c r="A159" s="57" t="s">
        <v>225</v>
      </c>
      <c r="B159" s="58">
        <f>VLOOKUP($A159,'S0 remplacer avec S44'!$C:$BQ,32,0)</f>
        <v>81.400000000000006</v>
      </c>
      <c r="C159" s="58">
        <f>VLOOKUP($A159,'S0 remplacer avec S44'!$C:$BQ,39,0)</f>
        <v>0</v>
      </c>
      <c r="D159" s="58">
        <f>VLOOKUP($A159,'S0 remplacer avec S44'!$C:$BQ,40,0)</f>
        <v>8</v>
      </c>
      <c r="E159" s="58">
        <f>VLOOKUP($A159,'S0 remplacer avec S44'!$C:$BQ,22,0)</f>
        <v>555.61907499999995</v>
      </c>
      <c r="F159" s="66">
        <f>VLOOKUP($A159,'S0 remplacer avec S44'!$C:$BQ,29,0)</f>
        <v>120</v>
      </c>
      <c r="G159" s="66">
        <f>VLOOKUP($A159,'S0 remplacer avec S44'!$C:$BQ,30,0)</f>
        <v>255</v>
      </c>
      <c r="H159" s="66">
        <f>VLOOKUP($A159,'S0 remplacer avec S44'!$C:$BQ,52,0)</f>
        <v>46.4</v>
      </c>
      <c r="I159" s="66">
        <f>VLOOKUP($A159,'S0 remplacer avec S44'!$C:$BQ,59,0)</f>
        <v>0</v>
      </c>
      <c r="J159" s="66">
        <f>VLOOKUP($A159,'S0 remplacer avec S44'!$C:$BQ,60,0)</f>
        <v>0</v>
      </c>
      <c r="K159" s="58">
        <f>VLOOKUP($A159,'S45'!$C:$BQ,32,0)</f>
        <v>81.400000000000006</v>
      </c>
      <c r="L159" s="58">
        <f>VLOOKUP($A159,'S45'!$C:$BQ,39,0)</f>
        <v>0</v>
      </c>
      <c r="M159" s="58">
        <f>VLOOKUP($A159,'S45'!$C:$BQ,40,0)</f>
        <v>8</v>
      </c>
      <c r="N159" s="58">
        <f>VLOOKUP($A159,'S45'!$C:$BQ,22,0)</f>
        <v>587.63405499999999</v>
      </c>
      <c r="O159" s="66">
        <f>VLOOKUP($A159,'S45'!$C:$BQ,29,0)</f>
        <v>88</v>
      </c>
      <c r="P159" s="66">
        <f>VLOOKUP($A159,'S45'!$C:$BQ,30,0)</f>
        <v>223</v>
      </c>
      <c r="Q159" s="66">
        <f>VLOOKUP($A159,'S45'!$C:$BQ,52,0)</f>
        <v>47.4</v>
      </c>
      <c r="R159" s="66">
        <f>VLOOKUP($A159,'S45'!$C:$BQ,59,0)</f>
        <v>0</v>
      </c>
      <c r="S159" s="66">
        <f>VLOOKUP($A159,'S45'!$C:$BQ,60,0)</f>
        <v>0</v>
      </c>
      <c r="T159" s="58">
        <f>VLOOKUP($A159,'S46'!$C:$BQ,32,0)</f>
        <v>82.4</v>
      </c>
      <c r="U159" s="58">
        <f>VLOOKUP($A159,'S46'!$C:$BQ,39,0)</f>
        <v>0</v>
      </c>
      <c r="V159" s="58">
        <f>VLOOKUP($A159,'S46'!$C:$BQ,40,0)</f>
        <v>7</v>
      </c>
      <c r="W159" s="58">
        <f>VLOOKUP($A159,'S46'!$C:$BQ,22,0)</f>
        <v>588.16729499999997</v>
      </c>
      <c r="X159" s="66">
        <f>VLOOKUP($A159,'S46'!$C:$BQ,29,0)</f>
        <v>88</v>
      </c>
      <c r="Y159" s="66">
        <f>VLOOKUP($A159,'S46'!$C:$BQ,30,0)</f>
        <v>223</v>
      </c>
      <c r="Z159" s="66">
        <f>VLOOKUP($A159,'S46'!$C:$BQ,52,0)</f>
        <v>49.4</v>
      </c>
      <c r="AA159" s="66">
        <f>VLOOKUP($A159,'S46'!$C:$BQ,59,0)</f>
        <v>0</v>
      </c>
      <c r="AB159" s="66">
        <f>VLOOKUP($A159,'S46'!$C:$BQ,60,0)</f>
        <v>0</v>
      </c>
      <c r="AC159" s="58">
        <f>VLOOKUP($A159,'S47'!$C:$BQ,32,0)</f>
        <v>85.4</v>
      </c>
      <c r="AD159" s="58">
        <f>VLOOKUP($A159,'S47'!$C:$BQ,39,0)</f>
        <v>0</v>
      </c>
      <c r="AE159" s="58">
        <f>VLOOKUP($A159,'S47'!$C:$BQ,40,0)</f>
        <v>4</v>
      </c>
      <c r="AF159" s="58">
        <f>VLOOKUP($A159,'S47'!$C:$BQ,22,0)</f>
        <v>619.43449499999997</v>
      </c>
      <c r="AG159" s="66">
        <f>VLOOKUP($A159,'S47'!$C:$BQ,29,0)</f>
        <v>56</v>
      </c>
      <c r="AH159" s="66">
        <f>VLOOKUP($A159,'S47'!$C:$BQ,30,0)</f>
        <v>191</v>
      </c>
      <c r="AI159" s="66">
        <f>VLOOKUP($A159,'S47'!$C:$BQ,52,0)</f>
        <v>50.4</v>
      </c>
      <c r="AJ159" s="66">
        <f>VLOOKUP($A159,'S47'!$C:$BQ,59,0)</f>
        <v>0</v>
      </c>
      <c r="AK159" s="66">
        <f>VLOOKUP($A159,'S47'!$C:$BQ,60,0)</f>
        <v>0</v>
      </c>
      <c r="AL159" s="58" t="e">
        <f>VLOOKUP($A159,'S48'!$C:$BQ,32,0)</f>
        <v>#N/A</v>
      </c>
      <c r="AM159" s="58" t="e">
        <f>VLOOKUP($A159,'S48'!$C:$BQ,39,0)</f>
        <v>#N/A</v>
      </c>
      <c r="AN159" s="58" t="e">
        <f>VLOOKUP($A159,'S48'!$C:$BQ,40,0)</f>
        <v>#N/A</v>
      </c>
      <c r="AO159" s="58" t="e">
        <f>VLOOKUP($A159,'S48'!$C:$BQ,22,0)</f>
        <v>#N/A</v>
      </c>
      <c r="AP159" s="66" t="e">
        <f>VLOOKUP($A159,'S48'!$C:$BQ,29,0)</f>
        <v>#N/A</v>
      </c>
      <c r="AQ159" s="66" t="e">
        <f>VLOOKUP($A159,'S48'!$C:$BQ,30,0)</f>
        <v>#N/A</v>
      </c>
      <c r="AR159" s="66" t="e">
        <f>VLOOKUP($A159,'S48'!$C:$BQ,52,0)</f>
        <v>#N/A</v>
      </c>
      <c r="AS159" s="66" t="e">
        <f>VLOOKUP($A159,'S48'!$C:$BQ,59,0)</f>
        <v>#N/A</v>
      </c>
      <c r="AT159" s="66" t="e">
        <f>VLOOKUP($A159,'S48'!$C:$BQ,60,0)</f>
        <v>#N/A</v>
      </c>
      <c r="AU159" s="58" t="e">
        <f>VLOOKUP($A159,'S49'!$C:$BQ,32,0)</f>
        <v>#N/A</v>
      </c>
      <c r="AV159" s="58" t="e">
        <f>VLOOKUP($A159,'S49'!$C:$BQ,39,0)</f>
        <v>#N/A</v>
      </c>
      <c r="AW159" s="58" t="e">
        <f>VLOOKUP($A159,'S49'!$C:$BQ,40,0)</f>
        <v>#N/A</v>
      </c>
      <c r="AX159" s="58" t="e">
        <f>VLOOKUP($A159,'S49'!$C:$BQ,22,0)</f>
        <v>#N/A</v>
      </c>
      <c r="AY159" s="66" t="e">
        <f>VLOOKUP($A159,'S49'!$C:$BQ,29,0)</f>
        <v>#N/A</v>
      </c>
      <c r="AZ159" s="66" t="e">
        <f>VLOOKUP($A159,'S49'!$C:$BQ,30,0)</f>
        <v>#N/A</v>
      </c>
      <c r="BA159" s="66" t="e">
        <f>VLOOKUP($A159,'S49'!$C:$BQ,52,0)</f>
        <v>#N/A</v>
      </c>
      <c r="BB159" s="66" t="e">
        <f>VLOOKUP($A159,'S49'!$C:$BQ,59,0)</f>
        <v>#N/A</v>
      </c>
      <c r="BC159" s="66" t="e">
        <f>VLOOKUP($A159,'S49'!$C:$BQ,60,0)</f>
        <v>#N/A</v>
      </c>
      <c r="BD159" s="58" t="e">
        <f>VLOOKUP($A159,'S50'!$C:$BQ,32,0)</f>
        <v>#N/A</v>
      </c>
      <c r="BE159" s="58" t="e">
        <f>VLOOKUP($A159,'S50'!$C:$BQ,39,0)</f>
        <v>#N/A</v>
      </c>
      <c r="BF159" s="58" t="e">
        <f>VLOOKUP($A159,'S50'!$C:$BQ,40,0)</f>
        <v>#N/A</v>
      </c>
      <c r="BG159" s="58" t="e">
        <f>VLOOKUP($A159,'S50'!$C:$BQ,22,0)</f>
        <v>#N/A</v>
      </c>
      <c r="BH159" s="66" t="e">
        <f>VLOOKUP($A159,'S50'!$C:$BQ,29,0)</f>
        <v>#N/A</v>
      </c>
      <c r="BI159" s="66" t="e">
        <f>VLOOKUP($A159,'S50'!$C:$BQ,30,0)</f>
        <v>#N/A</v>
      </c>
      <c r="BJ159" s="66" t="e">
        <f>VLOOKUP($A159,'S50'!$C:$BQ,52,0)</f>
        <v>#N/A</v>
      </c>
      <c r="BK159" s="66" t="e">
        <f>VLOOKUP($A159,'S50'!$C:$BQ,59,0)</f>
        <v>#N/A</v>
      </c>
      <c r="BL159" s="66" t="e">
        <f>VLOOKUP($A159,'S50'!$C:$BQ,60,0)</f>
        <v>#N/A</v>
      </c>
    </row>
    <row r="160" spans="1:64" x14ac:dyDescent="0.2">
      <c r="A160" s="57" t="s">
        <v>226</v>
      </c>
      <c r="B160" s="58">
        <f>VLOOKUP($A160,'S0 remplacer avec S44'!$C:$BQ,32,0)</f>
        <v>303.89999999999998</v>
      </c>
      <c r="C160" s="58">
        <f>VLOOKUP($A160,'S0 remplacer avec S44'!$C:$BQ,39,0)</f>
        <v>0</v>
      </c>
      <c r="D160" s="58">
        <f>VLOOKUP($A160,'S0 remplacer avec S44'!$C:$BQ,40,0)</f>
        <v>0</v>
      </c>
      <c r="E160" s="58">
        <f>VLOOKUP($A160,'S0 remplacer avec S44'!$C:$BQ,22,0)</f>
        <v>2544.5034099999998</v>
      </c>
      <c r="F160" s="66">
        <f>VLOOKUP($A160,'S0 remplacer avec S44'!$C:$BQ,29,0)</f>
        <v>0</v>
      </c>
      <c r="G160" s="66">
        <f>VLOOKUP($A160,'S0 remplacer avec S44'!$C:$BQ,30,0)</f>
        <v>0</v>
      </c>
      <c r="H160" s="66">
        <f>VLOOKUP($A160,'S0 remplacer avec S44'!$C:$BQ,52,0)</f>
        <v>198.2</v>
      </c>
      <c r="I160" s="66">
        <f>VLOOKUP($A160,'S0 remplacer avec S44'!$C:$BQ,59,0)</f>
        <v>0</v>
      </c>
      <c r="J160" s="66">
        <f>VLOOKUP($A160,'S0 remplacer avec S44'!$C:$BQ,60,0)</f>
        <v>0</v>
      </c>
      <c r="K160" s="58">
        <f>VLOOKUP($A160,'S45'!$C:$BQ,32,0)</f>
        <v>307.89999999999998</v>
      </c>
      <c r="L160" s="58">
        <f>VLOOKUP($A160,'S45'!$C:$BQ,39,0)</f>
        <v>0</v>
      </c>
      <c r="M160" s="58">
        <f>VLOOKUP($A160,'S45'!$C:$BQ,40,0)</f>
        <v>0</v>
      </c>
      <c r="N160" s="58">
        <f>VLOOKUP($A160,'S45'!$C:$BQ,22,0)</f>
        <v>2551.28955</v>
      </c>
      <c r="O160" s="66">
        <f>VLOOKUP($A160,'S45'!$C:$BQ,29,0)</f>
        <v>0</v>
      </c>
      <c r="P160" s="66">
        <f>VLOOKUP($A160,'S45'!$C:$BQ,30,0)</f>
        <v>0</v>
      </c>
      <c r="Q160" s="66">
        <f>VLOOKUP($A160,'S45'!$C:$BQ,52,0)</f>
        <v>200.2</v>
      </c>
      <c r="R160" s="66">
        <f>VLOOKUP($A160,'S45'!$C:$BQ,59,0)</f>
        <v>0</v>
      </c>
      <c r="S160" s="66">
        <f>VLOOKUP($A160,'S45'!$C:$BQ,60,0)</f>
        <v>0</v>
      </c>
      <c r="T160" s="58">
        <f>VLOOKUP($A160,'S46'!$C:$BQ,32,0)</f>
        <v>308.89999999999998</v>
      </c>
      <c r="U160" s="58">
        <f>VLOOKUP($A160,'S46'!$C:$BQ,39,0)</f>
        <v>0</v>
      </c>
      <c r="V160" s="58">
        <f>VLOOKUP($A160,'S46'!$C:$BQ,40,0)</f>
        <v>0</v>
      </c>
      <c r="W160" s="58">
        <f>VLOOKUP($A160,'S46'!$C:$BQ,22,0)</f>
        <v>2553.2126499999999</v>
      </c>
      <c r="X160" s="66">
        <f>VLOOKUP($A160,'S46'!$C:$BQ,29,0)</f>
        <v>0</v>
      </c>
      <c r="Y160" s="66">
        <f>VLOOKUP($A160,'S46'!$C:$BQ,30,0)</f>
        <v>0</v>
      </c>
      <c r="Z160" s="66">
        <f>VLOOKUP($A160,'S46'!$C:$BQ,52,0)</f>
        <v>200.2</v>
      </c>
      <c r="AA160" s="66">
        <f>VLOOKUP($A160,'S46'!$C:$BQ,59,0)</f>
        <v>0</v>
      </c>
      <c r="AB160" s="66">
        <f>VLOOKUP($A160,'S46'!$C:$BQ,60,0)</f>
        <v>0</v>
      </c>
      <c r="AC160" s="58">
        <f>VLOOKUP($A160,'S47'!$C:$BQ,32,0)</f>
        <v>307.89999999999998</v>
      </c>
      <c r="AD160" s="58">
        <f>VLOOKUP($A160,'S47'!$C:$BQ,39,0)</f>
        <v>0</v>
      </c>
      <c r="AE160" s="58">
        <f>VLOOKUP($A160,'S47'!$C:$BQ,40,0)</f>
        <v>0</v>
      </c>
      <c r="AF160" s="58">
        <f>VLOOKUP($A160,'S47'!$C:$BQ,22,0)</f>
        <v>2558.0620800000002</v>
      </c>
      <c r="AG160" s="66">
        <f>VLOOKUP($A160,'S47'!$C:$BQ,29,0)</f>
        <v>0</v>
      </c>
      <c r="AH160" s="66">
        <f>VLOOKUP($A160,'S47'!$C:$BQ,30,0)</f>
        <v>0</v>
      </c>
      <c r="AI160" s="66">
        <f>VLOOKUP($A160,'S47'!$C:$BQ,52,0)</f>
        <v>201.2</v>
      </c>
      <c r="AJ160" s="66">
        <f>VLOOKUP($A160,'S47'!$C:$BQ,59,0)</f>
        <v>0</v>
      </c>
      <c r="AK160" s="66">
        <f>VLOOKUP($A160,'S47'!$C:$BQ,60,0)</f>
        <v>0</v>
      </c>
      <c r="AL160" s="58" t="e">
        <f>VLOOKUP($A160,'S48'!$C:$BQ,32,0)</f>
        <v>#N/A</v>
      </c>
      <c r="AM160" s="58" t="e">
        <f>VLOOKUP($A160,'S48'!$C:$BQ,39,0)</f>
        <v>#N/A</v>
      </c>
      <c r="AN160" s="58" t="e">
        <f>VLOOKUP($A160,'S48'!$C:$BQ,40,0)</f>
        <v>#N/A</v>
      </c>
      <c r="AO160" s="58" t="e">
        <f>VLOOKUP($A160,'S48'!$C:$BQ,22,0)</f>
        <v>#N/A</v>
      </c>
      <c r="AP160" s="66" t="e">
        <f>VLOOKUP($A160,'S48'!$C:$BQ,29,0)</f>
        <v>#N/A</v>
      </c>
      <c r="AQ160" s="66" t="e">
        <f>VLOOKUP($A160,'S48'!$C:$BQ,30,0)</f>
        <v>#N/A</v>
      </c>
      <c r="AR160" s="66" t="e">
        <f>VLOOKUP($A160,'S48'!$C:$BQ,52,0)</f>
        <v>#N/A</v>
      </c>
      <c r="AS160" s="66" t="e">
        <f>VLOOKUP($A160,'S48'!$C:$BQ,59,0)</f>
        <v>#N/A</v>
      </c>
      <c r="AT160" s="66" t="e">
        <f>VLOOKUP($A160,'S48'!$C:$BQ,60,0)</f>
        <v>#N/A</v>
      </c>
      <c r="AU160" s="58" t="e">
        <f>VLOOKUP($A160,'S49'!$C:$BQ,32,0)</f>
        <v>#N/A</v>
      </c>
      <c r="AV160" s="58" t="e">
        <f>VLOOKUP($A160,'S49'!$C:$BQ,39,0)</f>
        <v>#N/A</v>
      </c>
      <c r="AW160" s="58" t="e">
        <f>VLOOKUP($A160,'S49'!$C:$BQ,40,0)</f>
        <v>#N/A</v>
      </c>
      <c r="AX160" s="58" t="e">
        <f>VLOOKUP($A160,'S49'!$C:$BQ,22,0)</f>
        <v>#N/A</v>
      </c>
      <c r="AY160" s="66" t="e">
        <f>VLOOKUP($A160,'S49'!$C:$BQ,29,0)</f>
        <v>#N/A</v>
      </c>
      <c r="AZ160" s="66" t="e">
        <f>VLOOKUP($A160,'S49'!$C:$BQ,30,0)</f>
        <v>#N/A</v>
      </c>
      <c r="BA160" s="66" t="e">
        <f>VLOOKUP($A160,'S49'!$C:$BQ,52,0)</f>
        <v>#N/A</v>
      </c>
      <c r="BB160" s="66" t="e">
        <f>VLOOKUP($A160,'S49'!$C:$BQ,59,0)</f>
        <v>#N/A</v>
      </c>
      <c r="BC160" s="66" t="e">
        <f>VLOOKUP($A160,'S49'!$C:$BQ,60,0)</f>
        <v>#N/A</v>
      </c>
      <c r="BD160" s="58" t="e">
        <f>VLOOKUP($A160,'S50'!$C:$BQ,32,0)</f>
        <v>#N/A</v>
      </c>
      <c r="BE160" s="58" t="e">
        <f>VLOOKUP($A160,'S50'!$C:$BQ,39,0)</f>
        <v>#N/A</v>
      </c>
      <c r="BF160" s="58" t="e">
        <f>VLOOKUP($A160,'S50'!$C:$BQ,40,0)</f>
        <v>#N/A</v>
      </c>
      <c r="BG160" s="58" t="e">
        <f>VLOOKUP($A160,'S50'!$C:$BQ,22,0)</f>
        <v>#N/A</v>
      </c>
      <c r="BH160" s="66" t="e">
        <f>VLOOKUP($A160,'S50'!$C:$BQ,29,0)</f>
        <v>#N/A</v>
      </c>
      <c r="BI160" s="66" t="e">
        <f>VLOOKUP($A160,'S50'!$C:$BQ,30,0)</f>
        <v>#N/A</v>
      </c>
      <c r="BJ160" s="66" t="e">
        <f>VLOOKUP($A160,'S50'!$C:$BQ,52,0)</f>
        <v>#N/A</v>
      </c>
      <c r="BK160" s="66" t="e">
        <f>VLOOKUP($A160,'S50'!$C:$BQ,59,0)</f>
        <v>#N/A</v>
      </c>
      <c r="BL160" s="66" t="e">
        <f>VLOOKUP($A160,'S50'!$C:$BQ,60,0)</f>
        <v>#N/A</v>
      </c>
    </row>
    <row r="161" spans="1:64" x14ac:dyDescent="0.2">
      <c r="A161" s="57" t="s">
        <v>227</v>
      </c>
      <c r="B161" s="58">
        <f>VLOOKUP($A161,'S0 remplacer avec S44'!$C:$BQ,32,0)</f>
        <v>91.2</v>
      </c>
      <c r="C161" s="58">
        <f>VLOOKUP($A161,'S0 remplacer avec S44'!$C:$BQ,39,0)</f>
        <v>143</v>
      </c>
      <c r="D161" s="58">
        <f>VLOOKUP($A161,'S0 remplacer avec S44'!$C:$BQ,40,0)</f>
        <v>190</v>
      </c>
      <c r="E161" s="58">
        <f>VLOOKUP($A161,'S0 remplacer avec S44'!$C:$BQ,22,0)</f>
        <v>1846.7188699999999</v>
      </c>
      <c r="F161" s="66">
        <f>VLOOKUP($A161,'S0 remplacer avec S44'!$C:$BQ,29,0)</f>
        <v>278</v>
      </c>
      <c r="G161" s="66">
        <f>VLOOKUP($A161,'S0 remplacer avec S44'!$C:$BQ,30,0)</f>
        <v>703</v>
      </c>
      <c r="H161" s="66">
        <f>VLOOKUP($A161,'S0 remplacer avec S44'!$C:$BQ,52,0)</f>
        <v>122</v>
      </c>
      <c r="I161" s="66">
        <f>VLOOKUP($A161,'S0 remplacer avec S44'!$C:$BQ,59,0)</f>
        <v>0</v>
      </c>
      <c r="J161" s="66">
        <f>VLOOKUP($A161,'S0 remplacer avec S44'!$C:$BQ,60,0)</f>
        <v>21</v>
      </c>
      <c r="K161" s="58">
        <f>VLOOKUP($A161,'S45'!$C:$BQ,32,0)</f>
        <v>92.2</v>
      </c>
      <c r="L161" s="58">
        <f>VLOOKUP($A161,'S45'!$C:$BQ,39,0)</f>
        <v>142</v>
      </c>
      <c r="M161" s="58">
        <f>VLOOKUP($A161,'S45'!$C:$BQ,40,0)</f>
        <v>189</v>
      </c>
      <c r="N161" s="58">
        <f>VLOOKUP($A161,'S45'!$C:$BQ,22,0)</f>
        <v>1851.99739</v>
      </c>
      <c r="O161" s="66">
        <f>VLOOKUP($A161,'S45'!$C:$BQ,29,0)</f>
        <v>273</v>
      </c>
      <c r="P161" s="66">
        <f>VLOOKUP($A161,'S45'!$C:$BQ,30,0)</f>
        <v>698</v>
      </c>
      <c r="Q161" s="66">
        <f>VLOOKUP($A161,'S45'!$C:$BQ,52,0)</f>
        <v>125</v>
      </c>
      <c r="R161" s="66">
        <f>VLOOKUP($A161,'S45'!$C:$BQ,59,0)</f>
        <v>0</v>
      </c>
      <c r="S161" s="66">
        <f>VLOOKUP($A161,'S45'!$C:$BQ,60,0)</f>
        <v>18</v>
      </c>
      <c r="T161" s="58">
        <f>VLOOKUP($A161,'S46'!$C:$BQ,32,0)</f>
        <v>92.7</v>
      </c>
      <c r="U161" s="58">
        <f>VLOOKUP($A161,'S46'!$C:$BQ,39,0)</f>
        <v>141</v>
      </c>
      <c r="V161" s="58">
        <f>VLOOKUP($A161,'S46'!$C:$BQ,40,0)</f>
        <v>188</v>
      </c>
      <c r="W161" s="58">
        <f>VLOOKUP($A161,'S46'!$C:$BQ,22,0)</f>
        <v>1853.55486</v>
      </c>
      <c r="X161" s="66">
        <f>VLOOKUP($A161,'S46'!$C:$BQ,29,0)</f>
        <v>271</v>
      </c>
      <c r="Y161" s="66">
        <f>VLOOKUP($A161,'S46'!$C:$BQ,30,0)</f>
        <v>696</v>
      </c>
      <c r="Z161" s="66">
        <f>VLOOKUP($A161,'S46'!$C:$BQ,52,0)</f>
        <v>130</v>
      </c>
      <c r="AA161" s="66">
        <f>VLOOKUP($A161,'S46'!$C:$BQ,59,0)</f>
        <v>0</v>
      </c>
      <c r="AB161" s="66">
        <f>VLOOKUP($A161,'S46'!$C:$BQ,60,0)</f>
        <v>13</v>
      </c>
      <c r="AC161" s="58">
        <f>VLOOKUP($A161,'S47'!$C:$BQ,32,0)</f>
        <v>97.2</v>
      </c>
      <c r="AD161" s="58">
        <f>VLOOKUP($A161,'S47'!$C:$BQ,39,0)</f>
        <v>137</v>
      </c>
      <c r="AE161" s="58">
        <f>VLOOKUP($A161,'S47'!$C:$BQ,40,0)</f>
        <v>184</v>
      </c>
      <c r="AF161" s="58">
        <f>VLOOKUP($A161,'S47'!$C:$BQ,22,0)</f>
        <v>1859.05547</v>
      </c>
      <c r="AG161" s="66">
        <f>VLOOKUP($A161,'S47'!$C:$BQ,29,0)</f>
        <v>266</v>
      </c>
      <c r="AH161" s="66">
        <f>VLOOKUP($A161,'S47'!$C:$BQ,30,0)</f>
        <v>691</v>
      </c>
      <c r="AI161" s="66">
        <f>VLOOKUP($A161,'S47'!$C:$BQ,52,0)</f>
        <v>135</v>
      </c>
      <c r="AJ161" s="66">
        <f>VLOOKUP($A161,'S47'!$C:$BQ,59,0)</f>
        <v>0</v>
      </c>
      <c r="AK161" s="66">
        <f>VLOOKUP($A161,'S47'!$C:$BQ,60,0)</f>
        <v>8</v>
      </c>
      <c r="AL161" s="58" t="e">
        <f>VLOOKUP($A161,'S48'!$C:$BQ,32,0)</f>
        <v>#N/A</v>
      </c>
      <c r="AM161" s="58" t="e">
        <f>VLOOKUP($A161,'S48'!$C:$BQ,39,0)</f>
        <v>#N/A</v>
      </c>
      <c r="AN161" s="58" t="e">
        <f>VLOOKUP($A161,'S48'!$C:$BQ,40,0)</f>
        <v>#N/A</v>
      </c>
      <c r="AO161" s="58" t="e">
        <f>VLOOKUP($A161,'S48'!$C:$BQ,22,0)</f>
        <v>#N/A</v>
      </c>
      <c r="AP161" s="66" t="e">
        <f>VLOOKUP($A161,'S48'!$C:$BQ,29,0)</f>
        <v>#N/A</v>
      </c>
      <c r="AQ161" s="66" t="e">
        <f>VLOOKUP($A161,'S48'!$C:$BQ,30,0)</f>
        <v>#N/A</v>
      </c>
      <c r="AR161" s="66" t="e">
        <f>VLOOKUP($A161,'S48'!$C:$BQ,52,0)</f>
        <v>#N/A</v>
      </c>
      <c r="AS161" s="66" t="e">
        <f>VLOOKUP($A161,'S48'!$C:$BQ,59,0)</f>
        <v>#N/A</v>
      </c>
      <c r="AT161" s="66" t="e">
        <f>VLOOKUP($A161,'S48'!$C:$BQ,60,0)</f>
        <v>#N/A</v>
      </c>
      <c r="AU161" s="58" t="e">
        <f>VLOOKUP($A161,'S49'!$C:$BQ,32,0)</f>
        <v>#N/A</v>
      </c>
      <c r="AV161" s="58" t="e">
        <f>VLOOKUP($A161,'S49'!$C:$BQ,39,0)</f>
        <v>#N/A</v>
      </c>
      <c r="AW161" s="58" t="e">
        <f>VLOOKUP($A161,'S49'!$C:$BQ,40,0)</f>
        <v>#N/A</v>
      </c>
      <c r="AX161" s="58" t="e">
        <f>VLOOKUP($A161,'S49'!$C:$BQ,22,0)</f>
        <v>#N/A</v>
      </c>
      <c r="AY161" s="66" t="e">
        <f>VLOOKUP($A161,'S49'!$C:$BQ,29,0)</f>
        <v>#N/A</v>
      </c>
      <c r="AZ161" s="66" t="e">
        <f>VLOOKUP($A161,'S49'!$C:$BQ,30,0)</f>
        <v>#N/A</v>
      </c>
      <c r="BA161" s="66" t="e">
        <f>VLOOKUP($A161,'S49'!$C:$BQ,52,0)</f>
        <v>#N/A</v>
      </c>
      <c r="BB161" s="66" t="e">
        <f>VLOOKUP($A161,'S49'!$C:$BQ,59,0)</f>
        <v>#N/A</v>
      </c>
      <c r="BC161" s="66" t="e">
        <f>VLOOKUP($A161,'S49'!$C:$BQ,60,0)</f>
        <v>#N/A</v>
      </c>
      <c r="BD161" s="58" t="e">
        <f>VLOOKUP($A161,'S50'!$C:$BQ,32,0)</f>
        <v>#N/A</v>
      </c>
      <c r="BE161" s="58" t="e">
        <f>VLOOKUP($A161,'S50'!$C:$BQ,39,0)</f>
        <v>#N/A</v>
      </c>
      <c r="BF161" s="58" t="e">
        <f>VLOOKUP($A161,'S50'!$C:$BQ,40,0)</f>
        <v>#N/A</v>
      </c>
      <c r="BG161" s="58" t="e">
        <f>VLOOKUP($A161,'S50'!$C:$BQ,22,0)</f>
        <v>#N/A</v>
      </c>
      <c r="BH161" s="66" t="e">
        <f>VLOOKUP($A161,'S50'!$C:$BQ,29,0)</f>
        <v>#N/A</v>
      </c>
      <c r="BI161" s="66" t="e">
        <f>VLOOKUP($A161,'S50'!$C:$BQ,30,0)</f>
        <v>#N/A</v>
      </c>
      <c r="BJ161" s="66" t="e">
        <f>VLOOKUP($A161,'S50'!$C:$BQ,52,0)</f>
        <v>#N/A</v>
      </c>
      <c r="BK161" s="66" t="e">
        <f>VLOOKUP($A161,'S50'!$C:$BQ,59,0)</f>
        <v>#N/A</v>
      </c>
      <c r="BL161" s="66" t="e">
        <f>VLOOKUP($A161,'S50'!$C:$BQ,60,0)</f>
        <v>#N/A</v>
      </c>
    </row>
    <row r="162" spans="1:64" x14ac:dyDescent="0.2">
      <c r="A162" s="57" t="s">
        <v>228</v>
      </c>
      <c r="B162" s="58">
        <f>VLOOKUP($A162,'S0 remplacer avec S44'!$C:$BQ,32,0)</f>
        <v>163.30000000000001</v>
      </c>
      <c r="C162" s="58">
        <f>VLOOKUP($A162,'S0 remplacer avec S44'!$C:$BQ,39,0)</f>
        <v>63</v>
      </c>
      <c r="D162" s="58">
        <f>VLOOKUP($A162,'S0 remplacer avec S44'!$C:$BQ,40,0)</f>
        <v>109</v>
      </c>
      <c r="E162" s="58">
        <f>VLOOKUP($A162,'S0 remplacer avec S44'!$C:$BQ,22,0)</f>
        <v>1729.8518449999999</v>
      </c>
      <c r="F162" s="66">
        <f>VLOOKUP($A162,'S0 remplacer avec S44'!$C:$BQ,29,0)</f>
        <v>328</v>
      </c>
      <c r="G162" s="66">
        <f>VLOOKUP($A162,'S0 remplacer avec S44'!$C:$BQ,30,0)</f>
        <v>740</v>
      </c>
      <c r="H162" s="66">
        <f>VLOOKUP($A162,'S0 remplacer avec S44'!$C:$BQ,52,0)</f>
        <v>108.6</v>
      </c>
      <c r="I162" s="66">
        <f>VLOOKUP($A162,'S0 remplacer avec S44'!$C:$BQ,59,0)</f>
        <v>7</v>
      </c>
      <c r="J162" s="66">
        <f>VLOOKUP($A162,'S0 remplacer avec S44'!$C:$BQ,60,0)</f>
        <v>30</v>
      </c>
      <c r="K162" s="58">
        <f>VLOOKUP($A162,'S45'!$C:$BQ,32,0)</f>
        <v>171.8</v>
      </c>
      <c r="L162" s="58">
        <f>VLOOKUP($A162,'S45'!$C:$BQ,39,0)</f>
        <v>55</v>
      </c>
      <c r="M162" s="58">
        <f>VLOOKUP($A162,'S45'!$C:$BQ,40,0)</f>
        <v>100</v>
      </c>
      <c r="N162" s="58">
        <f>VLOOKUP($A162,'S45'!$C:$BQ,22,0)</f>
        <v>1820.966885</v>
      </c>
      <c r="O162" s="66">
        <f>VLOOKUP($A162,'S45'!$C:$BQ,29,0)</f>
        <v>237</v>
      </c>
      <c r="P162" s="66">
        <f>VLOOKUP($A162,'S45'!$C:$BQ,30,0)</f>
        <v>648</v>
      </c>
      <c r="Q162" s="66">
        <f>VLOOKUP($A162,'S45'!$C:$BQ,52,0)</f>
        <v>110.6</v>
      </c>
      <c r="R162" s="66">
        <f>VLOOKUP($A162,'S45'!$C:$BQ,59,0)</f>
        <v>5</v>
      </c>
      <c r="S162" s="66">
        <f>VLOOKUP($A162,'S45'!$C:$BQ,60,0)</f>
        <v>28</v>
      </c>
      <c r="T162" s="58">
        <f>VLOOKUP($A162,'S46'!$C:$BQ,32,0)</f>
        <v>170.8</v>
      </c>
      <c r="U162" s="58">
        <f>VLOOKUP($A162,'S46'!$C:$BQ,39,0)</f>
        <v>56</v>
      </c>
      <c r="V162" s="58">
        <f>VLOOKUP($A162,'S46'!$C:$BQ,40,0)</f>
        <v>101</v>
      </c>
      <c r="W162" s="58">
        <f>VLOOKUP($A162,'S46'!$C:$BQ,22,0)</f>
        <v>1823.235725</v>
      </c>
      <c r="X162" s="66">
        <f>VLOOKUP($A162,'S46'!$C:$BQ,29,0)</f>
        <v>235</v>
      </c>
      <c r="Y162" s="66">
        <f>VLOOKUP($A162,'S46'!$C:$BQ,30,0)</f>
        <v>646</v>
      </c>
      <c r="Z162" s="66">
        <f>VLOOKUP($A162,'S46'!$C:$BQ,52,0)</f>
        <v>110.6</v>
      </c>
      <c r="AA162" s="66">
        <f>VLOOKUP($A162,'S46'!$C:$BQ,59,0)</f>
        <v>5</v>
      </c>
      <c r="AB162" s="66">
        <f>VLOOKUP($A162,'S46'!$C:$BQ,60,0)</f>
        <v>28</v>
      </c>
      <c r="AC162" s="58">
        <f>VLOOKUP($A162,'S47'!$C:$BQ,32,0)</f>
        <v>176.8</v>
      </c>
      <c r="AD162" s="58">
        <f>VLOOKUP($A162,'S47'!$C:$BQ,39,0)</f>
        <v>50</v>
      </c>
      <c r="AE162" s="58">
        <f>VLOOKUP($A162,'S47'!$C:$BQ,40,0)</f>
        <v>95</v>
      </c>
      <c r="AF162" s="58">
        <f>VLOOKUP($A162,'S47'!$C:$BQ,22,0)</f>
        <v>1826.071535</v>
      </c>
      <c r="AG162" s="66">
        <f>VLOOKUP($A162,'S47'!$C:$BQ,29,0)</f>
        <v>232</v>
      </c>
      <c r="AH162" s="66">
        <f>VLOOKUP($A162,'S47'!$C:$BQ,30,0)</f>
        <v>643</v>
      </c>
      <c r="AI162" s="66">
        <f>VLOOKUP($A162,'S47'!$C:$BQ,52,0)</f>
        <v>121.6</v>
      </c>
      <c r="AJ162" s="66">
        <f>VLOOKUP($A162,'S47'!$C:$BQ,59,0)</f>
        <v>0</v>
      </c>
      <c r="AK162" s="66">
        <f>VLOOKUP($A162,'S47'!$C:$BQ,60,0)</f>
        <v>17</v>
      </c>
      <c r="AL162" s="58" t="e">
        <f>VLOOKUP($A162,'S48'!$C:$BQ,32,0)</f>
        <v>#N/A</v>
      </c>
      <c r="AM162" s="58" t="e">
        <f>VLOOKUP($A162,'S48'!$C:$BQ,39,0)</f>
        <v>#N/A</v>
      </c>
      <c r="AN162" s="58" t="e">
        <f>VLOOKUP($A162,'S48'!$C:$BQ,40,0)</f>
        <v>#N/A</v>
      </c>
      <c r="AO162" s="58" t="e">
        <f>VLOOKUP($A162,'S48'!$C:$BQ,22,0)</f>
        <v>#N/A</v>
      </c>
      <c r="AP162" s="66" t="e">
        <f>VLOOKUP($A162,'S48'!$C:$BQ,29,0)</f>
        <v>#N/A</v>
      </c>
      <c r="AQ162" s="66" t="e">
        <f>VLOOKUP($A162,'S48'!$C:$BQ,30,0)</f>
        <v>#N/A</v>
      </c>
      <c r="AR162" s="66" t="e">
        <f>VLOOKUP($A162,'S48'!$C:$BQ,52,0)</f>
        <v>#N/A</v>
      </c>
      <c r="AS162" s="66" t="e">
        <f>VLOOKUP($A162,'S48'!$C:$BQ,59,0)</f>
        <v>#N/A</v>
      </c>
      <c r="AT162" s="66" t="e">
        <f>VLOOKUP($A162,'S48'!$C:$BQ,60,0)</f>
        <v>#N/A</v>
      </c>
      <c r="AU162" s="58" t="e">
        <f>VLOOKUP($A162,'S49'!$C:$BQ,32,0)</f>
        <v>#N/A</v>
      </c>
      <c r="AV162" s="58" t="e">
        <f>VLOOKUP($A162,'S49'!$C:$BQ,39,0)</f>
        <v>#N/A</v>
      </c>
      <c r="AW162" s="58" t="e">
        <f>VLOOKUP($A162,'S49'!$C:$BQ,40,0)</f>
        <v>#N/A</v>
      </c>
      <c r="AX162" s="58" t="e">
        <f>VLOOKUP($A162,'S49'!$C:$BQ,22,0)</f>
        <v>#N/A</v>
      </c>
      <c r="AY162" s="66" t="e">
        <f>VLOOKUP($A162,'S49'!$C:$BQ,29,0)</f>
        <v>#N/A</v>
      </c>
      <c r="AZ162" s="66" t="e">
        <f>VLOOKUP($A162,'S49'!$C:$BQ,30,0)</f>
        <v>#N/A</v>
      </c>
      <c r="BA162" s="66" t="e">
        <f>VLOOKUP($A162,'S49'!$C:$BQ,52,0)</f>
        <v>#N/A</v>
      </c>
      <c r="BB162" s="66" t="e">
        <f>VLOOKUP($A162,'S49'!$C:$BQ,59,0)</f>
        <v>#N/A</v>
      </c>
      <c r="BC162" s="66" t="e">
        <f>VLOOKUP($A162,'S49'!$C:$BQ,60,0)</f>
        <v>#N/A</v>
      </c>
      <c r="BD162" s="58" t="e">
        <f>VLOOKUP($A162,'S50'!$C:$BQ,32,0)</f>
        <v>#N/A</v>
      </c>
      <c r="BE162" s="58" t="e">
        <f>VLOOKUP($A162,'S50'!$C:$BQ,39,0)</f>
        <v>#N/A</v>
      </c>
      <c r="BF162" s="58" t="e">
        <f>VLOOKUP($A162,'S50'!$C:$BQ,40,0)</f>
        <v>#N/A</v>
      </c>
      <c r="BG162" s="58" t="e">
        <f>VLOOKUP($A162,'S50'!$C:$BQ,22,0)</f>
        <v>#N/A</v>
      </c>
      <c r="BH162" s="66" t="e">
        <f>VLOOKUP($A162,'S50'!$C:$BQ,29,0)</f>
        <v>#N/A</v>
      </c>
      <c r="BI162" s="66" t="e">
        <f>VLOOKUP($A162,'S50'!$C:$BQ,30,0)</f>
        <v>#N/A</v>
      </c>
      <c r="BJ162" s="66" t="e">
        <f>VLOOKUP($A162,'S50'!$C:$BQ,52,0)</f>
        <v>#N/A</v>
      </c>
      <c r="BK162" s="66" t="e">
        <f>VLOOKUP($A162,'S50'!$C:$BQ,59,0)</f>
        <v>#N/A</v>
      </c>
      <c r="BL162" s="66" t="e">
        <f>VLOOKUP($A162,'S50'!$C:$BQ,60,0)</f>
        <v>#N/A</v>
      </c>
    </row>
    <row r="163" spans="1:64" x14ac:dyDescent="0.2">
      <c r="A163" s="57" t="s">
        <v>229</v>
      </c>
      <c r="B163" s="58">
        <f>VLOOKUP($A163,'S0 remplacer avec S44'!$C:$BQ,32,0)</f>
        <v>498</v>
      </c>
      <c r="C163" s="58">
        <f>VLOOKUP($A163,'S0 remplacer avec S44'!$C:$BQ,39,0)</f>
        <v>24</v>
      </c>
      <c r="D163" s="58">
        <f>VLOOKUP($A163,'S0 remplacer avec S44'!$C:$BQ,40,0)</f>
        <v>128</v>
      </c>
      <c r="E163" s="58">
        <f>VLOOKUP($A163,'S0 remplacer avec S44'!$C:$BQ,22,0)</f>
        <v>4739.8393800000003</v>
      </c>
      <c r="F163" s="66">
        <f>VLOOKUP($A163,'S0 remplacer avec S44'!$C:$BQ,29,0)</f>
        <v>0</v>
      </c>
      <c r="G163" s="66">
        <f>VLOOKUP($A163,'S0 remplacer avec S44'!$C:$BQ,30,0)</f>
        <v>948</v>
      </c>
      <c r="H163" s="66">
        <f>VLOOKUP($A163,'S0 remplacer avec S44'!$C:$BQ,52,0)</f>
        <v>360</v>
      </c>
      <c r="I163" s="66">
        <f>VLOOKUP($A163,'S0 remplacer avec S44'!$C:$BQ,59,0)</f>
        <v>0</v>
      </c>
      <c r="J163" s="66">
        <f>VLOOKUP($A163,'S0 remplacer avec S44'!$C:$BQ,60,0)</f>
        <v>0</v>
      </c>
      <c r="K163" s="58">
        <f>VLOOKUP($A163,'S45'!$C:$BQ,32,0)</f>
        <v>518</v>
      </c>
      <c r="L163" s="58">
        <f>VLOOKUP($A163,'S45'!$C:$BQ,39,0)</f>
        <v>4</v>
      </c>
      <c r="M163" s="58">
        <f>VLOOKUP($A163,'S45'!$C:$BQ,40,0)</f>
        <v>108</v>
      </c>
      <c r="N163" s="58">
        <f>VLOOKUP($A163,'S45'!$C:$BQ,22,0)</f>
        <v>4925.7658199999996</v>
      </c>
      <c r="O163" s="66">
        <f>VLOOKUP($A163,'S45'!$C:$BQ,29,0)</f>
        <v>0</v>
      </c>
      <c r="P163" s="66">
        <f>VLOOKUP($A163,'S45'!$C:$BQ,30,0)</f>
        <v>762</v>
      </c>
      <c r="Q163" s="66">
        <f>VLOOKUP($A163,'S45'!$C:$BQ,52,0)</f>
        <v>377</v>
      </c>
      <c r="R163" s="66">
        <f>VLOOKUP($A163,'S45'!$C:$BQ,59,0)</f>
        <v>0</v>
      </c>
      <c r="S163" s="66">
        <f>VLOOKUP($A163,'S45'!$C:$BQ,60,0)</f>
        <v>0</v>
      </c>
      <c r="T163" s="58">
        <f>VLOOKUP($A163,'S46'!$C:$BQ,32,0)</f>
        <v>519.5</v>
      </c>
      <c r="U163" s="58">
        <f>VLOOKUP($A163,'S46'!$C:$BQ,39,0)</f>
        <v>2</v>
      </c>
      <c r="V163" s="58">
        <f>VLOOKUP($A163,'S46'!$C:$BQ,40,0)</f>
        <v>106</v>
      </c>
      <c r="W163" s="58">
        <f>VLOOKUP($A163,'S46'!$C:$BQ,22,0)</f>
        <v>4978.9394000000002</v>
      </c>
      <c r="X163" s="66">
        <f>VLOOKUP($A163,'S46'!$C:$BQ,29,0)</f>
        <v>0</v>
      </c>
      <c r="Y163" s="66">
        <f>VLOOKUP($A163,'S46'!$C:$BQ,30,0)</f>
        <v>708</v>
      </c>
      <c r="Z163" s="66">
        <f>VLOOKUP($A163,'S46'!$C:$BQ,52,0)</f>
        <v>379</v>
      </c>
      <c r="AA163" s="66">
        <f>VLOOKUP($A163,'S46'!$C:$BQ,59,0)</f>
        <v>0</v>
      </c>
      <c r="AB163" s="66">
        <f>VLOOKUP($A163,'S46'!$C:$BQ,60,0)</f>
        <v>0</v>
      </c>
      <c r="AC163" s="58">
        <f>VLOOKUP($A163,'S47'!$C:$BQ,32,0)</f>
        <v>529.20000000000005</v>
      </c>
      <c r="AD163" s="58">
        <f>VLOOKUP($A163,'S47'!$C:$BQ,39,0)</f>
        <v>0</v>
      </c>
      <c r="AE163" s="58">
        <f>VLOOKUP($A163,'S47'!$C:$BQ,40,0)</f>
        <v>97</v>
      </c>
      <c r="AF163" s="58">
        <f>VLOOKUP($A163,'S47'!$C:$BQ,22,0)</f>
        <v>5140.3120900000004</v>
      </c>
      <c r="AG163" s="66">
        <f>VLOOKUP($A163,'S47'!$C:$BQ,29,0)</f>
        <v>0</v>
      </c>
      <c r="AH163" s="66">
        <f>VLOOKUP($A163,'S47'!$C:$BQ,30,0)</f>
        <v>547</v>
      </c>
      <c r="AI163" s="66">
        <f>VLOOKUP($A163,'S47'!$C:$BQ,52,0)</f>
        <v>388</v>
      </c>
      <c r="AJ163" s="66">
        <f>VLOOKUP($A163,'S47'!$C:$BQ,59,0)</f>
        <v>0</v>
      </c>
      <c r="AK163" s="66">
        <f>VLOOKUP($A163,'S47'!$C:$BQ,60,0)</f>
        <v>0</v>
      </c>
      <c r="AL163" s="58" t="e">
        <f>VLOOKUP($A163,'S48'!$C:$BQ,32,0)</f>
        <v>#N/A</v>
      </c>
      <c r="AM163" s="58" t="e">
        <f>VLOOKUP($A163,'S48'!$C:$BQ,39,0)</f>
        <v>#N/A</v>
      </c>
      <c r="AN163" s="58" t="e">
        <f>VLOOKUP($A163,'S48'!$C:$BQ,40,0)</f>
        <v>#N/A</v>
      </c>
      <c r="AO163" s="58" t="e">
        <f>VLOOKUP($A163,'S48'!$C:$BQ,22,0)</f>
        <v>#N/A</v>
      </c>
      <c r="AP163" s="66" t="e">
        <f>VLOOKUP($A163,'S48'!$C:$BQ,29,0)</f>
        <v>#N/A</v>
      </c>
      <c r="AQ163" s="66" t="e">
        <f>VLOOKUP($A163,'S48'!$C:$BQ,30,0)</f>
        <v>#N/A</v>
      </c>
      <c r="AR163" s="66" t="e">
        <f>VLOOKUP($A163,'S48'!$C:$BQ,52,0)</f>
        <v>#N/A</v>
      </c>
      <c r="AS163" s="66" t="e">
        <f>VLOOKUP($A163,'S48'!$C:$BQ,59,0)</f>
        <v>#N/A</v>
      </c>
      <c r="AT163" s="66" t="e">
        <f>VLOOKUP($A163,'S48'!$C:$BQ,60,0)</f>
        <v>#N/A</v>
      </c>
      <c r="AU163" s="58" t="e">
        <f>VLOOKUP($A163,'S49'!$C:$BQ,32,0)</f>
        <v>#N/A</v>
      </c>
      <c r="AV163" s="58" t="e">
        <f>VLOOKUP($A163,'S49'!$C:$BQ,39,0)</f>
        <v>#N/A</v>
      </c>
      <c r="AW163" s="58" t="e">
        <f>VLOOKUP($A163,'S49'!$C:$BQ,40,0)</f>
        <v>#N/A</v>
      </c>
      <c r="AX163" s="58" t="e">
        <f>VLOOKUP($A163,'S49'!$C:$BQ,22,0)</f>
        <v>#N/A</v>
      </c>
      <c r="AY163" s="66" t="e">
        <f>VLOOKUP($A163,'S49'!$C:$BQ,29,0)</f>
        <v>#N/A</v>
      </c>
      <c r="AZ163" s="66" t="e">
        <f>VLOOKUP($A163,'S49'!$C:$BQ,30,0)</f>
        <v>#N/A</v>
      </c>
      <c r="BA163" s="66" t="e">
        <f>VLOOKUP($A163,'S49'!$C:$BQ,52,0)</f>
        <v>#N/A</v>
      </c>
      <c r="BB163" s="66" t="e">
        <f>VLOOKUP($A163,'S49'!$C:$BQ,59,0)</f>
        <v>#N/A</v>
      </c>
      <c r="BC163" s="66" t="e">
        <f>VLOOKUP($A163,'S49'!$C:$BQ,60,0)</f>
        <v>#N/A</v>
      </c>
      <c r="BD163" s="58" t="e">
        <f>VLOOKUP($A163,'S50'!$C:$BQ,32,0)</f>
        <v>#N/A</v>
      </c>
      <c r="BE163" s="58" t="e">
        <f>VLOOKUP($A163,'S50'!$C:$BQ,39,0)</f>
        <v>#N/A</v>
      </c>
      <c r="BF163" s="58" t="e">
        <f>VLOOKUP($A163,'S50'!$C:$BQ,40,0)</f>
        <v>#N/A</v>
      </c>
      <c r="BG163" s="58" t="e">
        <f>VLOOKUP($A163,'S50'!$C:$BQ,22,0)</f>
        <v>#N/A</v>
      </c>
      <c r="BH163" s="66" t="e">
        <f>VLOOKUP($A163,'S50'!$C:$BQ,29,0)</f>
        <v>#N/A</v>
      </c>
      <c r="BI163" s="66" t="e">
        <f>VLOOKUP($A163,'S50'!$C:$BQ,30,0)</f>
        <v>#N/A</v>
      </c>
      <c r="BJ163" s="66" t="e">
        <f>VLOOKUP($A163,'S50'!$C:$BQ,52,0)</f>
        <v>#N/A</v>
      </c>
      <c r="BK163" s="66" t="e">
        <f>VLOOKUP($A163,'S50'!$C:$BQ,59,0)</f>
        <v>#N/A</v>
      </c>
      <c r="BL163" s="66" t="e">
        <f>VLOOKUP($A163,'S50'!$C:$BQ,60,0)</f>
        <v>#N/A</v>
      </c>
    </row>
    <row r="164" spans="1:64" x14ac:dyDescent="0.2">
      <c r="A164" s="57" t="s">
        <v>230</v>
      </c>
      <c r="B164" s="58">
        <f>VLOOKUP($A164,'S0 remplacer avec S44'!$C:$BQ,32,0)</f>
        <v>146.25</v>
      </c>
      <c r="C164" s="58">
        <f>VLOOKUP($A164,'S0 remplacer avec S44'!$C:$BQ,39,0)</f>
        <v>0</v>
      </c>
      <c r="D164" s="58">
        <f>VLOOKUP($A164,'S0 remplacer avec S44'!$C:$BQ,40,0)</f>
        <v>10</v>
      </c>
      <c r="E164" s="58">
        <f>VLOOKUP($A164,'S0 remplacer avec S44'!$C:$BQ,22,0)</f>
        <v>883.646885</v>
      </c>
      <c r="F164" s="66">
        <f>VLOOKUP($A164,'S0 remplacer avec S44'!$C:$BQ,29,0)</f>
        <v>298</v>
      </c>
      <c r="G164" s="66">
        <f>VLOOKUP($A164,'S0 remplacer avec S44'!$C:$BQ,30,0)</f>
        <v>535</v>
      </c>
      <c r="H164" s="66">
        <f>VLOOKUP($A164,'S0 remplacer avec S44'!$C:$BQ,52,0)</f>
        <v>69.400000000000006</v>
      </c>
      <c r="I164" s="66">
        <f>VLOOKUP($A164,'S0 remplacer avec S44'!$C:$BQ,59,0)</f>
        <v>0</v>
      </c>
      <c r="J164" s="66">
        <f>VLOOKUP($A164,'S0 remplacer avec S44'!$C:$BQ,60,0)</f>
        <v>10</v>
      </c>
      <c r="K164" s="58">
        <f>VLOOKUP($A164,'S45'!$C:$BQ,32,0)</f>
        <v>146.25</v>
      </c>
      <c r="L164" s="58">
        <f>VLOOKUP($A164,'S45'!$C:$BQ,39,0)</f>
        <v>0</v>
      </c>
      <c r="M164" s="58">
        <f>VLOOKUP($A164,'S45'!$C:$BQ,40,0)</f>
        <v>10</v>
      </c>
      <c r="N164" s="58">
        <f>VLOOKUP($A164,'S45'!$C:$BQ,22,0)</f>
        <v>883.646885</v>
      </c>
      <c r="O164" s="66">
        <f>VLOOKUP($A164,'S45'!$C:$BQ,29,0)</f>
        <v>298</v>
      </c>
      <c r="P164" s="66">
        <f>VLOOKUP($A164,'S45'!$C:$BQ,30,0)</f>
        <v>535</v>
      </c>
      <c r="Q164" s="66">
        <f>VLOOKUP($A164,'S45'!$C:$BQ,52,0)</f>
        <v>69.400000000000006</v>
      </c>
      <c r="R164" s="66">
        <f>VLOOKUP($A164,'S45'!$C:$BQ,59,0)</f>
        <v>0</v>
      </c>
      <c r="S164" s="66">
        <f>VLOOKUP($A164,'S45'!$C:$BQ,60,0)</f>
        <v>10</v>
      </c>
      <c r="T164" s="58">
        <f>VLOOKUP($A164,'S46'!$C:$BQ,32,0)</f>
        <v>146.25</v>
      </c>
      <c r="U164" s="58">
        <f>VLOOKUP($A164,'S46'!$C:$BQ,39,0)</f>
        <v>0</v>
      </c>
      <c r="V164" s="58">
        <f>VLOOKUP($A164,'S46'!$C:$BQ,40,0)</f>
        <v>10</v>
      </c>
      <c r="W164" s="58">
        <f>VLOOKUP($A164,'S46'!$C:$BQ,22,0)</f>
        <v>883.646885</v>
      </c>
      <c r="X164" s="66">
        <f>VLOOKUP($A164,'S46'!$C:$BQ,29,0)</f>
        <v>298</v>
      </c>
      <c r="Y164" s="66">
        <f>VLOOKUP($A164,'S46'!$C:$BQ,30,0)</f>
        <v>535</v>
      </c>
      <c r="Z164" s="66">
        <f>VLOOKUP($A164,'S46'!$C:$BQ,52,0)</f>
        <v>69.400000000000006</v>
      </c>
      <c r="AA164" s="66">
        <f>VLOOKUP($A164,'S46'!$C:$BQ,59,0)</f>
        <v>0</v>
      </c>
      <c r="AB164" s="66">
        <f>VLOOKUP($A164,'S46'!$C:$BQ,60,0)</f>
        <v>10</v>
      </c>
      <c r="AC164" s="58">
        <f>VLOOKUP($A164,'S47'!$C:$BQ,32,0)</f>
        <v>146.25</v>
      </c>
      <c r="AD164" s="58">
        <f>VLOOKUP($A164,'S47'!$C:$BQ,39,0)</f>
        <v>0</v>
      </c>
      <c r="AE164" s="58">
        <f>VLOOKUP($A164,'S47'!$C:$BQ,40,0)</f>
        <v>10</v>
      </c>
      <c r="AF164" s="58">
        <f>VLOOKUP($A164,'S47'!$C:$BQ,22,0)</f>
        <v>883.646885</v>
      </c>
      <c r="AG164" s="66">
        <f>VLOOKUP($A164,'S47'!$C:$BQ,29,0)</f>
        <v>298</v>
      </c>
      <c r="AH164" s="66">
        <f>VLOOKUP($A164,'S47'!$C:$BQ,30,0)</f>
        <v>535</v>
      </c>
      <c r="AI164" s="66">
        <f>VLOOKUP($A164,'S47'!$C:$BQ,52,0)</f>
        <v>69.400000000000006</v>
      </c>
      <c r="AJ164" s="66">
        <f>VLOOKUP($A164,'S47'!$C:$BQ,59,0)</f>
        <v>0</v>
      </c>
      <c r="AK164" s="66">
        <f>VLOOKUP($A164,'S47'!$C:$BQ,60,0)</f>
        <v>10</v>
      </c>
      <c r="AL164" s="58" t="e">
        <f>VLOOKUP($A164,'S48'!$C:$BQ,32,0)</f>
        <v>#N/A</v>
      </c>
      <c r="AM164" s="58" t="e">
        <f>VLOOKUP($A164,'S48'!$C:$BQ,39,0)</f>
        <v>#N/A</v>
      </c>
      <c r="AN164" s="58" t="e">
        <f>VLOOKUP($A164,'S48'!$C:$BQ,40,0)</f>
        <v>#N/A</v>
      </c>
      <c r="AO164" s="58" t="e">
        <f>VLOOKUP($A164,'S48'!$C:$BQ,22,0)</f>
        <v>#N/A</v>
      </c>
      <c r="AP164" s="66" t="e">
        <f>VLOOKUP($A164,'S48'!$C:$BQ,29,0)</f>
        <v>#N/A</v>
      </c>
      <c r="AQ164" s="66" t="e">
        <f>VLOOKUP($A164,'S48'!$C:$BQ,30,0)</f>
        <v>#N/A</v>
      </c>
      <c r="AR164" s="66" t="e">
        <f>VLOOKUP($A164,'S48'!$C:$BQ,52,0)</f>
        <v>#N/A</v>
      </c>
      <c r="AS164" s="66" t="e">
        <f>VLOOKUP($A164,'S48'!$C:$BQ,59,0)</f>
        <v>#N/A</v>
      </c>
      <c r="AT164" s="66" t="e">
        <f>VLOOKUP($A164,'S48'!$C:$BQ,60,0)</f>
        <v>#N/A</v>
      </c>
      <c r="AU164" s="58" t="e">
        <f>VLOOKUP($A164,'S49'!$C:$BQ,32,0)</f>
        <v>#N/A</v>
      </c>
      <c r="AV164" s="58" t="e">
        <f>VLOOKUP($A164,'S49'!$C:$BQ,39,0)</f>
        <v>#N/A</v>
      </c>
      <c r="AW164" s="58" t="e">
        <f>VLOOKUP($A164,'S49'!$C:$BQ,40,0)</f>
        <v>#N/A</v>
      </c>
      <c r="AX164" s="58" t="e">
        <f>VLOOKUP($A164,'S49'!$C:$BQ,22,0)</f>
        <v>#N/A</v>
      </c>
      <c r="AY164" s="66" t="e">
        <f>VLOOKUP($A164,'S49'!$C:$BQ,29,0)</f>
        <v>#N/A</v>
      </c>
      <c r="AZ164" s="66" t="e">
        <f>VLOOKUP($A164,'S49'!$C:$BQ,30,0)</f>
        <v>#N/A</v>
      </c>
      <c r="BA164" s="66" t="e">
        <f>VLOOKUP($A164,'S49'!$C:$BQ,52,0)</f>
        <v>#N/A</v>
      </c>
      <c r="BB164" s="66" t="e">
        <f>VLOOKUP($A164,'S49'!$C:$BQ,59,0)</f>
        <v>#N/A</v>
      </c>
      <c r="BC164" s="66" t="e">
        <f>VLOOKUP($A164,'S49'!$C:$BQ,60,0)</f>
        <v>#N/A</v>
      </c>
      <c r="BD164" s="58" t="e">
        <f>VLOOKUP($A164,'S50'!$C:$BQ,32,0)</f>
        <v>#N/A</v>
      </c>
      <c r="BE164" s="58" t="e">
        <f>VLOOKUP($A164,'S50'!$C:$BQ,39,0)</f>
        <v>#N/A</v>
      </c>
      <c r="BF164" s="58" t="e">
        <f>VLOOKUP($A164,'S50'!$C:$BQ,40,0)</f>
        <v>#N/A</v>
      </c>
      <c r="BG164" s="58" t="e">
        <f>VLOOKUP($A164,'S50'!$C:$BQ,22,0)</f>
        <v>#N/A</v>
      </c>
      <c r="BH164" s="66" t="e">
        <f>VLOOKUP($A164,'S50'!$C:$BQ,29,0)</f>
        <v>#N/A</v>
      </c>
      <c r="BI164" s="66" t="e">
        <f>VLOOKUP($A164,'S50'!$C:$BQ,30,0)</f>
        <v>#N/A</v>
      </c>
      <c r="BJ164" s="66" t="e">
        <f>VLOOKUP($A164,'S50'!$C:$BQ,52,0)</f>
        <v>#N/A</v>
      </c>
      <c r="BK164" s="66" t="e">
        <f>VLOOKUP($A164,'S50'!$C:$BQ,59,0)</f>
        <v>#N/A</v>
      </c>
      <c r="BL164" s="66" t="e">
        <f>VLOOKUP($A164,'S50'!$C:$BQ,60,0)</f>
        <v>#N/A</v>
      </c>
    </row>
    <row r="165" spans="1:64" x14ac:dyDescent="0.2">
      <c r="A165" s="57" t="s">
        <v>231</v>
      </c>
      <c r="B165" s="58">
        <f>VLOOKUP($A165,'S0 remplacer avec S44'!$C:$BQ,32,0)</f>
        <v>114.85</v>
      </c>
      <c r="C165" s="58">
        <f>VLOOKUP($A165,'S0 remplacer avec S44'!$C:$BQ,39,0)</f>
        <v>13</v>
      </c>
      <c r="D165" s="58">
        <f>VLOOKUP($A165,'S0 remplacer avec S44'!$C:$BQ,40,0)</f>
        <v>38</v>
      </c>
      <c r="E165" s="58">
        <f>VLOOKUP($A165,'S0 remplacer avec S44'!$C:$BQ,22,0)</f>
        <v>1794.4673250000001</v>
      </c>
      <c r="F165" s="66">
        <f>VLOOKUP($A165,'S0 remplacer avec S44'!$C:$BQ,29,0)</f>
        <v>0</v>
      </c>
      <c r="G165" s="66">
        <f>VLOOKUP($A165,'S0 remplacer avec S44'!$C:$BQ,30,0)</f>
        <v>0</v>
      </c>
      <c r="H165" s="66">
        <f>VLOOKUP($A165,'S0 remplacer avec S44'!$C:$BQ,52,0)</f>
        <v>104</v>
      </c>
      <c r="I165" s="66">
        <f>VLOOKUP($A165,'S0 remplacer avec S44'!$C:$BQ,59,0)</f>
        <v>0</v>
      </c>
      <c r="J165" s="66">
        <f>VLOOKUP($A165,'S0 remplacer avec S44'!$C:$BQ,60,0)</f>
        <v>0</v>
      </c>
      <c r="K165" s="58">
        <f>VLOOKUP($A165,'S45'!$C:$BQ,32,0)</f>
        <v>114.55</v>
      </c>
      <c r="L165" s="58">
        <f>VLOOKUP($A165,'S45'!$C:$BQ,39,0)</f>
        <v>13</v>
      </c>
      <c r="M165" s="58">
        <f>VLOOKUP($A165,'S45'!$C:$BQ,40,0)</f>
        <v>39</v>
      </c>
      <c r="N165" s="58">
        <f>VLOOKUP($A165,'S45'!$C:$BQ,22,0)</f>
        <v>1847.1678649999999</v>
      </c>
      <c r="O165" s="66">
        <f>VLOOKUP($A165,'S45'!$C:$BQ,29,0)</f>
        <v>0</v>
      </c>
      <c r="P165" s="66">
        <f>VLOOKUP($A165,'S45'!$C:$BQ,30,0)</f>
        <v>0</v>
      </c>
      <c r="Q165" s="66">
        <f>VLOOKUP($A165,'S45'!$C:$BQ,52,0)</f>
        <v>106</v>
      </c>
      <c r="R165" s="66">
        <f>VLOOKUP($A165,'S45'!$C:$BQ,59,0)</f>
        <v>0</v>
      </c>
      <c r="S165" s="66">
        <f>VLOOKUP($A165,'S45'!$C:$BQ,60,0)</f>
        <v>0</v>
      </c>
      <c r="T165" s="58">
        <f>VLOOKUP($A165,'S46'!$C:$BQ,32,0)</f>
        <v>115.05</v>
      </c>
      <c r="U165" s="58">
        <f>VLOOKUP($A165,'S46'!$C:$BQ,39,0)</f>
        <v>13</v>
      </c>
      <c r="V165" s="58">
        <f>VLOOKUP($A165,'S46'!$C:$BQ,40,0)</f>
        <v>38</v>
      </c>
      <c r="W165" s="58">
        <f>VLOOKUP($A165,'S46'!$C:$BQ,22,0)</f>
        <v>1857.0382649999999</v>
      </c>
      <c r="X165" s="66">
        <f>VLOOKUP($A165,'S46'!$C:$BQ,29,0)</f>
        <v>0</v>
      </c>
      <c r="Y165" s="66">
        <f>VLOOKUP($A165,'S46'!$C:$BQ,30,0)</f>
        <v>0</v>
      </c>
      <c r="Z165" s="66">
        <f>VLOOKUP($A165,'S46'!$C:$BQ,52,0)</f>
        <v>106</v>
      </c>
      <c r="AA165" s="66">
        <f>VLOOKUP($A165,'S46'!$C:$BQ,59,0)</f>
        <v>0</v>
      </c>
      <c r="AB165" s="66">
        <f>VLOOKUP($A165,'S46'!$C:$BQ,60,0)</f>
        <v>0</v>
      </c>
      <c r="AC165" s="58">
        <f>VLOOKUP($A165,'S47'!$C:$BQ,32,0)</f>
        <v>125.55</v>
      </c>
      <c r="AD165" s="58">
        <f>VLOOKUP($A165,'S47'!$C:$BQ,39,0)</f>
        <v>2</v>
      </c>
      <c r="AE165" s="58">
        <f>VLOOKUP($A165,'S47'!$C:$BQ,40,0)</f>
        <v>28</v>
      </c>
      <c r="AF165" s="58">
        <f>VLOOKUP($A165,'S47'!$C:$BQ,22,0)</f>
        <v>1998.8524649999999</v>
      </c>
      <c r="AG165" s="66">
        <f>VLOOKUP($A165,'S47'!$C:$BQ,29,0)</f>
        <v>0</v>
      </c>
      <c r="AH165" s="66">
        <f>VLOOKUP($A165,'S47'!$C:$BQ,30,0)</f>
        <v>0</v>
      </c>
      <c r="AI165" s="66">
        <f>VLOOKUP($A165,'S47'!$C:$BQ,52,0)</f>
        <v>108</v>
      </c>
      <c r="AJ165" s="66">
        <f>VLOOKUP($A165,'S47'!$C:$BQ,59,0)</f>
        <v>0</v>
      </c>
      <c r="AK165" s="66">
        <f>VLOOKUP($A165,'S47'!$C:$BQ,60,0)</f>
        <v>0</v>
      </c>
      <c r="AL165" s="58" t="e">
        <f>VLOOKUP($A165,'S48'!$C:$BQ,32,0)</f>
        <v>#N/A</v>
      </c>
      <c r="AM165" s="58" t="e">
        <f>VLOOKUP($A165,'S48'!$C:$BQ,39,0)</f>
        <v>#N/A</v>
      </c>
      <c r="AN165" s="58" t="e">
        <f>VLOOKUP($A165,'S48'!$C:$BQ,40,0)</f>
        <v>#N/A</v>
      </c>
      <c r="AO165" s="58" t="e">
        <f>VLOOKUP($A165,'S48'!$C:$BQ,22,0)</f>
        <v>#N/A</v>
      </c>
      <c r="AP165" s="66" t="e">
        <f>VLOOKUP($A165,'S48'!$C:$BQ,29,0)</f>
        <v>#N/A</v>
      </c>
      <c r="AQ165" s="66" t="e">
        <f>VLOOKUP($A165,'S48'!$C:$BQ,30,0)</f>
        <v>#N/A</v>
      </c>
      <c r="AR165" s="66" t="e">
        <f>VLOOKUP($A165,'S48'!$C:$BQ,52,0)</f>
        <v>#N/A</v>
      </c>
      <c r="AS165" s="66" t="e">
        <f>VLOOKUP($A165,'S48'!$C:$BQ,59,0)</f>
        <v>#N/A</v>
      </c>
      <c r="AT165" s="66" t="e">
        <f>VLOOKUP($A165,'S48'!$C:$BQ,60,0)</f>
        <v>#N/A</v>
      </c>
      <c r="AU165" s="58" t="e">
        <f>VLOOKUP($A165,'S49'!$C:$BQ,32,0)</f>
        <v>#N/A</v>
      </c>
      <c r="AV165" s="58" t="e">
        <f>VLOOKUP($A165,'S49'!$C:$BQ,39,0)</f>
        <v>#N/A</v>
      </c>
      <c r="AW165" s="58" t="e">
        <f>VLOOKUP($A165,'S49'!$C:$BQ,40,0)</f>
        <v>#N/A</v>
      </c>
      <c r="AX165" s="58" t="e">
        <f>VLOOKUP($A165,'S49'!$C:$BQ,22,0)</f>
        <v>#N/A</v>
      </c>
      <c r="AY165" s="66" t="e">
        <f>VLOOKUP($A165,'S49'!$C:$BQ,29,0)</f>
        <v>#N/A</v>
      </c>
      <c r="AZ165" s="66" t="e">
        <f>VLOOKUP($A165,'S49'!$C:$BQ,30,0)</f>
        <v>#N/A</v>
      </c>
      <c r="BA165" s="66" t="e">
        <f>VLOOKUP($A165,'S49'!$C:$BQ,52,0)</f>
        <v>#N/A</v>
      </c>
      <c r="BB165" s="66" t="e">
        <f>VLOOKUP($A165,'S49'!$C:$BQ,59,0)</f>
        <v>#N/A</v>
      </c>
      <c r="BC165" s="66" t="e">
        <f>VLOOKUP($A165,'S49'!$C:$BQ,60,0)</f>
        <v>#N/A</v>
      </c>
      <c r="BD165" s="58" t="e">
        <f>VLOOKUP($A165,'S50'!$C:$BQ,32,0)</f>
        <v>#N/A</v>
      </c>
      <c r="BE165" s="58" t="e">
        <f>VLOOKUP($A165,'S50'!$C:$BQ,39,0)</f>
        <v>#N/A</v>
      </c>
      <c r="BF165" s="58" t="e">
        <f>VLOOKUP($A165,'S50'!$C:$BQ,40,0)</f>
        <v>#N/A</v>
      </c>
      <c r="BG165" s="58" t="e">
        <f>VLOOKUP($A165,'S50'!$C:$BQ,22,0)</f>
        <v>#N/A</v>
      </c>
      <c r="BH165" s="66" t="e">
        <f>VLOOKUP($A165,'S50'!$C:$BQ,29,0)</f>
        <v>#N/A</v>
      </c>
      <c r="BI165" s="66" t="e">
        <f>VLOOKUP($A165,'S50'!$C:$BQ,30,0)</f>
        <v>#N/A</v>
      </c>
      <c r="BJ165" s="66" t="e">
        <f>VLOOKUP($A165,'S50'!$C:$BQ,52,0)</f>
        <v>#N/A</v>
      </c>
      <c r="BK165" s="66" t="e">
        <f>VLOOKUP($A165,'S50'!$C:$BQ,59,0)</f>
        <v>#N/A</v>
      </c>
      <c r="BL165" s="66" t="e">
        <f>VLOOKUP($A165,'S50'!$C:$BQ,60,0)</f>
        <v>#N/A</v>
      </c>
    </row>
    <row r="166" spans="1:64" x14ac:dyDescent="0.2">
      <c r="A166" s="57" t="s">
        <v>232</v>
      </c>
      <c r="B166" s="58">
        <f>VLOOKUP($A166,'S0 remplacer avec S44'!$C:$BQ,32,0)</f>
        <v>106.1</v>
      </c>
      <c r="C166" s="58">
        <f>VLOOKUP($A166,'S0 remplacer avec S44'!$C:$BQ,39,0)</f>
        <v>12</v>
      </c>
      <c r="D166" s="58">
        <f>VLOOKUP($A166,'S0 remplacer avec S44'!$C:$BQ,40,0)</f>
        <v>35</v>
      </c>
      <c r="E166" s="58">
        <f>VLOOKUP($A166,'S0 remplacer avec S44'!$C:$BQ,22,0)</f>
        <v>1028.2102050000001</v>
      </c>
      <c r="F166" s="66">
        <f>VLOOKUP($A166,'S0 remplacer avec S44'!$C:$BQ,29,0)</f>
        <v>39</v>
      </c>
      <c r="G166" s="66">
        <f>VLOOKUP($A166,'S0 remplacer avec S44'!$C:$BQ,30,0)</f>
        <v>252</v>
      </c>
      <c r="H166" s="66">
        <f>VLOOKUP($A166,'S0 remplacer avec S44'!$C:$BQ,52,0)</f>
        <v>94</v>
      </c>
      <c r="I166" s="66">
        <f>VLOOKUP($A166,'S0 remplacer avec S44'!$C:$BQ,59,0)</f>
        <v>0</v>
      </c>
      <c r="J166" s="66">
        <f>VLOOKUP($A166,'S0 remplacer avec S44'!$C:$BQ,60,0)</f>
        <v>0</v>
      </c>
      <c r="K166" s="58">
        <f>VLOOKUP($A166,'S45'!$C:$BQ,32,0)</f>
        <v>111.6</v>
      </c>
      <c r="L166" s="58">
        <f>VLOOKUP($A166,'S45'!$C:$BQ,39,0)</f>
        <v>6</v>
      </c>
      <c r="M166" s="58">
        <f>VLOOKUP($A166,'S45'!$C:$BQ,40,0)</f>
        <v>30</v>
      </c>
      <c r="N166" s="58">
        <f>VLOOKUP($A166,'S45'!$C:$BQ,22,0)</f>
        <v>1030.4347749999999</v>
      </c>
      <c r="O166" s="66">
        <f>VLOOKUP($A166,'S45'!$C:$BQ,29,0)</f>
        <v>37</v>
      </c>
      <c r="P166" s="66">
        <f>VLOOKUP($A166,'S45'!$C:$BQ,30,0)</f>
        <v>250</v>
      </c>
      <c r="Q166" s="66">
        <f>VLOOKUP($A166,'S45'!$C:$BQ,52,0)</f>
        <v>94</v>
      </c>
      <c r="R166" s="66">
        <f>VLOOKUP($A166,'S45'!$C:$BQ,59,0)</f>
        <v>0</v>
      </c>
      <c r="S166" s="66">
        <f>VLOOKUP($A166,'S45'!$C:$BQ,60,0)</f>
        <v>0</v>
      </c>
      <c r="T166" s="58">
        <f>VLOOKUP($A166,'S46'!$C:$BQ,32,0)</f>
        <v>111.6</v>
      </c>
      <c r="U166" s="58">
        <f>VLOOKUP($A166,'S46'!$C:$BQ,39,0)</f>
        <v>6</v>
      </c>
      <c r="V166" s="58">
        <f>VLOOKUP($A166,'S46'!$C:$BQ,40,0)</f>
        <v>30</v>
      </c>
      <c r="W166" s="58">
        <f>VLOOKUP($A166,'S46'!$C:$BQ,22,0)</f>
        <v>1031.4400450000001</v>
      </c>
      <c r="X166" s="66">
        <f>VLOOKUP($A166,'S46'!$C:$BQ,29,0)</f>
        <v>36</v>
      </c>
      <c r="Y166" s="66">
        <f>VLOOKUP($A166,'S46'!$C:$BQ,30,0)</f>
        <v>249</v>
      </c>
      <c r="Z166" s="66">
        <f>VLOOKUP($A166,'S46'!$C:$BQ,52,0)</f>
        <v>95</v>
      </c>
      <c r="AA166" s="66">
        <f>VLOOKUP($A166,'S46'!$C:$BQ,59,0)</f>
        <v>0</v>
      </c>
      <c r="AB166" s="66">
        <f>VLOOKUP($A166,'S46'!$C:$BQ,60,0)</f>
        <v>0</v>
      </c>
      <c r="AC166" s="58">
        <f>VLOOKUP($A166,'S47'!$C:$BQ,32,0)</f>
        <v>113.6</v>
      </c>
      <c r="AD166" s="58">
        <f>VLOOKUP($A166,'S47'!$C:$BQ,39,0)</f>
        <v>4</v>
      </c>
      <c r="AE166" s="58">
        <f>VLOOKUP($A166,'S47'!$C:$BQ,40,0)</f>
        <v>28</v>
      </c>
      <c r="AF166" s="58">
        <f>VLOOKUP($A166,'S47'!$C:$BQ,22,0)</f>
        <v>1097.3044850000001</v>
      </c>
      <c r="AG166" s="66">
        <f>VLOOKUP($A166,'S47'!$C:$BQ,29,0)</f>
        <v>0</v>
      </c>
      <c r="AH166" s="66">
        <f>VLOOKUP($A166,'S47'!$C:$BQ,30,0)</f>
        <v>183</v>
      </c>
      <c r="AI166" s="66">
        <f>VLOOKUP($A166,'S47'!$C:$BQ,52,0)</f>
        <v>96</v>
      </c>
      <c r="AJ166" s="66">
        <f>VLOOKUP($A166,'S47'!$C:$BQ,59,0)</f>
        <v>0</v>
      </c>
      <c r="AK166" s="66">
        <f>VLOOKUP($A166,'S47'!$C:$BQ,60,0)</f>
        <v>0</v>
      </c>
      <c r="AL166" s="58" t="e">
        <f>VLOOKUP($A166,'S48'!$C:$BQ,32,0)</f>
        <v>#N/A</v>
      </c>
      <c r="AM166" s="58" t="e">
        <f>VLOOKUP($A166,'S48'!$C:$BQ,39,0)</f>
        <v>#N/A</v>
      </c>
      <c r="AN166" s="58" t="e">
        <f>VLOOKUP($A166,'S48'!$C:$BQ,40,0)</f>
        <v>#N/A</v>
      </c>
      <c r="AO166" s="58" t="e">
        <f>VLOOKUP($A166,'S48'!$C:$BQ,22,0)</f>
        <v>#N/A</v>
      </c>
      <c r="AP166" s="66" t="e">
        <f>VLOOKUP($A166,'S48'!$C:$BQ,29,0)</f>
        <v>#N/A</v>
      </c>
      <c r="AQ166" s="66" t="e">
        <f>VLOOKUP($A166,'S48'!$C:$BQ,30,0)</f>
        <v>#N/A</v>
      </c>
      <c r="AR166" s="66" t="e">
        <f>VLOOKUP($A166,'S48'!$C:$BQ,52,0)</f>
        <v>#N/A</v>
      </c>
      <c r="AS166" s="66" t="e">
        <f>VLOOKUP($A166,'S48'!$C:$BQ,59,0)</f>
        <v>#N/A</v>
      </c>
      <c r="AT166" s="66" t="e">
        <f>VLOOKUP($A166,'S48'!$C:$BQ,60,0)</f>
        <v>#N/A</v>
      </c>
      <c r="AU166" s="58" t="e">
        <f>VLOOKUP($A166,'S49'!$C:$BQ,32,0)</f>
        <v>#N/A</v>
      </c>
      <c r="AV166" s="58" t="e">
        <f>VLOOKUP($A166,'S49'!$C:$BQ,39,0)</f>
        <v>#N/A</v>
      </c>
      <c r="AW166" s="58" t="e">
        <f>VLOOKUP($A166,'S49'!$C:$BQ,40,0)</f>
        <v>#N/A</v>
      </c>
      <c r="AX166" s="58" t="e">
        <f>VLOOKUP($A166,'S49'!$C:$BQ,22,0)</f>
        <v>#N/A</v>
      </c>
      <c r="AY166" s="66" t="e">
        <f>VLOOKUP($A166,'S49'!$C:$BQ,29,0)</f>
        <v>#N/A</v>
      </c>
      <c r="AZ166" s="66" t="e">
        <f>VLOOKUP($A166,'S49'!$C:$BQ,30,0)</f>
        <v>#N/A</v>
      </c>
      <c r="BA166" s="66" t="e">
        <f>VLOOKUP($A166,'S49'!$C:$BQ,52,0)</f>
        <v>#N/A</v>
      </c>
      <c r="BB166" s="66" t="e">
        <f>VLOOKUP($A166,'S49'!$C:$BQ,59,0)</f>
        <v>#N/A</v>
      </c>
      <c r="BC166" s="66" t="e">
        <f>VLOOKUP($A166,'S49'!$C:$BQ,60,0)</f>
        <v>#N/A</v>
      </c>
      <c r="BD166" s="58" t="e">
        <f>VLOOKUP($A166,'S50'!$C:$BQ,32,0)</f>
        <v>#N/A</v>
      </c>
      <c r="BE166" s="58" t="e">
        <f>VLOOKUP($A166,'S50'!$C:$BQ,39,0)</f>
        <v>#N/A</v>
      </c>
      <c r="BF166" s="58" t="e">
        <f>VLOOKUP($A166,'S50'!$C:$BQ,40,0)</f>
        <v>#N/A</v>
      </c>
      <c r="BG166" s="58" t="e">
        <f>VLOOKUP($A166,'S50'!$C:$BQ,22,0)</f>
        <v>#N/A</v>
      </c>
      <c r="BH166" s="66" t="e">
        <f>VLOOKUP($A166,'S50'!$C:$BQ,29,0)</f>
        <v>#N/A</v>
      </c>
      <c r="BI166" s="66" t="e">
        <f>VLOOKUP($A166,'S50'!$C:$BQ,30,0)</f>
        <v>#N/A</v>
      </c>
      <c r="BJ166" s="66" t="e">
        <f>VLOOKUP($A166,'S50'!$C:$BQ,52,0)</f>
        <v>#N/A</v>
      </c>
      <c r="BK166" s="66" t="e">
        <f>VLOOKUP($A166,'S50'!$C:$BQ,59,0)</f>
        <v>#N/A</v>
      </c>
      <c r="BL166" s="66" t="e">
        <f>VLOOKUP($A166,'S50'!$C:$BQ,60,0)</f>
        <v>#N/A</v>
      </c>
    </row>
    <row r="167" spans="1:64" x14ac:dyDescent="0.2">
      <c r="A167" s="57" t="s">
        <v>233</v>
      </c>
      <c r="B167" s="58">
        <f>VLOOKUP($A167,'S0 remplacer avec S44'!$C:$BQ,32,0)</f>
        <v>850.8</v>
      </c>
      <c r="C167" s="58">
        <f>VLOOKUP($A167,'S0 remplacer avec S44'!$C:$BQ,39,0)</f>
        <v>0</v>
      </c>
      <c r="D167" s="58">
        <f>VLOOKUP($A167,'S0 remplacer avec S44'!$C:$BQ,40,0)</f>
        <v>0</v>
      </c>
      <c r="E167" s="58">
        <f>VLOOKUP($A167,'S0 remplacer avec S44'!$C:$BQ,22,0)</f>
        <v>4151.0401000000002</v>
      </c>
      <c r="F167" s="66">
        <f>VLOOKUP($A167,'S0 remplacer avec S44'!$C:$BQ,29,0)</f>
        <v>1808</v>
      </c>
      <c r="G167" s="66">
        <f>VLOOKUP($A167,'S0 remplacer avec S44'!$C:$BQ,30,0)</f>
        <v>3000</v>
      </c>
      <c r="H167" s="66">
        <f>VLOOKUP($A167,'S0 remplacer avec S44'!$C:$BQ,52,0)</f>
        <v>782</v>
      </c>
      <c r="I167" s="66">
        <f>VLOOKUP($A167,'S0 remplacer avec S44'!$C:$BQ,59,0)</f>
        <v>0</v>
      </c>
      <c r="J167" s="66">
        <f>VLOOKUP($A167,'S0 remplacer avec S44'!$C:$BQ,60,0)</f>
        <v>0</v>
      </c>
      <c r="K167" s="58">
        <f>VLOOKUP($A167,'S45'!$C:$BQ,32,0)</f>
        <v>859.3</v>
      </c>
      <c r="L167" s="58">
        <f>VLOOKUP($A167,'S45'!$C:$BQ,39,0)</f>
        <v>0</v>
      </c>
      <c r="M167" s="58">
        <f>VLOOKUP($A167,'S45'!$C:$BQ,40,0)</f>
        <v>0</v>
      </c>
      <c r="N167" s="58">
        <f>VLOOKUP($A167,'S45'!$C:$BQ,22,0)</f>
        <v>4201.2251200000001</v>
      </c>
      <c r="O167" s="66">
        <f>VLOOKUP($A167,'S45'!$C:$BQ,29,0)</f>
        <v>1758</v>
      </c>
      <c r="P167" s="66">
        <f>VLOOKUP($A167,'S45'!$C:$BQ,30,0)</f>
        <v>2950</v>
      </c>
      <c r="Q167" s="66">
        <f>VLOOKUP($A167,'S45'!$C:$BQ,52,0)</f>
        <v>792</v>
      </c>
      <c r="R167" s="66">
        <f>VLOOKUP($A167,'S45'!$C:$BQ,59,0)</f>
        <v>0</v>
      </c>
      <c r="S167" s="66">
        <f>VLOOKUP($A167,'S45'!$C:$BQ,60,0)</f>
        <v>0</v>
      </c>
      <c r="T167" s="58">
        <f>VLOOKUP($A167,'S46'!$C:$BQ,32,0)</f>
        <v>858.3</v>
      </c>
      <c r="U167" s="58">
        <f>VLOOKUP($A167,'S46'!$C:$BQ,39,0)</f>
        <v>0</v>
      </c>
      <c r="V167" s="58">
        <f>VLOOKUP($A167,'S46'!$C:$BQ,40,0)</f>
        <v>0</v>
      </c>
      <c r="W167" s="58">
        <f>VLOOKUP($A167,'S46'!$C:$BQ,22,0)</f>
        <v>4267.36024</v>
      </c>
      <c r="X167" s="66">
        <f>VLOOKUP($A167,'S46'!$C:$BQ,29,0)</f>
        <v>1692</v>
      </c>
      <c r="Y167" s="66">
        <f>VLOOKUP($A167,'S46'!$C:$BQ,30,0)</f>
        <v>2884</v>
      </c>
      <c r="Z167" s="66">
        <f>VLOOKUP($A167,'S46'!$C:$BQ,52,0)</f>
        <v>797</v>
      </c>
      <c r="AA167" s="66">
        <f>VLOOKUP($A167,'S46'!$C:$BQ,59,0)</f>
        <v>0</v>
      </c>
      <c r="AB167" s="66">
        <f>VLOOKUP($A167,'S46'!$C:$BQ,60,0)</f>
        <v>0</v>
      </c>
      <c r="AC167" s="58">
        <f>VLOOKUP($A167,'S47'!$C:$BQ,32,0)</f>
        <v>863.3</v>
      </c>
      <c r="AD167" s="58">
        <f>VLOOKUP($A167,'S47'!$C:$BQ,39,0)</f>
        <v>0</v>
      </c>
      <c r="AE167" s="58">
        <f>VLOOKUP($A167,'S47'!$C:$BQ,40,0)</f>
        <v>0</v>
      </c>
      <c r="AF167" s="58">
        <f>VLOOKUP($A167,'S47'!$C:$BQ,22,0)</f>
        <v>4430.0094900000004</v>
      </c>
      <c r="AG167" s="66">
        <f>VLOOKUP($A167,'S47'!$C:$BQ,29,0)</f>
        <v>1529</v>
      </c>
      <c r="AH167" s="66">
        <f>VLOOKUP($A167,'S47'!$C:$BQ,30,0)</f>
        <v>2721</v>
      </c>
      <c r="AI167" s="66">
        <f>VLOOKUP($A167,'S47'!$C:$BQ,52,0)</f>
        <v>811</v>
      </c>
      <c r="AJ167" s="66">
        <f>VLOOKUP($A167,'S47'!$C:$BQ,59,0)</f>
        <v>0</v>
      </c>
      <c r="AK167" s="66">
        <f>VLOOKUP($A167,'S47'!$C:$BQ,60,0)</f>
        <v>0</v>
      </c>
      <c r="AL167" s="58" t="e">
        <f>VLOOKUP($A167,'S48'!$C:$BQ,32,0)</f>
        <v>#N/A</v>
      </c>
      <c r="AM167" s="58" t="e">
        <f>VLOOKUP($A167,'S48'!$C:$BQ,39,0)</f>
        <v>#N/A</v>
      </c>
      <c r="AN167" s="58" t="e">
        <f>VLOOKUP($A167,'S48'!$C:$BQ,40,0)</f>
        <v>#N/A</v>
      </c>
      <c r="AO167" s="58" t="e">
        <f>VLOOKUP($A167,'S48'!$C:$BQ,22,0)</f>
        <v>#N/A</v>
      </c>
      <c r="AP167" s="66" t="e">
        <f>VLOOKUP($A167,'S48'!$C:$BQ,29,0)</f>
        <v>#N/A</v>
      </c>
      <c r="AQ167" s="66" t="e">
        <f>VLOOKUP($A167,'S48'!$C:$BQ,30,0)</f>
        <v>#N/A</v>
      </c>
      <c r="AR167" s="66" t="e">
        <f>VLOOKUP($A167,'S48'!$C:$BQ,52,0)</f>
        <v>#N/A</v>
      </c>
      <c r="AS167" s="66" t="e">
        <f>VLOOKUP($A167,'S48'!$C:$BQ,59,0)</f>
        <v>#N/A</v>
      </c>
      <c r="AT167" s="66" t="e">
        <f>VLOOKUP($A167,'S48'!$C:$BQ,60,0)</f>
        <v>#N/A</v>
      </c>
      <c r="AU167" s="58" t="e">
        <f>VLOOKUP($A167,'S49'!$C:$BQ,32,0)</f>
        <v>#N/A</v>
      </c>
      <c r="AV167" s="58" t="e">
        <f>VLOOKUP($A167,'S49'!$C:$BQ,39,0)</f>
        <v>#N/A</v>
      </c>
      <c r="AW167" s="58" t="e">
        <f>VLOOKUP($A167,'S49'!$C:$BQ,40,0)</f>
        <v>#N/A</v>
      </c>
      <c r="AX167" s="58" t="e">
        <f>VLOOKUP($A167,'S49'!$C:$BQ,22,0)</f>
        <v>#N/A</v>
      </c>
      <c r="AY167" s="66" t="e">
        <f>VLOOKUP($A167,'S49'!$C:$BQ,29,0)</f>
        <v>#N/A</v>
      </c>
      <c r="AZ167" s="66" t="e">
        <f>VLOOKUP($A167,'S49'!$C:$BQ,30,0)</f>
        <v>#N/A</v>
      </c>
      <c r="BA167" s="66" t="e">
        <f>VLOOKUP($A167,'S49'!$C:$BQ,52,0)</f>
        <v>#N/A</v>
      </c>
      <c r="BB167" s="66" t="e">
        <f>VLOOKUP($A167,'S49'!$C:$BQ,59,0)</f>
        <v>#N/A</v>
      </c>
      <c r="BC167" s="66" t="e">
        <f>VLOOKUP($A167,'S49'!$C:$BQ,60,0)</f>
        <v>#N/A</v>
      </c>
      <c r="BD167" s="58" t="e">
        <f>VLOOKUP($A167,'S50'!$C:$BQ,32,0)</f>
        <v>#N/A</v>
      </c>
      <c r="BE167" s="58" t="e">
        <f>VLOOKUP($A167,'S50'!$C:$BQ,39,0)</f>
        <v>#N/A</v>
      </c>
      <c r="BF167" s="58" t="e">
        <f>VLOOKUP($A167,'S50'!$C:$BQ,40,0)</f>
        <v>#N/A</v>
      </c>
      <c r="BG167" s="58" t="e">
        <f>VLOOKUP($A167,'S50'!$C:$BQ,22,0)</f>
        <v>#N/A</v>
      </c>
      <c r="BH167" s="66" t="e">
        <f>VLOOKUP($A167,'S50'!$C:$BQ,29,0)</f>
        <v>#N/A</v>
      </c>
      <c r="BI167" s="66" t="e">
        <f>VLOOKUP($A167,'S50'!$C:$BQ,30,0)</f>
        <v>#N/A</v>
      </c>
      <c r="BJ167" s="66" t="e">
        <f>VLOOKUP($A167,'S50'!$C:$BQ,52,0)</f>
        <v>#N/A</v>
      </c>
      <c r="BK167" s="66" t="e">
        <f>VLOOKUP($A167,'S50'!$C:$BQ,59,0)</f>
        <v>#N/A</v>
      </c>
      <c r="BL167" s="66" t="e">
        <f>VLOOKUP($A167,'S50'!$C:$BQ,60,0)</f>
        <v>#N/A</v>
      </c>
    </row>
    <row r="168" spans="1:64" x14ac:dyDescent="0.2">
      <c r="A168" s="57" t="s">
        <v>234</v>
      </c>
      <c r="B168" s="58">
        <f>VLOOKUP($A168,'S0 remplacer avec S44'!$C:$BQ,32,0)</f>
        <v>218.8</v>
      </c>
      <c r="C168" s="58">
        <f>VLOOKUP($A168,'S0 remplacer avec S44'!$C:$BQ,39,0)</f>
        <v>81</v>
      </c>
      <c r="D168" s="58">
        <f>VLOOKUP($A168,'S0 remplacer avec S44'!$C:$BQ,40,0)</f>
        <v>141</v>
      </c>
      <c r="E168" s="58">
        <f>VLOOKUP($A168,'S0 remplacer avec S44'!$C:$BQ,22,0)</f>
        <v>2123.9812449999999</v>
      </c>
      <c r="F168" s="66">
        <f>VLOOKUP($A168,'S0 remplacer avec S44'!$C:$BQ,29,0)</f>
        <v>598</v>
      </c>
      <c r="G168" s="66">
        <f>VLOOKUP($A168,'S0 remplacer avec S44'!$C:$BQ,30,0)</f>
        <v>1143</v>
      </c>
      <c r="H168" s="66">
        <f>VLOOKUP($A168,'S0 remplacer avec S44'!$C:$BQ,52,0)</f>
        <v>161.19999999999999</v>
      </c>
      <c r="I168" s="66">
        <f>VLOOKUP($A168,'S0 remplacer avec S44'!$C:$BQ,59,0)</f>
        <v>0</v>
      </c>
      <c r="J168" s="66">
        <f>VLOOKUP($A168,'S0 remplacer avec S44'!$C:$BQ,60,0)</f>
        <v>22</v>
      </c>
      <c r="K168" s="58">
        <f>VLOOKUP($A168,'S45'!$C:$BQ,32,0)</f>
        <v>219.8</v>
      </c>
      <c r="L168" s="58">
        <f>VLOOKUP($A168,'S45'!$C:$BQ,39,0)</f>
        <v>80</v>
      </c>
      <c r="M168" s="58">
        <f>VLOOKUP($A168,'S45'!$C:$BQ,40,0)</f>
        <v>140</v>
      </c>
      <c r="N168" s="58">
        <f>VLOOKUP($A168,'S45'!$C:$BQ,22,0)</f>
        <v>2142.6485149999999</v>
      </c>
      <c r="O168" s="66">
        <f>VLOOKUP($A168,'S45'!$C:$BQ,29,0)</f>
        <v>580</v>
      </c>
      <c r="P168" s="66">
        <f>VLOOKUP($A168,'S45'!$C:$BQ,30,0)</f>
        <v>1124</v>
      </c>
      <c r="Q168" s="66">
        <f>VLOOKUP($A168,'S45'!$C:$BQ,52,0)</f>
        <v>163.19999999999999</v>
      </c>
      <c r="R168" s="66">
        <f>VLOOKUP($A168,'S45'!$C:$BQ,59,0)</f>
        <v>0</v>
      </c>
      <c r="S168" s="66">
        <f>VLOOKUP($A168,'S45'!$C:$BQ,60,0)</f>
        <v>20</v>
      </c>
      <c r="T168" s="58">
        <f>VLOOKUP($A168,'S46'!$C:$BQ,32,0)</f>
        <v>219.8</v>
      </c>
      <c r="U168" s="58">
        <f>VLOOKUP($A168,'S46'!$C:$BQ,39,0)</f>
        <v>80</v>
      </c>
      <c r="V168" s="58">
        <f>VLOOKUP($A168,'S46'!$C:$BQ,40,0)</f>
        <v>140</v>
      </c>
      <c r="W168" s="58">
        <f>VLOOKUP($A168,'S46'!$C:$BQ,22,0)</f>
        <v>2146.9591150000001</v>
      </c>
      <c r="X168" s="66">
        <f>VLOOKUP($A168,'S46'!$C:$BQ,29,0)</f>
        <v>575</v>
      </c>
      <c r="Y168" s="66">
        <f>VLOOKUP($A168,'S46'!$C:$BQ,30,0)</f>
        <v>1120</v>
      </c>
      <c r="Z168" s="66">
        <f>VLOOKUP($A168,'S46'!$C:$BQ,52,0)</f>
        <v>164.2</v>
      </c>
      <c r="AA168" s="66">
        <f>VLOOKUP($A168,'S46'!$C:$BQ,59,0)</f>
        <v>0</v>
      </c>
      <c r="AB168" s="66">
        <f>VLOOKUP($A168,'S46'!$C:$BQ,60,0)</f>
        <v>19</v>
      </c>
      <c r="AC168" s="58">
        <f>VLOOKUP($A168,'S47'!$C:$BQ,32,0)</f>
        <v>220.3</v>
      </c>
      <c r="AD168" s="58">
        <f>VLOOKUP($A168,'S47'!$C:$BQ,39,0)</f>
        <v>79</v>
      </c>
      <c r="AE168" s="58">
        <f>VLOOKUP($A168,'S47'!$C:$BQ,40,0)</f>
        <v>139</v>
      </c>
      <c r="AF168" s="58">
        <f>VLOOKUP($A168,'S47'!$C:$BQ,22,0)</f>
        <v>2184.645305</v>
      </c>
      <c r="AG168" s="66">
        <f>VLOOKUP($A168,'S47'!$C:$BQ,29,0)</f>
        <v>538</v>
      </c>
      <c r="AH168" s="66">
        <f>VLOOKUP($A168,'S47'!$C:$BQ,30,0)</f>
        <v>1082</v>
      </c>
      <c r="AI168" s="66">
        <f>VLOOKUP($A168,'S47'!$C:$BQ,52,0)</f>
        <v>166.2</v>
      </c>
      <c r="AJ168" s="66">
        <f>VLOOKUP($A168,'S47'!$C:$BQ,59,0)</f>
        <v>0</v>
      </c>
      <c r="AK168" s="66">
        <f>VLOOKUP($A168,'S47'!$C:$BQ,60,0)</f>
        <v>17</v>
      </c>
      <c r="AL168" s="58" t="e">
        <f>VLOOKUP($A168,'S48'!$C:$BQ,32,0)</f>
        <v>#N/A</v>
      </c>
      <c r="AM168" s="58" t="e">
        <f>VLOOKUP($A168,'S48'!$C:$BQ,39,0)</f>
        <v>#N/A</v>
      </c>
      <c r="AN168" s="58" t="e">
        <f>VLOOKUP($A168,'S48'!$C:$BQ,40,0)</f>
        <v>#N/A</v>
      </c>
      <c r="AO168" s="58" t="e">
        <f>VLOOKUP($A168,'S48'!$C:$BQ,22,0)</f>
        <v>#N/A</v>
      </c>
      <c r="AP168" s="66" t="e">
        <f>VLOOKUP($A168,'S48'!$C:$BQ,29,0)</f>
        <v>#N/A</v>
      </c>
      <c r="AQ168" s="66" t="e">
        <f>VLOOKUP($A168,'S48'!$C:$BQ,30,0)</f>
        <v>#N/A</v>
      </c>
      <c r="AR168" s="66" t="e">
        <f>VLOOKUP($A168,'S48'!$C:$BQ,52,0)</f>
        <v>#N/A</v>
      </c>
      <c r="AS168" s="66" t="e">
        <f>VLOOKUP($A168,'S48'!$C:$BQ,59,0)</f>
        <v>#N/A</v>
      </c>
      <c r="AT168" s="66" t="e">
        <f>VLOOKUP($A168,'S48'!$C:$BQ,60,0)</f>
        <v>#N/A</v>
      </c>
      <c r="AU168" s="58" t="e">
        <f>VLOOKUP($A168,'S49'!$C:$BQ,32,0)</f>
        <v>#N/A</v>
      </c>
      <c r="AV168" s="58" t="e">
        <f>VLOOKUP($A168,'S49'!$C:$BQ,39,0)</f>
        <v>#N/A</v>
      </c>
      <c r="AW168" s="58" t="e">
        <f>VLOOKUP($A168,'S49'!$C:$BQ,40,0)</f>
        <v>#N/A</v>
      </c>
      <c r="AX168" s="58" t="e">
        <f>VLOOKUP($A168,'S49'!$C:$BQ,22,0)</f>
        <v>#N/A</v>
      </c>
      <c r="AY168" s="66" t="e">
        <f>VLOOKUP($A168,'S49'!$C:$BQ,29,0)</f>
        <v>#N/A</v>
      </c>
      <c r="AZ168" s="66" t="e">
        <f>VLOOKUP($A168,'S49'!$C:$BQ,30,0)</f>
        <v>#N/A</v>
      </c>
      <c r="BA168" s="66" t="e">
        <f>VLOOKUP($A168,'S49'!$C:$BQ,52,0)</f>
        <v>#N/A</v>
      </c>
      <c r="BB168" s="66" t="e">
        <f>VLOOKUP($A168,'S49'!$C:$BQ,59,0)</f>
        <v>#N/A</v>
      </c>
      <c r="BC168" s="66" t="e">
        <f>VLOOKUP($A168,'S49'!$C:$BQ,60,0)</f>
        <v>#N/A</v>
      </c>
      <c r="BD168" s="58" t="e">
        <f>VLOOKUP($A168,'S50'!$C:$BQ,32,0)</f>
        <v>#N/A</v>
      </c>
      <c r="BE168" s="58" t="e">
        <f>VLOOKUP($A168,'S50'!$C:$BQ,39,0)</f>
        <v>#N/A</v>
      </c>
      <c r="BF168" s="58" t="e">
        <f>VLOOKUP($A168,'S50'!$C:$BQ,40,0)</f>
        <v>#N/A</v>
      </c>
      <c r="BG168" s="58" t="e">
        <f>VLOOKUP($A168,'S50'!$C:$BQ,22,0)</f>
        <v>#N/A</v>
      </c>
      <c r="BH168" s="66" t="e">
        <f>VLOOKUP($A168,'S50'!$C:$BQ,29,0)</f>
        <v>#N/A</v>
      </c>
      <c r="BI168" s="66" t="e">
        <f>VLOOKUP($A168,'S50'!$C:$BQ,30,0)</f>
        <v>#N/A</v>
      </c>
      <c r="BJ168" s="66" t="e">
        <f>VLOOKUP($A168,'S50'!$C:$BQ,52,0)</f>
        <v>#N/A</v>
      </c>
      <c r="BK168" s="66" t="e">
        <f>VLOOKUP($A168,'S50'!$C:$BQ,59,0)</f>
        <v>#N/A</v>
      </c>
      <c r="BL168" s="66" t="e">
        <f>VLOOKUP($A168,'S50'!$C:$BQ,60,0)</f>
        <v>#N/A</v>
      </c>
    </row>
    <row r="169" spans="1:64" x14ac:dyDescent="0.2">
      <c r="A169" s="57" t="s">
        <v>235</v>
      </c>
      <c r="B169" s="58">
        <f>VLOOKUP($A169,'S0 remplacer avec S44'!$C:$BQ,32,0)</f>
        <v>162.80000000000001</v>
      </c>
      <c r="C169" s="58">
        <f>VLOOKUP($A169,'S0 remplacer avec S44'!$C:$BQ,39,0)</f>
        <v>46</v>
      </c>
      <c r="D169" s="58">
        <f>VLOOKUP($A169,'S0 remplacer avec S44'!$C:$BQ,40,0)</f>
        <v>87</v>
      </c>
      <c r="E169" s="58">
        <f>VLOOKUP($A169,'S0 remplacer avec S44'!$C:$BQ,22,0)</f>
        <v>1594.5323149999999</v>
      </c>
      <c r="F169" s="66">
        <f>VLOOKUP($A169,'S0 remplacer avec S44'!$C:$BQ,29,0)</f>
        <v>298</v>
      </c>
      <c r="G169" s="66">
        <f>VLOOKUP($A169,'S0 remplacer avec S44'!$C:$BQ,30,0)</f>
        <v>676</v>
      </c>
      <c r="H169" s="66">
        <f>VLOOKUP($A169,'S0 remplacer avec S44'!$C:$BQ,52,0)</f>
        <v>119.8</v>
      </c>
      <c r="I169" s="66">
        <f>VLOOKUP($A169,'S0 remplacer avec S44'!$C:$BQ,59,0)</f>
        <v>0</v>
      </c>
      <c r="J169" s="66">
        <f>VLOOKUP($A169,'S0 remplacer avec S44'!$C:$BQ,60,0)</f>
        <v>7</v>
      </c>
      <c r="K169" s="58">
        <f>VLOOKUP($A169,'S45'!$C:$BQ,32,0)</f>
        <v>168.8</v>
      </c>
      <c r="L169" s="58">
        <f>VLOOKUP($A169,'S45'!$C:$BQ,39,0)</f>
        <v>40</v>
      </c>
      <c r="M169" s="58">
        <f>VLOOKUP($A169,'S45'!$C:$BQ,40,0)</f>
        <v>81</v>
      </c>
      <c r="N169" s="58">
        <f>VLOOKUP($A169,'S45'!$C:$BQ,22,0)</f>
        <v>1651.002315</v>
      </c>
      <c r="O169" s="66">
        <f>VLOOKUP($A169,'S45'!$C:$BQ,29,0)</f>
        <v>241</v>
      </c>
      <c r="P169" s="66">
        <f>VLOOKUP($A169,'S45'!$C:$BQ,30,0)</f>
        <v>619</v>
      </c>
      <c r="Q169" s="66">
        <f>VLOOKUP($A169,'S45'!$C:$BQ,52,0)</f>
        <v>122.8</v>
      </c>
      <c r="R169" s="66">
        <f>VLOOKUP($A169,'S45'!$C:$BQ,59,0)</f>
        <v>0</v>
      </c>
      <c r="S169" s="66">
        <f>VLOOKUP($A169,'S45'!$C:$BQ,60,0)</f>
        <v>4</v>
      </c>
      <c r="T169" s="58">
        <f>VLOOKUP($A169,'S46'!$C:$BQ,32,0)</f>
        <v>167.8</v>
      </c>
      <c r="U169" s="58">
        <f>VLOOKUP($A169,'S46'!$C:$BQ,39,0)</f>
        <v>41</v>
      </c>
      <c r="V169" s="58">
        <f>VLOOKUP($A169,'S46'!$C:$BQ,40,0)</f>
        <v>82</v>
      </c>
      <c r="W169" s="58">
        <f>VLOOKUP($A169,'S46'!$C:$BQ,22,0)</f>
        <v>1651.3620149999999</v>
      </c>
      <c r="X169" s="66">
        <f>VLOOKUP($A169,'S46'!$C:$BQ,29,0)</f>
        <v>241</v>
      </c>
      <c r="Y169" s="66">
        <f>VLOOKUP($A169,'S46'!$C:$BQ,30,0)</f>
        <v>619</v>
      </c>
      <c r="Z169" s="66">
        <f>VLOOKUP($A169,'S46'!$C:$BQ,52,0)</f>
        <v>124.8</v>
      </c>
      <c r="AA169" s="66">
        <f>VLOOKUP($A169,'S46'!$C:$BQ,59,0)</f>
        <v>0</v>
      </c>
      <c r="AB169" s="66">
        <f>VLOOKUP($A169,'S46'!$C:$BQ,60,0)</f>
        <v>2</v>
      </c>
      <c r="AC169" s="58">
        <f>VLOOKUP($A169,'S47'!$C:$BQ,32,0)</f>
        <v>169.3</v>
      </c>
      <c r="AD169" s="58">
        <f>VLOOKUP($A169,'S47'!$C:$BQ,39,0)</f>
        <v>39</v>
      </c>
      <c r="AE169" s="58">
        <f>VLOOKUP($A169,'S47'!$C:$BQ,40,0)</f>
        <v>81</v>
      </c>
      <c r="AF169" s="58">
        <f>VLOOKUP($A169,'S47'!$C:$BQ,22,0)</f>
        <v>1680.3574149999999</v>
      </c>
      <c r="AG169" s="66">
        <f>VLOOKUP($A169,'S47'!$C:$BQ,29,0)</f>
        <v>212</v>
      </c>
      <c r="AH169" s="66">
        <f>VLOOKUP($A169,'S47'!$C:$BQ,30,0)</f>
        <v>590</v>
      </c>
      <c r="AI169" s="66">
        <f>VLOOKUP($A169,'S47'!$C:$BQ,52,0)</f>
        <v>126.8</v>
      </c>
      <c r="AJ169" s="66">
        <f>VLOOKUP($A169,'S47'!$C:$BQ,59,0)</f>
        <v>0</v>
      </c>
      <c r="AK169" s="66">
        <f>VLOOKUP($A169,'S47'!$C:$BQ,60,0)</f>
        <v>0</v>
      </c>
      <c r="AL169" s="58" t="e">
        <f>VLOOKUP($A169,'S48'!$C:$BQ,32,0)</f>
        <v>#N/A</v>
      </c>
      <c r="AM169" s="58" t="e">
        <f>VLOOKUP($A169,'S48'!$C:$BQ,39,0)</f>
        <v>#N/A</v>
      </c>
      <c r="AN169" s="58" t="e">
        <f>VLOOKUP($A169,'S48'!$C:$BQ,40,0)</f>
        <v>#N/A</v>
      </c>
      <c r="AO169" s="58" t="e">
        <f>VLOOKUP($A169,'S48'!$C:$BQ,22,0)</f>
        <v>#N/A</v>
      </c>
      <c r="AP169" s="66" t="e">
        <f>VLOOKUP($A169,'S48'!$C:$BQ,29,0)</f>
        <v>#N/A</v>
      </c>
      <c r="AQ169" s="66" t="e">
        <f>VLOOKUP($A169,'S48'!$C:$BQ,30,0)</f>
        <v>#N/A</v>
      </c>
      <c r="AR169" s="66" t="e">
        <f>VLOOKUP($A169,'S48'!$C:$BQ,52,0)</f>
        <v>#N/A</v>
      </c>
      <c r="AS169" s="66" t="e">
        <f>VLOOKUP($A169,'S48'!$C:$BQ,59,0)</f>
        <v>#N/A</v>
      </c>
      <c r="AT169" s="66" t="e">
        <f>VLOOKUP($A169,'S48'!$C:$BQ,60,0)</f>
        <v>#N/A</v>
      </c>
      <c r="AU169" s="58" t="e">
        <f>VLOOKUP($A169,'S49'!$C:$BQ,32,0)</f>
        <v>#N/A</v>
      </c>
      <c r="AV169" s="58" t="e">
        <f>VLOOKUP($A169,'S49'!$C:$BQ,39,0)</f>
        <v>#N/A</v>
      </c>
      <c r="AW169" s="58" t="e">
        <f>VLOOKUP($A169,'S49'!$C:$BQ,40,0)</f>
        <v>#N/A</v>
      </c>
      <c r="AX169" s="58" t="e">
        <f>VLOOKUP($A169,'S49'!$C:$BQ,22,0)</f>
        <v>#N/A</v>
      </c>
      <c r="AY169" s="66" t="e">
        <f>VLOOKUP($A169,'S49'!$C:$BQ,29,0)</f>
        <v>#N/A</v>
      </c>
      <c r="AZ169" s="66" t="e">
        <f>VLOOKUP($A169,'S49'!$C:$BQ,30,0)</f>
        <v>#N/A</v>
      </c>
      <c r="BA169" s="66" t="e">
        <f>VLOOKUP($A169,'S49'!$C:$BQ,52,0)</f>
        <v>#N/A</v>
      </c>
      <c r="BB169" s="66" t="e">
        <f>VLOOKUP($A169,'S49'!$C:$BQ,59,0)</f>
        <v>#N/A</v>
      </c>
      <c r="BC169" s="66" t="e">
        <f>VLOOKUP($A169,'S49'!$C:$BQ,60,0)</f>
        <v>#N/A</v>
      </c>
      <c r="BD169" s="58" t="e">
        <f>VLOOKUP($A169,'S50'!$C:$BQ,32,0)</f>
        <v>#N/A</v>
      </c>
      <c r="BE169" s="58" t="e">
        <f>VLOOKUP($A169,'S50'!$C:$BQ,39,0)</f>
        <v>#N/A</v>
      </c>
      <c r="BF169" s="58" t="e">
        <f>VLOOKUP($A169,'S50'!$C:$BQ,40,0)</f>
        <v>#N/A</v>
      </c>
      <c r="BG169" s="58" t="e">
        <f>VLOOKUP($A169,'S50'!$C:$BQ,22,0)</f>
        <v>#N/A</v>
      </c>
      <c r="BH169" s="66" t="e">
        <f>VLOOKUP($A169,'S50'!$C:$BQ,29,0)</f>
        <v>#N/A</v>
      </c>
      <c r="BI169" s="66" t="e">
        <f>VLOOKUP($A169,'S50'!$C:$BQ,30,0)</f>
        <v>#N/A</v>
      </c>
      <c r="BJ169" s="66" t="e">
        <f>VLOOKUP($A169,'S50'!$C:$BQ,52,0)</f>
        <v>#N/A</v>
      </c>
      <c r="BK169" s="66" t="e">
        <f>VLOOKUP($A169,'S50'!$C:$BQ,59,0)</f>
        <v>#N/A</v>
      </c>
      <c r="BL169" s="66" t="e">
        <f>VLOOKUP($A169,'S50'!$C:$BQ,60,0)</f>
        <v>#N/A</v>
      </c>
    </row>
    <row r="170" spans="1:64" x14ac:dyDescent="0.2">
      <c r="A170" s="57" t="s">
        <v>236</v>
      </c>
      <c r="B170" s="58">
        <f>VLOOKUP($A170,'S0 remplacer avec S44'!$C:$BQ,32,0)</f>
        <v>139</v>
      </c>
      <c r="C170" s="58">
        <f>VLOOKUP($A170,'S0 remplacer avec S44'!$C:$BQ,39,0)</f>
        <v>113</v>
      </c>
      <c r="D170" s="58">
        <f>VLOOKUP($A170,'S0 remplacer avec S44'!$C:$BQ,40,0)</f>
        <v>163</v>
      </c>
      <c r="E170" s="58">
        <f>VLOOKUP($A170,'S0 remplacer avec S44'!$C:$BQ,22,0)</f>
        <v>1279.9856400000001</v>
      </c>
      <c r="F170" s="66">
        <f>VLOOKUP($A170,'S0 remplacer avec S44'!$C:$BQ,29,0)</f>
        <v>1004</v>
      </c>
      <c r="G170" s="66">
        <f>VLOOKUP($A170,'S0 remplacer avec S44'!$C:$BQ,30,0)</f>
        <v>1461</v>
      </c>
      <c r="H170" s="66">
        <f>VLOOKUP($A170,'S0 remplacer avec S44'!$C:$BQ,52,0)</f>
        <v>120.4</v>
      </c>
      <c r="I170" s="66">
        <f>VLOOKUP($A170,'S0 remplacer avec S44'!$C:$BQ,59,0)</f>
        <v>8</v>
      </c>
      <c r="J170" s="66">
        <f>VLOOKUP($A170,'S0 remplacer avec S44'!$C:$BQ,60,0)</f>
        <v>33</v>
      </c>
      <c r="K170" s="58">
        <f>VLOOKUP($A170,'S45'!$C:$BQ,32,0)</f>
        <v>141.5</v>
      </c>
      <c r="L170" s="58">
        <f>VLOOKUP($A170,'S45'!$C:$BQ,39,0)</f>
        <v>110</v>
      </c>
      <c r="M170" s="58">
        <f>VLOOKUP($A170,'S45'!$C:$BQ,40,0)</f>
        <v>160</v>
      </c>
      <c r="N170" s="58">
        <f>VLOOKUP($A170,'S45'!$C:$BQ,22,0)</f>
        <v>1325.76386</v>
      </c>
      <c r="O170" s="66">
        <f>VLOOKUP($A170,'S45'!$C:$BQ,29,0)</f>
        <v>958</v>
      </c>
      <c r="P170" s="66">
        <f>VLOOKUP($A170,'S45'!$C:$BQ,30,0)</f>
        <v>1415</v>
      </c>
      <c r="Q170" s="66">
        <f>VLOOKUP($A170,'S45'!$C:$BQ,52,0)</f>
        <v>125.4</v>
      </c>
      <c r="R170" s="66">
        <f>VLOOKUP($A170,'S45'!$C:$BQ,59,0)</f>
        <v>3</v>
      </c>
      <c r="S170" s="66">
        <f>VLOOKUP($A170,'S45'!$C:$BQ,60,0)</f>
        <v>28</v>
      </c>
      <c r="T170" s="58">
        <f>VLOOKUP($A170,'S46'!$C:$BQ,32,0)</f>
        <v>143.5</v>
      </c>
      <c r="U170" s="58">
        <f>VLOOKUP($A170,'S46'!$C:$BQ,39,0)</f>
        <v>108</v>
      </c>
      <c r="V170" s="58">
        <f>VLOOKUP($A170,'S46'!$C:$BQ,40,0)</f>
        <v>158</v>
      </c>
      <c r="W170" s="58">
        <f>VLOOKUP($A170,'S46'!$C:$BQ,22,0)</f>
        <v>1347.6297400000001</v>
      </c>
      <c r="X170" s="66">
        <f>VLOOKUP($A170,'S46'!$C:$BQ,29,0)</f>
        <v>936</v>
      </c>
      <c r="Y170" s="66">
        <f>VLOOKUP($A170,'S46'!$C:$BQ,30,0)</f>
        <v>1393</v>
      </c>
      <c r="Z170" s="66">
        <f>VLOOKUP($A170,'S46'!$C:$BQ,52,0)</f>
        <v>125.4</v>
      </c>
      <c r="AA170" s="66">
        <f>VLOOKUP($A170,'S46'!$C:$BQ,59,0)</f>
        <v>3</v>
      </c>
      <c r="AB170" s="66">
        <f>VLOOKUP($A170,'S46'!$C:$BQ,60,0)</f>
        <v>28</v>
      </c>
      <c r="AC170" s="58">
        <f>VLOOKUP($A170,'S47'!$C:$BQ,32,0)</f>
        <v>151.5</v>
      </c>
      <c r="AD170" s="58">
        <f>VLOOKUP($A170,'S47'!$C:$BQ,39,0)</f>
        <v>100</v>
      </c>
      <c r="AE170" s="58">
        <f>VLOOKUP($A170,'S47'!$C:$BQ,40,0)</f>
        <v>150</v>
      </c>
      <c r="AF170" s="58">
        <f>VLOOKUP($A170,'S47'!$C:$BQ,22,0)</f>
        <v>1357.6010799999999</v>
      </c>
      <c r="AG170" s="66">
        <f>VLOOKUP($A170,'S47'!$C:$BQ,29,0)</f>
        <v>926</v>
      </c>
      <c r="AH170" s="66">
        <f>VLOOKUP($A170,'S47'!$C:$BQ,30,0)</f>
        <v>1383</v>
      </c>
      <c r="AI170" s="66">
        <f>VLOOKUP($A170,'S47'!$C:$BQ,52,0)</f>
        <v>131.4</v>
      </c>
      <c r="AJ170" s="66">
        <f>VLOOKUP($A170,'S47'!$C:$BQ,59,0)</f>
        <v>0</v>
      </c>
      <c r="AK170" s="66">
        <f>VLOOKUP($A170,'S47'!$C:$BQ,60,0)</f>
        <v>22</v>
      </c>
      <c r="AL170" s="58" t="e">
        <f>VLOOKUP($A170,'S48'!$C:$BQ,32,0)</f>
        <v>#N/A</v>
      </c>
      <c r="AM170" s="58" t="e">
        <f>VLOOKUP($A170,'S48'!$C:$BQ,39,0)</f>
        <v>#N/A</v>
      </c>
      <c r="AN170" s="58" t="e">
        <f>VLOOKUP($A170,'S48'!$C:$BQ,40,0)</f>
        <v>#N/A</v>
      </c>
      <c r="AO170" s="58" t="e">
        <f>VLOOKUP($A170,'S48'!$C:$BQ,22,0)</f>
        <v>#N/A</v>
      </c>
      <c r="AP170" s="66" t="e">
        <f>VLOOKUP($A170,'S48'!$C:$BQ,29,0)</f>
        <v>#N/A</v>
      </c>
      <c r="AQ170" s="66" t="e">
        <f>VLOOKUP($A170,'S48'!$C:$BQ,30,0)</f>
        <v>#N/A</v>
      </c>
      <c r="AR170" s="66" t="e">
        <f>VLOOKUP($A170,'S48'!$C:$BQ,52,0)</f>
        <v>#N/A</v>
      </c>
      <c r="AS170" s="66" t="e">
        <f>VLOOKUP($A170,'S48'!$C:$BQ,59,0)</f>
        <v>#N/A</v>
      </c>
      <c r="AT170" s="66" t="e">
        <f>VLOOKUP($A170,'S48'!$C:$BQ,60,0)</f>
        <v>#N/A</v>
      </c>
      <c r="AU170" s="58" t="e">
        <f>VLOOKUP($A170,'S49'!$C:$BQ,32,0)</f>
        <v>#N/A</v>
      </c>
      <c r="AV170" s="58" t="e">
        <f>VLOOKUP($A170,'S49'!$C:$BQ,39,0)</f>
        <v>#N/A</v>
      </c>
      <c r="AW170" s="58" t="e">
        <f>VLOOKUP($A170,'S49'!$C:$BQ,40,0)</f>
        <v>#N/A</v>
      </c>
      <c r="AX170" s="58" t="e">
        <f>VLOOKUP($A170,'S49'!$C:$BQ,22,0)</f>
        <v>#N/A</v>
      </c>
      <c r="AY170" s="66" t="e">
        <f>VLOOKUP($A170,'S49'!$C:$BQ,29,0)</f>
        <v>#N/A</v>
      </c>
      <c r="AZ170" s="66" t="e">
        <f>VLOOKUP($A170,'S49'!$C:$BQ,30,0)</f>
        <v>#N/A</v>
      </c>
      <c r="BA170" s="66" t="e">
        <f>VLOOKUP($A170,'S49'!$C:$BQ,52,0)</f>
        <v>#N/A</v>
      </c>
      <c r="BB170" s="66" t="e">
        <f>VLOOKUP($A170,'S49'!$C:$BQ,59,0)</f>
        <v>#N/A</v>
      </c>
      <c r="BC170" s="66" t="e">
        <f>VLOOKUP($A170,'S49'!$C:$BQ,60,0)</f>
        <v>#N/A</v>
      </c>
      <c r="BD170" s="58" t="e">
        <f>VLOOKUP($A170,'S50'!$C:$BQ,32,0)</f>
        <v>#N/A</v>
      </c>
      <c r="BE170" s="58" t="e">
        <f>VLOOKUP($A170,'S50'!$C:$BQ,39,0)</f>
        <v>#N/A</v>
      </c>
      <c r="BF170" s="58" t="e">
        <f>VLOOKUP($A170,'S50'!$C:$BQ,40,0)</f>
        <v>#N/A</v>
      </c>
      <c r="BG170" s="58" t="e">
        <f>VLOOKUP($A170,'S50'!$C:$BQ,22,0)</f>
        <v>#N/A</v>
      </c>
      <c r="BH170" s="66" t="e">
        <f>VLOOKUP($A170,'S50'!$C:$BQ,29,0)</f>
        <v>#N/A</v>
      </c>
      <c r="BI170" s="66" t="e">
        <f>VLOOKUP($A170,'S50'!$C:$BQ,30,0)</f>
        <v>#N/A</v>
      </c>
      <c r="BJ170" s="66" t="e">
        <f>VLOOKUP($A170,'S50'!$C:$BQ,52,0)</f>
        <v>#N/A</v>
      </c>
      <c r="BK170" s="66" t="e">
        <f>VLOOKUP($A170,'S50'!$C:$BQ,59,0)</f>
        <v>#N/A</v>
      </c>
      <c r="BL170" s="66" t="e">
        <f>VLOOKUP($A170,'S50'!$C:$BQ,60,0)</f>
        <v>#N/A</v>
      </c>
    </row>
    <row r="171" spans="1:64" x14ac:dyDescent="0.2">
      <c r="A171" s="57" t="s">
        <v>237</v>
      </c>
      <c r="B171" s="58">
        <f>VLOOKUP($A171,'S0 remplacer avec S44'!$C:$BQ,32,0)</f>
        <v>124.4</v>
      </c>
      <c r="C171" s="58">
        <f>VLOOKUP($A171,'S0 remplacer avec S44'!$C:$BQ,39,0)</f>
        <v>65</v>
      </c>
      <c r="D171" s="58">
        <f>VLOOKUP($A171,'S0 remplacer avec S44'!$C:$BQ,40,0)</f>
        <v>103</v>
      </c>
      <c r="E171" s="58">
        <f>VLOOKUP($A171,'S0 remplacer avec S44'!$C:$BQ,22,0)</f>
        <v>1194.6413299999999</v>
      </c>
      <c r="F171" s="66">
        <f>VLOOKUP($A171,'S0 remplacer avec S44'!$C:$BQ,29,0)</f>
        <v>526</v>
      </c>
      <c r="G171" s="66">
        <f>VLOOKUP($A171,'S0 remplacer avec S44'!$C:$BQ,30,0)</f>
        <v>870</v>
      </c>
      <c r="H171" s="66">
        <f>VLOOKUP($A171,'S0 remplacer avec S44'!$C:$BQ,52,0)</f>
        <v>121.2</v>
      </c>
      <c r="I171" s="66">
        <f>VLOOKUP($A171,'S0 remplacer avec S44'!$C:$BQ,59,0)</f>
        <v>0</v>
      </c>
      <c r="J171" s="66">
        <f>VLOOKUP($A171,'S0 remplacer avec S44'!$C:$BQ,60,0)</f>
        <v>0</v>
      </c>
      <c r="K171" s="58">
        <f>VLOOKUP($A171,'S45'!$C:$BQ,32,0)</f>
        <v>126.4</v>
      </c>
      <c r="L171" s="58">
        <f>VLOOKUP($A171,'S45'!$C:$BQ,39,0)</f>
        <v>63</v>
      </c>
      <c r="M171" s="58">
        <f>VLOOKUP($A171,'S45'!$C:$BQ,40,0)</f>
        <v>101</v>
      </c>
      <c r="N171" s="58">
        <f>VLOOKUP($A171,'S45'!$C:$BQ,22,0)</f>
        <v>1212.5817199999999</v>
      </c>
      <c r="O171" s="66">
        <f>VLOOKUP($A171,'S45'!$C:$BQ,29,0)</f>
        <v>508</v>
      </c>
      <c r="P171" s="66">
        <f>VLOOKUP($A171,'S45'!$C:$BQ,30,0)</f>
        <v>852</v>
      </c>
      <c r="Q171" s="66">
        <f>VLOOKUP($A171,'S45'!$C:$BQ,52,0)</f>
        <v>121.2</v>
      </c>
      <c r="R171" s="66">
        <f>VLOOKUP($A171,'S45'!$C:$BQ,59,0)</f>
        <v>0</v>
      </c>
      <c r="S171" s="66">
        <f>VLOOKUP($A171,'S45'!$C:$BQ,60,0)</f>
        <v>0</v>
      </c>
      <c r="T171" s="58">
        <f>VLOOKUP($A171,'S46'!$C:$BQ,32,0)</f>
        <v>126.4</v>
      </c>
      <c r="U171" s="58">
        <f>VLOOKUP($A171,'S46'!$C:$BQ,39,0)</f>
        <v>63</v>
      </c>
      <c r="V171" s="58">
        <f>VLOOKUP($A171,'S46'!$C:$BQ,40,0)</f>
        <v>101</v>
      </c>
      <c r="W171" s="58">
        <f>VLOOKUP($A171,'S46'!$C:$BQ,22,0)</f>
        <v>1213.43148</v>
      </c>
      <c r="X171" s="66">
        <f>VLOOKUP($A171,'S46'!$C:$BQ,29,0)</f>
        <v>507</v>
      </c>
      <c r="Y171" s="66">
        <f>VLOOKUP($A171,'S46'!$C:$BQ,30,0)</f>
        <v>851</v>
      </c>
      <c r="Z171" s="66">
        <f>VLOOKUP($A171,'S46'!$C:$BQ,52,0)</f>
        <v>121.2</v>
      </c>
      <c r="AA171" s="66">
        <f>VLOOKUP($A171,'S46'!$C:$BQ,59,0)</f>
        <v>0</v>
      </c>
      <c r="AB171" s="66">
        <f>VLOOKUP($A171,'S46'!$C:$BQ,60,0)</f>
        <v>0</v>
      </c>
      <c r="AC171" s="58">
        <f>VLOOKUP($A171,'S47'!$C:$BQ,32,0)</f>
        <v>131.4</v>
      </c>
      <c r="AD171" s="58">
        <f>VLOOKUP($A171,'S47'!$C:$BQ,39,0)</f>
        <v>58</v>
      </c>
      <c r="AE171" s="58">
        <f>VLOOKUP($A171,'S47'!$C:$BQ,40,0)</f>
        <v>96</v>
      </c>
      <c r="AF171" s="58">
        <f>VLOOKUP($A171,'S47'!$C:$BQ,22,0)</f>
        <v>1215.45658</v>
      </c>
      <c r="AG171" s="66">
        <f>VLOOKUP($A171,'S47'!$C:$BQ,29,0)</f>
        <v>505</v>
      </c>
      <c r="AH171" s="66">
        <f>VLOOKUP($A171,'S47'!$C:$BQ,30,0)</f>
        <v>849</v>
      </c>
      <c r="AI171" s="66">
        <f>VLOOKUP($A171,'S47'!$C:$BQ,52,0)</f>
        <v>122.2</v>
      </c>
      <c r="AJ171" s="66">
        <f>VLOOKUP($A171,'S47'!$C:$BQ,59,0)</f>
        <v>0</v>
      </c>
      <c r="AK171" s="66">
        <f>VLOOKUP($A171,'S47'!$C:$BQ,60,0)</f>
        <v>0</v>
      </c>
      <c r="AL171" s="58" t="e">
        <f>VLOOKUP($A171,'S48'!$C:$BQ,32,0)</f>
        <v>#N/A</v>
      </c>
      <c r="AM171" s="58" t="e">
        <f>VLOOKUP($A171,'S48'!$C:$BQ,39,0)</f>
        <v>#N/A</v>
      </c>
      <c r="AN171" s="58" t="e">
        <f>VLOOKUP($A171,'S48'!$C:$BQ,40,0)</f>
        <v>#N/A</v>
      </c>
      <c r="AO171" s="58" t="e">
        <f>VLOOKUP($A171,'S48'!$C:$BQ,22,0)</f>
        <v>#N/A</v>
      </c>
      <c r="AP171" s="66" t="e">
        <f>VLOOKUP($A171,'S48'!$C:$BQ,29,0)</f>
        <v>#N/A</v>
      </c>
      <c r="AQ171" s="66" t="e">
        <f>VLOOKUP($A171,'S48'!$C:$BQ,30,0)</f>
        <v>#N/A</v>
      </c>
      <c r="AR171" s="66" t="e">
        <f>VLOOKUP($A171,'S48'!$C:$BQ,52,0)</f>
        <v>#N/A</v>
      </c>
      <c r="AS171" s="66" t="e">
        <f>VLOOKUP($A171,'S48'!$C:$BQ,59,0)</f>
        <v>#N/A</v>
      </c>
      <c r="AT171" s="66" t="e">
        <f>VLOOKUP($A171,'S48'!$C:$BQ,60,0)</f>
        <v>#N/A</v>
      </c>
      <c r="AU171" s="58" t="e">
        <f>VLOOKUP($A171,'S49'!$C:$BQ,32,0)</f>
        <v>#N/A</v>
      </c>
      <c r="AV171" s="58" t="e">
        <f>VLOOKUP($A171,'S49'!$C:$BQ,39,0)</f>
        <v>#N/A</v>
      </c>
      <c r="AW171" s="58" t="e">
        <f>VLOOKUP($A171,'S49'!$C:$BQ,40,0)</f>
        <v>#N/A</v>
      </c>
      <c r="AX171" s="58" t="e">
        <f>VLOOKUP($A171,'S49'!$C:$BQ,22,0)</f>
        <v>#N/A</v>
      </c>
      <c r="AY171" s="66" t="e">
        <f>VLOOKUP($A171,'S49'!$C:$BQ,29,0)</f>
        <v>#N/A</v>
      </c>
      <c r="AZ171" s="66" t="e">
        <f>VLOOKUP($A171,'S49'!$C:$BQ,30,0)</f>
        <v>#N/A</v>
      </c>
      <c r="BA171" s="66" t="e">
        <f>VLOOKUP($A171,'S49'!$C:$BQ,52,0)</f>
        <v>#N/A</v>
      </c>
      <c r="BB171" s="66" t="e">
        <f>VLOOKUP($A171,'S49'!$C:$BQ,59,0)</f>
        <v>#N/A</v>
      </c>
      <c r="BC171" s="66" t="e">
        <f>VLOOKUP($A171,'S49'!$C:$BQ,60,0)</f>
        <v>#N/A</v>
      </c>
      <c r="BD171" s="58" t="e">
        <f>VLOOKUP($A171,'S50'!$C:$BQ,32,0)</f>
        <v>#N/A</v>
      </c>
      <c r="BE171" s="58" t="e">
        <f>VLOOKUP($A171,'S50'!$C:$BQ,39,0)</f>
        <v>#N/A</v>
      </c>
      <c r="BF171" s="58" t="e">
        <f>VLOOKUP($A171,'S50'!$C:$BQ,40,0)</f>
        <v>#N/A</v>
      </c>
      <c r="BG171" s="58" t="e">
        <f>VLOOKUP($A171,'S50'!$C:$BQ,22,0)</f>
        <v>#N/A</v>
      </c>
      <c r="BH171" s="66" t="e">
        <f>VLOOKUP($A171,'S50'!$C:$BQ,29,0)</f>
        <v>#N/A</v>
      </c>
      <c r="BI171" s="66" t="e">
        <f>VLOOKUP($A171,'S50'!$C:$BQ,30,0)</f>
        <v>#N/A</v>
      </c>
      <c r="BJ171" s="66" t="e">
        <f>VLOOKUP($A171,'S50'!$C:$BQ,52,0)</f>
        <v>#N/A</v>
      </c>
      <c r="BK171" s="66" t="e">
        <f>VLOOKUP($A171,'S50'!$C:$BQ,59,0)</f>
        <v>#N/A</v>
      </c>
      <c r="BL171" s="66" t="e">
        <f>VLOOKUP($A171,'S50'!$C:$BQ,60,0)</f>
        <v>#N/A</v>
      </c>
    </row>
    <row r="172" spans="1:64" x14ac:dyDescent="0.2">
      <c r="A172" s="57" t="s">
        <v>238</v>
      </c>
      <c r="B172" s="58">
        <f>VLOOKUP($A172,'S0 remplacer avec S44'!$C:$BQ,32,0)</f>
        <v>177.85</v>
      </c>
      <c r="C172" s="58">
        <f>VLOOKUP($A172,'S0 remplacer avec S44'!$C:$BQ,39,0)</f>
        <v>0</v>
      </c>
      <c r="D172" s="58">
        <f>VLOOKUP($A172,'S0 remplacer avec S44'!$C:$BQ,40,0)</f>
        <v>27</v>
      </c>
      <c r="E172" s="58">
        <f>VLOOKUP($A172,'S0 remplacer avec S44'!$C:$BQ,22,0)</f>
        <v>1766.9174949999999</v>
      </c>
      <c r="F172" s="66">
        <f>VLOOKUP($A172,'S0 remplacer avec S44'!$C:$BQ,29,0)</f>
        <v>0</v>
      </c>
      <c r="G172" s="66">
        <f>VLOOKUP($A172,'S0 remplacer avec S44'!$C:$BQ,30,0)</f>
        <v>95</v>
      </c>
      <c r="H172" s="66">
        <f>VLOOKUP($A172,'S0 remplacer avec S44'!$C:$BQ,52,0)</f>
        <v>113.8</v>
      </c>
      <c r="I172" s="66">
        <f>VLOOKUP($A172,'S0 remplacer avec S44'!$C:$BQ,59,0)</f>
        <v>0</v>
      </c>
      <c r="J172" s="66">
        <f>VLOOKUP($A172,'S0 remplacer avec S44'!$C:$BQ,60,0)</f>
        <v>0</v>
      </c>
      <c r="K172" s="58">
        <f>VLOOKUP($A172,'S45'!$C:$BQ,32,0)</f>
        <v>179.85</v>
      </c>
      <c r="L172" s="58">
        <f>VLOOKUP($A172,'S45'!$C:$BQ,39,0)</f>
        <v>0</v>
      </c>
      <c r="M172" s="58">
        <f>VLOOKUP($A172,'S45'!$C:$BQ,40,0)</f>
        <v>25</v>
      </c>
      <c r="N172" s="58">
        <f>VLOOKUP($A172,'S45'!$C:$BQ,22,0)</f>
        <v>1769.316605</v>
      </c>
      <c r="O172" s="66">
        <f>VLOOKUP($A172,'S45'!$C:$BQ,29,0)</f>
        <v>0</v>
      </c>
      <c r="P172" s="66">
        <f>VLOOKUP($A172,'S45'!$C:$BQ,30,0)</f>
        <v>92</v>
      </c>
      <c r="Q172" s="66">
        <f>VLOOKUP($A172,'S45'!$C:$BQ,52,0)</f>
        <v>116.8</v>
      </c>
      <c r="R172" s="66">
        <f>VLOOKUP($A172,'S45'!$C:$BQ,59,0)</f>
        <v>0</v>
      </c>
      <c r="S172" s="66">
        <f>VLOOKUP($A172,'S45'!$C:$BQ,60,0)</f>
        <v>0</v>
      </c>
      <c r="T172" s="58">
        <f>VLOOKUP($A172,'S46'!$C:$BQ,32,0)</f>
        <v>179.85</v>
      </c>
      <c r="U172" s="58">
        <f>VLOOKUP($A172,'S46'!$C:$BQ,39,0)</f>
        <v>0</v>
      </c>
      <c r="V172" s="58">
        <f>VLOOKUP($A172,'S46'!$C:$BQ,40,0)</f>
        <v>25</v>
      </c>
      <c r="W172" s="58">
        <f>VLOOKUP($A172,'S46'!$C:$BQ,22,0)</f>
        <v>1774.2472849999999</v>
      </c>
      <c r="X172" s="66">
        <f>VLOOKUP($A172,'S46'!$C:$BQ,29,0)</f>
        <v>0</v>
      </c>
      <c r="Y172" s="66">
        <f>VLOOKUP($A172,'S46'!$C:$BQ,30,0)</f>
        <v>87</v>
      </c>
      <c r="Z172" s="66">
        <f>VLOOKUP($A172,'S46'!$C:$BQ,52,0)</f>
        <v>117.8</v>
      </c>
      <c r="AA172" s="66">
        <f>VLOOKUP($A172,'S46'!$C:$BQ,59,0)</f>
        <v>0</v>
      </c>
      <c r="AB172" s="66">
        <f>VLOOKUP($A172,'S46'!$C:$BQ,60,0)</f>
        <v>0</v>
      </c>
      <c r="AC172" s="58">
        <f>VLOOKUP($A172,'S47'!$C:$BQ,32,0)</f>
        <v>184.35</v>
      </c>
      <c r="AD172" s="58">
        <f>VLOOKUP($A172,'S47'!$C:$BQ,39,0)</f>
        <v>0</v>
      </c>
      <c r="AE172" s="58">
        <f>VLOOKUP($A172,'S47'!$C:$BQ,40,0)</f>
        <v>21</v>
      </c>
      <c r="AF172" s="58">
        <f>VLOOKUP($A172,'S47'!$C:$BQ,22,0)</f>
        <v>1800.242835</v>
      </c>
      <c r="AG172" s="66">
        <f>VLOOKUP($A172,'S47'!$C:$BQ,29,0)</f>
        <v>0</v>
      </c>
      <c r="AH172" s="66">
        <f>VLOOKUP($A172,'S47'!$C:$BQ,30,0)</f>
        <v>61</v>
      </c>
      <c r="AI172" s="66">
        <f>VLOOKUP($A172,'S47'!$C:$BQ,52,0)</f>
        <v>121.8</v>
      </c>
      <c r="AJ172" s="66">
        <f>VLOOKUP($A172,'S47'!$C:$BQ,59,0)</f>
        <v>0</v>
      </c>
      <c r="AK172" s="66">
        <f>VLOOKUP($A172,'S47'!$C:$BQ,60,0)</f>
        <v>0</v>
      </c>
      <c r="AL172" s="58" t="e">
        <f>VLOOKUP($A172,'S48'!$C:$BQ,32,0)</f>
        <v>#N/A</v>
      </c>
      <c r="AM172" s="58" t="e">
        <f>VLOOKUP($A172,'S48'!$C:$BQ,39,0)</f>
        <v>#N/A</v>
      </c>
      <c r="AN172" s="58" t="e">
        <f>VLOOKUP($A172,'S48'!$C:$BQ,40,0)</f>
        <v>#N/A</v>
      </c>
      <c r="AO172" s="58" t="e">
        <f>VLOOKUP($A172,'S48'!$C:$BQ,22,0)</f>
        <v>#N/A</v>
      </c>
      <c r="AP172" s="66" t="e">
        <f>VLOOKUP($A172,'S48'!$C:$BQ,29,0)</f>
        <v>#N/A</v>
      </c>
      <c r="AQ172" s="66" t="e">
        <f>VLOOKUP($A172,'S48'!$C:$BQ,30,0)</f>
        <v>#N/A</v>
      </c>
      <c r="AR172" s="66" t="e">
        <f>VLOOKUP($A172,'S48'!$C:$BQ,52,0)</f>
        <v>#N/A</v>
      </c>
      <c r="AS172" s="66" t="e">
        <f>VLOOKUP($A172,'S48'!$C:$BQ,59,0)</f>
        <v>#N/A</v>
      </c>
      <c r="AT172" s="66" t="e">
        <f>VLOOKUP($A172,'S48'!$C:$BQ,60,0)</f>
        <v>#N/A</v>
      </c>
      <c r="AU172" s="58" t="e">
        <f>VLOOKUP($A172,'S49'!$C:$BQ,32,0)</f>
        <v>#N/A</v>
      </c>
      <c r="AV172" s="58" t="e">
        <f>VLOOKUP($A172,'S49'!$C:$BQ,39,0)</f>
        <v>#N/A</v>
      </c>
      <c r="AW172" s="58" t="e">
        <f>VLOOKUP($A172,'S49'!$C:$BQ,40,0)</f>
        <v>#N/A</v>
      </c>
      <c r="AX172" s="58" t="e">
        <f>VLOOKUP($A172,'S49'!$C:$BQ,22,0)</f>
        <v>#N/A</v>
      </c>
      <c r="AY172" s="66" t="e">
        <f>VLOOKUP($A172,'S49'!$C:$BQ,29,0)</f>
        <v>#N/A</v>
      </c>
      <c r="AZ172" s="66" t="e">
        <f>VLOOKUP($A172,'S49'!$C:$BQ,30,0)</f>
        <v>#N/A</v>
      </c>
      <c r="BA172" s="66" t="e">
        <f>VLOOKUP($A172,'S49'!$C:$BQ,52,0)</f>
        <v>#N/A</v>
      </c>
      <c r="BB172" s="66" t="e">
        <f>VLOOKUP($A172,'S49'!$C:$BQ,59,0)</f>
        <v>#N/A</v>
      </c>
      <c r="BC172" s="66" t="e">
        <f>VLOOKUP($A172,'S49'!$C:$BQ,60,0)</f>
        <v>#N/A</v>
      </c>
      <c r="BD172" s="58" t="e">
        <f>VLOOKUP($A172,'S50'!$C:$BQ,32,0)</f>
        <v>#N/A</v>
      </c>
      <c r="BE172" s="58" t="e">
        <f>VLOOKUP($A172,'S50'!$C:$BQ,39,0)</f>
        <v>#N/A</v>
      </c>
      <c r="BF172" s="58" t="e">
        <f>VLOOKUP($A172,'S50'!$C:$BQ,40,0)</f>
        <v>#N/A</v>
      </c>
      <c r="BG172" s="58" t="e">
        <f>VLOOKUP($A172,'S50'!$C:$BQ,22,0)</f>
        <v>#N/A</v>
      </c>
      <c r="BH172" s="66" t="e">
        <f>VLOOKUP($A172,'S50'!$C:$BQ,29,0)</f>
        <v>#N/A</v>
      </c>
      <c r="BI172" s="66" t="e">
        <f>VLOOKUP($A172,'S50'!$C:$BQ,30,0)</f>
        <v>#N/A</v>
      </c>
      <c r="BJ172" s="66" t="e">
        <f>VLOOKUP($A172,'S50'!$C:$BQ,52,0)</f>
        <v>#N/A</v>
      </c>
      <c r="BK172" s="66" t="e">
        <f>VLOOKUP($A172,'S50'!$C:$BQ,59,0)</f>
        <v>#N/A</v>
      </c>
      <c r="BL172" s="66" t="e">
        <f>VLOOKUP($A172,'S50'!$C:$BQ,60,0)</f>
        <v>#N/A</v>
      </c>
    </row>
    <row r="173" spans="1:64" x14ac:dyDescent="0.2">
      <c r="A173" s="57" t="s">
        <v>239</v>
      </c>
      <c r="B173" s="58">
        <f>VLOOKUP($A173,'S0 remplacer avec S44'!$C:$BQ,32,0)</f>
        <v>207.6</v>
      </c>
      <c r="C173" s="58">
        <f>VLOOKUP($A173,'S0 remplacer avec S44'!$C:$BQ,39,0)</f>
        <v>68</v>
      </c>
      <c r="D173" s="58">
        <f>VLOOKUP($A173,'S0 remplacer avec S44'!$C:$BQ,40,0)</f>
        <v>124</v>
      </c>
      <c r="E173" s="58">
        <f>VLOOKUP($A173,'S0 remplacer avec S44'!$C:$BQ,22,0)</f>
        <v>2054.2890950000001</v>
      </c>
      <c r="F173" s="66">
        <f>VLOOKUP($A173,'S0 remplacer avec S44'!$C:$BQ,29,0)</f>
        <v>453</v>
      </c>
      <c r="G173" s="66">
        <f>VLOOKUP($A173,'S0 remplacer avec S44'!$C:$BQ,30,0)</f>
        <v>954</v>
      </c>
      <c r="H173" s="66">
        <f>VLOOKUP($A173,'S0 remplacer avec S44'!$C:$BQ,52,0)</f>
        <v>186.8</v>
      </c>
      <c r="I173" s="66">
        <f>VLOOKUP($A173,'S0 remplacer avec S44'!$C:$BQ,59,0)</f>
        <v>0</v>
      </c>
      <c r="J173" s="66">
        <f>VLOOKUP($A173,'S0 remplacer avec S44'!$C:$BQ,60,0)</f>
        <v>0</v>
      </c>
      <c r="K173" s="58">
        <f>VLOOKUP($A173,'S45'!$C:$BQ,32,0)</f>
        <v>221.6</v>
      </c>
      <c r="L173" s="58">
        <f>VLOOKUP($A173,'S45'!$C:$BQ,39,0)</f>
        <v>54</v>
      </c>
      <c r="M173" s="58">
        <f>VLOOKUP($A173,'S45'!$C:$BQ,40,0)</f>
        <v>110</v>
      </c>
      <c r="N173" s="58">
        <f>VLOOKUP($A173,'S45'!$C:$BQ,22,0)</f>
        <v>2068.1464249999999</v>
      </c>
      <c r="O173" s="66">
        <f>VLOOKUP($A173,'S45'!$C:$BQ,29,0)</f>
        <v>439</v>
      </c>
      <c r="P173" s="66">
        <f>VLOOKUP($A173,'S45'!$C:$BQ,30,0)</f>
        <v>940</v>
      </c>
      <c r="Q173" s="66">
        <f>VLOOKUP($A173,'S45'!$C:$BQ,52,0)</f>
        <v>191.8</v>
      </c>
      <c r="R173" s="66">
        <f>VLOOKUP($A173,'S45'!$C:$BQ,59,0)</f>
        <v>0</v>
      </c>
      <c r="S173" s="66">
        <f>VLOOKUP($A173,'S45'!$C:$BQ,60,0)</f>
        <v>0</v>
      </c>
      <c r="T173" s="58">
        <f>VLOOKUP($A173,'S46'!$C:$BQ,32,0)</f>
        <v>221.1</v>
      </c>
      <c r="U173" s="58">
        <f>VLOOKUP($A173,'S46'!$C:$BQ,39,0)</f>
        <v>55</v>
      </c>
      <c r="V173" s="58">
        <f>VLOOKUP($A173,'S46'!$C:$BQ,40,0)</f>
        <v>110</v>
      </c>
      <c r="W173" s="58">
        <f>VLOOKUP($A173,'S46'!$C:$BQ,22,0)</f>
        <v>2087.7458449999999</v>
      </c>
      <c r="X173" s="66">
        <f>VLOOKUP($A173,'S46'!$C:$BQ,29,0)</f>
        <v>419</v>
      </c>
      <c r="Y173" s="66">
        <f>VLOOKUP($A173,'S46'!$C:$BQ,30,0)</f>
        <v>920</v>
      </c>
      <c r="Z173" s="66">
        <f>VLOOKUP($A173,'S46'!$C:$BQ,52,0)</f>
        <v>193.8</v>
      </c>
      <c r="AA173" s="66">
        <f>VLOOKUP($A173,'S46'!$C:$BQ,59,0)</f>
        <v>0</v>
      </c>
      <c r="AB173" s="66">
        <f>VLOOKUP($A173,'S46'!$C:$BQ,60,0)</f>
        <v>0</v>
      </c>
      <c r="AC173" s="58">
        <f>VLOOKUP($A173,'S47'!$C:$BQ,32,0)</f>
        <v>221.3</v>
      </c>
      <c r="AD173" s="58">
        <f>VLOOKUP($A173,'S47'!$C:$BQ,39,0)</f>
        <v>55</v>
      </c>
      <c r="AE173" s="58">
        <f>VLOOKUP($A173,'S47'!$C:$BQ,40,0)</f>
        <v>110</v>
      </c>
      <c r="AF173" s="58">
        <f>VLOOKUP($A173,'S47'!$C:$BQ,22,0)</f>
        <v>2039.1219550000001</v>
      </c>
      <c r="AG173" s="66">
        <f>VLOOKUP($A173,'S47'!$C:$BQ,29,0)</f>
        <v>468</v>
      </c>
      <c r="AH173" s="66">
        <f>VLOOKUP($A173,'S47'!$C:$BQ,30,0)</f>
        <v>969</v>
      </c>
      <c r="AI173" s="66">
        <f>VLOOKUP($A173,'S47'!$C:$BQ,52,0)</f>
        <v>203.8</v>
      </c>
      <c r="AJ173" s="66">
        <f>VLOOKUP($A173,'S47'!$C:$BQ,59,0)</f>
        <v>0</v>
      </c>
      <c r="AK173" s="66">
        <f>VLOOKUP($A173,'S47'!$C:$BQ,60,0)</f>
        <v>0</v>
      </c>
      <c r="AL173" s="58" t="e">
        <f>VLOOKUP($A173,'S48'!$C:$BQ,32,0)</f>
        <v>#N/A</v>
      </c>
      <c r="AM173" s="58" t="e">
        <f>VLOOKUP($A173,'S48'!$C:$BQ,39,0)</f>
        <v>#N/A</v>
      </c>
      <c r="AN173" s="58" t="e">
        <f>VLOOKUP($A173,'S48'!$C:$BQ,40,0)</f>
        <v>#N/A</v>
      </c>
      <c r="AO173" s="58" t="e">
        <f>VLOOKUP($A173,'S48'!$C:$BQ,22,0)</f>
        <v>#N/A</v>
      </c>
      <c r="AP173" s="66" t="e">
        <f>VLOOKUP($A173,'S48'!$C:$BQ,29,0)</f>
        <v>#N/A</v>
      </c>
      <c r="AQ173" s="66" t="e">
        <f>VLOOKUP($A173,'S48'!$C:$BQ,30,0)</f>
        <v>#N/A</v>
      </c>
      <c r="AR173" s="66" t="e">
        <f>VLOOKUP($A173,'S48'!$C:$BQ,52,0)</f>
        <v>#N/A</v>
      </c>
      <c r="AS173" s="66" t="e">
        <f>VLOOKUP($A173,'S48'!$C:$BQ,59,0)</f>
        <v>#N/A</v>
      </c>
      <c r="AT173" s="66" t="e">
        <f>VLOOKUP($A173,'S48'!$C:$BQ,60,0)</f>
        <v>#N/A</v>
      </c>
      <c r="AU173" s="58" t="e">
        <f>VLOOKUP($A173,'S49'!$C:$BQ,32,0)</f>
        <v>#N/A</v>
      </c>
      <c r="AV173" s="58" t="e">
        <f>VLOOKUP($A173,'S49'!$C:$BQ,39,0)</f>
        <v>#N/A</v>
      </c>
      <c r="AW173" s="58" t="e">
        <f>VLOOKUP($A173,'S49'!$C:$BQ,40,0)</f>
        <v>#N/A</v>
      </c>
      <c r="AX173" s="58" t="e">
        <f>VLOOKUP($A173,'S49'!$C:$BQ,22,0)</f>
        <v>#N/A</v>
      </c>
      <c r="AY173" s="66" t="e">
        <f>VLOOKUP($A173,'S49'!$C:$BQ,29,0)</f>
        <v>#N/A</v>
      </c>
      <c r="AZ173" s="66" t="e">
        <f>VLOOKUP($A173,'S49'!$C:$BQ,30,0)</f>
        <v>#N/A</v>
      </c>
      <c r="BA173" s="66" t="e">
        <f>VLOOKUP($A173,'S49'!$C:$BQ,52,0)</f>
        <v>#N/A</v>
      </c>
      <c r="BB173" s="66" t="e">
        <f>VLOOKUP($A173,'S49'!$C:$BQ,59,0)</f>
        <v>#N/A</v>
      </c>
      <c r="BC173" s="66" t="e">
        <f>VLOOKUP($A173,'S49'!$C:$BQ,60,0)</f>
        <v>#N/A</v>
      </c>
      <c r="BD173" s="58" t="e">
        <f>VLOOKUP($A173,'S50'!$C:$BQ,32,0)</f>
        <v>#N/A</v>
      </c>
      <c r="BE173" s="58" t="e">
        <f>VLOOKUP($A173,'S50'!$C:$BQ,39,0)</f>
        <v>#N/A</v>
      </c>
      <c r="BF173" s="58" t="e">
        <f>VLOOKUP($A173,'S50'!$C:$BQ,40,0)</f>
        <v>#N/A</v>
      </c>
      <c r="BG173" s="58" t="e">
        <f>VLOOKUP($A173,'S50'!$C:$BQ,22,0)</f>
        <v>#N/A</v>
      </c>
      <c r="BH173" s="66" t="e">
        <f>VLOOKUP($A173,'S50'!$C:$BQ,29,0)</f>
        <v>#N/A</v>
      </c>
      <c r="BI173" s="66" t="e">
        <f>VLOOKUP($A173,'S50'!$C:$BQ,30,0)</f>
        <v>#N/A</v>
      </c>
      <c r="BJ173" s="66" t="e">
        <f>VLOOKUP($A173,'S50'!$C:$BQ,52,0)</f>
        <v>#N/A</v>
      </c>
      <c r="BK173" s="66" t="e">
        <f>VLOOKUP($A173,'S50'!$C:$BQ,59,0)</f>
        <v>#N/A</v>
      </c>
      <c r="BL173" s="66" t="e">
        <f>VLOOKUP($A173,'S50'!$C:$BQ,60,0)</f>
        <v>#N/A</v>
      </c>
    </row>
    <row r="174" spans="1:64" x14ac:dyDescent="0.2">
      <c r="A174" s="57" t="s">
        <v>241</v>
      </c>
      <c r="B174" s="58">
        <f>VLOOKUP($A174,'S0 remplacer avec S44'!$C:$BQ,32,0)</f>
        <v>181</v>
      </c>
      <c r="C174" s="58">
        <f>VLOOKUP($A174,'S0 remplacer avec S44'!$C:$BQ,39,0)</f>
        <v>70</v>
      </c>
      <c r="D174" s="58">
        <f>VLOOKUP($A174,'S0 remplacer avec S44'!$C:$BQ,40,0)</f>
        <v>120</v>
      </c>
      <c r="E174" s="58">
        <f>VLOOKUP($A174,'S0 remplacer avec S44'!$C:$BQ,22,0)</f>
        <v>2252.4365400000002</v>
      </c>
      <c r="F174" s="66">
        <f>VLOOKUP($A174,'S0 remplacer avec S44'!$C:$BQ,29,0)</f>
        <v>26</v>
      </c>
      <c r="G174" s="66">
        <f>VLOOKUP($A174,'S0 remplacer avec S44'!$C:$BQ,30,0)</f>
        <v>481</v>
      </c>
      <c r="H174" s="66">
        <f>VLOOKUP($A174,'S0 remplacer avec S44'!$C:$BQ,52,0)</f>
        <v>94.2</v>
      </c>
      <c r="I174" s="66">
        <f>VLOOKUP($A174,'S0 remplacer avec S44'!$C:$BQ,59,0)</f>
        <v>34</v>
      </c>
      <c r="J174" s="66">
        <f>VLOOKUP($A174,'S0 remplacer avec S44'!$C:$BQ,60,0)</f>
        <v>59</v>
      </c>
      <c r="K174" s="58">
        <f>VLOOKUP($A174,'S45'!$C:$BQ,32,0)</f>
        <v>185</v>
      </c>
      <c r="L174" s="58">
        <f>VLOOKUP($A174,'S45'!$C:$BQ,39,0)</f>
        <v>66</v>
      </c>
      <c r="M174" s="58">
        <f>VLOOKUP($A174,'S45'!$C:$BQ,40,0)</f>
        <v>116</v>
      </c>
      <c r="N174" s="58">
        <f>VLOOKUP($A174,'S45'!$C:$BQ,22,0)</f>
        <v>2262.01649</v>
      </c>
      <c r="O174" s="66">
        <f>VLOOKUP($A174,'S45'!$C:$BQ,29,0)</f>
        <v>16</v>
      </c>
      <c r="P174" s="66">
        <f>VLOOKUP($A174,'S45'!$C:$BQ,30,0)</f>
        <v>472</v>
      </c>
      <c r="Q174" s="66">
        <f>VLOOKUP($A174,'S45'!$C:$BQ,52,0)</f>
        <v>96.2</v>
      </c>
      <c r="R174" s="66">
        <f>VLOOKUP($A174,'S45'!$C:$BQ,59,0)</f>
        <v>32</v>
      </c>
      <c r="S174" s="66">
        <f>VLOOKUP($A174,'S45'!$C:$BQ,60,0)</f>
        <v>57</v>
      </c>
      <c r="T174" s="58">
        <f>VLOOKUP($A174,'S46'!$C:$BQ,32,0)</f>
        <v>185</v>
      </c>
      <c r="U174" s="58">
        <f>VLOOKUP($A174,'S46'!$C:$BQ,39,0)</f>
        <v>66</v>
      </c>
      <c r="V174" s="58">
        <f>VLOOKUP($A174,'S46'!$C:$BQ,40,0)</f>
        <v>116</v>
      </c>
      <c r="W174" s="58">
        <f>VLOOKUP($A174,'S46'!$C:$BQ,22,0)</f>
        <v>2288.94868</v>
      </c>
      <c r="X174" s="66">
        <f>VLOOKUP($A174,'S46'!$C:$BQ,29,0)</f>
        <v>0</v>
      </c>
      <c r="Y174" s="66">
        <f>VLOOKUP($A174,'S46'!$C:$BQ,30,0)</f>
        <v>445</v>
      </c>
      <c r="Z174" s="66">
        <f>VLOOKUP($A174,'S46'!$C:$BQ,52,0)</f>
        <v>98.2</v>
      </c>
      <c r="AA174" s="66">
        <f>VLOOKUP($A174,'S46'!$C:$BQ,59,0)</f>
        <v>30</v>
      </c>
      <c r="AB174" s="66">
        <f>VLOOKUP($A174,'S46'!$C:$BQ,60,0)</f>
        <v>55</v>
      </c>
      <c r="AC174" s="58">
        <f>VLOOKUP($A174,'S47'!$C:$BQ,32,0)</f>
        <v>191.5</v>
      </c>
      <c r="AD174" s="58">
        <f>VLOOKUP($A174,'S47'!$C:$BQ,39,0)</f>
        <v>59</v>
      </c>
      <c r="AE174" s="58">
        <f>VLOOKUP($A174,'S47'!$C:$BQ,40,0)</f>
        <v>110</v>
      </c>
      <c r="AF174" s="58">
        <f>VLOOKUP($A174,'S47'!$C:$BQ,22,0)</f>
        <v>2465.25585</v>
      </c>
      <c r="AG174" s="66">
        <f>VLOOKUP($A174,'S47'!$C:$BQ,29,0)</f>
        <v>0</v>
      </c>
      <c r="AH174" s="66">
        <f>VLOOKUP($A174,'S47'!$C:$BQ,30,0)</f>
        <v>269</v>
      </c>
      <c r="AI174" s="66">
        <f>VLOOKUP($A174,'S47'!$C:$BQ,52,0)</f>
        <v>102.2</v>
      </c>
      <c r="AJ174" s="66">
        <f>VLOOKUP($A174,'S47'!$C:$BQ,59,0)</f>
        <v>26</v>
      </c>
      <c r="AK174" s="66">
        <f>VLOOKUP($A174,'S47'!$C:$BQ,60,0)</f>
        <v>51</v>
      </c>
      <c r="AL174" s="58" t="e">
        <f>VLOOKUP($A174,'S48'!$C:$BQ,32,0)</f>
        <v>#N/A</v>
      </c>
      <c r="AM174" s="58" t="e">
        <f>VLOOKUP($A174,'S48'!$C:$BQ,39,0)</f>
        <v>#N/A</v>
      </c>
      <c r="AN174" s="58" t="e">
        <f>VLOOKUP($A174,'S48'!$C:$BQ,40,0)</f>
        <v>#N/A</v>
      </c>
      <c r="AO174" s="58" t="e">
        <f>VLOOKUP($A174,'S48'!$C:$BQ,22,0)</f>
        <v>#N/A</v>
      </c>
      <c r="AP174" s="66" t="e">
        <f>VLOOKUP($A174,'S48'!$C:$BQ,29,0)</f>
        <v>#N/A</v>
      </c>
      <c r="AQ174" s="66" t="e">
        <f>VLOOKUP($A174,'S48'!$C:$BQ,30,0)</f>
        <v>#N/A</v>
      </c>
      <c r="AR174" s="66" t="e">
        <f>VLOOKUP($A174,'S48'!$C:$BQ,52,0)</f>
        <v>#N/A</v>
      </c>
      <c r="AS174" s="66" t="e">
        <f>VLOOKUP($A174,'S48'!$C:$BQ,59,0)</f>
        <v>#N/A</v>
      </c>
      <c r="AT174" s="66" t="e">
        <f>VLOOKUP($A174,'S48'!$C:$BQ,60,0)</f>
        <v>#N/A</v>
      </c>
      <c r="AU174" s="58" t="e">
        <f>VLOOKUP($A174,'S49'!$C:$BQ,32,0)</f>
        <v>#N/A</v>
      </c>
      <c r="AV174" s="58" t="e">
        <f>VLOOKUP($A174,'S49'!$C:$BQ,39,0)</f>
        <v>#N/A</v>
      </c>
      <c r="AW174" s="58" t="e">
        <f>VLOOKUP($A174,'S49'!$C:$BQ,40,0)</f>
        <v>#N/A</v>
      </c>
      <c r="AX174" s="58" t="e">
        <f>VLOOKUP($A174,'S49'!$C:$BQ,22,0)</f>
        <v>#N/A</v>
      </c>
      <c r="AY174" s="66" t="e">
        <f>VLOOKUP($A174,'S49'!$C:$BQ,29,0)</f>
        <v>#N/A</v>
      </c>
      <c r="AZ174" s="66" t="e">
        <f>VLOOKUP($A174,'S49'!$C:$BQ,30,0)</f>
        <v>#N/A</v>
      </c>
      <c r="BA174" s="66" t="e">
        <f>VLOOKUP($A174,'S49'!$C:$BQ,52,0)</f>
        <v>#N/A</v>
      </c>
      <c r="BB174" s="66" t="e">
        <f>VLOOKUP($A174,'S49'!$C:$BQ,59,0)</f>
        <v>#N/A</v>
      </c>
      <c r="BC174" s="66" t="e">
        <f>VLOOKUP($A174,'S49'!$C:$BQ,60,0)</f>
        <v>#N/A</v>
      </c>
      <c r="BD174" s="58" t="e">
        <f>VLOOKUP($A174,'S50'!$C:$BQ,32,0)</f>
        <v>#N/A</v>
      </c>
      <c r="BE174" s="58" t="e">
        <f>VLOOKUP($A174,'S50'!$C:$BQ,39,0)</f>
        <v>#N/A</v>
      </c>
      <c r="BF174" s="58" t="e">
        <f>VLOOKUP($A174,'S50'!$C:$BQ,40,0)</f>
        <v>#N/A</v>
      </c>
      <c r="BG174" s="58" t="e">
        <f>VLOOKUP($A174,'S50'!$C:$BQ,22,0)</f>
        <v>#N/A</v>
      </c>
      <c r="BH174" s="66" t="e">
        <f>VLOOKUP($A174,'S50'!$C:$BQ,29,0)</f>
        <v>#N/A</v>
      </c>
      <c r="BI174" s="66" t="e">
        <f>VLOOKUP($A174,'S50'!$C:$BQ,30,0)</f>
        <v>#N/A</v>
      </c>
      <c r="BJ174" s="66" t="e">
        <f>VLOOKUP($A174,'S50'!$C:$BQ,52,0)</f>
        <v>#N/A</v>
      </c>
      <c r="BK174" s="66" t="e">
        <f>VLOOKUP($A174,'S50'!$C:$BQ,59,0)</f>
        <v>#N/A</v>
      </c>
      <c r="BL174" s="66" t="e">
        <f>VLOOKUP($A174,'S50'!$C:$BQ,60,0)</f>
        <v>#N/A</v>
      </c>
    </row>
    <row r="175" spans="1:64" x14ac:dyDescent="0.2">
      <c r="A175" s="57" t="s">
        <v>242</v>
      </c>
      <c r="B175" s="58">
        <f>VLOOKUP($A175,'S0 remplacer avec S44'!$C:$BQ,32,0)</f>
        <v>205.8</v>
      </c>
      <c r="C175" s="58">
        <f>VLOOKUP($A175,'S0 remplacer avec S44'!$C:$BQ,39,0)</f>
        <v>0</v>
      </c>
      <c r="D175" s="58">
        <f>VLOOKUP($A175,'S0 remplacer avec S44'!$C:$BQ,40,0)</f>
        <v>0</v>
      </c>
      <c r="E175" s="58">
        <f>VLOOKUP($A175,'S0 remplacer avec S44'!$C:$BQ,22,0)</f>
        <v>1209.2613100000001</v>
      </c>
      <c r="F175" s="66">
        <f>VLOOKUP($A175,'S0 remplacer avec S44'!$C:$BQ,29,0)</f>
        <v>293</v>
      </c>
      <c r="G175" s="66">
        <f>VLOOKUP($A175,'S0 remplacer avec S44'!$C:$BQ,30,0)</f>
        <v>593</v>
      </c>
      <c r="H175" s="66">
        <f>VLOOKUP($A175,'S0 remplacer avec S44'!$C:$BQ,52,0)</f>
        <v>137.19999999999999</v>
      </c>
      <c r="I175" s="66">
        <f>VLOOKUP($A175,'S0 remplacer avec S44'!$C:$BQ,59,0)</f>
        <v>0</v>
      </c>
      <c r="J175" s="66">
        <f>VLOOKUP($A175,'S0 remplacer avec S44'!$C:$BQ,60,0)</f>
        <v>0</v>
      </c>
      <c r="K175" s="58">
        <f>VLOOKUP($A175,'S45'!$C:$BQ,32,0)</f>
        <v>208.8</v>
      </c>
      <c r="L175" s="58">
        <f>VLOOKUP($A175,'S45'!$C:$BQ,39,0)</f>
        <v>0</v>
      </c>
      <c r="M175" s="58">
        <f>VLOOKUP($A175,'S45'!$C:$BQ,40,0)</f>
        <v>0</v>
      </c>
      <c r="N175" s="58">
        <f>VLOOKUP($A175,'S45'!$C:$BQ,22,0)</f>
        <v>1212.61338</v>
      </c>
      <c r="O175" s="66">
        <f>VLOOKUP($A175,'S45'!$C:$BQ,29,0)</f>
        <v>290</v>
      </c>
      <c r="P175" s="66">
        <f>VLOOKUP($A175,'S45'!$C:$BQ,30,0)</f>
        <v>590</v>
      </c>
      <c r="Q175" s="66">
        <f>VLOOKUP($A175,'S45'!$C:$BQ,52,0)</f>
        <v>137.19999999999999</v>
      </c>
      <c r="R175" s="66">
        <f>VLOOKUP($A175,'S45'!$C:$BQ,59,0)</f>
        <v>0</v>
      </c>
      <c r="S175" s="66">
        <f>VLOOKUP($A175,'S45'!$C:$BQ,60,0)</f>
        <v>0</v>
      </c>
      <c r="T175" s="58">
        <f>VLOOKUP($A175,'S46'!$C:$BQ,32,0)</f>
        <v>208.8</v>
      </c>
      <c r="U175" s="58">
        <f>VLOOKUP($A175,'S46'!$C:$BQ,39,0)</f>
        <v>0</v>
      </c>
      <c r="V175" s="58">
        <f>VLOOKUP($A175,'S46'!$C:$BQ,40,0)</f>
        <v>0</v>
      </c>
      <c r="W175" s="58">
        <f>VLOOKUP($A175,'S46'!$C:$BQ,22,0)</f>
        <v>1222.6294</v>
      </c>
      <c r="X175" s="66">
        <f>VLOOKUP($A175,'S46'!$C:$BQ,29,0)</f>
        <v>280</v>
      </c>
      <c r="Y175" s="66">
        <f>VLOOKUP($A175,'S46'!$C:$BQ,30,0)</f>
        <v>580</v>
      </c>
      <c r="Z175" s="66">
        <f>VLOOKUP($A175,'S46'!$C:$BQ,52,0)</f>
        <v>137.19999999999999</v>
      </c>
      <c r="AA175" s="66">
        <f>VLOOKUP($A175,'S46'!$C:$BQ,59,0)</f>
        <v>0</v>
      </c>
      <c r="AB175" s="66">
        <f>VLOOKUP($A175,'S46'!$C:$BQ,60,0)</f>
        <v>0</v>
      </c>
      <c r="AC175" s="58">
        <f>VLOOKUP($A175,'S47'!$C:$BQ,32,0)</f>
        <v>208.8</v>
      </c>
      <c r="AD175" s="58">
        <f>VLOOKUP($A175,'S47'!$C:$BQ,39,0)</f>
        <v>0</v>
      </c>
      <c r="AE175" s="58">
        <f>VLOOKUP($A175,'S47'!$C:$BQ,40,0)</f>
        <v>0</v>
      </c>
      <c r="AF175" s="58">
        <f>VLOOKUP($A175,'S47'!$C:$BQ,22,0)</f>
        <v>1223.9746399999999</v>
      </c>
      <c r="AG175" s="66">
        <f>VLOOKUP($A175,'S47'!$C:$BQ,29,0)</f>
        <v>278</v>
      </c>
      <c r="AH175" s="66">
        <f>VLOOKUP($A175,'S47'!$C:$BQ,30,0)</f>
        <v>579</v>
      </c>
      <c r="AI175" s="66">
        <f>VLOOKUP($A175,'S47'!$C:$BQ,52,0)</f>
        <v>137.19999999999999</v>
      </c>
      <c r="AJ175" s="66">
        <f>VLOOKUP($A175,'S47'!$C:$BQ,59,0)</f>
        <v>0</v>
      </c>
      <c r="AK175" s="66">
        <f>VLOOKUP($A175,'S47'!$C:$BQ,60,0)</f>
        <v>0</v>
      </c>
      <c r="AL175" s="58" t="e">
        <f>VLOOKUP($A175,'S48'!$C:$BQ,32,0)</f>
        <v>#N/A</v>
      </c>
      <c r="AM175" s="58" t="e">
        <f>VLOOKUP($A175,'S48'!$C:$BQ,39,0)</f>
        <v>#N/A</v>
      </c>
      <c r="AN175" s="58" t="e">
        <f>VLOOKUP($A175,'S48'!$C:$BQ,40,0)</f>
        <v>#N/A</v>
      </c>
      <c r="AO175" s="58" t="e">
        <f>VLOOKUP($A175,'S48'!$C:$BQ,22,0)</f>
        <v>#N/A</v>
      </c>
      <c r="AP175" s="66" t="e">
        <f>VLOOKUP($A175,'S48'!$C:$BQ,29,0)</f>
        <v>#N/A</v>
      </c>
      <c r="AQ175" s="66" t="e">
        <f>VLOOKUP($A175,'S48'!$C:$BQ,30,0)</f>
        <v>#N/A</v>
      </c>
      <c r="AR175" s="66" t="e">
        <f>VLOOKUP($A175,'S48'!$C:$BQ,52,0)</f>
        <v>#N/A</v>
      </c>
      <c r="AS175" s="66" t="e">
        <f>VLOOKUP($A175,'S48'!$C:$BQ,59,0)</f>
        <v>#N/A</v>
      </c>
      <c r="AT175" s="66" t="e">
        <f>VLOOKUP($A175,'S48'!$C:$BQ,60,0)</f>
        <v>#N/A</v>
      </c>
      <c r="AU175" s="58" t="e">
        <f>VLOOKUP($A175,'S49'!$C:$BQ,32,0)</f>
        <v>#N/A</v>
      </c>
      <c r="AV175" s="58" t="e">
        <f>VLOOKUP($A175,'S49'!$C:$BQ,39,0)</f>
        <v>#N/A</v>
      </c>
      <c r="AW175" s="58" t="e">
        <f>VLOOKUP($A175,'S49'!$C:$BQ,40,0)</f>
        <v>#N/A</v>
      </c>
      <c r="AX175" s="58" t="e">
        <f>VLOOKUP($A175,'S49'!$C:$BQ,22,0)</f>
        <v>#N/A</v>
      </c>
      <c r="AY175" s="66" t="e">
        <f>VLOOKUP($A175,'S49'!$C:$BQ,29,0)</f>
        <v>#N/A</v>
      </c>
      <c r="AZ175" s="66" t="e">
        <f>VLOOKUP($A175,'S49'!$C:$BQ,30,0)</f>
        <v>#N/A</v>
      </c>
      <c r="BA175" s="66" t="e">
        <f>VLOOKUP($A175,'S49'!$C:$BQ,52,0)</f>
        <v>#N/A</v>
      </c>
      <c r="BB175" s="66" t="e">
        <f>VLOOKUP($A175,'S49'!$C:$BQ,59,0)</f>
        <v>#N/A</v>
      </c>
      <c r="BC175" s="66" t="e">
        <f>VLOOKUP($A175,'S49'!$C:$BQ,60,0)</f>
        <v>#N/A</v>
      </c>
      <c r="BD175" s="58" t="e">
        <f>VLOOKUP($A175,'S50'!$C:$BQ,32,0)</f>
        <v>#N/A</v>
      </c>
      <c r="BE175" s="58" t="e">
        <f>VLOOKUP($A175,'S50'!$C:$BQ,39,0)</f>
        <v>#N/A</v>
      </c>
      <c r="BF175" s="58" t="e">
        <f>VLOOKUP($A175,'S50'!$C:$BQ,40,0)</f>
        <v>#N/A</v>
      </c>
      <c r="BG175" s="58" t="e">
        <f>VLOOKUP($A175,'S50'!$C:$BQ,22,0)</f>
        <v>#N/A</v>
      </c>
      <c r="BH175" s="66" t="e">
        <f>VLOOKUP($A175,'S50'!$C:$BQ,29,0)</f>
        <v>#N/A</v>
      </c>
      <c r="BI175" s="66" t="e">
        <f>VLOOKUP($A175,'S50'!$C:$BQ,30,0)</f>
        <v>#N/A</v>
      </c>
      <c r="BJ175" s="66" t="e">
        <f>VLOOKUP($A175,'S50'!$C:$BQ,52,0)</f>
        <v>#N/A</v>
      </c>
      <c r="BK175" s="66" t="e">
        <f>VLOOKUP($A175,'S50'!$C:$BQ,59,0)</f>
        <v>#N/A</v>
      </c>
      <c r="BL175" s="66" t="e">
        <f>VLOOKUP($A175,'S50'!$C:$BQ,60,0)</f>
        <v>#N/A</v>
      </c>
    </row>
    <row r="176" spans="1:64" x14ac:dyDescent="0.2">
      <c r="A176" s="57" t="s">
        <v>243</v>
      </c>
      <c r="B176" s="58">
        <f>VLOOKUP($A176,'S0 remplacer avec S44'!$C:$BQ,32,0)</f>
        <v>161</v>
      </c>
      <c r="C176" s="58">
        <f>VLOOKUP($A176,'S0 remplacer avec S44'!$C:$BQ,39,0)</f>
        <v>39</v>
      </c>
      <c r="D176" s="58">
        <f>VLOOKUP($A176,'S0 remplacer avec S44'!$C:$BQ,40,0)</f>
        <v>79</v>
      </c>
      <c r="E176" s="58">
        <f>VLOOKUP($A176,'S0 remplacer avec S44'!$C:$BQ,22,0)</f>
        <v>1933.2929200000001</v>
      </c>
      <c r="F176" s="66">
        <f>VLOOKUP($A176,'S0 remplacer avec S44'!$C:$BQ,29,0)</f>
        <v>0</v>
      </c>
      <c r="G176" s="66">
        <f>VLOOKUP($A176,'S0 remplacer avec S44'!$C:$BQ,30,0)</f>
        <v>248</v>
      </c>
      <c r="H176" s="66">
        <f>VLOOKUP($A176,'S0 remplacer avec S44'!$C:$BQ,52,0)</f>
        <v>92</v>
      </c>
      <c r="I176" s="66">
        <f>VLOOKUP($A176,'S0 remplacer avec S44'!$C:$BQ,59,0)</f>
        <v>10</v>
      </c>
      <c r="J176" s="66">
        <f>VLOOKUP($A176,'S0 remplacer avec S44'!$C:$BQ,60,0)</f>
        <v>30</v>
      </c>
      <c r="K176" s="58">
        <f>VLOOKUP($A176,'S45'!$C:$BQ,32,0)</f>
        <v>166.5</v>
      </c>
      <c r="L176" s="58">
        <f>VLOOKUP($A176,'S45'!$C:$BQ,39,0)</f>
        <v>34</v>
      </c>
      <c r="M176" s="58">
        <f>VLOOKUP($A176,'S45'!$C:$BQ,40,0)</f>
        <v>74</v>
      </c>
      <c r="N176" s="58">
        <f>VLOOKUP($A176,'S45'!$C:$BQ,22,0)</f>
        <v>1864.47182</v>
      </c>
      <c r="O176" s="66">
        <f>VLOOKUP($A176,'S45'!$C:$BQ,29,0)</f>
        <v>0</v>
      </c>
      <c r="P176" s="66">
        <f>VLOOKUP($A176,'S45'!$C:$BQ,30,0)</f>
        <v>317</v>
      </c>
      <c r="Q176" s="66">
        <f>VLOOKUP($A176,'S45'!$C:$BQ,52,0)</f>
        <v>93</v>
      </c>
      <c r="R176" s="66">
        <f>VLOOKUP($A176,'S45'!$C:$BQ,59,0)</f>
        <v>9</v>
      </c>
      <c r="S176" s="66">
        <f>VLOOKUP($A176,'S45'!$C:$BQ,60,0)</f>
        <v>29</v>
      </c>
      <c r="T176" s="58">
        <f>VLOOKUP($A176,'S46'!$C:$BQ,32,0)</f>
        <v>168.5</v>
      </c>
      <c r="U176" s="58">
        <f>VLOOKUP($A176,'S46'!$C:$BQ,39,0)</f>
        <v>32</v>
      </c>
      <c r="V176" s="58">
        <f>VLOOKUP($A176,'S46'!$C:$BQ,40,0)</f>
        <v>72</v>
      </c>
      <c r="W176" s="58">
        <f>VLOOKUP($A176,'S46'!$C:$BQ,22,0)</f>
        <v>1868.4990700000001</v>
      </c>
      <c r="X176" s="66">
        <f>VLOOKUP($A176,'S46'!$C:$BQ,29,0)</f>
        <v>0</v>
      </c>
      <c r="Y176" s="66">
        <f>VLOOKUP($A176,'S46'!$C:$BQ,30,0)</f>
        <v>313</v>
      </c>
      <c r="Z176" s="66">
        <f>VLOOKUP($A176,'S46'!$C:$BQ,52,0)</f>
        <v>93</v>
      </c>
      <c r="AA176" s="66">
        <f>VLOOKUP($A176,'S46'!$C:$BQ,59,0)</f>
        <v>9</v>
      </c>
      <c r="AB176" s="66">
        <f>VLOOKUP($A176,'S46'!$C:$BQ,60,0)</f>
        <v>29</v>
      </c>
      <c r="AC176" s="58">
        <f>VLOOKUP($A176,'S47'!$C:$BQ,32,0)</f>
        <v>172.5</v>
      </c>
      <c r="AD176" s="58">
        <f>VLOOKUP($A176,'S47'!$C:$BQ,39,0)</f>
        <v>28</v>
      </c>
      <c r="AE176" s="58">
        <f>VLOOKUP($A176,'S47'!$C:$BQ,40,0)</f>
        <v>68</v>
      </c>
      <c r="AF176" s="58">
        <f>VLOOKUP($A176,'S47'!$C:$BQ,22,0)</f>
        <v>1903.01602</v>
      </c>
      <c r="AG176" s="66">
        <f>VLOOKUP($A176,'S47'!$C:$BQ,29,0)</f>
        <v>0</v>
      </c>
      <c r="AH176" s="66">
        <f>VLOOKUP($A176,'S47'!$C:$BQ,30,0)</f>
        <v>278</v>
      </c>
      <c r="AI176" s="66">
        <f>VLOOKUP($A176,'S47'!$C:$BQ,52,0)</f>
        <v>95</v>
      </c>
      <c r="AJ176" s="66">
        <f>VLOOKUP($A176,'S47'!$C:$BQ,59,0)</f>
        <v>7</v>
      </c>
      <c r="AK176" s="66">
        <f>VLOOKUP($A176,'S47'!$C:$BQ,60,0)</f>
        <v>27</v>
      </c>
      <c r="AL176" s="58" t="e">
        <f>VLOOKUP($A176,'S48'!$C:$BQ,32,0)</f>
        <v>#N/A</v>
      </c>
      <c r="AM176" s="58" t="e">
        <f>VLOOKUP($A176,'S48'!$C:$BQ,39,0)</f>
        <v>#N/A</v>
      </c>
      <c r="AN176" s="58" t="e">
        <f>VLOOKUP($A176,'S48'!$C:$BQ,40,0)</f>
        <v>#N/A</v>
      </c>
      <c r="AO176" s="58" t="e">
        <f>VLOOKUP($A176,'S48'!$C:$BQ,22,0)</f>
        <v>#N/A</v>
      </c>
      <c r="AP176" s="66" t="e">
        <f>VLOOKUP($A176,'S48'!$C:$BQ,29,0)</f>
        <v>#N/A</v>
      </c>
      <c r="AQ176" s="66" t="e">
        <f>VLOOKUP($A176,'S48'!$C:$BQ,30,0)</f>
        <v>#N/A</v>
      </c>
      <c r="AR176" s="66" t="e">
        <f>VLOOKUP($A176,'S48'!$C:$BQ,52,0)</f>
        <v>#N/A</v>
      </c>
      <c r="AS176" s="66" t="e">
        <f>VLOOKUP($A176,'S48'!$C:$BQ,59,0)</f>
        <v>#N/A</v>
      </c>
      <c r="AT176" s="66" t="e">
        <f>VLOOKUP($A176,'S48'!$C:$BQ,60,0)</f>
        <v>#N/A</v>
      </c>
      <c r="AU176" s="58" t="e">
        <f>VLOOKUP($A176,'S49'!$C:$BQ,32,0)</f>
        <v>#N/A</v>
      </c>
      <c r="AV176" s="58" t="e">
        <f>VLOOKUP($A176,'S49'!$C:$BQ,39,0)</f>
        <v>#N/A</v>
      </c>
      <c r="AW176" s="58" t="e">
        <f>VLOOKUP($A176,'S49'!$C:$BQ,40,0)</f>
        <v>#N/A</v>
      </c>
      <c r="AX176" s="58" t="e">
        <f>VLOOKUP($A176,'S49'!$C:$BQ,22,0)</f>
        <v>#N/A</v>
      </c>
      <c r="AY176" s="66" t="e">
        <f>VLOOKUP($A176,'S49'!$C:$BQ,29,0)</f>
        <v>#N/A</v>
      </c>
      <c r="AZ176" s="66" t="e">
        <f>VLOOKUP($A176,'S49'!$C:$BQ,30,0)</f>
        <v>#N/A</v>
      </c>
      <c r="BA176" s="66" t="e">
        <f>VLOOKUP($A176,'S49'!$C:$BQ,52,0)</f>
        <v>#N/A</v>
      </c>
      <c r="BB176" s="66" t="e">
        <f>VLOOKUP($A176,'S49'!$C:$BQ,59,0)</f>
        <v>#N/A</v>
      </c>
      <c r="BC176" s="66" t="e">
        <f>VLOOKUP($A176,'S49'!$C:$BQ,60,0)</f>
        <v>#N/A</v>
      </c>
      <c r="BD176" s="58" t="e">
        <f>VLOOKUP($A176,'S50'!$C:$BQ,32,0)</f>
        <v>#N/A</v>
      </c>
      <c r="BE176" s="58" t="e">
        <f>VLOOKUP($A176,'S50'!$C:$BQ,39,0)</f>
        <v>#N/A</v>
      </c>
      <c r="BF176" s="58" t="e">
        <f>VLOOKUP($A176,'S50'!$C:$BQ,40,0)</f>
        <v>#N/A</v>
      </c>
      <c r="BG176" s="58" t="e">
        <f>VLOOKUP($A176,'S50'!$C:$BQ,22,0)</f>
        <v>#N/A</v>
      </c>
      <c r="BH176" s="66" t="e">
        <f>VLOOKUP($A176,'S50'!$C:$BQ,29,0)</f>
        <v>#N/A</v>
      </c>
      <c r="BI176" s="66" t="e">
        <f>VLOOKUP($A176,'S50'!$C:$BQ,30,0)</f>
        <v>#N/A</v>
      </c>
      <c r="BJ176" s="66" t="e">
        <f>VLOOKUP($A176,'S50'!$C:$BQ,52,0)</f>
        <v>#N/A</v>
      </c>
      <c r="BK176" s="66" t="e">
        <f>VLOOKUP($A176,'S50'!$C:$BQ,59,0)</f>
        <v>#N/A</v>
      </c>
      <c r="BL176" s="66" t="e">
        <f>VLOOKUP($A176,'S50'!$C:$BQ,60,0)</f>
        <v>#N/A</v>
      </c>
    </row>
    <row r="177" spans="1:64" x14ac:dyDescent="0.2">
      <c r="A177" s="57" t="s">
        <v>244</v>
      </c>
      <c r="B177" s="58">
        <f>VLOOKUP($A177,'S0 remplacer avec S44'!$C:$BQ,32,0)</f>
        <v>180.4</v>
      </c>
      <c r="C177" s="58">
        <f>VLOOKUP($A177,'S0 remplacer avec S44'!$C:$BQ,39,0)</f>
        <v>40</v>
      </c>
      <c r="D177" s="58">
        <f>VLOOKUP($A177,'S0 remplacer avec S44'!$C:$BQ,40,0)</f>
        <v>84</v>
      </c>
      <c r="E177" s="58">
        <f>VLOOKUP($A177,'S0 remplacer avec S44'!$C:$BQ,22,0)</f>
        <v>1321.425915</v>
      </c>
      <c r="F177" s="66">
        <f>VLOOKUP($A177,'S0 remplacer avec S44'!$C:$BQ,29,0)</f>
        <v>679</v>
      </c>
      <c r="G177" s="66">
        <f>VLOOKUP($A177,'S0 remplacer avec S44'!$C:$BQ,30,0)</f>
        <v>1079</v>
      </c>
      <c r="H177" s="66">
        <f>VLOOKUP($A177,'S0 remplacer avec S44'!$C:$BQ,52,0)</f>
        <v>79.2</v>
      </c>
      <c r="I177" s="66">
        <f>VLOOKUP($A177,'S0 remplacer avec S44'!$C:$BQ,59,0)</f>
        <v>33</v>
      </c>
      <c r="J177" s="66">
        <f>VLOOKUP($A177,'S0 remplacer avec S44'!$C:$BQ,60,0)</f>
        <v>55</v>
      </c>
      <c r="K177" s="58">
        <f>VLOOKUP($A177,'S45'!$C:$BQ,32,0)</f>
        <v>179.9</v>
      </c>
      <c r="L177" s="58">
        <f>VLOOKUP($A177,'S45'!$C:$BQ,39,0)</f>
        <v>41</v>
      </c>
      <c r="M177" s="58">
        <f>VLOOKUP($A177,'S45'!$C:$BQ,40,0)</f>
        <v>84</v>
      </c>
      <c r="N177" s="58">
        <f>VLOOKUP($A177,'S45'!$C:$BQ,22,0)</f>
        <v>1322.480305</v>
      </c>
      <c r="O177" s="66">
        <f>VLOOKUP($A177,'S45'!$C:$BQ,29,0)</f>
        <v>678</v>
      </c>
      <c r="P177" s="66">
        <f>VLOOKUP($A177,'S45'!$C:$BQ,30,0)</f>
        <v>1078</v>
      </c>
      <c r="Q177" s="66">
        <f>VLOOKUP($A177,'S45'!$C:$BQ,52,0)</f>
        <v>81.2</v>
      </c>
      <c r="R177" s="66">
        <f>VLOOKUP($A177,'S45'!$C:$BQ,59,0)</f>
        <v>31</v>
      </c>
      <c r="S177" s="66">
        <f>VLOOKUP($A177,'S45'!$C:$BQ,60,0)</f>
        <v>53</v>
      </c>
      <c r="T177" s="58">
        <f>VLOOKUP($A177,'S46'!$C:$BQ,32,0)</f>
        <v>179.9</v>
      </c>
      <c r="U177" s="58">
        <f>VLOOKUP($A177,'S46'!$C:$BQ,39,0)</f>
        <v>41</v>
      </c>
      <c r="V177" s="58">
        <f>VLOOKUP($A177,'S46'!$C:$BQ,40,0)</f>
        <v>84</v>
      </c>
      <c r="W177" s="58">
        <f>VLOOKUP($A177,'S46'!$C:$BQ,22,0)</f>
        <v>1333.5001150000001</v>
      </c>
      <c r="X177" s="66">
        <f>VLOOKUP($A177,'S46'!$C:$BQ,29,0)</f>
        <v>667</v>
      </c>
      <c r="Y177" s="66">
        <f>VLOOKUP($A177,'S46'!$C:$BQ,30,0)</f>
        <v>1067</v>
      </c>
      <c r="Z177" s="66">
        <f>VLOOKUP($A177,'S46'!$C:$BQ,52,0)</f>
        <v>81.2</v>
      </c>
      <c r="AA177" s="66">
        <f>VLOOKUP($A177,'S46'!$C:$BQ,59,0)</f>
        <v>31</v>
      </c>
      <c r="AB177" s="66">
        <f>VLOOKUP($A177,'S46'!$C:$BQ,60,0)</f>
        <v>53</v>
      </c>
      <c r="AC177" s="58">
        <f>VLOOKUP($A177,'S47'!$C:$BQ,32,0)</f>
        <v>184.4</v>
      </c>
      <c r="AD177" s="58">
        <f>VLOOKUP($A177,'S47'!$C:$BQ,39,0)</f>
        <v>36</v>
      </c>
      <c r="AE177" s="58">
        <f>VLOOKUP($A177,'S47'!$C:$BQ,40,0)</f>
        <v>80</v>
      </c>
      <c r="AF177" s="58">
        <f>VLOOKUP($A177,'S47'!$C:$BQ,22,0)</f>
        <v>1461.699345</v>
      </c>
      <c r="AG177" s="66">
        <f>VLOOKUP($A177,'S47'!$C:$BQ,29,0)</f>
        <v>539</v>
      </c>
      <c r="AH177" s="66">
        <f>VLOOKUP($A177,'S47'!$C:$BQ,30,0)</f>
        <v>939</v>
      </c>
      <c r="AI177" s="66">
        <f>VLOOKUP($A177,'S47'!$C:$BQ,52,0)</f>
        <v>83.2</v>
      </c>
      <c r="AJ177" s="66">
        <f>VLOOKUP($A177,'S47'!$C:$BQ,59,0)</f>
        <v>29</v>
      </c>
      <c r="AK177" s="66">
        <f>VLOOKUP($A177,'S47'!$C:$BQ,60,0)</f>
        <v>51</v>
      </c>
      <c r="AL177" s="58" t="e">
        <f>VLOOKUP($A177,'S48'!$C:$BQ,32,0)</f>
        <v>#N/A</v>
      </c>
      <c r="AM177" s="58" t="e">
        <f>VLOOKUP($A177,'S48'!$C:$BQ,39,0)</f>
        <v>#N/A</v>
      </c>
      <c r="AN177" s="58" t="e">
        <f>VLOOKUP($A177,'S48'!$C:$BQ,40,0)</f>
        <v>#N/A</v>
      </c>
      <c r="AO177" s="58" t="e">
        <f>VLOOKUP($A177,'S48'!$C:$BQ,22,0)</f>
        <v>#N/A</v>
      </c>
      <c r="AP177" s="66" t="e">
        <f>VLOOKUP($A177,'S48'!$C:$BQ,29,0)</f>
        <v>#N/A</v>
      </c>
      <c r="AQ177" s="66" t="e">
        <f>VLOOKUP($A177,'S48'!$C:$BQ,30,0)</f>
        <v>#N/A</v>
      </c>
      <c r="AR177" s="66" t="e">
        <f>VLOOKUP($A177,'S48'!$C:$BQ,52,0)</f>
        <v>#N/A</v>
      </c>
      <c r="AS177" s="66" t="e">
        <f>VLOOKUP($A177,'S48'!$C:$BQ,59,0)</f>
        <v>#N/A</v>
      </c>
      <c r="AT177" s="66" t="e">
        <f>VLOOKUP($A177,'S48'!$C:$BQ,60,0)</f>
        <v>#N/A</v>
      </c>
      <c r="AU177" s="58" t="e">
        <f>VLOOKUP($A177,'S49'!$C:$BQ,32,0)</f>
        <v>#N/A</v>
      </c>
      <c r="AV177" s="58" t="e">
        <f>VLOOKUP($A177,'S49'!$C:$BQ,39,0)</f>
        <v>#N/A</v>
      </c>
      <c r="AW177" s="58" t="e">
        <f>VLOOKUP($A177,'S49'!$C:$BQ,40,0)</f>
        <v>#N/A</v>
      </c>
      <c r="AX177" s="58" t="e">
        <f>VLOOKUP($A177,'S49'!$C:$BQ,22,0)</f>
        <v>#N/A</v>
      </c>
      <c r="AY177" s="66" t="e">
        <f>VLOOKUP($A177,'S49'!$C:$BQ,29,0)</f>
        <v>#N/A</v>
      </c>
      <c r="AZ177" s="66" t="e">
        <f>VLOOKUP($A177,'S49'!$C:$BQ,30,0)</f>
        <v>#N/A</v>
      </c>
      <c r="BA177" s="66" t="e">
        <f>VLOOKUP($A177,'S49'!$C:$BQ,52,0)</f>
        <v>#N/A</v>
      </c>
      <c r="BB177" s="66" t="e">
        <f>VLOOKUP($A177,'S49'!$C:$BQ,59,0)</f>
        <v>#N/A</v>
      </c>
      <c r="BC177" s="66" t="e">
        <f>VLOOKUP($A177,'S49'!$C:$BQ,60,0)</f>
        <v>#N/A</v>
      </c>
      <c r="BD177" s="58" t="e">
        <f>VLOOKUP($A177,'S50'!$C:$BQ,32,0)</f>
        <v>#N/A</v>
      </c>
      <c r="BE177" s="58" t="e">
        <f>VLOOKUP($A177,'S50'!$C:$BQ,39,0)</f>
        <v>#N/A</v>
      </c>
      <c r="BF177" s="58" t="e">
        <f>VLOOKUP($A177,'S50'!$C:$BQ,40,0)</f>
        <v>#N/A</v>
      </c>
      <c r="BG177" s="58" t="e">
        <f>VLOOKUP($A177,'S50'!$C:$BQ,22,0)</f>
        <v>#N/A</v>
      </c>
      <c r="BH177" s="66" t="e">
        <f>VLOOKUP($A177,'S50'!$C:$BQ,29,0)</f>
        <v>#N/A</v>
      </c>
      <c r="BI177" s="66" t="e">
        <f>VLOOKUP($A177,'S50'!$C:$BQ,30,0)</f>
        <v>#N/A</v>
      </c>
      <c r="BJ177" s="66" t="e">
        <f>VLOOKUP($A177,'S50'!$C:$BQ,52,0)</f>
        <v>#N/A</v>
      </c>
      <c r="BK177" s="66" t="e">
        <f>VLOOKUP($A177,'S50'!$C:$BQ,59,0)</f>
        <v>#N/A</v>
      </c>
      <c r="BL177" s="66" t="e">
        <f>VLOOKUP($A177,'S50'!$C:$BQ,60,0)</f>
        <v>#N/A</v>
      </c>
    </row>
    <row r="178" spans="1:64" x14ac:dyDescent="0.2">
      <c r="A178" s="57" t="s">
        <v>245</v>
      </c>
      <c r="B178" s="58">
        <f>VLOOKUP($A178,'S0 remplacer avec S44'!$C:$BQ,32,0)</f>
        <v>185.4</v>
      </c>
      <c r="C178" s="58">
        <f>VLOOKUP($A178,'S0 remplacer avec S44'!$C:$BQ,39,0)</f>
        <v>0</v>
      </c>
      <c r="D178" s="58">
        <f>VLOOKUP($A178,'S0 remplacer avec S44'!$C:$BQ,40,0)</f>
        <v>7</v>
      </c>
      <c r="E178" s="58">
        <f>VLOOKUP($A178,'S0 remplacer avec S44'!$C:$BQ,22,0)</f>
        <v>1588.9842599999999</v>
      </c>
      <c r="F178" s="66">
        <f>VLOOKUP($A178,'S0 remplacer avec S44'!$C:$BQ,29,0)</f>
        <v>0</v>
      </c>
      <c r="G178" s="66">
        <f>VLOOKUP($A178,'S0 remplacer avec S44'!$C:$BQ,30,0)</f>
        <v>154</v>
      </c>
      <c r="H178" s="66">
        <f>VLOOKUP($A178,'S0 remplacer avec S44'!$C:$BQ,52,0)</f>
        <v>116.6</v>
      </c>
      <c r="I178" s="66">
        <f>VLOOKUP($A178,'S0 remplacer avec S44'!$C:$BQ,59,0)</f>
        <v>0</v>
      </c>
      <c r="J178" s="66">
        <f>VLOOKUP($A178,'S0 remplacer avec S44'!$C:$BQ,60,0)</f>
        <v>0</v>
      </c>
      <c r="K178" s="58">
        <f>VLOOKUP($A178,'S45'!$C:$BQ,32,0)</f>
        <v>188.9</v>
      </c>
      <c r="L178" s="58">
        <f>VLOOKUP($A178,'S45'!$C:$BQ,39,0)</f>
        <v>0</v>
      </c>
      <c r="M178" s="58">
        <f>VLOOKUP($A178,'S45'!$C:$BQ,40,0)</f>
        <v>3</v>
      </c>
      <c r="N178" s="58">
        <f>VLOOKUP($A178,'S45'!$C:$BQ,22,0)</f>
        <v>1589.701</v>
      </c>
      <c r="O178" s="66">
        <f>VLOOKUP($A178,'S45'!$C:$BQ,29,0)</f>
        <v>0</v>
      </c>
      <c r="P178" s="66">
        <f>VLOOKUP($A178,'S45'!$C:$BQ,30,0)</f>
        <v>153</v>
      </c>
      <c r="Q178" s="66">
        <f>VLOOKUP($A178,'S45'!$C:$BQ,52,0)</f>
        <v>117.6</v>
      </c>
      <c r="R178" s="66">
        <f>VLOOKUP($A178,'S45'!$C:$BQ,59,0)</f>
        <v>0</v>
      </c>
      <c r="S178" s="66">
        <f>VLOOKUP($A178,'S45'!$C:$BQ,60,0)</f>
        <v>0</v>
      </c>
      <c r="T178" s="58">
        <f>VLOOKUP($A178,'S46'!$C:$BQ,32,0)</f>
        <v>190.4</v>
      </c>
      <c r="U178" s="58">
        <f>VLOOKUP($A178,'S46'!$C:$BQ,39,0)</f>
        <v>0</v>
      </c>
      <c r="V178" s="58">
        <f>VLOOKUP($A178,'S46'!$C:$BQ,40,0)</f>
        <v>2</v>
      </c>
      <c r="W178" s="58">
        <f>VLOOKUP($A178,'S46'!$C:$BQ,22,0)</f>
        <v>1591.53459</v>
      </c>
      <c r="X178" s="66">
        <f>VLOOKUP($A178,'S46'!$C:$BQ,29,0)</f>
        <v>0</v>
      </c>
      <c r="Y178" s="66">
        <f>VLOOKUP($A178,'S46'!$C:$BQ,30,0)</f>
        <v>152</v>
      </c>
      <c r="Z178" s="66">
        <f>VLOOKUP($A178,'S46'!$C:$BQ,52,0)</f>
        <v>117.6</v>
      </c>
      <c r="AA178" s="66">
        <f>VLOOKUP($A178,'S46'!$C:$BQ,59,0)</f>
        <v>0</v>
      </c>
      <c r="AB178" s="66">
        <f>VLOOKUP($A178,'S46'!$C:$BQ,60,0)</f>
        <v>0</v>
      </c>
      <c r="AC178" s="58">
        <f>VLOOKUP($A178,'S47'!$C:$BQ,32,0)</f>
        <v>190.4</v>
      </c>
      <c r="AD178" s="58">
        <f>VLOOKUP($A178,'S47'!$C:$BQ,39,0)</f>
        <v>0</v>
      </c>
      <c r="AE178" s="58">
        <f>VLOOKUP($A178,'S47'!$C:$BQ,40,0)</f>
        <v>2</v>
      </c>
      <c r="AF178" s="58">
        <f>VLOOKUP($A178,'S47'!$C:$BQ,22,0)</f>
        <v>1642.46561</v>
      </c>
      <c r="AG178" s="66">
        <f>VLOOKUP($A178,'S47'!$C:$BQ,29,0)</f>
        <v>0</v>
      </c>
      <c r="AH178" s="66">
        <f>VLOOKUP($A178,'S47'!$C:$BQ,30,0)</f>
        <v>101</v>
      </c>
      <c r="AI178" s="66">
        <f>VLOOKUP($A178,'S47'!$C:$BQ,52,0)</f>
        <v>120.6</v>
      </c>
      <c r="AJ178" s="66">
        <f>VLOOKUP($A178,'S47'!$C:$BQ,59,0)</f>
        <v>0</v>
      </c>
      <c r="AK178" s="66">
        <f>VLOOKUP($A178,'S47'!$C:$BQ,60,0)</f>
        <v>0</v>
      </c>
      <c r="AL178" s="58" t="e">
        <f>VLOOKUP($A178,'S48'!$C:$BQ,32,0)</f>
        <v>#N/A</v>
      </c>
      <c r="AM178" s="58" t="e">
        <f>VLOOKUP($A178,'S48'!$C:$BQ,39,0)</f>
        <v>#N/A</v>
      </c>
      <c r="AN178" s="58" t="e">
        <f>VLOOKUP($A178,'S48'!$C:$BQ,40,0)</f>
        <v>#N/A</v>
      </c>
      <c r="AO178" s="58" t="e">
        <f>VLOOKUP($A178,'S48'!$C:$BQ,22,0)</f>
        <v>#N/A</v>
      </c>
      <c r="AP178" s="66" t="e">
        <f>VLOOKUP($A178,'S48'!$C:$BQ,29,0)</f>
        <v>#N/A</v>
      </c>
      <c r="AQ178" s="66" t="e">
        <f>VLOOKUP($A178,'S48'!$C:$BQ,30,0)</f>
        <v>#N/A</v>
      </c>
      <c r="AR178" s="66" t="e">
        <f>VLOOKUP($A178,'S48'!$C:$BQ,52,0)</f>
        <v>#N/A</v>
      </c>
      <c r="AS178" s="66" t="e">
        <f>VLOOKUP($A178,'S48'!$C:$BQ,59,0)</f>
        <v>#N/A</v>
      </c>
      <c r="AT178" s="66" t="e">
        <f>VLOOKUP($A178,'S48'!$C:$BQ,60,0)</f>
        <v>#N/A</v>
      </c>
      <c r="AU178" s="58" t="e">
        <f>VLOOKUP($A178,'S49'!$C:$BQ,32,0)</f>
        <v>#N/A</v>
      </c>
      <c r="AV178" s="58" t="e">
        <f>VLOOKUP($A178,'S49'!$C:$BQ,39,0)</f>
        <v>#N/A</v>
      </c>
      <c r="AW178" s="58" t="e">
        <f>VLOOKUP($A178,'S49'!$C:$BQ,40,0)</f>
        <v>#N/A</v>
      </c>
      <c r="AX178" s="58" t="e">
        <f>VLOOKUP($A178,'S49'!$C:$BQ,22,0)</f>
        <v>#N/A</v>
      </c>
      <c r="AY178" s="66" t="e">
        <f>VLOOKUP($A178,'S49'!$C:$BQ,29,0)</f>
        <v>#N/A</v>
      </c>
      <c r="AZ178" s="66" t="e">
        <f>VLOOKUP($A178,'S49'!$C:$BQ,30,0)</f>
        <v>#N/A</v>
      </c>
      <c r="BA178" s="66" t="e">
        <f>VLOOKUP($A178,'S49'!$C:$BQ,52,0)</f>
        <v>#N/A</v>
      </c>
      <c r="BB178" s="66" t="e">
        <f>VLOOKUP($A178,'S49'!$C:$BQ,59,0)</f>
        <v>#N/A</v>
      </c>
      <c r="BC178" s="66" t="e">
        <f>VLOOKUP($A178,'S49'!$C:$BQ,60,0)</f>
        <v>#N/A</v>
      </c>
      <c r="BD178" s="58" t="e">
        <f>VLOOKUP($A178,'S50'!$C:$BQ,32,0)</f>
        <v>#N/A</v>
      </c>
      <c r="BE178" s="58" t="e">
        <f>VLOOKUP($A178,'S50'!$C:$BQ,39,0)</f>
        <v>#N/A</v>
      </c>
      <c r="BF178" s="58" t="e">
        <f>VLOOKUP($A178,'S50'!$C:$BQ,40,0)</f>
        <v>#N/A</v>
      </c>
      <c r="BG178" s="58" t="e">
        <f>VLOOKUP($A178,'S50'!$C:$BQ,22,0)</f>
        <v>#N/A</v>
      </c>
      <c r="BH178" s="66" t="e">
        <f>VLOOKUP($A178,'S50'!$C:$BQ,29,0)</f>
        <v>#N/A</v>
      </c>
      <c r="BI178" s="66" t="e">
        <f>VLOOKUP($A178,'S50'!$C:$BQ,30,0)</f>
        <v>#N/A</v>
      </c>
      <c r="BJ178" s="66" t="e">
        <f>VLOOKUP($A178,'S50'!$C:$BQ,52,0)</f>
        <v>#N/A</v>
      </c>
      <c r="BK178" s="66" t="e">
        <f>VLOOKUP($A178,'S50'!$C:$BQ,59,0)</f>
        <v>#N/A</v>
      </c>
      <c r="BL178" s="66" t="e">
        <f>VLOOKUP($A178,'S50'!$C:$BQ,60,0)</f>
        <v>#N/A</v>
      </c>
    </row>
    <row r="179" spans="1:64" x14ac:dyDescent="0.2">
      <c r="A179" s="57" t="s">
        <v>246</v>
      </c>
      <c r="B179" s="58">
        <f>VLOOKUP($A179,'S0 remplacer avec S44'!$C:$BQ,32,0)</f>
        <v>204.3</v>
      </c>
      <c r="C179" s="58">
        <f>VLOOKUP($A179,'S0 remplacer avec S44'!$C:$BQ,39,0)</f>
        <v>31</v>
      </c>
      <c r="D179" s="58">
        <f>VLOOKUP($A179,'S0 remplacer avec S44'!$C:$BQ,40,0)</f>
        <v>78</v>
      </c>
      <c r="E179" s="58">
        <f>VLOOKUP($A179,'S0 remplacer avec S44'!$C:$BQ,22,0)</f>
        <v>1846.50242</v>
      </c>
      <c r="F179" s="66">
        <f>VLOOKUP($A179,'S0 remplacer avec S44'!$C:$BQ,29,0)</f>
        <v>291</v>
      </c>
      <c r="G179" s="66">
        <f>VLOOKUP($A179,'S0 remplacer avec S44'!$C:$BQ,30,0)</f>
        <v>718</v>
      </c>
      <c r="H179" s="66">
        <f>VLOOKUP($A179,'S0 remplacer avec S44'!$C:$BQ,52,0)</f>
        <v>115</v>
      </c>
      <c r="I179" s="66">
        <f>VLOOKUP($A179,'S0 remplacer avec S44'!$C:$BQ,59,0)</f>
        <v>5</v>
      </c>
      <c r="J179" s="66">
        <f>VLOOKUP($A179,'S0 remplacer avec S44'!$C:$BQ,60,0)</f>
        <v>29</v>
      </c>
      <c r="K179" s="58">
        <f>VLOOKUP($A179,'S45'!$C:$BQ,32,0)</f>
        <v>213.3</v>
      </c>
      <c r="L179" s="58">
        <f>VLOOKUP($A179,'S45'!$C:$BQ,39,0)</f>
        <v>22</v>
      </c>
      <c r="M179" s="58">
        <f>VLOOKUP($A179,'S45'!$C:$BQ,40,0)</f>
        <v>69</v>
      </c>
      <c r="N179" s="58">
        <f>VLOOKUP($A179,'S45'!$C:$BQ,22,0)</f>
        <v>1863.39753</v>
      </c>
      <c r="O179" s="66">
        <f>VLOOKUP($A179,'S45'!$C:$BQ,29,0)</f>
        <v>274</v>
      </c>
      <c r="P179" s="66">
        <f>VLOOKUP($A179,'S45'!$C:$BQ,30,0)</f>
        <v>701</v>
      </c>
      <c r="Q179" s="66">
        <f>VLOOKUP($A179,'S45'!$C:$BQ,52,0)</f>
        <v>116</v>
      </c>
      <c r="R179" s="66">
        <f>VLOOKUP($A179,'S45'!$C:$BQ,59,0)</f>
        <v>4</v>
      </c>
      <c r="S179" s="66">
        <f>VLOOKUP($A179,'S45'!$C:$BQ,60,0)</f>
        <v>28</v>
      </c>
      <c r="T179" s="58">
        <f>VLOOKUP($A179,'S46'!$C:$BQ,32,0)</f>
        <v>216.3</v>
      </c>
      <c r="U179" s="58">
        <f>VLOOKUP($A179,'S46'!$C:$BQ,39,0)</f>
        <v>19</v>
      </c>
      <c r="V179" s="58">
        <f>VLOOKUP($A179,'S46'!$C:$BQ,40,0)</f>
        <v>66</v>
      </c>
      <c r="W179" s="58">
        <f>VLOOKUP($A179,'S46'!$C:$BQ,22,0)</f>
        <v>1877.97649</v>
      </c>
      <c r="X179" s="66">
        <f>VLOOKUP($A179,'S46'!$C:$BQ,29,0)</f>
        <v>259</v>
      </c>
      <c r="Y179" s="66">
        <f>VLOOKUP($A179,'S46'!$C:$BQ,30,0)</f>
        <v>687</v>
      </c>
      <c r="Z179" s="66">
        <f>VLOOKUP($A179,'S46'!$C:$BQ,52,0)</f>
        <v>118</v>
      </c>
      <c r="AA179" s="66">
        <f>VLOOKUP($A179,'S46'!$C:$BQ,59,0)</f>
        <v>2</v>
      </c>
      <c r="AB179" s="66">
        <f>VLOOKUP($A179,'S46'!$C:$BQ,60,0)</f>
        <v>26</v>
      </c>
      <c r="AC179" s="58">
        <f>VLOOKUP($A179,'S47'!$C:$BQ,32,0)</f>
        <v>215.8</v>
      </c>
      <c r="AD179" s="58">
        <f>VLOOKUP($A179,'S47'!$C:$BQ,39,0)</f>
        <v>20</v>
      </c>
      <c r="AE179" s="58">
        <f>VLOOKUP($A179,'S47'!$C:$BQ,40,0)</f>
        <v>67</v>
      </c>
      <c r="AF179" s="58">
        <f>VLOOKUP($A179,'S47'!$C:$BQ,22,0)</f>
        <v>1894.53422</v>
      </c>
      <c r="AG179" s="66">
        <f>VLOOKUP($A179,'S47'!$C:$BQ,29,0)</f>
        <v>243</v>
      </c>
      <c r="AH179" s="66">
        <f>VLOOKUP($A179,'S47'!$C:$BQ,30,0)</f>
        <v>670</v>
      </c>
      <c r="AI179" s="66">
        <f>VLOOKUP($A179,'S47'!$C:$BQ,52,0)</f>
        <v>121</v>
      </c>
      <c r="AJ179" s="66">
        <f>VLOOKUP($A179,'S47'!$C:$BQ,59,0)</f>
        <v>0</v>
      </c>
      <c r="AK179" s="66">
        <f>VLOOKUP($A179,'S47'!$C:$BQ,60,0)</f>
        <v>23</v>
      </c>
      <c r="AL179" s="58" t="e">
        <f>VLOOKUP($A179,'S48'!$C:$BQ,32,0)</f>
        <v>#N/A</v>
      </c>
      <c r="AM179" s="58" t="e">
        <f>VLOOKUP($A179,'S48'!$C:$BQ,39,0)</f>
        <v>#N/A</v>
      </c>
      <c r="AN179" s="58" t="e">
        <f>VLOOKUP($A179,'S48'!$C:$BQ,40,0)</f>
        <v>#N/A</v>
      </c>
      <c r="AO179" s="58" t="e">
        <f>VLOOKUP($A179,'S48'!$C:$BQ,22,0)</f>
        <v>#N/A</v>
      </c>
      <c r="AP179" s="66" t="e">
        <f>VLOOKUP($A179,'S48'!$C:$BQ,29,0)</f>
        <v>#N/A</v>
      </c>
      <c r="AQ179" s="66" t="e">
        <f>VLOOKUP($A179,'S48'!$C:$BQ,30,0)</f>
        <v>#N/A</v>
      </c>
      <c r="AR179" s="66" t="e">
        <f>VLOOKUP($A179,'S48'!$C:$BQ,52,0)</f>
        <v>#N/A</v>
      </c>
      <c r="AS179" s="66" t="e">
        <f>VLOOKUP($A179,'S48'!$C:$BQ,59,0)</f>
        <v>#N/A</v>
      </c>
      <c r="AT179" s="66" t="e">
        <f>VLOOKUP($A179,'S48'!$C:$BQ,60,0)</f>
        <v>#N/A</v>
      </c>
      <c r="AU179" s="58" t="e">
        <f>VLOOKUP($A179,'S49'!$C:$BQ,32,0)</f>
        <v>#N/A</v>
      </c>
      <c r="AV179" s="58" t="e">
        <f>VLOOKUP($A179,'S49'!$C:$BQ,39,0)</f>
        <v>#N/A</v>
      </c>
      <c r="AW179" s="58" t="e">
        <f>VLOOKUP($A179,'S49'!$C:$BQ,40,0)</f>
        <v>#N/A</v>
      </c>
      <c r="AX179" s="58" t="e">
        <f>VLOOKUP($A179,'S49'!$C:$BQ,22,0)</f>
        <v>#N/A</v>
      </c>
      <c r="AY179" s="66" t="e">
        <f>VLOOKUP($A179,'S49'!$C:$BQ,29,0)</f>
        <v>#N/A</v>
      </c>
      <c r="AZ179" s="66" t="e">
        <f>VLOOKUP($A179,'S49'!$C:$BQ,30,0)</f>
        <v>#N/A</v>
      </c>
      <c r="BA179" s="66" t="e">
        <f>VLOOKUP($A179,'S49'!$C:$BQ,52,0)</f>
        <v>#N/A</v>
      </c>
      <c r="BB179" s="66" t="e">
        <f>VLOOKUP($A179,'S49'!$C:$BQ,59,0)</f>
        <v>#N/A</v>
      </c>
      <c r="BC179" s="66" t="e">
        <f>VLOOKUP($A179,'S49'!$C:$BQ,60,0)</f>
        <v>#N/A</v>
      </c>
      <c r="BD179" s="58" t="e">
        <f>VLOOKUP($A179,'S50'!$C:$BQ,32,0)</f>
        <v>#N/A</v>
      </c>
      <c r="BE179" s="58" t="e">
        <f>VLOOKUP($A179,'S50'!$C:$BQ,39,0)</f>
        <v>#N/A</v>
      </c>
      <c r="BF179" s="58" t="e">
        <f>VLOOKUP($A179,'S50'!$C:$BQ,40,0)</f>
        <v>#N/A</v>
      </c>
      <c r="BG179" s="58" t="e">
        <f>VLOOKUP($A179,'S50'!$C:$BQ,22,0)</f>
        <v>#N/A</v>
      </c>
      <c r="BH179" s="66" t="e">
        <f>VLOOKUP($A179,'S50'!$C:$BQ,29,0)</f>
        <v>#N/A</v>
      </c>
      <c r="BI179" s="66" t="e">
        <f>VLOOKUP($A179,'S50'!$C:$BQ,30,0)</f>
        <v>#N/A</v>
      </c>
      <c r="BJ179" s="66" t="e">
        <f>VLOOKUP($A179,'S50'!$C:$BQ,52,0)</f>
        <v>#N/A</v>
      </c>
      <c r="BK179" s="66" t="e">
        <f>VLOOKUP($A179,'S50'!$C:$BQ,59,0)</f>
        <v>#N/A</v>
      </c>
      <c r="BL179" s="66" t="e">
        <f>VLOOKUP($A179,'S50'!$C:$BQ,60,0)</f>
        <v>#N/A</v>
      </c>
    </row>
    <row r="180" spans="1:64" x14ac:dyDescent="0.2">
      <c r="A180" s="57" t="s">
        <v>247</v>
      </c>
      <c r="B180" s="58">
        <f>VLOOKUP($A180,'S0 remplacer avec S44'!$C:$BQ,32,0)</f>
        <v>185.75</v>
      </c>
      <c r="C180" s="58">
        <f>VLOOKUP($A180,'S0 remplacer avec S44'!$C:$BQ,39,0)</f>
        <v>95</v>
      </c>
      <c r="D180" s="58">
        <f>VLOOKUP($A180,'S0 remplacer avec S44'!$C:$BQ,40,0)</f>
        <v>151</v>
      </c>
      <c r="E180" s="58">
        <f>VLOOKUP($A180,'S0 remplacer avec S44'!$C:$BQ,22,0)</f>
        <v>2197.5763149999998</v>
      </c>
      <c r="F180" s="66">
        <f>VLOOKUP($A180,'S0 remplacer avec S44'!$C:$BQ,29,0)</f>
        <v>353</v>
      </c>
      <c r="G180" s="66">
        <f>VLOOKUP($A180,'S0 remplacer avec S44'!$C:$BQ,30,0)</f>
        <v>863</v>
      </c>
      <c r="H180" s="66">
        <f>VLOOKUP($A180,'S0 remplacer avec S44'!$C:$BQ,52,0)</f>
        <v>117.8</v>
      </c>
      <c r="I180" s="66">
        <f>VLOOKUP($A180,'S0 remplacer avec S44'!$C:$BQ,59,0)</f>
        <v>25</v>
      </c>
      <c r="J180" s="66">
        <f>VLOOKUP($A180,'S0 remplacer avec S44'!$C:$BQ,60,0)</f>
        <v>54</v>
      </c>
      <c r="K180" s="58">
        <f>VLOOKUP($A180,'S45'!$C:$BQ,32,0)</f>
        <v>188.75</v>
      </c>
      <c r="L180" s="58">
        <f>VLOOKUP($A180,'S45'!$C:$BQ,39,0)</f>
        <v>92</v>
      </c>
      <c r="M180" s="58">
        <f>VLOOKUP($A180,'S45'!$C:$BQ,40,0)</f>
        <v>148</v>
      </c>
      <c r="N180" s="58">
        <f>VLOOKUP($A180,'S45'!$C:$BQ,22,0)</f>
        <v>2214.1033649999999</v>
      </c>
      <c r="O180" s="66">
        <f>VLOOKUP($A180,'S45'!$C:$BQ,29,0)</f>
        <v>336</v>
      </c>
      <c r="P180" s="66">
        <f>VLOOKUP($A180,'S45'!$C:$BQ,30,0)</f>
        <v>846</v>
      </c>
      <c r="Q180" s="66">
        <f>VLOOKUP($A180,'S45'!$C:$BQ,52,0)</f>
        <v>118.8</v>
      </c>
      <c r="R180" s="66">
        <f>VLOOKUP($A180,'S45'!$C:$BQ,59,0)</f>
        <v>24</v>
      </c>
      <c r="S180" s="66">
        <f>VLOOKUP($A180,'S45'!$C:$BQ,60,0)</f>
        <v>53</v>
      </c>
      <c r="T180" s="58">
        <f>VLOOKUP($A180,'S46'!$C:$BQ,32,0)</f>
        <v>186.35</v>
      </c>
      <c r="U180" s="58">
        <f>VLOOKUP($A180,'S46'!$C:$BQ,39,0)</f>
        <v>94</v>
      </c>
      <c r="V180" s="58">
        <f>VLOOKUP($A180,'S46'!$C:$BQ,40,0)</f>
        <v>151</v>
      </c>
      <c r="W180" s="58">
        <f>VLOOKUP($A180,'S46'!$C:$BQ,22,0)</f>
        <v>2260.8500450000001</v>
      </c>
      <c r="X180" s="66">
        <f>VLOOKUP($A180,'S46'!$C:$BQ,29,0)</f>
        <v>289</v>
      </c>
      <c r="Y180" s="66">
        <f>VLOOKUP($A180,'S46'!$C:$BQ,30,0)</f>
        <v>799</v>
      </c>
      <c r="Z180" s="66">
        <f>VLOOKUP($A180,'S46'!$C:$BQ,52,0)</f>
        <v>119.8</v>
      </c>
      <c r="AA180" s="66">
        <f>VLOOKUP($A180,'S46'!$C:$BQ,59,0)</f>
        <v>23</v>
      </c>
      <c r="AB180" s="66">
        <f>VLOOKUP($A180,'S46'!$C:$BQ,60,0)</f>
        <v>52</v>
      </c>
      <c r="AC180" s="58">
        <f>VLOOKUP($A180,'S47'!$C:$BQ,32,0)</f>
        <v>187.35</v>
      </c>
      <c r="AD180" s="58">
        <f>VLOOKUP($A180,'S47'!$C:$BQ,39,0)</f>
        <v>93</v>
      </c>
      <c r="AE180" s="58">
        <f>VLOOKUP($A180,'S47'!$C:$BQ,40,0)</f>
        <v>150</v>
      </c>
      <c r="AF180" s="58">
        <f>VLOOKUP($A180,'S47'!$C:$BQ,22,0)</f>
        <v>2285.1937349999998</v>
      </c>
      <c r="AG180" s="66">
        <f>VLOOKUP($A180,'S47'!$C:$BQ,29,0)</f>
        <v>265</v>
      </c>
      <c r="AH180" s="66">
        <f>VLOOKUP($A180,'S47'!$C:$BQ,30,0)</f>
        <v>775</v>
      </c>
      <c r="AI180" s="66">
        <f>VLOOKUP($A180,'S47'!$C:$BQ,52,0)</f>
        <v>120.8</v>
      </c>
      <c r="AJ180" s="66">
        <f>VLOOKUP($A180,'S47'!$C:$BQ,59,0)</f>
        <v>22</v>
      </c>
      <c r="AK180" s="66">
        <f>VLOOKUP($A180,'S47'!$C:$BQ,60,0)</f>
        <v>51</v>
      </c>
      <c r="AL180" s="58" t="e">
        <f>VLOOKUP($A180,'S48'!$C:$BQ,32,0)</f>
        <v>#N/A</v>
      </c>
      <c r="AM180" s="58" t="e">
        <f>VLOOKUP($A180,'S48'!$C:$BQ,39,0)</f>
        <v>#N/A</v>
      </c>
      <c r="AN180" s="58" t="e">
        <f>VLOOKUP($A180,'S48'!$C:$BQ,40,0)</f>
        <v>#N/A</v>
      </c>
      <c r="AO180" s="58" t="e">
        <f>VLOOKUP($A180,'S48'!$C:$BQ,22,0)</f>
        <v>#N/A</v>
      </c>
      <c r="AP180" s="66" t="e">
        <f>VLOOKUP($A180,'S48'!$C:$BQ,29,0)</f>
        <v>#N/A</v>
      </c>
      <c r="AQ180" s="66" t="e">
        <f>VLOOKUP($A180,'S48'!$C:$BQ,30,0)</f>
        <v>#N/A</v>
      </c>
      <c r="AR180" s="66" t="e">
        <f>VLOOKUP($A180,'S48'!$C:$BQ,52,0)</f>
        <v>#N/A</v>
      </c>
      <c r="AS180" s="66" t="e">
        <f>VLOOKUP($A180,'S48'!$C:$BQ,59,0)</f>
        <v>#N/A</v>
      </c>
      <c r="AT180" s="66" t="e">
        <f>VLOOKUP($A180,'S48'!$C:$BQ,60,0)</f>
        <v>#N/A</v>
      </c>
      <c r="AU180" s="58" t="e">
        <f>VLOOKUP($A180,'S49'!$C:$BQ,32,0)</f>
        <v>#N/A</v>
      </c>
      <c r="AV180" s="58" t="e">
        <f>VLOOKUP($A180,'S49'!$C:$BQ,39,0)</f>
        <v>#N/A</v>
      </c>
      <c r="AW180" s="58" t="e">
        <f>VLOOKUP($A180,'S49'!$C:$BQ,40,0)</f>
        <v>#N/A</v>
      </c>
      <c r="AX180" s="58" t="e">
        <f>VLOOKUP($A180,'S49'!$C:$BQ,22,0)</f>
        <v>#N/A</v>
      </c>
      <c r="AY180" s="66" t="e">
        <f>VLOOKUP($A180,'S49'!$C:$BQ,29,0)</f>
        <v>#N/A</v>
      </c>
      <c r="AZ180" s="66" t="e">
        <f>VLOOKUP($A180,'S49'!$C:$BQ,30,0)</f>
        <v>#N/A</v>
      </c>
      <c r="BA180" s="66" t="e">
        <f>VLOOKUP($A180,'S49'!$C:$BQ,52,0)</f>
        <v>#N/A</v>
      </c>
      <c r="BB180" s="66" t="e">
        <f>VLOOKUP($A180,'S49'!$C:$BQ,59,0)</f>
        <v>#N/A</v>
      </c>
      <c r="BC180" s="66" t="e">
        <f>VLOOKUP($A180,'S49'!$C:$BQ,60,0)</f>
        <v>#N/A</v>
      </c>
      <c r="BD180" s="58" t="e">
        <f>VLOOKUP($A180,'S50'!$C:$BQ,32,0)</f>
        <v>#N/A</v>
      </c>
      <c r="BE180" s="58" t="e">
        <f>VLOOKUP($A180,'S50'!$C:$BQ,39,0)</f>
        <v>#N/A</v>
      </c>
      <c r="BF180" s="58" t="e">
        <f>VLOOKUP($A180,'S50'!$C:$BQ,40,0)</f>
        <v>#N/A</v>
      </c>
      <c r="BG180" s="58" t="e">
        <f>VLOOKUP($A180,'S50'!$C:$BQ,22,0)</f>
        <v>#N/A</v>
      </c>
      <c r="BH180" s="66" t="e">
        <f>VLOOKUP($A180,'S50'!$C:$BQ,29,0)</f>
        <v>#N/A</v>
      </c>
      <c r="BI180" s="66" t="e">
        <f>VLOOKUP($A180,'S50'!$C:$BQ,30,0)</f>
        <v>#N/A</v>
      </c>
      <c r="BJ180" s="66" t="e">
        <f>VLOOKUP($A180,'S50'!$C:$BQ,52,0)</f>
        <v>#N/A</v>
      </c>
      <c r="BK180" s="66" t="e">
        <f>VLOOKUP($A180,'S50'!$C:$BQ,59,0)</f>
        <v>#N/A</v>
      </c>
      <c r="BL180" s="66" t="e">
        <f>VLOOKUP($A180,'S50'!$C:$BQ,60,0)</f>
        <v>#N/A</v>
      </c>
    </row>
    <row r="181" spans="1:64" x14ac:dyDescent="0.2">
      <c r="A181" s="57" t="s">
        <v>248</v>
      </c>
      <c r="B181" s="58">
        <f>VLOOKUP($A181,'S0 remplacer avec S44'!$C:$BQ,32,0)</f>
        <v>171.6</v>
      </c>
      <c r="C181" s="58">
        <f>VLOOKUP($A181,'S0 remplacer avec S44'!$C:$BQ,39,0)</f>
        <v>114</v>
      </c>
      <c r="D181" s="58">
        <f>VLOOKUP($A181,'S0 remplacer avec S44'!$C:$BQ,40,0)</f>
        <v>171</v>
      </c>
      <c r="E181" s="58">
        <f>VLOOKUP($A181,'S0 remplacer avec S44'!$C:$BQ,22,0)</f>
        <v>1735.282305</v>
      </c>
      <c r="F181" s="66">
        <f>VLOOKUP($A181,'S0 remplacer avec S44'!$C:$BQ,29,0)</f>
        <v>855</v>
      </c>
      <c r="G181" s="66">
        <f>VLOOKUP($A181,'S0 remplacer avec S44'!$C:$BQ,30,0)</f>
        <v>1373</v>
      </c>
      <c r="H181" s="66">
        <f>VLOOKUP($A181,'S0 remplacer avec S44'!$C:$BQ,52,0)</f>
        <v>137</v>
      </c>
      <c r="I181" s="66">
        <f>VLOOKUP($A181,'S0 remplacer avec S44'!$C:$BQ,59,0)</f>
        <v>8</v>
      </c>
      <c r="J181" s="66">
        <f>VLOOKUP($A181,'S0 remplacer avec S44'!$C:$BQ,60,0)</f>
        <v>37</v>
      </c>
      <c r="K181" s="58">
        <f>VLOOKUP($A181,'S45'!$C:$BQ,32,0)</f>
        <v>169.3</v>
      </c>
      <c r="L181" s="58">
        <f>VLOOKUP($A181,'S45'!$C:$BQ,39,0)</f>
        <v>116</v>
      </c>
      <c r="M181" s="58">
        <f>VLOOKUP($A181,'S45'!$C:$BQ,40,0)</f>
        <v>173</v>
      </c>
      <c r="N181" s="58">
        <f>VLOOKUP($A181,'S45'!$C:$BQ,22,0)</f>
        <v>1777.4402150000001</v>
      </c>
      <c r="O181" s="66">
        <f>VLOOKUP($A181,'S45'!$C:$BQ,29,0)</f>
        <v>813</v>
      </c>
      <c r="P181" s="66">
        <f>VLOOKUP($A181,'S45'!$C:$BQ,30,0)</f>
        <v>1331</v>
      </c>
      <c r="Q181" s="66">
        <f>VLOOKUP($A181,'S45'!$C:$BQ,52,0)</f>
        <v>141</v>
      </c>
      <c r="R181" s="66">
        <f>VLOOKUP($A181,'S45'!$C:$BQ,59,0)</f>
        <v>4</v>
      </c>
      <c r="S181" s="66">
        <f>VLOOKUP($A181,'S45'!$C:$BQ,60,0)</f>
        <v>33</v>
      </c>
      <c r="T181" s="58">
        <f>VLOOKUP($A181,'S46'!$C:$BQ,32,0)</f>
        <v>170.8</v>
      </c>
      <c r="U181" s="58">
        <f>VLOOKUP($A181,'S46'!$C:$BQ,39,0)</f>
        <v>114</v>
      </c>
      <c r="V181" s="58">
        <f>VLOOKUP($A181,'S46'!$C:$BQ,40,0)</f>
        <v>171</v>
      </c>
      <c r="W181" s="58">
        <f>VLOOKUP($A181,'S46'!$C:$BQ,22,0)</f>
        <v>1785.3928350000001</v>
      </c>
      <c r="X181" s="66">
        <f>VLOOKUP($A181,'S46'!$C:$BQ,29,0)</f>
        <v>805</v>
      </c>
      <c r="Y181" s="66">
        <f>VLOOKUP($A181,'S46'!$C:$BQ,30,0)</f>
        <v>1323</v>
      </c>
      <c r="Z181" s="66">
        <f>VLOOKUP($A181,'S46'!$C:$BQ,52,0)</f>
        <v>141</v>
      </c>
      <c r="AA181" s="66">
        <f>VLOOKUP($A181,'S46'!$C:$BQ,59,0)</f>
        <v>4</v>
      </c>
      <c r="AB181" s="66">
        <f>VLOOKUP($A181,'S46'!$C:$BQ,60,0)</f>
        <v>33</v>
      </c>
      <c r="AC181" s="58">
        <f>VLOOKUP($A181,'S47'!$C:$BQ,32,0)</f>
        <v>176.8</v>
      </c>
      <c r="AD181" s="58">
        <f>VLOOKUP($A181,'S47'!$C:$BQ,39,0)</f>
        <v>108</v>
      </c>
      <c r="AE181" s="58">
        <f>VLOOKUP($A181,'S47'!$C:$BQ,40,0)</f>
        <v>165</v>
      </c>
      <c r="AF181" s="58">
        <f>VLOOKUP($A181,'S47'!$C:$BQ,22,0)</f>
        <v>1792.9428949999999</v>
      </c>
      <c r="AG181" s="66">
        <f>VLOOKUP($A181,'S47'!$C:$BQ,29,0)</f>
        <v>797</v>
      </c>
      <c r="AH181" s="66">
        <f>VLOOKUP($A181,'S47'!$C:$BQ,30,0)</f>
        <v>1315</v>
      </c>
      <c r="AI181" s="66">
        <f>VLOOKUP($A181,'S47'!$C:$BQ,52,0)</f>
        <v>149</v>
      </c>
      <c r="AJ181" s="66">
        <f>VLOOKUP($A181,'S47'!$C:$BQ,59,0)</f>
        <v>0</v>
      </c>
      <c r="AK181" s="66">
        <f>VLOOKUP($A181,'S47'!$C:$BQ,60,0)</f>
        <v>25</v>
      </c>
      <c r="AL181" s="58" t="e">
        <f>VLOOKUP($A181,'S48'!$C:$BQ,32,0)</f>
        <v>#N/A</v>
      </c>
      <c r="AM181" s="58" t="e">
        <f>VLOOKUP($A181,'S48'!$C:$BQ,39,0)</f>
        <v>#N/A</v>
      </c>
      <c r="AN181" s="58" t="e">
        <f>VLOOKUP($A181,'S48'!$C:$BQ,40,0)</f>
        <v>#N/A</v>
      </c>
      <c r="AO181" s="58" t="e">
        <f>VLOOKUP($A181,'S48'!$C:$BQ,22,0)</f>
        <v>#N/A</v>
      </c>
      <c r="AP181" s="66" t="e">
        <f>VLOOKUP($A181,'S48'!$C:$BQ,29,0)</f>
        <v>#N/A</v>
      </c>
      <c r="AQ181" s="66" t="e">
        <f>VLOOKUP($A181,'S48'!$C:$BQ,30,0)</f>
        <v>#N/A</v>
      </c>
      <c r="AR181" s="66" t="e">
        <f>VLOOKUP($A181,'S48'!$C:$BQ,52,0)</f>
        <v>#N/A</v>
      </c>
      <c r="AS181" s="66" t="e">
        <f>VLOOKUP($A181,'S48'!$C:$BQ,59,0)</f>
        <v>#N/A</v>
      </c>
      <c r="AT181" s="66" t="e">
        <f>VLOOKUP($A181,'S48'!$C:$BQ,60,0)</f>
        <v>#N/A</v>
      </c>
      <c r="AU181" s="58" t="e">
        <f>VLOOKUP($A181,'S49'!$C:$BQ,32,0)</f>
        <v>#N/A</v>
      </c>
      <c r="AV181" s="58" t="e">
        <f>VLOOKUP($A181,'S49'!$C:$BQ,39,0)</f>
        <v>#N/A</v>
      </c>
      <c r="AW181" s="58" t="e">
        <f>VLOOKUP($A181,'S49'!$C:$BQ,40,0)</f>
        <v>#N/A</v>
      </c>
      <c r="AX181" s="58" t="e">
        <f>VLOOKUP($A181,'S49'!$C:$BQ,22,0)</f>
        <v>#N/A</v>
      </c>
      <c r="AY181" s="66" t="e">
        <f>VLOOKUP($A181,'S49'!$C:$BQ,29,0)</f>
        <v>#N/A</v>
      </c>
      <c r="AZ181" s="66" t="e">
        <f>VLOOKUP($A181,'S49'!$C:$BQ,30,0)</f>
        <v>#N/A</v>
      </c>
      <c r="BA181" s="66" t="e">
        <f>VLOOKUP($A181,'S49'!$C:$BQ,52,0)</f>
        <v>#N/A</v>
      </c>
      <c r="BB181" s="66" t="e">
        <f>VLOOKUP($A181,'S49'!$C:$BQ,59,0)</f>
        <v>#N/A</v>
      </c>
      <c r="BC181" s="66" t="e">
        <f>VLOOKUP($A181,'S49'!$C:$BQ,60,0)</f>
        <v>#N/A</v>
      </c>
      <c r="BD181" s="58" t="e">
        <f>VLOOKUP($A181,'S50'!$C:$BQ,32,0)</f>
        <v>#N/A</v>
      </c>
      <c r="BE181" s="58" t="e">
        <f>VLOOKUP($A181,'S50'!$C:$BQ,39,0)</f>
        <v>#N/A</v>
      </c>
      <c r="BF181" s="58" t="e">
        <f>VLOOKUP($A181,'S50'!$C:$BQ,40,0)</f>
        <v>#N/A</v>
      </c>
      <c r="BG181" s="58" t="e">
        <f>VLOOKUP($A181,'S50'!$C:$BQ,22,0)</f>
        <v>#N/A</v>
      </c>
      <c r="BH181" s="66" t="e">
        <f>VLOOKUP($A181,'S50'!$C:$BQ,29,0)</f>
        <v>#N/A</v>
      </c>
      <c r="BI181" s="66" t="e">
        <f>VLOOKUP($A181,'S50'!$C:$BQ,30,0)</f>
        <v>#N/A</v>
      </c>
      <c r="BJ181" s="66" t="e">
        <f>VLOOKUP($A181,'S50'!$C:$BQ,52,0)</f>
        <v>#N/A</v>
      </c>
      <c r="BK181" s="66" t="e">
        <f>VLOOKUP($A181,'S50'!$C:$BQ,59,0)</f>
        <v>#N/A</v>
      </c>
      <c r="BL181" s="66" t="e">
        <f>VLOOKUP($A181,'S50'!$C:$BQ,60,0)</f>
        <v>#N/A</v>
      </c>
    </row>
    <row r="182" spans="1:64" x14ac:dyDescent="0.2">
      <c r="A182" s="57" t="s">
        <v>249</v>
      </c>
      <c r="B182" s="58">
        <f>VLOOKUP($A182,'S0 remplacer avec S44'!$C:$BQ,32,0)</f>
        <v>112.8</v>
      </c>
      <c r="C182" s="58">
        <f>VLOOKUP($A182,'S0 remplacer avec S44'!$C:$BQ,39,0)</f>
        <v>79</v>
      </c>
      <c r="D182" s="58">
        <f>VLOOKUP($A182,'S0 remplacer avec S44'!$C:$BQ,40,0)</f>
        <v>117</v>
      </c>
      <c r="E182" s="58">
        <f>VLOOKUP($A182,'S0 remplacer avec S44'!$C:$BQ,22,0)</f>
        <v>1070.296705</v>
      </c>
      <c r="F182" s="66">
        <f>VLOOKUP($A182,'S0 remplacer avec S44'!$C:$BQ,29,0)</f>
        <v>669</v>
      </c>
      <c r="G182" s="66">
        <f>VLOOKUP($A182,'S0 remplacer avec S44'!$C:$BQ,30,0)</f>
        <v>1017</v>
      </c>
      <c r="H182" s="66">
        <f>VLOOKUP($A182,'S0 remplacer avec S44'!$C:$BQ,52,0)</f>
        <v>76</v>
      </c>
      <c r="I182" s="66">
        <f>VLOOKUP($A182,'S0 remplacer avec S44'!$C:$BQ,59,0)</f>
        <v>22</v>
      </c>
      <c r="J182" s="66">
        <f>VLOOKUP($A182,'S0 remplacer avec S44'!$C:$BQ,60,0)</f>
        <v>41</v>
      </c>
      <c r="K182" s="58">
        <f>VLOOKUP($A182,'S45'!$C:$BQ,32,0)</f>
        <v>114.3</v>
      </c>
      <c r="L182" s="58">
        <f>VLOOKUP($A182,'S45'!$C:$BQ,39,0)</f>
        <v>77</v>
      </c>
      <c r="M182" s="58">
        <f>VLOOKUP($A182,'S45'!$C:$BQ,40,0)</f>
        <v>116</v>
      </c>
      <c r="N182" s="58">
        <f>VLOOKUP($A182,'S45'!$C:$BQ,22,0)</f>
        <v>1093.8426449999999</v>
      </c>
      <c r="O182" s="66">
        <f>VLOOKUP($A182,'S45'!$C:$BQ,29,0)</f>
        <v>645</v>
      </c>
      <c r="P182" s="66">
        <f>VLOOKUP($A182,'S45'!$C:$BQ,30,0)</f>
        <v>993</v>
      </c>
      <c r="Q182" s="66">
        <f>VLOOKUP($A182,'S45'!$C:$BQ,52,0)</f>
        <v>77</v>
      </c>
      <c r="R182" s="66">
        <f>VLOOKUP($A182,'S45'!$C:$BQ,59,0)</f>
        <v>21</v>
      </c>
      <c r="S182" s="66">
        <f>VLOOKUP($A182,'S45'!$C:$BQ,60,0)</f>
        <v>40</v>
      </c>
      <c r="T182" s="58">
        <f>VLOOKUP($A182,'S46'!$C:$BQ,32,0)</f>
        <v>115.8</v>
      </c>
      <c r="U182" s="58">
        <f>VLOOKUP($A182,'S46'!$C:$BQ,39,0)</f>
        <v>76</v>
      </c>
      <c r="V182" s="58">
        <f>VLOOKUP($A182,'S46'!$C:$BQ,40,0)</f>
        <v>114</v>
      </c>
      <c r="W182" s="58">
        <f>VLOOKUP($A182,'S46'!$C:$BQ,22,0)</f>
        <v>1115.9660550000001</v>
      </c>
      <c r="X182" s="66">
        <f>VLOOKUP($A182,'S46'!$C:$BQ,29,0)</f>
        <v>623</v>
      </c>
      <c r="Y182" s="66">
        <f>VLOOKUP($A182,'S46'!$C:$BQ,30,0)</f>
        <v>971</v>
      </c>
      <c r="Z182" s="66">
        <f>VLOOKUP($A182,'S46'!$C:$BQ,52,0)</f>
        <v>79</v>
      </c>
      <c r="AA182" s="66">
        <f>VLOOKUP($A182,'S46'!$C:$BQ,59,0)</f>
        <v>19</v>
      </c>
      <c r="AB182" s="66">
        <f>VLOOKUP($A182,'S46'!$C:$BQ,60,0)</f>
        <v>38</v>
      </c>
      <c r="AC182" s="58">
        <f>VLOOKUP($A182,'S47'!$C:$BQ,32,0)</f>
        <v>119.8</v>
      </c>
      <c r="AD182" s="58">
        <f>VLOOKUP($A182,'S47'!$C:$BQ,39,0)</f>
        <v>72</v>
      </c>
      <c r="AE182" s="58">
        <f>VLOOKUP($A182,'S47'!$C:$BQ,40,0)</f>
        <v>110</v>
      </c>
      <c r="AF182" s="58">
        <f>VLOOKUP($A182,'S47'!$C:$BQ,22,0)</f>
        <v>1165.4873250000001</v>
      </c>
      <c r="AG182" s="66">
        <f>VLOOKUP($A182,'S47'!$C:$BQ,29,0)</f>
        <v>574</v>
      </c>
      <c r="AH182" s="66">
        <f>VLOOKUP($A182,'S47'!$C:$BQ,30,0)</f>
        <v>921</v>
      </c>
      <c r="AI182" s="66">
        <f>VLOOKUP($A182,'S47'!$C:$BQ,52,0)</f>
        <v>82</v>
      </c>
      <c r="AJ182" s="66">
        <f>VLOOKUP($A182,'S47'!$C:$BQ,59,0)</f>
        <v>16</v>
      </c>
      <c r="AK182" s="66">
        <f>VLOOKUP($A182,'S47'!$C:$BQ,60,0)</f>
        <v>35</v>
      </c>
      <c r="AL182" s="58" t="e">
        <f>VLOOKUP($A182,'S48'!$C:$BQ,32,0)</f>
        <v>#N/A</v>
      </c>
      <c r="AM182" s="58" t="e">
        <f>VLOOKUP($A182,'S48'!$C:$BQ,39,0)</f>
        <v>#N/A</v>
      </c>
      <c r="AN182" s="58" t="e">
        <f>VLOOKUP($A182,'S48'!$C:$BQ,40,0)</f>
        <v>#N/A</v>
      </c>
      <c r="AO182" s="58" t="e">
        <f>VLOOKUP($A182,'S48'!$C:$BQ,22,0)</f>
        <v>#N/A</v>
      </c>
      <c r="AP182" s="66" t="e">
        <f>VLOOKUP($A182,'S48'!$C:$BQ,29,0)</f>
        <v>#N/A</v>
      </c>
      <c r="AQ182" s="66" t="e">
        <f>VLOOKUP($A182,'S48'!$C:$BQ,30,0)</f>
        <v>#N/A</v>
      </c>
      <c r="AR182" s="66" t="e">
        <f>VLOOKUP($A182,'S48'!$C:$BQ,52,0)</f>
        <v>#N/A</v>
      </c>
      <c r="AS182" s="66" t="e">
        <f>VLOOKUP($A182,'S48'!$C:$BQ,59,0)</f>
        <v>#N/A</v>
      </c>
      <c r="AT182" s="66" t="e">
        <f>VLOOKUP($A182,'S48'!$C:$BQ,60,0)</f>
        <v>#N/A</v>
      </c>
      <c r="AU182" s="58" t="e">
        <f>VLOOKUP($A182,'S49'!$C:$BQ,32,0)</f>
        <v>#N/A</v>
      </c>
      <c r="AV182" s="58" t="e">
        <f>VLOOKUP($A182,'S49'!$C:$BQ,39,0)</f>
        <v>#N/A</v>
      </c>
      <c r="AW182" s="58" t="e">
        <f>VLOOKUP($A182,'S49'!$C:$BQ,40,0)</f>
        <v>#N/A</v>
      </c>
      <c r="AX182" s="58" t="e">
        <f>VLOOKUP($A182,'S49'!$C:$BQ,22,0)</f>
        <v>#N/A</v>
      </c>
      <c r="AY182" s="66" t="e">
        <f>VLOOKUP($A182,'S49'!$C:$BQ,29,0)</f>
        <v>#N/A</v>
      </c>
      <c r="AZ182" s="66" t="e">
        <f>VLOOKUP($A182,'S49'!$C:$BQ,30,0)</f>
        <v>#N/A</v>
      </c>
      <c r="BA182" s="66" t="e">
        <f>VLOOKUP($A182,'S49'!$C:$BQ,52,0)</f>
        <v>#N/A</v>
      </c>
      <c r="BB182" s="66" t="e">
        <f>VLOOKUP($A182,'S49'!$C:$BQ,59,0)</f>
        <v>#N/A</v>
      </c>
      <c r="BC182" s="66" t="e">
        <f>VLOOKUP($A182,'S49'!$C:$BQ,60,0)</f>
        <v>#N/A</v>
      </c>
      <c r="BD182" s="58" t="e">
        <f>VLOOKUP($A182,'S50'!$C:$BQ,32,0)</f>
        <v>#N/A</v>
      </c>
      <c r="BE182" s="58" t="e">
        <f>VLOOKUP($A182,'S50'!$C:$BQ,39,0)</f>
        <v>#N/A</v>
      </c>
      <c r="BF182" s="58" t="e">
        <f>VLOOKUP($A182,'S50'!$C:$BQ,40,0)</f>
        <v>#N/A</v>
      </c>
      <c r="BG182" s="58" t="e">
        <f>VLOOKUP($A182,'S50'!$C:$BQ,22,0)</f>
        <v>#N/A</v>
      </c>
      <c r="BH182" s="66" t="e">
        <f>VLOOKUP($A182,'S50'!$C:$BQ,29,0)</f>
        <v>#N/A</v>
      </c>
      <c r="BI182" s="66" t="e">
        <f>VLOOKUP($A182,'S50'!$C:$BQ,30,0)</f>
        <v>#N/A</v>
      </c>
      <c r="BJ182" s="66" t="e">
        <f>VLOOKUP($A182,'S50'!$C:$BQ,52,0)</f>
        <v>#N/A</v>
      </c>
      <c r="BK182" s="66" t="e">
        <f>VLOOKUP($A182,'S50'!$C:$BQ,59,0)</f>
        <v>#N/A</v>
      </c>
      <c r="BL182" s="66" t="e">
        <f>VLOOKUP($A182,'S50'!$C:$BQ,60,0)</f>
        <v>#N/A</v>
      </c>
    </row>
    <row r="183" spans="1:64" x14ac:dyDescent="0.2">
      <c r="A183" s="57" t="s">
        <v>250</v>
      </c>
      <c r="B183" s="58">
        <f>VLOOKUP($A183,'S0 remplacer avec S44'!$C:$BQ,32,0)</f>
        <v>183.9</v>
      </c>
      <c r="C183" s="58">
        <f>VLOOKUP($A183,'S0 remplacer avec S44'!$C:$BQ,39,0)</f>
        <v>64</v>
      </c>
      <c r="D183" s="58">
        <f>VLOOKUP($A183,'S0 remplacer avec S44'!$C:$BQ,40,0)</f>
        <v>113</v>
      </c>
      <c r="E183" s="58">
        <f>VLOOKUP($A183,'S0 remplacer avec S44'!$C:$BQ,22,0)</f>
        <v>1871.66551</v>
      </c>
      <c r="F183" s="66">
        <f>VLOOKUP($A183,'S0 remplacer avec S44'!$C:$BQ,29,0)</f>
        <v>377</v>
      </c>
      <c r="G183" s="66">
        <f>VLOOKUP($A183,'S0 remplacer avec S44'!$C:$BQ,30,0)</f>
        <v>827</v>
      </c>
      <c r="H183" s="66">
        <f>VLOOKUP($A183,'S0 remplacer avec S44'!$C:$BQ,52,0)</f>
        <v>206.6</v>
      </c>
      <c r="I183" s="66">
        <f>VLOOKUP($A183,'S0 remplacer avec S44'!$C:$BQ,59,0)</f>
        <v>0</v>
      </c>
      <c r="J183" s="66">
        <f>VLOOKUP($A183,'S0 remplacer avec S44'!$C:$BQ,60,0)</f>
        <v>0</v>
      </c>
      <c r="K183" s="58">
        <f>VLOOKUP($A183,'S45'!$C:$BQ,32,0)</f>
        <v>185.9</v>
      </c>
      <c r="L183" s="58">
        <f>VLOOKUP($A183,'S45'!$C:$BQ,39,0)</f>
        <v>62</v>
      </c>
      <c r="M183" s="58">
        <f>VLOOKUP($A183,'S45'!$C:$BQ,40,0)</f>
        <v>111</v>
      </c>
      <c r="N183" s="58">
        <f>VLOOKUP($A183,'S45'!$C:$BQ,22,0)</f>
        <v>1875.15805</v>
      </c>
      <c r="O183" s="66">
        <f>VLOOKUP($A183,'S45'!$C:$BQ,29,0)</f>
        <v>374</v>
      </c>
      <c r="P183" s="66">
        <f>VLOOKUP($A183,'S45'!$C:$BQ,30,0)</f>
        <v>824</v>
      </c>
      <c r="Q183" s="66">
        <f>VLOOKUP($A183,'S45'!$C:$BQ,52,0)</f>
        <v>207.6</v>
      </c>
      <c r="R183" s="66">
        <f>VLOOKUP($A183,'S45'!$C:$BQ,59,0)</f>
        <v>0</v>
      </c>
      <c r="S183" s="66">
        <f>VLOOKUP($A183,'S45'!$C:$BQ,60,0)</f>
        <v>0</v>
      </c>
      <c r="T183" s="58">
        <f>VLOOKUP($A183,'S46'!$C:$BQ,32,0)</f>
        <v>185.9</v>
      </c>
      <c r="U183" s="58">
        <f>VLOOKUP($A183,'S46'!$C:$BQ,39,0)</f>
        <v>62</v>
      </c>
      <c r="V183" s="58">
        <f>VLOOKUP($A183,'S46'!$C:$BQ,40,0)</f>
        <v>111</v>
      </c>
      <c r="W183" s="58">
        <f>VLOOKUP($A183,'S46'!$C:$BQ,22,0)</f>
        <v>1901.55602</v>
      </c>
      <c r="X183" s="66">
        <f>VLOOKUP($A183,'S46'!$C:$BQ,29,0)</f>
        <v>348</v>
      </c>
      <c r="Y183" s="66">
        <f>VLOOKUP($A183,'S46'!$C:$BQ,30,0)</f>
        <v>797</v>
      </c>
      <c r="Z183" s="66">
        <f>VLOOKUP($A183,'S46'!$C:$BQ,52,0)</f>
        <v>212.6</v>
      </c>
      <c r="AA183" s="66">
        <f>VLOOKUP($A183,'S46'!$C:$BQ,59,0)</f>
        <v>0</v>
      </c>
      <c r="AB183" s="66">
        <f>VLOOKUP($A183,'S46'!$C:$BQ,60,0)</f>
        <v>0</v>
      </c>
      <c r="AC183" s="58">
        <f>VLOOKUP($A183,'S47'!$C:$BQ,32,0)</f>
        <v>189.9</v>
      </c>
      <c r="AD183" s="58">
        <f>VLOOKUP($A183,'S47'!$C:$BQ,39,0)</f>
        <v>58</v>
      </c>
      <c r="AE183" s="58">
        <f>VLOOKUP($A183,'S47'!$C:$BQ,40,0)</f>
        <v>107</v>
      </c>
      <c r="AF183" s="58">
        <f>VLOOKUP($A183,'S47'!$C:$BQ,22,0)</f>
        <v>1905.99947</v>
      </c>
      <c r="AG183" s="66">
        <f>VLOOKUP($A183,'S47'!$C:$BQ,29,0)</f>
        <v>343</v>
      </c>
      <c r="AH183" s="66">
        <f>VLOOKUP($A183,'S47'!$C:$BQ,30,0)</f>
        <v>793</v>
      </c>
      <c r="AI183" s="66">
        <f>VLOOKUP($A183,'S47'!$C:$BQ,52,0)</f>
        <v>220.6</v>
      </c>
      <c r="AJ183" s="66">
        <f>VLOOKUP($A183,'S47'!$C:$BQ,59,0)</f>
        <v>0</v>
      </c>
      <c r="AK183" s="66">
        <f>VLOOKUP($A183,'S47'!$C:$BQ,60,0)</f>
        <v>0</v>
      </c>
      <c r="AL183" s="58" t="e">
        <f>VLOOKUP($A183,'S48'!$C:$BQ,32,0)</f>
        <v>#N/A</v>
      </c>
      <c r="AM183" s="58" t="e">
        <f>VLOOKUP($A183,'S48'!$C:$BQ,39,0)</f>
        <v>#N/A</v>
      </c>
      <c r="AN183" s="58" t="e">
        <f>VLOOKUP($A183,'S48'!$C:$BQ,40,0)</f>
        <v>#N/A</v>
      </c>
      <c r="AO183" s="58" t="e">
        <f>VLOOKUP($A183,'S48'!$C:$BQ,22,0)</f>
        <v>#N/A</v>
      </c>
      <c r="AP183" s="66" t="e">
        <f>VLOOKUP($A183,'S48'!$C:$BQ,29,0)</f>
        <v>#N/A</v>
      </c>
      <c r="AQ183" s="66" t="e">
        <f>VLOOKUP($A183,'S48'!$C:$BQ,30,0)</f>
        <v>#N/A</v>
      </c>
      <c r="AR183" s="66" t="e">
        <f>VLOOKUP($A183,'S48'!$C:$BQ,52,0)</f>
        <v>#N/A</v>
      </c>
      <c r="AS183" s="66" t="e">
        <f>VLOOKUP($A183,'S48'!$C:$BQ,59,0)</f>
        <v>#N/A</v>
      </c>
      <c r="AT183" s="66" t="e">
        <f>VLOOKUP($A183,'S48'!$C:$BQ,60,0)</f>
        <v>#N/A</v>
      </c>
      <c r="AU183" s="58" t="e">
        <f>VLOOKUP($A183,'S49'!$C:$BQ,32,0)</f>
        <v>#N/A</v>
      </c>
      <c r="AV183" s="58" t="e">
        <f>VLOOKUP($A183,'S49'!$C:$BQ,39,0)</f>
        <v>#N/A</v>
      </c>
      <c r="AW183" s="58" t="e">
        <f>VLOOKUP($A183,'S49'!$C:$BQ,40,0)</f>
        <v>#N/A</v>
      </c>
      <c r="AX183" s="58" t="e">
        <f>VLOOKUP($A183,'S49'!$C:$BQ,22,0)</f>
        <v>#N/A</v>
      </c>
      <c r="AY183" s="66" t="e">
        <f>VLOOKUP($A183,'S49'!$C:$BQ,29,0)</f>
        <v>#N/A</v>
      </c>
      <c r="AZ183" s="66" t="e">
        <f>VLOOKUP($A183,'S49'!$C:$BQ,30,0)</f>
        <v>#N/A</v>
      </c>
      <c r="BA183" s="66" t="e">
        <f>VLOOKUP($A183,'S49'!$C:$BQ,52,0)</f>
        <v>#N/A</v>
      </c>
      <c r="BB183" s="66" t="e">
        <f>VLOOKUP($A183,'S49'!$C:$BQ,59,0)</f>
        <v>#N/A</v>
      </c>
      <c r="BC183" s="66" t="e">
        <f>VLOOKUP($A183,'S49'!$C:$BQ,60,0)</f>
        <v>#N/A</v>
      </c>
      <c r="BD183" s="58" t="e">
        <f>VLOOKUP($A183,'S50'!$C:$BQ,32,0)</f>
        <v>#N/A</v>
      </c>
      <c r="BE183" s="58" t="e">
        <f>VLOOKUP($A183,'S50'!$C:$BQ,39,0)</f>
        <v>#N/A</v>
      </c>
      <c r="BF183" s="58" t="e">
        <f>VLOOKUP($A183,'S50'!$C:$BQ,40,0)</f>
        <v>#N/A</v>
      </c>
      <c r="BG183" s="58" t="e">
        <f>VLOOKUP($A183,'S50'!$C:$BQ,22,0)</f>
        <v>#N/A</v>
      </c>
      <c r="BH183" s="66" t="e">
        <f>VLOOKUP($A183,'S50'!$C:$BQ,29,0)</f>
        <v>#N/A</v>
      </c>
      <c r="BI183" s="66" t="e">
        <f>VLOOKUP($A183,'S50'!$C:$BQ,30,0)</f>
        <v>#N/A</v>
      </c>
      <c r="BJ183" s="66" t="e">
        <f>VLOOKUP($A183,'S50'!$C:$BQ,52,0)</f>
        <v>#N/A</v>
      </c>
      <c r="BK183" s="66" t="e">
        <f>VLOOKUP($A183,'S50'!$C:$BQ,59,0)</f>
        <v>#N/A</v>
      </c>
      <c r="BL183" s="66" t="e">
        <f>VLOOKUP($A183,'S50'!$C:$BQ,60,0)</f>
        <v>#N/A</v>
      </c>
    </row>
    <row r="184" spans="1:64" x14ac:dyDescent="0.2">
      <c r="A184" s="57" t="s">
        <v>251</v>
      </c>
      <c r="B184" s="58">
        <f>VLOOKUP($A184,'S0 remplacer avec S44'!$C:$BQ,32,0)</f>
        <v>157.19999999999999</v>
      </c>
      <c r="C184" s="58">
        <f>VLOOKUP($A184,'S0 remplacer avec S44'!$C:$BQ,39,0)</f>
        <v>0</v>
      </c>
      <c r="D184" s="58">
        <f>VLOOKUP($A184,'S0 remplacer avec S44'!$C:$BQ,40,0)</f>
        <v>0</v>
      </c>
      <c r="E184" s="58">
        <f>VLOOKUP($A184,'S0 remplacer avec S44'!$C:$BQ,22,0)</f>
        <v>1254.1994549999999</v>
      </c>
      <c r="F184" s="66">
        <f>VLOOKUP($A184,'S0 remplacer avec S44'!$C:$BQ,29,0)</f>
        <v>0</v>
      </c>
      <c r="G184" s="66">
        <f>VLOOKUP($A184,'S0 remplacer avec S44'!$C:$BQ,30,0)</f>
        <v>4</v>
      </c>
      <c r="H184" s="66">
        <f>VLOOKUP($A184,'S0 remplacer avec S44'!$C:$BQ,52,0)</f>
        <v>85</v>
      </c>
      <c r="I184" s="66">
        <f>VLOOKUP($A184,'S0 remplacer avec S44'!$C:$BQ,59,0)</f>
        <v>0</v>
      </c>
      <c r="J184" s="66">
        <f>VLOOKUP($A184,'S0 remplacer avec S44'!$C:$BQ,60,0)</f>
        <v>0</v>
      </c>
      <c r="K184" s="58">
        <f>VLOOKUP($A184,'S45'!$C:$BQ,32,0)</f>
        <v>166.2</v>
      </c>
      <c r="L184" s="58">
        <f>VLOOKUP($A184,'S45'!$C:$BQ,39,0)</f>
        <v>0</v>
      </c>
      <c r="M184" s="58">
        <f>VLOOKUP($A184,'S45'!$C:$BQ,40,0)</f>
        <v>0</v>
      </c>
      <c r="N184" s="58">
        <f>VLOOKUP($A184,'S45'!$C:$BQ,22,0)</f>
        <v>1254.859455</v>
      </c>
      <c r="O184" s="66">
        <f>VLOOKUP($A184,'S45'!$C:$BQ,29,0)</f>
        <v>0</v>
      </c>
      <c r="P184" s="66">
        <f>VLOOKUP($A184,'S45'!$C:$BQ,30,0)</f>
        <v>3</v>
      </c>
      <c r="Q184" s="66">
        <f>VLOOKUP($A184,'S45'!$C:$BQ,52,0)</f>
        <v>88</v>
      </c>
      <c r="R184" s="66">
        <f>VLOOKUP($A184,'S45'!$C:$BQ,59,0)</f>
        <v>0</v>
      </c>
      <c r="S184" s="66">
        <f>VLOOKUP($A184,'S45'!$C:$BQ,60,0)</f>
        <v>0</v>
      </c>
      <c r="T184" s="58">
        <f>VLOOKUP($A184,'S46'!$C:$BQ,32,0)</f>
        <v>167.2</v>
      </c>
      <c r="U184" s="58">
        <f>VLOOKUP($A184,'S46'!$C:$BQ,39,0)</f>
        <v>0</v>
      </c>
      <c r="V184" s="58">
        <f>VLOOKUP($A184,'S46'!$C:$BQ,40,0)</f>
        <v>0</v>
      </c>
      <c r="W184" s="58">
        <f>VLOOKUP($A184,'S46'!$C:$BQ,22,0)</f>
        <v>1256.071265</v>
      </c>
      <c r="X184" s="66">
        <f>VLOOKUP($A184,'S46'!$C:$BQ,29,0)</f>
        <v>0</v>
      </c>
      <c r="Y184" s="66">
        <f>VLOOKUP($A184,'S46'!$C:$BQ,30,0)</f>
        <v>2</v>
      </c>
      <c r="Z184" s="66">
        <f>VLOOKUP($A184,'S46'!$C:$BQ,52,0)</f>
        <v>88</v>
      </c>
      <c r="AA184" s="66">
        <f>VLOOKUP($A184,'S46'!$C:$BQ,59,0)</f>
        <v>0</v>
      </c>
      <c r="AB184" s="66">
        <f>VLOOKUP($A184,'S46'!$C:$BQ,60,0)</f>
        <v>0</v>
      </c>
      <c r="AC184" s="58">
        <f>VLOOKUP($A184,'S47'!$C:$BQ,32,0)</f>
        <v>172.2</v>
      </c>
      <c r="AD184" s="58">
        <f>VLOOKUP($A184,'S47'!$C:$BQ,39,0)</f>
        <v>0</v>
      </c>
      <c r="AE184" s="58">
        <f>VLOOKUP($A184,'S47'!$C:$BQ,40,0)</f>
        <v>0</v>
      </c>
      <c r="AF184" s="58">
        <f>VLOOKUP($A184,'S47'!$C:$BQ,22,0)</f>
        <v>1268.6986850000001</v>
      </c>
      <c r="AG184" s="66">
        <f>VLOOKUP($A184,'S47'!$C:$BQ,29,0)</f>
        <v>0</v>
      </c>
      <c r="AH184" s="66">
        <f>VLOOKUP($A184,'S47'!$C:$BQ,30,0)</f>
        <v>0</v>
      </c>
      <c r="AI184" s="66">
        <f>VLOOKUP($A184,'S47'!$C:$BQ,52,0)</f>
        <v>90</v>
      </c>
      <c r="AJ184" s="66">
        <f>VLOOKUP($A184,'S47'!$C:$BQ,59,0)</f>
        <v>0</v>
      </c>
      <c r="AK184" s="66">
        <f>VLOOKUP($A184,'S47'!$C:$BQ,60,0)</f>
        <v>0</v>
      </c>
      <c r="AL184" s="58" t="e">
        <f>VLOOKUP($A184,'S48'!$C:$BQ,32,0)</f>
        <v>#N/A</v>
      </c>
      <c r="AM184" s="58" t="e">
        <f>VLOOKUP($A184,'S48'!$C:$BQ,39,0)</f>
        <v>#N/A</v>
      </c>
      <c r="AN184" s="58" t="e">
        <f>VLOOKUP($A184,'S48'!$C:$BQ,40,0)</f>
        <v>#N/A</v>
      </c>
      <c r="AO184" s="58" t="e">
        <f>VLOOKUP($A184,'S48'!$C:$BQ,22,0)</f>
        <v>#N/A</v>
      </c>
      <c r="AP184" s="66" t="e">
        <f>VLOOKUP($A184,'S48'!$C:$BQ,29,0)</f>
        <v>#N/A</v>
      </c>
      <c r="AQ184" s="66" t="e">
        <f>VLOOKUP($A184,'S48'!$C:$BQ,30,0)</f>
        <v>#N/A</v>
      </c>
      <c r="AR184" s="66" t="e">
        <f>VLOOKUP($A184,'S48'!$C:$BQ,52,0)</f>
        <v>#N/A</v>
      </c>
      <c r="AS184" s="66" t="e">
        <f>VLOOKUP($A184,'S48'!$C:$BQ,59,0)</f>
        <v>#N/A</v>
      </c>
      <c r="AT184" s="66" t="e">
        <f>VLOOKUP($A184,'S48'!$C:$BQ,60,0)</f>
        <v>#N/A</v>
      </c>
      <c r="AU184" s="58" t="e">
        <f>VLOOKUP($A184,'S49'!$C:$BQ,32,0)</f>
        <v>#N/A</v>
      </c>
      <c r="AV184" s="58" t="e">
        <f>VLOOKUP($A184,'S49'!$C:$BQ,39,0)</f>
        <v>#N/A</v>
      </c>
      <c r="AW184" s="58" t="e">
        <f>VLOOKUP($A184,'S49'!$C:$BQ,40,0)</f>
        <v>#N/A</v>
      </c>
      <c r="AX184" s="58" t="e">
        <f>VLOOKUP($A184,'S49'!$C:$BQ,22,0)</f>
        <v>#N/A</v>
      </c>
      <c r="AY184" s="66" t="e">
        <f>VLOOKUP($A184,'S49'!$C:$BQ,29,0)</f>
        <v>#N/A</v>
      </c>
      <c r="AZ184" s="66" t="e">
        <f>VLOOKUP($A184,'S49'!$C:$BQ,30,0)</f>
        <v>#N/A</v>
      </c>
      <c r="BA184" s="66" t="e">
        <f>VLOOKUP($A184,'S49'!$C:$BQ,52,0)</f>
        <v>#N/A</v>
      </c>
      <c r="BB184" s="66" t="e">
        <f>VLOOKUP($A184,'S49'!$C:$BQ,59,0)</f>
        <v>#N/A</v>
      </c>
      <c r="BC184" s="66" t="e">
        <f>VLOOKUP($A184,'S49'!$C:$BQ,60,0)</f>
        <v>#N/A</v>
      </c>
      <c r="BD184" s="58" t="e">
        <f>VLOOKUP($A184,'S50'!$C:$BQ,32,0)</f>
        <v>#N/A</v>
      </c>
      <c r="BE184" s="58" t="e">
        <f>VLOOKUP($A184,'S50'!$C:$BQ,39,0)</f>
        <v>#N/A</v>
      </c>
      <c r="BF184" s="58" t="e">
        <f>VLOOKUP($A184,'S50'!$C:$BQ,40,0)</f>
        <v>#N/A</v>
      </c>
      <c r="BG184" s="58" t="e">
        <f>VLOOKUP($A184,'S50'!$C:$BQ,22,0)</f>
        <v>#N/A</v>
      </c>
      <c r="BH184" s="66" t="e">
        <f>VLOOKUP($A184,'S50'!$C:$BQ,29,0)</f>
        <v>#N/A</v>
      </c>
      <c r="BI184" s="66" t="e">
        <f>VLOOKUP($A184,'S50'!$C:$BQ,30,0)</f>
        <v>#N/A</v>
      </c>
      <c r="BJ184" s="66" t="e">
        <f>VLOOKUP($A184,'S50'!$C:$BQ,52,0)</f>
        <v>#N/A</v>
      </c>
      <c r="BK184" s="66" t="e">
        <f>VLOOKUP($A184,'S50'!$C:$BQ,59,0)</f>
        <v>#N/A</v>
      </c>
      <c r="BL184" s="66" t="e">
        <f>VLOOKUP($A184,'S50'!$C:$BQ,60,0)</f>
        <v>#N/A</v>
      </c>
    </row>
    <row r="185" spans="1:64" x14ac:dyDescent="0.2">
      <c r="A185" s="57" t="s">
        <v>252</v>
      </c>
      <c r="B185" s="58">
        <f>VLOOKUP($A185,'S0 remplacer avec S44'!$C:$BQ,32,0)</f>
        <v>157.69999999999999</v>
      </c>
      <c r="C185" s="58">
        <f>VLOOKUP($A185,'S0 remplacer avec S44'!$C:$BQ,39,0)</f>
        <v>33</v>
      </c>
      <c r="D185" s="58">
        <f>VLOOKUP($A185,'S0 remplacer avec S44'!$C:$BQ,40,0)</f>
        <v>71</v>
      </c>
      <c r="E185" s="58">
        <f>VLOOKUP($A185,'S0 remplacer avec S44'!$C:$BQ,22,0)</f>
        <v>1875.136645</v>
      </c>
      <c r="F185" s="66">
        <f>VLOOKUP($A185,'S0 remplacer avec S44'!$C:$BQ,29,0)</f>
        <v>0</v>
      </c>
      <c r="G185" s="66">
        <f>VLOOKUP($A185,'S0 remplacer avec S44'!$C:$BQ,30,0)</f>
        <v>197</v>
      </c>
      <c r="H185" s="66">
        <f>VLOOKUP($A185,'S0 remplacer avec S44'!$C:$BQ,52,0)</f>
        <v>93</v>
      </c>
      <c r="I185" s="66">
        <f>VLOOKUP($A185,'S0 remplacer avec S44'!$C:$BQ,59,0)</f>
        <v>4</v>
      </c>
      <c r="J185" s="66">
        <f>VLOOKUP($A185,'S0 remplacer avec S44'!$C:$BQ,60,0)</f>
        <v>23</v>
      </c>
      <c r="K185" s="58">
        <f>VLOOKUP($A185,'S45'!$C:$BQ,32,0)</f>
        <v>159.69999999999999</v>
      </c>
      <c r="L185" s="58">
        <f>VLOOKUP($A185,'S45'!$C:$BQ,39,0)</f>
        <v>31</v>
      </c>
      <c r="M185" s="58">
        <f>VLOOKUP($A185,'S45'!$C:$BQ,40,0)</f>
        <v>69</v>
      </c>
      <c r="N185" s="58">
        <f>VLOOKUP($A185,'S45'!$C:$BQ,22,0)</f>
        <v>1966.321745</v>
      </c>
      <c r="O185" s="66">
        <f>VLOOKUP($A185,'S45'!$C:$BQ,29,0)</f>
        <v>0</v>
      </c>
      <c r="P185" s="66">
        <f>VLOOKUP($A185,'S45'!$C:$BQ,30,0)</f>
        <v>105</v>
      </c>
      <c r="Q185" s="66">
        <f>VLOOKUP($A185,'S45'!$C:$BQ,52,0)</f>
        <v>99</v>
      </c>
      <c r="R185" s="66">
        <f>VLOOKUP($A185,'S45'!$C:$BQ,59,0)</f>
        <v>0</v>
      </c>
      <c r="S185" s="66">
        <f>VLOOKUP($A185,'S45'!$C:$BQ,60,0)</f>
        <v>17</v>
      </c>
      <c r="T185" s="58">
        <f>VLOOKUP($A185,'S46'!$C:$BQ,32,0)</f>
        <v>159.69999999999999</v>
      </c>
      <c r="U185" s="58">
        <f>VLOOKUP($A185,'S46'!$C:$BQ,39,0)</f>
        <v>31</v>
      </c>
      <c r="V185" s="58">
        <f>VLOOKUP($A185,'S46'!$C:$BQ,40,0)</f>
        <v>69</v>
      </c>
      <c r="W185" s="58">
        <f>VLOOKUP($A185,'S46'!$C:$BQ,22,0)</f>
        <v>1921.601625</v>
      </c>
      <c r="X185" s="66">
        <f>VLOOKUP($A185,'S46'!$C:$BQ,29,0)</f>
        <v>0</v>
      </c>
      <c r="Y185" s="66">
        <f>VLOOKUP($A185,'S46'!$C:$BQ,30,0)</f>
        <v>150</v>
      </c>
      <c r="Z185" s="66">
        <f>VLOOKUP($A185,'S46'!$C:$BQ,52,0)</f>
        <v>99</v>
      </c>
      <c r="AA185" s="66">
        <f>VLOOKUP($A185,'S46'!$C:$BQ,59,0)</f>
        <v>0</v>
      </c>
      <c r="AB185" s="66">
        <f>VLOOKUP($A185,'S46'!$C:$BQ,60,0)</f>
        <v>17</v>
      </c>
      <c r="AC185" s="58">
        <f>VLOOKUP($A185,'S47'!$C:$BQ,32,0)</f>
        <v>156.69999999999999</v>
      </c>
      <c r="AD185" s="58">
        <f>VLOOKUP($A185,'S47'!$C:$BQ,39,0)</f>
        <v>34</v>
      </c>
      <c r="AE185" s="58">
        <f>VLOOKUP($A185,'S47'!$C:$BQ,40,0)</f>
        <v>72</v>
      </c>
      <c r="AF185" s="58">
        <f>VLOOKUP($A185,'S47'!$C:$BQ,22,0)</f>
        <v>1973.7178449999999</v>
      </c>
      <c r="AG185" s="66">
        <f>VLOOKUP($A185,'S47'!$C:$BQ,29,0)</f>
        <v>0</v>
      </c>
      <c r="AH185" s="66">
        <f>VLOOKUP($A185,'S47'!$C:$BQ,30,0)</f>
        <v>98</v>
      </c>
      <c r="AI185" s="66">
        <f>VLOOKUP($A185,'S47'!$C:$BQ,52,0)</f>
        <v>103</v>
      </c>
      <c r="AJ185" s="66">
        <f>VLOOKUP($A185,'S47'!$C:$BQ,59,0)</f>
        <v>0</v>
      </c>
      <c r="AK185" s="66">
        <f>VLOOKUP($A185,'S47'!$C:$BQ,60,0)</f>
        <v>13</v>
      </c>
      <c r="AL185" s="58" t="e">
        <f>VLOOKUP($A185,'S48'!$C:$BQ,32,0)</f>
        <v>#N/A</v>
      </c>
      <c r="AM185" s="58" t="e">
        <f>VLOOKUP($A185,'S48'!$C:$BQ,39,0)</f>
        <v>#N/A</v>
      </c>
      <c r="AN185" s="58" t="e">
        <f>VLOOKUP($A185,'S48'!$C:$BQ,40,0)</f>
        <v>#N/A</v>
      </c>
      <c r="AO185" s="58" t="e">
        <f>VLOOKUP($A185,'S48'!$C:$BQ,22,0)</f>
        <v>#N/A</v>
      </c>
      <c r="AP185" s="66" t="e">
        <f>VLOOKUP($A185,'S48'!$C:$BQ,29,0)</f>
        <v>#N/A</v>
      </c>
      <c r="AQ185" s="66" t="e">
        <f>VLOOKUP($A185,'S48'!$C:$BQ,30,0)</f>
        <v>#N/A</v>
      </c>
      <c r="AR185" s="66" t="e">
        <f>VLOOKUP($A185,'S48'!$C:$BQ,52,0)</f>
        <v>#N/A</v>
      </c>
      <c r="AS185" s="66" t="e">
        <f>VLOOKUP($A185,'S48'!$C:$BQ,59,0)</f>
        <v>#N/A</v>
      </c>
      <c r="AT185" s="66" t="e">
        <f>VLOOKUP($A185,'S48'!$C:$BQ,60,0)</f>
        <v>#N/A</v>
      </c>
      <c r="AU185" s="58" t="e">
        <f>VLOOKUP($A185,'S49'!$C:$BQ,32,0)</f>
        <v>#N/A</v>
      </c>
      <c r="AV185" s="58" t="e">
        <f>VLOOKUP($A185,'S49'!$C:$BQ,39,0)</f>
        <v>#N/A</v>
      </c>
      <c r="AW185" s="58" t="e">
        <f>VLOOKUP($A185,'S49'!$C:$BQ,40,0)</f>
        <v>#N/A</v>
      </c>
      <c r="AX185" s="58" t="e">
        <f>VLOOKUP($A185,'S49'!$C:$BQ,22,0)</f>
        <v>#N/A</v>
      </c>
      <c r="AY185" s="66" t="e">
        <f>VLOOKUP($A185,'S49'!$C:$BQ,29,0)</f>
        <v>#N/A</v>
      </c>
      <c r="AZ185" s="66" t="e">
        <f>VLOOKUP($A185,'S49'!$C:$BQ,30,0)</f>
        <v>#N/A</v>
      </c>
      <c r="BA185" s="66" t="e">
        <f>VLOOKUP($A185,'S49'!$C:$BQ,52,0)</f>
        <v>#N/A</v>
      </c>
      <c r="BB185" s="66" t="e">
        <f>VLOOKUP($A185,'S49'!$C:$BQ,59,0)</f>
        <v>#N/A</v>
      </c>
      <c r="BC185" s="66" t="e">
        <f>VLOOKUP($A185,'S49'!$C:$BQ,60,0)</f>
        <v>#N/A</v>
      </c>
      <c r="BD185" s="58" t="e">
        <f>VLOOKUP($A185,'S50'!$C:$BQ,32,0)</f>
        <v>#N/A</v>
      </c>
      <c r="BE185" s="58" t="e">
        <f>VLOOKUP($A185,'S50'!$C:$BQ,39,0)</f>
        <v>#N/A</v>
      </c>
      <c r="BF185" s="58" t="e">
        <f>VLOOKUP($A185,'S50'!$C:$BQ,40,0)</f>
        <v>#N/A</v>
      </c>
      <c r="BG185" s="58" t="e">
        <f>VLOOKUP($A185,'S50'!$C:$BQ,22,0)</f>
        <v>#N/A</v>
      </c>
      <c r="BH185" s="66" t="e">
        <f>VLOOKUP($A185,'S50'!$C:$BQ,29,0)</f>
        <v>#N/A</v>
      </c>
      <c r="BI185" s="66" t="e">
        <f>VLOOKUP($A185,'S50'!$C:$BQ,30,0)</f>
        <v>#N/A</v>
      </c>
      <c r="BJ185" s="66" t="e">
        <f>VLOOKUP($A185,'S50'!$C:$BQ,52,0)</f>
        <v>#N/A</v>
      </c>
      <c r="BK185" s="66" t="e">
        <f>VLOOKUP($A185,'S50'!$C:$BQ,59,0)</f>
        <v>#N/A</v>
      </c>
      <c r="BL185" s="66" t="e">
        <f>VLOOKUP($A185,'S50'!$C:$BQ,60,0)</f>
        <v>#N/A</v>
      </c>
    </row>
    <row r="186" spans="1:64" x14ac:dyDescent="0.2">
      <c r="A186" s="57" t="s">
        <v>253</v>
      </c>
      <c r="B186" s="58">
        <f>VLOOKUP($A186,'S0 remplacer avec S44'!$C:$BQ,32,0)</f>
        <v>157.85</v>
      </c>
      <c r="C186" s="58">
        <f>VLOOKUP($A186,'S0 remplacer avec S44'!$C:$BQ,39,0)</f>
        <v>13</v>
      </c>
      <c r="D186" s="58">
        <f>VLOOKUP($A186,'S0 remplacer avec S44'!$C:$BQ,40,0)</f>
        <v>47</v>
      </c>
      <c r="E186" s="58">
        <f>VLOOKUP($A186,'S0 remplacer avec S44'!$C:$BQ,22,0)</f>
        <v>1580.3884499999999</v>
      </c>
      <c r="F186" s="66">
        <f>VLOOKUP($A186,'S0 remplacer avec S44'!$C:$BQ,29,0)</f>
        <v>0</v>
      </c>
      <c r="G186" s="66">
        <f>VLOOKUP($A186,'S0 remplacer avec S44'!$C:$BQ,30,0)</f>
        <v>275</v>
      </c>
      <c r="H186" s="66">
        <f>VLOOKUP($A186,'S0 remplacer avec S44'!$C:$BQ,52,0)</f>
        <v>91.4</v>
      </c>
      <c r="I186" s="66">
        <f>VLOOKUP($A186,'S0 remplacer avec S44'!$C:$BQ,59,0)</f>
        <v>0</v>
      </c>
      <c r="J186" s="66">
        <f>VLOOKUP($A186,'S0 remplacer avec S44'!$C:$BQ,60,0)</f>
        <v>13</v>
      </c>
      <c r="K186" s="58">
        <f>VLOOKUP($A186,'S45'!$C:$BQ,32,0)</f>
        <v>162.85</v>
      </c>
      <c r="L186" s="58">
        <f>VLOOKUP($A186,'S45'!$C:$BQ,39,0)</f>
        <v>8</v>
      </c>
      <c r="M186" s="58">
        <f>VLOOKUP($A186,'S45'!$C:$BQ,40,0)</f>
        <v>42</v>
      </c>
      <c r="N186" s="58">
        <f>VLOOKUP($A186,'S45'!$C:$BQ,22,0)</f>
        <v>1599.18246</v>
      </c>
      <c r="O186" s="66">
        <f>VLOOKUP($A186,'S45'!$C:$BQ,29,0)</f>
        <v>0</v>
      </c>
      <c r="P186" s="66">
        <f>VLOOKUP($A186,'S45'!$C:$BQ,30,0)</f>
        <v>256</v>
      </c>
      <c r="Q186" s="66">
        <f>VLOOKUP($A186,'S45'!$C:$BQ,52,0)</f>
        <v>92.4</v>
      </c>
      <c r="R186" s="66">
        <f>VLOOKUP($A186,'S45'!$C:$BQ,59,0)</f>
        <v>0</v>
      </c>
      <c r="S186" s="66">
        <f>VLOOKUP($A186,'S45'!$C:$BQ,60,0)</f>
        <v>12</v>
      </c>
      <c r="T186" s="58">
        <f>VLOOKUP($A186,'S46'!$C:$BQ,32,0)</f>
        <v>162.85</v>
      </c>
      <c r="U186" s="58">
        <f>VLOOKUP($A186,'S46'!$C:$BQ,39,0)</f>
        <v>8</v>
      </c>
      <c r="V186" s="58">
        <f>VLOOKUP($A186,'S46'!$C:$BQ,40,0)</f>
        <v>42</v>
      </c>
      <c r="W186" s="58">
        <f>VLOOKUP($A186,'S46'!$C:$BQ,22,0)</f>
        <v>1604.9930400000001</v>
      </c>
      <c r="X186" s="66">
        <f>VLOOKUP($A186,'S46'!$C:$BQ,29,0)</f>
        <v>0</v>
      </c>
      <c r="Y186" s="66">
        <f>VLOOKUP($A186,'S46'!$C:$BQ,30,0)</f>
        <v>250</v>
      </c>
      <c r="Z186" s="66">
        <f>VLOOKUP($A186,'S46'!$C:$BQ,52,0)</f>
        <v>94.4</v>
      </c>
      <c r="AA186" s="66">
        <f>VLOOKUP($A186,'S46'!$C:$BQ,59,0)</f>
        <v>0</v>
      </c>
      <c r="AB186" s="66">
        <f>VLOOKUP($A186,'S46'!$C:$BQ,60,0)</f>
        <v>10</v>
      </c>
      <c r="AC186" s="58">
        <f>VLOOKUP($A186,'S47'!$C:$BQ,32,0)</f>
        <v>166.35</v>
      </c>
      <c r="AD186" s="58">
        <f>VLOOKUP($A186,'S47'!$C:$BQ,39,0)</f>
        <v>4</v>
      </c>
      <c r="AE186" s="58">
        <f>VLOOKUP($A186,'S47'!$C:$BQ,40,0)</f>
        <v>38</v>
      </c>
      <c r="AF186" s="58">
        <f>VLOOKUP($A186,'S47'!$C:$BQ,22,0)</f>
        <v>1628.2635</v>
      </c>
      <c r="AG186" s="66">
        <f>VLOOKUP($A186,'S47'!$C:$BQ,29,0)</f>
        <v>0</v>
      </c>
      <c r="AH186" s="66">
        <f>VLOOKUP($A186,'S47'!$C:$BQ,30,0)</f>
        <v>227</v>
      </c>
      <c r="AI186" s="66">
        <f>VLOOKUP($A186,'S47'!$C:$BQ,52,0)</f>
        <v>96.4</v>
      </c>
      <c r="AJ186" s="66">
        <f>VLOOKUP($A186,'S47'!$C:$BQ,59,0)</f>
        <v>0</v>
      </c>
      <c r="AK186" s="66">
        <f>VLOOKUP($A186,'S47'!$C:$BQ,60,0)</f>
        <v>8</v>
      </c>
      <c r="AL186" s="58" t="e">
        <f>VLOOKUP($A186,'S48'!$C:$BQ,32,0)</f>
        <v>#N/A</v>
      </c>
      <c r="AM186" s="58" t="e">
        <f>VLOOKUP($A186,'S48'!$C:$BQ,39,0)</f>
        <v>#N/A</v>
      </c>
      <c r="AN186" s="58" t="e">
        <f>VLOOKUP($A186,'S48'!$C:$BQ,40,0)</f>
        <v>#N/A</v>
      </c>
      <c r="AO186" s="58" t="e">
        <f>VLOOKUP($A186,'S48'!$C:$BQ,22,0)</f>
        <v>#N/A</v>
      </c>
      <c r="AP186" s="66" t="e">
        <f>VLOOKUP($A186,'S48'!$C:$BQ,29,0)</f>
        <v>#N/A</v>
      </c>
      <c r="AQ186" s="66" t="e">
        <f>VLOOKUP($A186,'S48'!$C:$BQ,30,0)</f>
        <v>#N/A</v>
      </c>
      <c r="AR186" s="66" t="e">
        <f>VLOOKUP($A186,'S48'!$C:$BQ,52,0)</f>
        <v>#N/A</v>
      </c>
      <c r="AS186" s="66" t="e">
        <f>VLOOKUP($A186,'S48'!$C:$BQ,59,0)</f>
        <v>#N/A</v>
      </c>
      <c r="AT186" s="66" t="e">
        <f>VLOOKUP($A186,'S48'!$C:$BQ,60,0)</f>
        <v>#N/A</v>
      </c>
      <c r="AU186" s="58" t="e">
        <f>VLOOKUP($A186,'S49'!$C:$BQ,32,0)</f>
        <v>#N/A</v>
      </c>
      <c r="AV186" s="58" t="e">
        <f>VLOOKUP($A186,'S49'!$C:$BQ,39,0)</f>
        <v>#N/A</v>
      </c>
      <c r="AW186" s="58" t="e">
        <f>VLOOKUP($A186,'S49'!$C:$BQ,40,0)</f>
        <v>#N/A</v>
      </c>
      <c r="AX186" s="58" t="e">
        <f>VLOOKUP($A186,'S49'!$C:$BQ,22,0)</f>
        <v>#N/A</v>
      </c>
      <c r="AY186" s="66" t="e">
        <f>VLOOKUP($A186,'S49'!$C:$BQ,29,0)</f>
        <v>#N/A</v>
      </c>
      <c r="AZ186" s="66" t="e">
        <f>VLOOKUP($A186,'S49'!$C:$BQ,30,0)</f>
        <v>#N/A</v>
      </c>
      <c r="BA186" s="66" t="e">
        <f>VLOOKUP($A186,'S49'!$C:$BQ,52,0)</f>
        <v>#N/A</v>
      </c>
      <c r="BB186" s="66" t="e">
        <f>VLOOKUP($A186,'S49'!$C:$BQ,59,0)</f>
        <v>#N/A</v>
      </c>
      <c r="BC186" s="66" t="e">
        <f>VLOOKUP($A186,'S49'!$C:$BQ,60,0)</f>
        <v>#N/A</v>
      </c>
      <c r="BD186" s="58" t="e">
        <f>VLOOKUP($A186,'S50'!$C:$BQ,32,0)</f>
        <v>#N/A</v>
      </c>
      <c r="BE186" s="58" t="e">
        <f>VLOOKUP($A186,'S50'!$C:$BQ,39,0)</f>
        <v>#N/A</v>
      </c>
      <c r="BF186" s="58" t="e">
        <f>VLOOKUP($A186,'S50'!$C:$BQ,40,0)</f>
        <v>#N/A</v>
      </c>
      <c r="BG186" s="58" t="e">
        <f>VLOOKUP($A186,'S50'!$C:$BQ,22,0)</f>
        <v>#N/A</v>
      </c>
      <c r="BH186" s="66" t="e">
        <f>VLOOKUP($A186,'S50'!$C:$BQ,29,0)</f>
        <v>#N/A</v>
      </c>
      <c r="BI186" s="66" t="e">
        <f>VLOOKUP($A186,'S50'!$C:$BQ,30,0)</f>
        <v>#N/A</v>
      </c>
      <c r="BJ186" s="66" t="e">
        <f>VLOOKUP($A186,'S50'!$C:$BQ,52,0)</f>
        <v>#N/A</v>
      </c>
      <c r="BK186" s="66" t="e">
        <f>VLOOKUP($A186,'S50'!$C:$BQ,59,0)</f>
        <v>#N/A</v>
      </c>
      <c r="BL186" s="66" t="e">
        <f>VLOOKUP($A186,'S50'!$C:$BQ,60,0)</f>
        <v>#N/A</v>
      </c>
    </row>
    <row r="187" spans="1:64" x14ac:dyDescent="0.2">
      <c r="A187" s="57" t="s">
        <v>254</v>
      </c>
      <c r="B187" s="58">
        <f>VLOOKUP($A187,'S0 remplacer avec S44'!$C:$BQ,32,0)</f>
        <v>198.8</v>
      </c>
      <c r="C187" s="58">
        <f>VLOOKUP($A187,'S0 remplacer avec S44'!$C:$BQ,39,0)</f>
        <v>0</v>
      </c>
      <c r="D187" s="58">
        <f>VLOOKUP($A187,'S0 remplacer avec S44'!$C:$BQ,40,0)</f>
        <v>0</v>
      </c>
      <c r="E187" s="58">
        <f>VLOOKUP($A187,'S0 remplacer avec S44'!$C:$BQ,22,0)</f>
        <v>2053.2168799999999</v>
      </c>
      <c r="F187" s="66">
        <f>VLOOKUP($A187,'S0 remplacer avec S44'!$C:$BQ,29,0)</f>
        <v>0</v>
      </c>
      <c r="G187" s="66">
        <f>VLOOKUP($A187,'S0 remplacer avec S44'!$C:$BQ,30,0)</f>
        <v>0</v>
      </c>
      <c r="H187" s="66">
        <f>VLOOKUP($A187,'S0 remplacer avec S44'!$C:$BQ,52,0)</f>
        <v>138.19999999999999</v>
      </c>
      <c r="I187" s="66">
        <f>VLOOKUP($A187,'S0 remplacer avec S44'!$C:$BQ,59,0)</f>
        <v>0</v>
      </c>
      <c r="J187" s="66">
        <f>VLOOKUP($A187,'S0 remplacer avec S44'!$C:$BQ,60,0)</f>
        <v>0</v>
      </c>
      <c r="K187" s="58">
        <f>VLOOKUP($A187,'S45'!$C:$BQ,32,0)</f>
        <v>205.8</v>
      </c>
      <c r="L187" s="58">
        <f>VLOOKUP($A187,'S45'!$C:$BQ,39,0)</f>
        <v>0</v>
      </c>
      <c r="M187" s="58">
        <f>VLOOKUP($A187,'S45'!$C:$BQ,40,0)</f>
        <v>0</v>
      </c>
      <c r="N187" s="58">
        <f>VLOOKUP($A187,'S45'!$C:$BQ,22,0)</f>
        <v>2080.8781300000001</v>
      </c>
      <c r="O187" s="66">
        <f>VLOOKUP($A187,'S45'!$C:$BQ,29,0)</f>
        <v>0</v>
      </c>
      <c r="P187" s="66">
        <f>VLOOKUP($A187,'S45'!$C:$BQ,30,0)</f>
        <v>0</v>
      </c>
      <c r="Q187" s="66">
        <f>VLOOKUP($A187,'S45'!$C:$BQ,52,0)</f>
        <v>143.19999999999999</v>
      </c>
      <c r="R187" s="66">
        <f>VLOOKUP($A187,'S45'!$C:$BQ,59,0)</f>
        <v>0</v>
      </c>
      <c r="S187" s="66">
        <f>VLOOKUP($A187,'S45'!$C:$BQ,60,0)</f>
        <v>0</v>
      </c>
      <c r="T187" s="58">
        <f>VLOOKUP($A187,'S46'!$C:$BQ,32,0)</f>
        <v>207.8</v>
      </c>
      <c r="U187" s="58">
        <f>VLOOKUP($A187,'S46'!$C:$BQ,39,0)</f>
        <v>0</v>
      </c>
      <c r="V187" s="58">
        <f>VLOOKUP($A187,'S46'!$C:$BQ,40,0)</f>
        <v>0</v>
      </c>
      <c r="W187" s="58">
        <f>VLOOKUP($A187,'S46'!$C:$BQ,22,0)</f>
        <v>2084.77241</v>
      </c>
      <c r="X187" s="66">
        <f>VLOOKUP($A187,'S46'!$C:$BQ,29,0)</f>
        <v>0</v>
      </c>
      <c r="Y187" s="66">
        <f>VLOOKUP($A187,'S46'!$C:$BQ,30,0)</f>
        <v>0</v>
      </c>
      <c r="Z187" s="66">
        <f>VLOOKUP($A187,'S46'!$C:$BQ,52,0)</f>
        <v>144.19999999999999</v>
      </c>
      <c r="AA187" s="66">
        <f>VLOOKUP($A187,'S46'!$C:$BQ,59,0)</f>
        <v>0</v>
      </c>
      <c r="AB187" s="66">
        <f>VLOOKUP($A187,'S46'!$C:$BQ,60,0)</f>
        <v>0</v>
      </c>
      <c r="AC187" s="58">
        <f>VLOOKUP($A187,'S47'!$C:$BQ,32,0)</f>
        <v>210.3</v>
      </c>
      <c r="AD187" s="58">
        <f>VLOOKUP($A187,'S47'!$C:$BQ,39,0)</f>
        <v>0</v>
      </c>
      <c r="AE187" s="58">
        <f>VLOOKUP($A187,'S47'!$C:$BQ,40,0)</f>
        <v>0</v>
      </c>
      <c r="AF187" s="58">
        <f>VLOOKUP($A187,'S47'!$C:$BQ,22,0)</f>
        <v>2094.7393900000002</v>
      </c>
      <c r="AG187" s="66">
        <f>VLOOKUP($A187,'S47'!$C:$BQ,29,0)</f>
        <v>0</v>
      </c>
      <c r="AH187" s="66">
        <f>VLOOKUP($A187,'S47'!$C:$BQ,30,0)</f>
        <v>0</v>
      </c>
      <c r="AI187" s="66">
        <f>VLOOKUP($A187,'S47'!$C:$BQ,52,0)</f>
        <v>149.19999999999999</v>
      </c>
      <c r="AJ187" s="66">
        <f>VLOOKUP($A187,'S47'!$C:$BQ,59,0)</f>
        <v>0</v>
      </c>
      <c r="AK187" s="66">
        <f>VLOOKUP($A187,'S47'!$C:$BQ,60,0)</f>
        <v>0</v>
      </c>
      <c r="AL187" s="58" t="e">
        <f>VLOOKUP($A187,'S48'!$C:$BQ,32,0)</f>
        <v>#N/A</v>
      </c>
      <c r="AM187" s="58" t="e">
        <f>VLOOKUP($A187,'S48'!$C:$BQ,39,0)</f>
        <v>#N/A</v>
      </c>
      <c r="AN187" s="58" t="e">
        <f>VLOOKUP($A187,'S48'!$C:$BQ,40,0)</f>
        <v>#N/A</v>
      </c>
      <c r="AO187" s="58" t="e">
        <f>VLOOKUP($A187,'S48'!$C:$BQ,22,0)</f>
        <v>#N/A</v>
      </c>
      <c r="AP187" s="66" t="e">
        <f>VLOOKUP($A187,'S48'!$C:$BQ,29,0)</f>
        <v>#N/A</v>
      </c>
      <c r="AQ187" s="66" t="e">
        <f>VLOOKUP($A187,'S48'!$C:$BQ,30,0)</f>
        <v>#N/A</v>
      </c>
      <c r="AR187" s="66" t="e">
        <f>VLOOKUP($A187,'S48'!$C:$BQ,52,0)</f>
        <v>#N/A</v>
      </c>
      <c r="AS187" s="66" t="e">
        <f>VLOOKUP($A187,'S48'!$C:$BQ,59,0)</f>
        <v>#N/A</v>
      </c>
      <c r="AT187" s="66" t="e">
        <f>VLOOKUP($A187,'S48'!$C:$BQ,60,0)</f>
        <v>#N/A</v>
      </c>
      <c r="AU187" s="58" t="e">
        <f>VLOOKUP($A187,'S49'!$C:$BQ,32,0)</f>
        <v>#N/A</v>
      </c>
      <c r="AV187" s="58" t="e">
        <f>VLOOKUP($A187,'S49'!$C:$BQ,39,0)</f>
        <v>#N/A</v>
      </c>
      <c r="AW187" s="58" t="e">
        <f>VLOOKUP($A187,'S49'!$C:$BQ,40,0)</f>
        <v>#N/A</v>
      </c>
      <c r="AX187" s="58" t="e">
        <f>VLOOKUP($A187,'S49'!$C:$BQ,22,0)</f>
        <v>#N/A</v>
      </c>
      <c r="AY187" s="66" t="e">
        <f>VLOOKUP($A187,'S49'!$C:$BQ,29,0)</f>
        <v>#N/A</v>
      </c>
      <c r="AZ187" s="66" t="e">
        <f>VLOOKUP($A187,'S49'!$C:$BQ,30,0)</f>
        <v>#N/A</v>
      </c>
      <c r="BA187" s="66" t="e">
        <f>VLOOKUP($A187,'S49'!$C:$BQ,52,0)</f>
        <v>#N/A</v>
      </c>
      <c r="BB187" s="66" t="e">
        <f>VLOOKUP($A187,'S49'!$C:$BQ,59,0)</f>
        <v>#N/A</v>
      </c>
      <c r="BC187" s="66" t="e">
        <f>VLOOKUP($A187,'S49'!$C:$BQ,60,0)</f>
        <v>#N/A</v>
      </c>
      <c r="BD187" s="58" t="e">
        <f>VLOOKUP($A187,'S50'!$C:$BQ,32,0)</f>
        <v>#N/A</v>
      </c>
      <c r="BE187" s="58" t="e">
        <f>VLOOKUP($A187,'S50'!$C:$BQ,39,0)</f>
        <v>#N/A</v>
      </c>
      <c r="BF187" s="58" t="e">
        <f>VLOOKUP($A187,'S50'!$C:$BQ,40,0)</f>
        <v>#N/A</v>
      </c>
      <c r="BG187" s="58" t="e">
        <f>VLOOKUP($A187,'S50'!$C:$BQ,22,0)</f>
        <v>#N/A</v>
      </c>
      <c r="BH187" s="66" t="e">
        <f>VLOOKUP($A187,'S50'!$C:$BQ,29,0)</f>
        <v>#N/A</v>
      </c>
      <c r="BI187" s="66" t="e">
        <f>VLOOKUP($A187,'S50'!$C:$BQ,30,0)</f>
        <v>#N/A</v>
      </c>
      <c r="BJ187" s="66" t="e">
        <f>VLOOKUP($A187,'S50'!$C:$BQ,52,0)</f>
        <v>#N/A</v>
      </c>
      <c r="BK187" s="66" t="e">
        <f>VLOOKUP($A187,'S50'!$C:$BQ,59,0)</f>
        <v>#N/A</v>
      </c>
      <c r="BL187" s="66" t="e">
        <f>VLOOKUP($A187,'S50'!$C:$BQ,60,0)</f>
        <v>#N/A</v>
      </c>
    </row>
    <row r="188" spans="1:64" x14ac:dyDescent="0.2">
      <c r="A188" s="57" t="s">
        <v>255</v>
      </c>
      <c r="B188" s="58">
        <f>VLOOKUP($A188,'S0 remplacer avec S44'!$C:$BQ,32,0)</f>
        <v>134.80000000000001</v>
      </c>
      <c r="C188" s="58">
        <f>VLOOKUP($A188,'S0 remplacer avec S44'!$C:$BQ,39,0)</f>
        <v>87</v>
      </c>
      <c r="D188" s="58">
        <f>VLOOKUP($A188,'S0 remplacer avec S44'!$C:$BQ,40,0)</f>
        <v>132</v>
      </c>
      <c r="E188" s="58">
        <f>VLOOKUP($A188,'S0 remplacer avec S44'!$C:$BQ,22,0)</f>
        <v>1460.09935</v>
      </c>
      <c r="F188" s="66">
        <f>VLOOKUP($A188,'S0 remplacer avec S44'!$C:$BQ,29,0)</f>
        <v>555</v>
      </c>
      <c r="G188" s="66">
        <f>VLOOKUP($A188,'S0 remplacer avec S44'!$C:$BQ,30,0)</f>
        <v>958</v>
      </c>
      <c r="H188" s="66">
        <f>VLOOKUP($A188,'S0 remplacer avec S44'!$C:$BQ,52,0)</f>
        <v>101.4</v>
      </c>
      <c r="I188" s="66">
        <f>VLOOKUP($A188,'S0 remplacer avec S44'!$C:$BQ,59,0)</f>
        <v>12</v>
      </c>
      <c r="J188" s="66">
        <f>VLOOKUP($A188,'S0 remplacer avec S44'!$C:$BQ,60,0)</f>
        <v>34</v>
      </c>
      <c r="K188" s="58">
        <f>VLOOKUP($A188,'S45'!$C:$BQ,32,0)</f>
        <v>135.30000000000001</v>
      </c>
      <c r="L188" s="58">
        <f>VLOOKUP($A188,'S45'!$C:$BQ,39,0)</f>
        <v>87</v>
      </c>
      <c r="M188" s="58">
        <f>VLOOKUP($A188,'S45'!$C:$BQ,40,0)</f>
        <v>131</v>
      </c>
      <c r="N188" s="58">
        <f>VLOOKUP($A188,'S45'!$C:$BQ,22,0)</f>
        <v>1475.58889</v>
      </c>
      <c r="O188" s="66">
        <f>VLOOKUP($A188,'S45'!$C:$BQ,29,0)</f>
        <v>540</v>
      </c>
      <c r="P188" s="66">
        <f>VLOOKUP($A188,'S45'!$C:$BQ,30,0)</f>
        <v>943</v>
      </c>
      <c r="Q188" s="66">
        <f>VLOOKUP($A188,'S45'!$C:$BQ,52,0)</f>
        <v>108.4</v>
      </c>
      <c r="R188" s="66">
        <f>VLOOKUP($A188,'S45'!$C:$BQ,59,0)</f>
        <v>5</v>
      </c>
      <c r="S188" s="66">
        <f>VLOOKUP($A188,'S45'!$C:$BQ,60,0)</f>
        <v>27</v>
      </c>
      <c r="T188" s="58">
        <f>VLOOKUP($A188,'S46'!$C:$BQ,32,0)</f>
        <v>137.30000000000001</v>
      </c>
      <c r="U188" s="58">
        <f>VLOOKUP($A188,'S46'!$C:$BQ,39,0)</f>
        <v>85</v>
      </c>
      <c r="V188" s="58">
        <f>VLOOKUP($A188,'S46'!$C:$BQ,40,0)</f>
        <v>129</v>
      </c>
      <c r="W188" s="58">
        <f>VLOOKUP($A188,'S46'!$C:$BQ,22,0)</f>
        <v>1476.9475600000001</v>
      </c>
      <c r="X188" s="66">
        <f>VLOOKUP($A188,'S46'!$C:$BQ,29,0)</f>
        <v>539</v>
      </c>
      <c r="Y188" s="66">
        <f>VLOOKUP($A188,'S46'!$C:$BQ,30,0)</f>
        <v>942</v>
      </c>
      <c r="Z188" s="66">
        <f>VLOOKUP($A188,'S46'!$C:$BQ,52,0)</f>
        <v>109.4</v>
      </c>
      <c r="AA188" s="66">
        <f>VLOOKUP($A188,'S46'!$C:$BQ,59,0)</f>
        <v>4</v>
      </c>
      <c r="AB188" s="66">
        <f>VLOOKUP($A188,'S46'!$C:$BQ,60,0)</f>
        <v>26</v>
      </c>
      <c r="AC188" s="58">
        <f>VLOOKUP($A188,'S47'!$C:$BQ,32,0)</f>
        <v>139.30000000000001</v>
      </c>
      <c r="AD188" s="58">
        <f>VLOOKUP($A188,'S47'!$C:$BQ,39,0)</f>
        <v>83</v>
      </c>
      <c r="AE188" s="58">
        <f>VLOOKUP($A188,'S47'!$C:$BQ,40,0)</f>
        <v>127</v>
      </c>
      <c r="AF188" s="58">
        <f>VLOOKUP($A188,'S47'!$C:$BQ,22,0)</f>
        <v>1478.9396400000001</v>
      </c>
      <c r="AG188" s="66">
        <f>VLOOKUP($A188,'S47'!$C:$BQ,29,0)</f>
        <v>537</v>
      </c>
      <c r="AH188" s="66">
        <f>VLOOKUP($A188,'S47'!$C:$BQ,30,0)</f>
        <v>940</v>
      </c>
      <c r="AI188" s="66">
        <f>VLOOKUP($A188,'S47'!$C:$BQ,52,0)</f>
        <v>112.4</v>
      </c>
      <c r="AJ188" s="66">
        <f>VLOOKUP($A188,'S47'!$C:$BQ,59,0)</f>
        <v>1</v>
      </c>
      <c r="AK188" s="66">
        <f>VLOOKUP($A188,'S47'!$C:$BQ,60,0)</f>
        <v>23</v>
      </c>
      <c r="AL188" s="58" t="e">
        <f>VLOOKUP($A188,'S48'!$C:$BQ,32,0)</f>
        <v>#N/A</v>
      </c>
      <c r="AM188" s="58" t="e">
        <f>VLOOKUP($A188,'S48'!$C:$BQ,39,0)</f>
        <v>#N/A</v>
      </c>
      <c r="AN188" s="58" t="e">
        <f>VLOOKUP($A188,'S48'!$C:$BQ,40,0)</f>
        <v>#N/A</v>
      </c>
      <c r="AO188" s="58" t="e">
        <f>VLOOKUP($A188,'S48'!$C:$BQ,22,0)</f>
        <v>#N/A</v>
      </c>
      <c r="AP188" s="66" t="e">
        <f>VLOOKUP($A188,'S48'!$C:$BQ,29,0)</f>
        <v>#N/A</v>
      </c>
      <c r="AQ188" s="66" t="e">
        <f>VLOOKUP($A188,'S48'!$C:$BQ,30,0)</f>
        <v>#N/A</v>
      </c>
      <c r="AR188" s="66" t="e">
        <f>VLOOKUP($A188,'S48'!$C:$BQ,52,0)</f>
        <v>#N/A</v>
      </c>
      <c r="AS188" s="66" t="e">
        <f>VLOOKUP($A188,'S48'!$C:$BQ,59,0)</f>
        <v>#N/A</v>
      </c>
      <c r="AT188" s="66" t="e">
        <f>VLOOKUP($A188,'S48'!$C:$BQ,60,0)</f>
        <v>#N/A</v>
      </c>
      <c r="AU188" s="58" t="e">
        <f>VLOOKUP($A188,'S49'!$C:$BQ,32,0)</f>
        <v>#N/A</v>
      </c>
      <c r="AV188" s="58" t="e">
        <f>VLOOKUP($A188,'S49'!$C:$BQ,39,0)</f>
        <v>#N/A</v>
      </c>
      <c r="AW188" s="58" t="e">
        <f>VLOOKUP($A188,'S49'!$C:$BQ,40,0)</f>
        <v>#N/A</v>
      </c>
      <c r="AX188" s="58" t="e">
        <f>VLOOKUP($A188,'S49'!$C:$BQ,22,0)</f>
        <v>#N/A</v>
      </c>
      <c r="AY188" s="66" t="e">
        <f>VLOOKUP($A188,'S49'!$C:$BQ,29,0)</f>
        <v>#N/A</v>
      </c>
      <c r="AZ188" s="66" t="e">
        <f>VLOOKUP($A188,'S49'!$C:$BQ,30,0)</f>
        <v>#N/A</v>
      </c>
      <c r="BA188" s="66" t="e">
        <f>VLOOKUP($A188,'S49'!$C:$BQ,52,0)</f>
        <v>#N/A</v>
      </c>
      <c r="BB188" s="66" t="e">
        <f>VLOOKUP($A188,'S49'!$C:$BQ,59,0)</f>
        <v>#N/A</v>
      </c>
      <c r="BC188" s="66" t="e">
        <f>VLOOKUP($A188,'S49'!$C:$BQ,60,0)</f>
        <v>#N/A</v>
      </c>
      <c r="BD188" s="58" t="e">
        <f>VLOOKUP($A188,'S50'!$C:$BQ,32,0)</f>
        <v>#N/A</v>
      </c>
      <c r="BE188" s="58" t="e">
        <f>VLOOKUP($A188,'S50'!$C:$BQ,39,0)</f>
        <v>#N/A</v>
      </c>
      <c r="BF188" s="58" t="e">
        <f>VLOOKUP($A188,'S50'!$C:$BQ,40,0)</f>
        <v>#N/A</v>
      </c>
      <c r="BG188" s="58" t="e">
        <f>VLOOKUP($A188,'S50'!$C:$BQ,22,0)</f>
        <v>#N/A</v>
      </c>
      <c r="BH188" s="66" t="e">
        <f>VLOOKUP($A188,'S50'!$C:$BQ,29,0)</f>
        <v>#N/A</v>
      </c>
      <c r="BI188" s="66" t="e">
        <f>VLOOKUP($A188,'S50'!$C:$BQ,30,0)</f>
        <v>#N/A</v>
      </c>
      <c r="BJ188" s="66" t="e">
        <f>VLOOKUP($A188,'S50'!$C:$BQ,52,0)</f>
        <v>#N/A</v>
      </c>
      <c r="BK188" s="66" t="e">
        <f>VLOOKUP($A188,'S50'!$C:$BQ,59,0)</f>
        <v>#N/A</v>
      </c>
      <c r="BL188" s="66" t="e">
        <f>VLOOKUP($A188,'S50'!$C:$BQ,60,0)</f>
        <v>#N/A</v>
      </c>
    </row>
    <row r="189" spans="1:64" x14ac:dyDescent="0.2">
      <c r="A189" s="57" t="s">
        <v>256</v>
      </c>
      <c r="B189" s="58">
        <f>VLOOKUP($A189,'S0 remplacer avec S44'!$C:$BQ,32,0)</f>
        <v>414</v>
      </c>
      <c r="C189" s="58">
        <f>VLOOKUP($A189,'S0 remplacer avec S44'!$C:$BQ,39,0)</f>
        <v>56</v>
      </c>
      <c r="D189" s="58">
        <f>VLOOKUP($A189,'S0 remplacer avec S44'!$C:$BQ,40,0)</f>
        <v>149</v>
      </c>
      <c r="E189" s="58">
        <f>VLOOKUP($A189,'S0 remplacer avec S44'!$C:$BQ,22,0)</f>
        <v>4153.0347099999999</v>
      </c>
      <c r="F189" s="66">
        <f>VLOOKUP($A189,'S0 remplacer avec S44'!$C:$BQ,29,0)</f>
        <v>114</v>
      </c>
      <c r="G189" s="66">
        <f>VLOOKUP($A189,'S0 remplacer avec S44'!$C:$BQ,30,0)</f>
        <v>967</v>
      </c>
      <c r="H189" s="66">
        <f>VLOOKUP($A189,'S0 remplacer avec S44'!$C:$BQ,52,0)</f>
        <v>258.39999999999998</v>
      </c>
      <c r="I189" s="66">
        <f>VLOOKUP($A189,'S0 remplacer avec S44'!$C:$BQ,59,0)</f>
        <v>0</v>
      </c>
      <c r="J189" s="66">
        <f>VLOOKUP($A189,'S0 remplacer avec S44'!$C:$BQ,60,0)</f>
        <v>28</v>
      </c>
      <c r="K189" s="58">
        <f>VLOOKUP($A189,'S45'!$C:$BQ,32,0)</f>
        <v>420.7</v>
      </c>
      <c r="L189" s="58">
        <f>VLOOKUP($A189,'S45'!$C:$BQ,39,0)</f>
        <v>49</v>
      </c>
      <c r="M189" s="58">
        <f>VLOOKUP($A189,'S45'!$C:$BQ,40,0)</f>
        <v>143</v>
      </c>
      <c r="N189" s="58">
        <f>VLOOKUP($A189,'S45'!$C:$BQ,22,0)</f>
        <v>4314.1630299999997</v>
      </c>
      <c r="O189" s="66">
        <f>VLOOKUP($A189,'S45'!$C:$BQ,29,0)</f>
        <v>0</v>
      </c>
      <c r="P189" s="66">
        <f>VLOOKUP($A189,'S45'!$C:$BQ,30,0)</f>
        <v>806</v>
      </c>
      <c r="Q189" s="66">
        <f>VLOOKUP($A189,'S45'!$C:$BQ,52,0)</f>
        <v>264.39999999999998</v>
      </c>
      <c r="R189" s="66">
        <f>VLOOKUP($A189,'S45'!$C:$BQ,59,0)</f>
        <v>0</v>
      </c>
      <c r="S189" s="66">
        <f>VLOOKUP($A189,'S45'!$C:$BQ,60,0)</f>
        <v>22</v>
      </c>
      <c r="T189" s="58">
        <f>VLOOKUP($A189,'S46'!$C:$BQ,32,0)</f>
        <v>423.2</v>
      </c>
      <c r="U189" s="58">
        <f>VLOOKUP($A189,'S46'!$C:$BQ,39,0)</f>
        <v>46</v>
      </c>
      <c r="V189" s="58">
        <f>VLOOKUP($A189,'S46'!$C:$BQ,40,0)</f>
        <v>140</v>
      </c>
      <c r="W189" s="58">
        <f>VLOOKUP($A189,'S46'!$C:$BQ,22,0)</f>
        <v>4318.6879499999995</v>
      </c>
      <c r="X189" s="66">
        <f>VLOOKUP($A189,'S46'!$C:$BQ,29,0)</f>
        <v>0</v>
      </c>
      <c r="Y189" s="66">
        <f>VLOOKUP($A189,'S46'!$C:$BQ,30,0)</f>
        <v>802</v>
      </c>
      <c r="Z189" s="66">
        <f>VLOOKUP($A189,'S46'!$C:$BQ,52,0)</f>
        <v>266.39999999999998</v>
      </c>
      <c r="AA189" s="66">
        <f>VLOOKUP($A189,'S46'!$C:$BQ,59,0)</f>
        <v>0</v>
      </c>
      <c r="AB189" s="66">
        <f>VLOOKUP($A189,'S46'!$C:$BQ,60,0)</f>
        <v>20</v>
      </c>
      <c r="AC189" s="58">
        <f>VLOOKUP($A189,'S47'!$C:$BQ,32,0)</f>
        <v>429.7</v>
      </c>
      <c r="AD189" s="58">
        <f>VLOOKUP($A189,'S47'!$C:$BQ,39,0)</f>
        <v>40</v>
      </c>
      <c r="AE189" s="58">
        <f>VLOOKUP($A189,'S47'!$C:$BQ,40,0)</f>
        <v>134</v>
      </c>
      <c r="AF189" s="58">
        <f>VLOOKUP($A189,'S47'!$C:$BQ,22,0)</f>
        <v>4442.0393700000004</v>
      </c>
      <c r="AG189" s="66">
        <f>VLOOKUP($A189,'S47'!$C:$BQ,29,0)</f>
        <v>0</v>
      </c>
      <c r="AH189" s="66">
        <f>VLOOKUP($A189,'S47'!$C:$BQ,30,0)</f>
        <v>678</v>
      </c>
      <c r="AI189" s="66">
        <f>VLOOKUP($A189,'S47'!$C:$BQ,52,0)</f>
        <v>273.39999999999998</v>
      </c>
      <c r="AJ189" s="66">
        <f>VLOOKUP($A189,'S47'!$C:$BQ,59,0)</f>
        <v>0</v>
      </c>
      <c r="AK189" s="66">
        <f>VLOOKUP($A189,'S47'!$C:$BQ,60,0)</f>
        <v>13</v>
      </c>
      <c r="AL189" s="58" t="e">
        <f>VLOOKUP($A189,'S48'!$C:$BQ,32,0)</f>
        <v>#N/A</v>
      </c>
      <c r="AM189" s="58" t="e">
        <f>VLOOKUP($A189,'S48'!$C:$BQ,39,0)</f>
        <v>#N/A</v>
      </c>
      <c r="AN189" s="58" t="e">
        <f>VLOOKUP($A189,'S48'!$C:$BQ,40,0)</f>
        <v>#N/A</v>
      </c>
      <c r="AO189" s="58" t="e">
        <f>VLOOKUP($A189,'S48'!$C:$BQ,22,0)</f>
        <v>#N/A</v>
      </c>
      <c r="AP189" s="66" t="e">
        <f>VLOOKUP($A189,'S48'!$C:$BQ,29,0)</f>
        <v>#N/A</v>
      </c>
      <c r="AQ189" s="66" t="e">
        <f>VLOOKUP($A189,'S48'!$C:$BQ,30,0)</f>
        <v>#N/A</v>
      </c>
      <c r="AR189" s="66" t="e">
        <f>VLOOKUP($A189,'S48'!$C:$BQ,52,0)</f>
        <v>#N/A</v>
      </c>
      <c r="AS189" s="66" t="e">
        <f>VLOOKUP($A189,'S48'!$C:$BQ,59,0)</f>
        <v>#N/A</v>
      </c>
      <c r="AT189" s="66" t="e">
        <f>VLOOKUP($A189,'S48'!$C:$BQ,60,0)</f>
        <v>#N/A</v>
      </c>
      <c r="AU189" s="58" t="e">
        <f>VLOOKUP($A189,'S49'!$C:$BQ,32,0)</f>
        <v>#N/A</v>
      </c>
      <c r="AV189" s="58" t="e">
        <f>VLOOKUP($A189,'S49'!$C:$BQ,39,0)</f>
        <v>#N/A</v>
      </c>
      <c r="AW189" s="58" t="e">
        <f>VLOOKUP($A189,'S49'!$C:$BQ,40,0)</f>
        <v>#N/A</v>
      </c>
      <c r="AX189" s="58" t="e">
        <f>VLOOKUP($A189,'S49'!$C:$BQ,22,0)</f>
        <v>#N/A</v>
      </c>
      <c r="AY189" s="66" t="e">
        <f>VLOOKUP($A189,'S49'!$C:$BQ,29,0)</f>
        <v>#N/A</v>
      </c>
      <c r="AZ189" s="66" t="e">
        <f>VLOOKUP($A189,'S49'!$C:$BQ,30,0)</f>
        <v>#N/A</v>
      </c>
      <c r="BA189" s="66" t="e">
        <f>VLOOKUP($A189,'S49'!$C:$BQ,52,0)</f>
        <v>#N/A</v>
      </c>
      <c r="BB189" s="66" t="e">
        <f>VLOOKUP($A189,'S49'!$C:$BQ,59,0)</f>
        <v>#N/A</v>
      </c>
      <c r="BC189" s="66" t="e">
        <f>VLOOKUP($A189,'S49'!$C:$BQ,60,0)</f>
        <v>#N/A</v>
      </c>
      <c r="BD189" s="58" t="e">
        <f>VLOOKUP($A189,'S50'!$C:$BQ,32,0)</f>
        <v>#N/A</v>
      </c>
      <c r="BE189" s="58" t="e">
        <f>VLOOKUP($A189,'S50'!$C:$BQ,39,0)</f>
        <v>#N/A</v>
      </c>
      <c r="BF189" s="58" t="e">
        <f>VLOOKUP($A189,'S50'!$C:$BQ,40,0)</f>
        <v>#N/A</v>
      </c>
      <c r="BG189" s="58" t="e">
        <f>VLOOKUP($A189,'S50'!$C:$BQ,22,0)</f>
        <v>#N/A</v>
      </c>
      <c r="BH189" s="66" t="e">
        <f>VLOOKUP($A189,'S50'!$C:$BQ,29,0)</f>
        <v>#N/A</v>
      </c>
      <c r="BI189" s="66" t="e">
        <f>VLOOKUP($A189,'S50'!$C:$BQ,30,0)</f>
        <v>#N/A</v>
      </c>
      <c r="BJ189" s="66" t="e">
        <f>VLOOKUP($A189,'S50'!$C:$BQ,52,0)</f>
        <v>#N/A</v>
      </c>
      <c r="BK189" s="66" t="e">
        <f>VLOOKUP($A189,'S50'!$C:$BQ,59,0)</f>
        <v>#N/A</v>
      </c>
      <c r="BL189" s="66" t="e">
        <f>VLOOKUP($A189,'S50'!$C:$BQ,60,0)</f>
        <v>#N/A</v>
      </c>
    </row>
    <row r="190" spans="1:64" x14ac:dyDescent="0.2">
      <c r="A190" s="57" t="s">
        <v>257</v>
      </c>
      <c r="B190" s="58">
        <f>VLOOKUP($A190,'S0 remplacer avec S44'!$C:$BQ,32,0)</f>
        <v>2091.9</v>
      </c>
      <c r="C190" s="58">
        <f>VLOOKUP($A190,'S0 remplacer avec S44'!$C:$BQ,39,0)</f>
        <v>0</v>
      </c>
      <c r="D190" s="58">
        <f>VLOOKUP($A190,'S0 remplacer avec S44'!$C:$BQ,40,0)</f>
        <v>0</v>
      </c>
      <c r="E190" s="58">
        <f>VLOOKUP($A190,'S0 remplacer avec S44'!$C:$BQ,22,0)</f>
        <v>16623.468495000001</v>
      </c>
      <c r="F190" s="66">
        <f>VLOOKUP($A190,'S0 remplacer avec S44'!$C:$BQ,29,0)</f>
        <v>0</v>
      </c>
      <c r="G190" s="66">
        <f>VLOOKUP($A190,'S0 remplacer avec S44'!$C:$BQ,30,0)</f>
        <v>0</v>
      </c>
      <c r="H190" s="66">
        <f>VLOOKUP($A190,'S0 remplacer avec S44'!$C:$BQ,52,0)</f>
        <v>1267.4000000000001</v>
      </c>
      <c r="I190" s="66">
        <f>VLOOKUP($A190,'S0 remplacer avec S44'!$C:$BQ,59,0)</f>
        <v>0</v>
      </c>
      <c r="J190" s="66">
        <f>VLOOKUP($A190,'S0 remplacer avec S44'!$C:$BQ,60,0)</f>
        <v>0</v>
      </c>
      <c r="K190" s="58">
        <f>VLOOKUP($A190,'S45'!$C:$BQ,32,0)</f>
        <v>2130.4</v>
      </c>
      <c r="L190" s="58">
        <f>VLOOKUP($A190,'S45'!$C:$BQ,39,0)</f>
        <v>0</v>
      </c>
      <c r="M190" s="58">
        <f>VLOOKUP($A190,'S45'!$C:$BQ,40,0)</f>
        <v>0</v>
      </c>
      <c r="N190" s="58">
        <f>VLOOKUP($A190,'S45'!$C:$BQ,22,0)</f>
        <v>16725.804674999999</v>
      </c>
      <c r="O190" s="66">
        <f>VLOOKUP($A190,'S45'!$C:$BQ,29,0)</f>
        <v>0</v>
      </c>
      <c r="P190" s="66">
        <f>VLOOKUP($A190,'S45'!$C:$BQ,30,0)</f>
        <v>0</v>
      </c>
      <c r="Q190" s="66">
        <f>VLOOKUP($A190,'S45'!$C:$BQ,52,0)</f>
        <v>1296.4000000000001</v>
      </c>
      <c r="R190" s="66">
        <f>VLOOKUP($A190,'S45'!$C:$BQ,59,0)</f>
        <v>0</v>
      </c>
      <c r="S190" s="66">
        <f>VLOOKUP($A190,'S45'!$C:$BQ,60,0)</f>
        <v>0</v>
      </c>
      <c r="T190" s="58">
        <f>VLOOKUP($A190,'S46'!$C:$BQ,32,0)</f>
        <v>2133.6</v>
      </c>
      <c r="U190" s="58">
        <f>VLOOKUP($A190,'S46'!$C:$BQ,39,0)</f>
        <v>0</v>
      </c>
      <c r="V190" s="58">
        <f>VLOOKUP($A190,'S46'!$C:$BQ,40,0)</f>
        <v>0</v>
      </c>
      <c r="W190" s="58">
        <f>VLOOKUP($A190,'S46'!$C:$BQ,22,0)</f>
        <v>16769.252605000001</v>
      </c>
      <c r="X190" s="66">
        <f>VLOOKUP($A190,'S46'!$C:$BQ,29,0)</f>
        <v>0</v>
      </c>
      <c r="Y190" s="66">
        <f>VLOOKUP($A190,'S46'!$C:$BQ,30,0)</f>
        <v>0</v>
      </c>
      <c r="Z190" s="66">
        <f>VLOOKUP($A190,'S46'!$C:$BQ,52,0)</f>
        <v>1315.4</v>
      </c>
      <c r="AA190" s="66">
        <f>VLOOKUP($A190,'S46'!$C:$BQ,59,0)</f>
        <v>0</v>
      </c>
      <c r="AB190" s="66">
        <f>VLOOKUP($A190,'S46'!$C:$BQ,60,0)</f>
        <v>0</v>
      </c>
      <c r="AC190" s="58">
        <f>VLOOKUP($A190,'S47'!$C:$BQ,32,0)</f>
        <v>2175.4</v>
      </c>
      <c r="AD190" s="58">
        <f>VLOOKUP($A190,'S47'!$C:$BQ,39,0)</f>
        <v>0</v>
      </c>
      <c r="AE190" s="58">
        <f>VLOOKUP($A190,'S47'!$C:$BQ,40,0)</f>
        <v>0</v>
      </c>
      <c r="AF190" s="58">
        <f>VLOOKUP($A190,'S47'!$C:$BQ,22,0)</f>
        <v>16871.430535</v>
      </c>
      <c r="AG190" s="66">
        <f>VLOOKUP($A190,'S47'!$C:$BQ,29,0)</f>
        <v>0</v>
      </c>
      <c r="AH190" s="66">
        <f>VLOOKUP($A190,'S47'!$C:$BQ,30,0)</f>
        <v>0</v>
      </c>
      <c r="AI190" s="66">
        <f>VLOOKUP($A190,'S47'!$C:$BQ,52,0)</f>
        <v>1346.4</v>
      </c>
      <c r="AJ190" s="66">
        <f>VLOOKUP($A190,'S47'!$C:$BQ,59,0)</f>
        <v>0</v>
      </c>
      <c r="AK190" s="66">
        <f>VLOOKUP($A190,'S47'!$C:$BQ,60,0)</f>
        <v>0</v>
      </c>
      <c r="AL190" s="58" t="e">
        <f>VLOOKUP($A190,'S48'!$C:$BQ,32,0)</f>
        <v>#N/A</v>
      </c>
      <c r="AM190" s="58" t="e">
        <f>VLOOKUP($A190,'S48'!$C:$BQ,39,0)</f>
        <v>#N/A</v>
      </c>
      <c r="AN190" s="58" t="e">
        <f>VLOOKUP($A190,'S48'!$C:$BQ,40,0)</f>
        <v>#N/A</v>
      </c>
      <c r="AO190" s="58" t="e">
        <f>VLOOKUP($A190,'S48'!$C:$BQ,22,0)</f>
        <v>#N/A</v>
      </c>
      <c r="AP190" s="66" t="e">
        <f>VLOOKUP($A190,'S48'!$C:$BQ,29,0)</f>
        <v>#N/A</v>
      </c>
      <c r="AQ190" s="66" t="e">
        <f>VLOOKUP($A190,'S48'!$C:$BQ,30,0)</f>
        <v>#N/A</v>
      </c>
      <c r="AR190" s="66" t="e">
        <f>VLOOKUP($A190,'S48'!$C:$BQ,52,0)</f>
        <v>#N/A</v>
      </c>
      <c r="AS190" s="66" t="e">
        <f>VLOOKUP($A190,'S48'!$C:$BQ,59,0)</f>
        <v>#N/A</v>
      </c>
      <c r="AT190" s="66" t="e">
        <f>VLOOKUP($A190,'S48'!$C:$BQ,60,0)</f>
        <v>#N/A</v>
      </c>
      <c r="AU190" s="58" t="e">
        <f>VLOOKUP($A190,'S49'!$C:$BQ,32,0)</f>
        <v>#N/A</v>
      </c>
      <c r="AV190" s="58" t="e">
        <f>VLOOKUP($A190,'S49'!$C:$BQ,39,0)</f>
        <v>#N/A</v>
      </c>
      <c r="AW190" s="58" t="e">
        <f>VLOOKUP($A190,'S49'!$C:$BQ,40,0)</f>
        <v>#N/A</v>
      </c>
      <c r="AX190" s="58" t="e">
        <f>VLOOKUP($A190,'S49'!$C:$BQ,22,0)</f>
        <v>#N/A</v>
      </c>
      <c r="AY190" s="66" t="e">
        <f>VLOOKUP($A190,'S49'!$C:$BQ,29,0)</f>
        <v>#N/A</v>
      </c>
      <c r="AZ190" s="66" t="e">
        <f>VLOOKUP($A190,'S49'!$C:$BQ,30,0)</f>
        <v>#N/A</v>
      </c>
      <c r="BA190" s="66" t="e">
        <f>VLOOKUP($A190,'S49'!$C:$BQ,52,0)</f>
        <v>#N/A</v>
      </c>
      <c r="BB190" s="66" t="e">
        <f>VLOOKUP($A190,'S49'!$C:$BQ,59,0)</f>
        <v>#N/A</v>
      </c>
      <c r="BC190" s="66" t="e">
        <f>VLOOKUP($A190,'S49'!$C:$BQ,60,0)</f>
        <v>#N/A</v>
      </c>
      <c r="BD190" s="58" t="e">
        <f>VLOOKUP($A190,'S50'!$C:$BQ,32,0)</f>
        <v>#N/A</v>
      </c>
      <c r="BE190" s="58" t="e">
        <f>VLOOKUP($A190,'S50'!$C:$BQ,39,0)</f>
        <v>#N/A</v>
      </c>
      <c r="BF190" s="58" t="e">
        <f>VLOOKUP($A190,'S50'!$C:$BQ,40,0)</f>
        <v>#N/A</v>
      </c>
      <c r="BG190" s="58" t="e">
        <f>VLOOKUP($A190,'S50'!$C:$BQ,22,0)</f>
        <v>#N/A</v>
      </c>
      <c r="BH190" s="66" t="e">
        <f>VLOOKUP($A190,'S50'!$C:$BQ,29,0)</f>
        <v>#N/A</v>
      </c>
      <c r="BI190" s="66" t="e">
        <f>VLOOKUP($A190,'S50'!$C:$BQ,30,0)</f>
        <v>#N/A</v>
      </c>
      <c r="BJ190" s="66" t="e">
        <f>VLOOKUP($A190,'S50'!$C:$BQ,52,0)</f>
        <v>#N/A</v>
      </c>
      <c r="BK190" s="66" t="e">
        <f>VLOOKUP($A190,'S50'!$C:$BQ,59,0)</f>
        <v>#N/A</v>
      </c>
      <c r="BL190" s="66" t="e">
        <f>VLOOKUP($A190,'S50'!$C:$BQ,60,0)</f>
        <v>#N/A</v>
      </c>
    </row>
    <row r="191" spans="1:64" x14ac:dyDescent="0.2">
      <c r="A191" s="57" t="s">
        <v>258</v>
      </c>
      <c r="B191" s="58">
        <f>VLOOKUP($A191,'S0 remplacer avec S44'!$C:$BQ,32,0)</f>
        <v>77.650000000000006</v>
      </c>
      <c r="C191" s="58">
        <f>VLOOKUP($A191,'S0 remplacer avec S44'!$C:$BQ,39,0)</f>
        <v>32</v>
      </c>
      <c r="D191" s="58">
        <f>VLOOKUP($A191,'S0 remplacer avec S44'!$C:$BQ,40,0)</f>
        <v>54</v>
      </c>
      <c r="E191" s="58">
        <f>VLOOKUP($A191,'S0 remplacer avec S44'!$C:$BQ,22,0)</f>
        <v>1047.613605</v>
      </c>
      <c r="F191" s="66">
        <f>VLOOKUP($A191,'S0 remplacer avec S44'!$C:$BQ,29,0)</f>
        <v>0</v>
      </c>
      <c r="G191" s="66">
        <f>VLOOKUP($A191,'S0 remplacer avec S44'!$C:$BQ,30,0)</f>
        <v>148</v>
      </c>
      <c r="H191" s="66">
        <f>VLOOKUP($A191,'S0 remplacer avec S44'!$C:$BQ,52,0)</f>
        <v>50.6</v>
      </c>
      <c r="I191" s="66">
        <f>VLOOKUP($A191,'S0 remplacer avec S44'!$C:$BQ,59,0)</f>
        <v>6</v>
      </c>
      <c r="J191" s="66">
        <f>VLOOKUP($A191,'S0 remplacer avec S44'!$C:$BQ,60,0)</f>
        <v>17</v>
      </c>
      <c r="K191" s="58">
        <f>VLOOKUP($A191,'S45'!$C:$BQ,32,0)</f>
        <v>77.650000000000006</v>
      </c>
      <c r="L191" s="58">
        <f>VLOOKUP($A191,'S45'!$C:$BQ,39,0)</f>
        <v>32</v>
      </c>
      <c r="M191" s="58">
        <f>VLOOKUP($A191,'S45'!$C:$BQ,40,0)</f>
        <v>54</v>
      </c>
      <c r="N191" s="58">
        <f>VLOOKUP($A191,'S45'!$C:$BQ,22,0)</f>
        <v>1048.0697050000001</v>
      </c>
      <c r="O191" s="66">
        <f>VLOOKUP($A191,'S45'!$C:$BQ,29,0)</f>
        <v>0</v>
      </c>
      <c r="P191" s="66">
        <f>VLOOKUP($A191,'S45'!$C:$BQ,30,0)</f>
        <v>148</v>
      </c>
      <c r="Q191" s="66">
        <f>VLOOKUP($A191,'S45'!$C:$BQ,52,0)</f>
        <v>52.6</v>
      </c>
      <c r="R191" s="66">
        <f>VLOOKUP($A191,'S45'!$C:$BQ,59,0)</f>
        <v>4</v>
      </c>
      <c r="S191" s="66">
        <f>VLOOKUP($A191,'S45'!$C:$BQ,60,0)</f>
        <v>15</v>
      </c>
      <c r="T191" s="58">
        <f>VLOOKUP($A191,'S46'!$C:$BQ,32,0)</f>
        <v>77.650000000000006</v>
      </c>
      <c r="U191" s="58">
        <f>VLOOKUP($A191,'S46'!$C:$BQ,39,0)</f>
        <v>32</v>
      </c>
      <c r="V191" s="58">
        <f>VLOOKUP($A191,'S46'!$C:$BQ,40,0)</f>
        <v>54</v>
      </c>
      <c r="W191" s="58">
        <f>VLOOKUP($A191,'S46'!$C:$BQ,22,0)</f>
        <v>1048.605585</v>
      </c>
      <c r="X191" s="66">
        <f>VLOOKUP($A191,'S46'!$C:$BQ,29,0)</f>
        <v>0</v>
      </c>
      <c r="Y191" s="66">
        <f>VLOOKUP($A191,'S46'!$C:$BQ,30,0)</f>
        <v>147</v>
      </c>
      <c r="Z191" s="66">
        <f>VLOOKUP($A191,'S46'!$C:$BQ,52,0)</f>
        <v>52.6</v>
      </c>
      <c r="AA191" s="66">
        <f>VLOOKUP($A191,'S46'!$C:$BQ,59,0)</f>
        <v>4</v>
      </c>
      <c r="AB191" s="66">
        <f>VLOOKUP($A191,'S46'!$C:$BQ,60,0)</f>
        <v>15</v>
      </c>
      <c r="AC191" s="58">
        <f>VLOOKUP($A191,'S47'!$C:$BQ,32,0)</f>
        <v>81.650000000000006</v>
      </c>
      <c r="AD191" s="58">
        <f>VLOOKUP($A191,'S47'!$C:$BQ,39,0)</f>
        <v>28</v>
      </c>
      <c r="AE191" s="58">
        <f>VLOOKUP($A191,'S47'!$C:$BQ,40,0)</f>
        <v>50</v>
      </c>
      <c r="AF191" s="58">
        <f>VLOOKUP($A191,'S47'!$C:$BQ,22,0)</f>
        <v>1059.877295</v>
      </c>
      <c r="AG191" s="66">
        <f>VLOOKUP($A191,'S47'!$C:$BQ,29,0)</f>
        <v>0</v>
      </c>
      <c r="AH191" s="66">
        <f>VLOOKUP($A191,'S47'!$C:$BQ,30,0)</f>
        <v>136</v>
      </c>
      <c r="AI191" s="66">
        <f>VLOOKUP($A191,'S47'!$C:$BQ,52,0)</f>
        <v>55.6</v>
      </c>
      <c r="AJ191" s="66">
        <f>VLOOKUP($A191,'S47'!$C:$BQ,59,0)</f>
        <v>1</v>
      </c>
      <c r="AK191" s="66">
        <f>VLOOKUP($A191,'S47'!$C:$BQ,60,0)</f>
        <v>12</v>
      </c>
      <c r="AL191" s="58" t="e">
        <f>VLOOKUP($A191,'S48'!$C:$BQ,32,0)</f>
        <v>#N/A</v>
      </c>
      <c r="AM191" s="58" t="e">
        <f>VLOOKUP($A191,'S48'!$C:$BQ,39,0)</f>
        <v>#N/A</v>
      </c>
      <c r="AN191" s="58" t="e">
        <f>VLOOKUP($A191,'S48'!$C:$BQ,40,0)</f>
        <v>#N/A</v>
      </c>
      <c r="AO191" s="58" t="e">
        <f>VLOOKUP($A191,'S48'!$C:$BQ,22,0)</f>
        <v>#N/A</v>
      </c>
      <c r="AP191" s="66" t="e">
        <f>VLOOKUP($A191,'S48'!$C:$BQ,29,0)</f>
        <v>#N/A</v>
      </c>
      <c r="AQ191" s="66" t="e">
        <f>VLOOKUP($A191,'S48'!$C:$BQ,30,0)</f>
        <v>#N/A</v>
      </c>
      <c r="AR191" s="66" t="e">
        <f>VLOOKUP($A191,'S48'!$C:$BQ,52,0)</f>
        <v>#N/A</v>
      </c>
      <c r="AS191" s="66" t="e">
        <f>VLOOKUP($A191,'S48'!$C:$BQ,59,0)</f>
        <v>#N/A</v>
      </c>
      <c r="AT191" s="66" t="e">
        <f>VLOOKUP($A191,'S48'!$C:$BQ,60,0)</f>
        <v>#N/A</v>
      </c>
      <c r="AU191" s="58" t="e">
        <f>VLOOKUP($A191,'S49'!$C:$BQ,32,0)</f>
        <v>#N/A</v>
      </c>
      <c r="AV191" s="58" t="e">
        <f>VLOOKUP($A191,'S49'!$C:$BQ,39,0)</f>
        <v>#N/A</v>
      </c>
      <c r="AW191" s="58" t="e">
        <f>VLOOKUP($A191,'S49'!$C:$BQ,40,0)</f>
        <v>#N/A</v>
      </c>
      <c r="AX191" s="58" t="e">
        <f>VLOOKUP($A191,'S49'!$C:$BQ,22,0)</f>
        <v>#N/A</v>
      </c>
      <c r="AY191" s="66" t="e">
        <f>VLOOKUP($A191,'S49'!$C:$BQ,29,0)</f>
        <v>#N/A</v>
      </c>
      <c r="AZ191" s="66" t="e">
        <f>VLOOKUP($A191,'S49'!$C:$BQ,30,0)</f>
        <v>#N/A</v>
      </c>
      <c r="BA191" s="66" t="e">
        <f>VLOOKUP($A191,'S49'!$C:$BQ,52,0)</f>
        <v>#N/A</v>
      </c>
      <c r="BB191" s="66" t="e">
        <f>VLOOKUP($A191,'S49'!$C:$BQ,59,0)</f>
        <v>#N/A</v>
      </c>
      <c r="BC191" s="66" t="e">
        <f>VLOOKUP($A191,'S49'!$C:$BQ,60,0)</f>
        <v>#N/A</v>
      </c>
      <c r="BD191" s="58" t="e">
        <f>VLOOKUP($A191,'S50'!$C:$BQ,32,0)</f>
        <v>#N/A</v>
      </c>
      <c r="BE191" s="58" t="e">
        <f>VLOOKUP($A191,'S50'!$C:$BQ,39,0)</f>
        <v>#N/A</v>
      </c>
      <c r="BF191" s="58" t="e">
        <f>VLOOKUP($A191,'S50'!$C:$BQ,40,0)</f>
        <v>#N/A</v>
      </c>
      <c r="BG191" s="58" t="e">
        <f>VLOOKUP($A191,'S50'!$C:$BQ,22,0)</f>
        <v>#N/A</v>
      </c>
      <c r="BH191" s="66" t="e">
        <f>VLOOKUP($A191,'S50'!$C:$BQ,29,0)</f>
        <v>#N/A</v>
      </c>
      <c r="BI191" s="66" t="e">
        <f>VLOOKUP($A191,'S50'!$C:$BQ,30,0)</f>
        <v>#N/A</v>
      </c>
      <c r="BJ191" s="66" t="e">
        <f>VLOOKUP($A191,'S50'!$C:$BQ,52,0)</f>
        <v>#N/A</v>
      </c>
      <c r="BK191" s="66" t="e">
        <f>VLOOKUP($A191,'S50'!$C:$BQ,59,0)</f>
        <v>#N/A</v>
      </c>
      <c r="BL191" s="66" t="e">
        <f>VLOOKUP($A191,'S50'!$C:$BQ,60,0)</f>
        <v>#N/A</v>
      </c>
    </row>
    <row r="192" spans="1:64" x14ac:dyDescent="0.2">
      <c r="A192" s="57" t="s">
        <v>259</v>
      </c>
      <c r="B192" s="58">
        <f>VLOOKUP($A192,'S0 remplacer avec S44'!$C:$BQ,32,0)</f>
        <v>314.05</v>
      </c>
      <c r="C192" s="58">
        <f>VLOOKUP($A192,'S0 remplacer avec S44'!$C:$BQ,39,0)</f>
        <v>0</v>
      </c>
      <c r="D192" s="58">
        <f>VLOOKUP($A192,'S0 remplacer avec S44'!$C:$BQ,40,0)</f>
        <v>30</v>
      </c>
      <c r="E192" s="58">
        <f>VLOOKUP($A192,'S0 remplacer avec S44'!$C:$BQ,22,0)</f>
        <v>2620.8349450000001</v>
      </c>
      <c r="F192" s="66">
        <f>VLOOKUP($A192,'S0 remplacer avec S44'!$C:$BQ,29,0)</f>
        <v>0</v>
      </c>
      <c r="G192" s="66">
        <f>VLOOKUP($A192,'S0 remplacer avec S44'!$C:$BQ,30,0)</f>
        <v>500</v>
      </c>
      <c r="H192" s="66">
        <f>VLOOKUP($A192,'S0 remplacer avec S44'!$C:$BQ,52,0)</f>
        <v>192.8</v>
      </c>
      <c r="I192" s="66">
        <f>VLOOKUP($A192,'S0 remplacer avec S44'!$C:$BQ,59,0)</f>
        <v>0</v>
      </c>
      <c r="J192" s="66">
        <f>VLOOKUP($A192,'S0 remplacer avec S44'!$C:$BQ,60,0)</f>
        <v>0</v>
      </c>
      <c r="K192" s="58">
        <f>VLOOKUP($A192,'S45'!$C:$BQ,32,0)</f>
        <v>326.05</v>
      </c>
      <c r="L192" s="58">
        <f>VLOOKUP($A192,'S45'!$C:$BQ,39,0)</f>
        <v>0</v>
      </c>
      <c r="M192" s="58">
        <f>VLOOKUP($A192,'S45'!$C:$BQ,40,0)</f>
        <v>18</v>
      </c>
      <c r="N192" s="58">
        <f>VLOOKUP($A192,'S45'!$C:$BQ,22,0)</f>
        <v>2699.010045</v>
      </c>
      <c r="O192" s="66">
        <f>VLOOKUP($A192,'S45'!$C:$BQ,29,0)</f>
        <v>0</v>
      </c>
      <c r="P192" s="66">
        <f>VLOOKUP($A192,'S45'!$C:$BQ,30,0)</f>
        <v>422</v>
      </c>
      <c r="Q192" s="66">
        <f>VLOOKUP($A192,'S45'!$C:$BQ,52,0)</f>
        <v>193.8</v>
      </c>
      <c r="R192" s="66">
        <f>VLOOKUP($A192,'S45'!$C:$BQ,59,0)</f>
        <v>0</v>
      </c>
      <c r="S192" s="66">
        <f>VLOOKUP($A192,'S45'!$C:$BQ,60,0)</f>
        <v>0</v>
      </c>
      <c r="T192" s="58">
        <f>VLOOKUP($A192,'S46'!$C:$BQ,32,0)</f>
        <v>326.55</v>
      </c>
      <c r="U192" s="58">
        <f>VLOOKUP($A192,'S46'!$C:$BQ,39,0)</f>
        <v>0</v>
      </c>
      <c r="V192" s="58">
        <f>VLOOKUP($A192,'S46'!$C:$BQ,40,0)</f>
        <v>17</v>
      </c>
      <c r="W192" s="58">
        <f>VLOOKUP($A192,'S46'!$C:$BQ,22,0)</f>
        <v>2704.969235</v>
      </c>
      <c r="X192" s="66">
        <f>VLOOKUP($A192,'S46'!$C:$BQ,29,0)</f>
        <v>0</v>
      </c>
      <c r="Y192" s="66">
        <f>VLOOKUP($A192,'S46'!$C:$BQ,30,0)</f>
        <v>416</v>
      </c>
      <c r="Z192" s="66">
        <f>VLOOKUP($A192,'S46'!$C:$BQ,52,0)</f>
        <v>195.8</v>
      </c>
      <c r="AA192" s="66">
        <f>VLOOKUP($A192,'S46'!$C:$BQ,59,0)</f>
        <v>0</v>
      </c>
      <c r="AB192" s="66">
        <f>VLOOKUP($A192,'S46'!$C:$BQ,60,0)</f>
        <v>0</v>
      </c>
      <c r="AC192" s="58">
        <f>VLOOKUP($A192,'S47'!$C:$BQ,32,0)</f>
        <v>334.05</v>
      </c>
      <c r="AD192" s="58">
        <f>VLOOKUP($A192,'S47'!$C:$BQ,39,0)</f>
        <v>0</v>
      </c>
      <c r="AE192" s="58">
        <f>VLOOKUP($A192,'S47'!$C:$BQ,40,0)</f>
        <v>10</v>
      </c>
      <c r="AF192" s="58">
        <f>VLOOKUP($A192,'S47'!$C:$BQ,22,0)</f>
        <v>2715.4578750000001</v>
      </c>
      <c r="AG192" s="66">
        <f>VLOOKUP($A192,'S47'!$C:$BQ,29,0)</f>
        <v>0</v>
      </c>
      <c r="AH192" s="66">
        <f>VLOOKUP($A192,'S47'!$C:$BQ,30,0)</f>
        <v>405</v>
      </c>
      <c r="AI192" s="66">
        <f>VLOOKUP($A192,'S47'!$C:$BQ,52,0)</f>
        <v>197.8</v>
      </c>
      <c r="AJ192" s="66">
        <f>VLOOKUP($A192,'S47'!$C:$BQ,59,0)</f>
        <v>0</v>
      </c>
      <c r="AK192" s="66">
        <f>VLOOKUP($A192,'S47'!$C:$BQ,60,0)</f>
        <v>0</v>
      </c>
      <c r="AL192" s="58" t="e">
        <f>VLOOKUP($A192,'S48'!$C:$BQ,32,0)</f>
        <v>#N/A</v>
      </c>
      <c r="AM192" s="58" t="e">
        <f>VLOOKUP($A192,'S48'!$C:$BQ,39,0)</f>
        <v>#N/A</v>
      </c>
      <c r="AN192" s="58" t="e">
        <f>VLOOKUP($A192,'S48'!$C:$BQ,40,0)</f>
        <v>#N/A</v>
      </c>
      <c r="AO192" s="58" t="e">
        <f>VLOOKUP($A192,'S48'!$C:$BQ,22,0)</f>
        <v>#N/A</v>
      </c>
      <c r="AP192" s="66" t="e">
        <f>VLOOKUP($A192,'S48'!$C:$BQ,29,0)</f>
        <v>#N/A</v>
      </c>
      <c r="AQ192" s="66" t="e">
        <f>VLOOKUP($A192,'S48'!$C:$BQ,30,0)</f>
        <v>#N/A</v>
      </c>
      <c r="AR192" s="66" t="e">
        <f>VLOOKUP($A192,'S48'!$C:$BQ,52,0)</f>
        <v>#N/A</v>
      </c>
      <c r="AS192" s="66" t="e">
        <f>VLOOKUP($A192,'S48'!$C:$BQ,59,0)</f>
        <v>#N/A</v>
      </c>
      <c r="AT192" s="66" t="e">
        <f>VLOOKUP($A192,'S48'!$C:$BQ,60,0)</f>
        <v>#N/A</v>
      </c>
      <c r="AU192" s="58" t="e">
        <f>VLOOKUP($A192,'S49'!$C:$BQ,32,0)</f>
        <v>#N/A</v>
      </c>
      <c r="AV192" s="58" t="e">
        <f>VLOOKUP($A192,'S49'!$C:$BQ,39,0)</f>
        <v>#N/A</v>
      </c>
      <c r="AW192" s="58" t="e">
        <f>VLOOKUP($A192,'S49'!$C:$BQ,40,0)</f>
        <v>#N/A</v>
      </c>
      <c r="AX192" s="58" t="e">
        <f>VLOOKUP($A192,'S49'!$C:$BQ,22,0)</f>
        <v>#N/A</v>
      </c>
      <c r="AY192" s="66" t="e">
        <f>VLOOKUP($A192,'S49'!$C:$BQ,29,0)</f>
        <v>#N/A</v>
      </c>
      <c r="AZ192" s="66" t="e">
        <f>VLOOKUP($A192,'S49'!$C:$BQ,30,0)</f>
        <v>#N/A</v>
      </c>
      <c r="BA192" s="66" t="e">
        <f>VLOOKUP($A192,'S49'!$C:$BQ,52,0)</f>
        <v>#N/A</v>
      </c>
      <c r="BB192" s="66" t="e">
        <f>VLOOKUP($A192,'S49'!$C:$BQ,59,0)</f>
        <v>#N/A</v>
      </c>
      <c r="BC192" s="66" t="e">
        <f>VLOOKUP($A192,'S49'!$C:$BQ,60,0)</f>
        <v>#N/A</v>
      </c>
      <c r="BD192" s="58" t="e">
        <f>VLOOKUP($A192,'S50'!$C:$BQ,32,0)</f>
        <v>#N/A</v>
      </c>
      <c r="BE192" s="58" t="e">
        <f>VLOOKUP($A192,'S50'!$C:$BQ,39,0)</f>
        <v>#N/A</v>
      </c>
      <c r="BF192" s="58" t="e">
        <f>VLOOKUP($A192,'S50'!$C:$BQ,40,0)</f>
        <v>#N/A</v>
      </c>
      <c r="BG192" s="58" t="e">
        <f>VLOOKUP($A192,'S50'!$C:$BQ,22,0)</f>
        <v>#N/A</v>
      </c>
      <c r="BH192" s="66" t="e">
        <f>VLOOKUP($A192,'S50'!$C:$BQ,29,0)</f>
        <v>#N/A</v>
      </c>
      <c r="BI192" s="66" t="e">
        <f>VLOOKUP($A192,'S50'!$C:$BQ,30,0)</f>
        <v>#N/A</v>
      </c>
      <c r="BJ192" s="66" t="e">
        <f>VLOOKUP($A192,'S50'!$C:$BQ,52,0)</f>
        <v>#N/A</v>
      </c>
      <c r="BK192" s="66" t="e">
        <f>VLOOKUP($A192,'S50'!$C:$BQ,59,0)</f>
        <v>#N/A</v>
      </c>
      <c r="BL192" s="66" t="e">
        <f>VLOOKUP($A192,'S50'!$C:$BQ,60,0)</f>
        <v>#N/A</v>
      </c>
    </row>
    <row r="193" spans="1:64" x14ac:dyDescent="0.2">
      <c r="A193" s="57" t="s">
        <v>261</v>
      </c>
      <c r="B193" s="58">
        <f>VLOOKUP($A193,'S0 remplacer avec S44'!$C:$BQ,32,0)</f>
        <v>468.6</v>
      </c>
      <c r="C193" s="58">
        <f>VLOOKUP($A193,'S0 remplacer avec S44'!$C:$BQ,39,0)</f>
        <v>137</v>
      </c>
      <c r="D193" s="58">
        <f>VLOOKUP($A193,'S0 remplacer avec S44'!$C:$BQ,40,0)</f>
        <v>258</v>
      </c>
      <c r="E193" s="58">
        <f>VLOOKUP($A193,'S0 remplacer avec S44'!$C:$BQ,22,0)</f>
        <v>4931.3633250000003</v>
      </c>
      <c r="F193" s="66">
        <f>VLOOKUP($A193,'S0 remplacer avec S44'!$C:$BQ,29,0)</f>
        <v>570</v>
      </c>
      <c r="G193" s="66">
        <f>VLOOKUP($A193,'S0 remplacer avec S44'!$C:$BQ,30,0)</f>
        <v>1671</v>
      </c>
      <c r="H193" s="66">
        <f>VLOOKUP($A193,'S0 remplacer avec S44'!$C:$BQ,52,0)</f>
        <v>322.60000000000002</v>
      </c>
      <c r="I193" s="66">
        <f>VLOOKUP($A193,'S0 remplacer avec S44'!$C:$BQ,59,0)</f>
        <v>0</v>
      </c>
      <c r="J193" s="66">
        <f>VLOOKUP($A193,'S0 remplacer avec S44'!$C:$BQ,60,0)</f>
        <v>47</v>
      </c>
      <c r="K193" s="58">
        <f>VLOOKUP($A193,'S45'!$C:$BQ,32,0)</f>
        <v>476.1</v>
      </c>
      <c r="L193" s="58">
        <f>VLOOKUP($A193,'S45'!$C:$BQ,39,0)</f>
        <v>129</v>
      </c>
      <c r="M193" s="58">
        <f>VLOOKUP($A193,'S45'!$C:$BQ,40,0)</f>
        <v>250</v>
      </c>
      <c r="N193" s="58">
        <f>VLOOKUP($A193,'S45'!$C:$BQ,22,0)</f>
        <v>5051.8378249999996</v>
      </c>
      <c r="O193" s="66">
        <f>VLOOKUP($A193,'S45'!$C:$BQ,29,0)</f>
        <v>450</v>
      </c>
      <c r="P193" s="66">
        <f>VLOOKUP($A193,'S45'!$C:$BQ,30,0)</f>
        <v>1550</v>
      </c>
      <c r="Q193" s="66">
        <f>VLOOKUP($A193,'S45'!$C:$BQ,52,0)</f>
        <v>326.60000000000002</v>
      </c>
      <c r="R193" s="66">
        <f>VLOOKUP($A193,'S45'!$C:$BQ,59,0)</f>
        <v>0</v>
      </c>
      <c r="S193" s="66">
        <f>VLOOKUP($A193,'S45'!$C:$BQ,60,0)</f>
        <v>43</v>
      </c>
      <c r="T193" s="58">
        <f>VLOOKUP($A193,'S46'!$C:$BQ,32,0)</f>
        <v>478.2</v>
      </c>
      <c r="U193" s="58">
        <f>VLOOKUP($A193,'S46'!$C:$BQ,39,0)</f>
        <v>127</v>
      </c>
      <c r="V193" s="58">
        <f>VLOOKUP($A193,'S46'!$C:$BQ,40,0)</f>
        <v>248</v>
      </c>
      <c r="W193" s="58">
        <f>VLOOKUP($A193,'S46'!$C:$BQ,22,0)</f>
        <v>5063.1184949999997</v>
      </c>
      <c r="X193" s="66">
        <f>VLOOKUP($A193,'S46'!$C:$BQ,29,0)</f>
        <v>439</v>
      </c>
      <c r="Y193" s="66">
        <f>VLOOKUP($A193,'S46'!$C:$BQ,30,0)</f>
        <v>1539</v>
      </c>
      <c r="Z193" s="66">
        <f>VLOOKUP($A193,'S46'!$C:$BQ,52,0)</f>
        <v>327.60000000000002</v>
      </c>
      <c r="AA193" s="66">
        <f>VLOOKUP($A193,'S46'!$C:$BQ,59,0)</f>
        <v>0</v>
      </c>
      <c r="AB193" s="66">
        <f>VLOOKUP($A193,'S46'!$C:$BQ,60,0)</f>
        <v>42</v>
      </c>
      <c r="AC193" s="58">
        <f>VLOOKUP($A193,'S47'!$C:$BQ,32,0)</f>
        <v>482.2</v>
      </c>
      <c r="AD193" s="58">
        <f>VLOOKUP($A193,'S47'!$C:$BQ,39,0)</f>
        <v>123</v>
      </c>
      <c r="AE193" s="58">
        <f>VLOOKUP($A193,'S47'!$C:$BQ,40,0)</f>
        <v>244</v>
      </c>
      <c r="AF193" s="58">
        <f>VLOOKUP($A193,'S47'!$C:$BQ,22,0)</f>
        <v>5156.6391149999999</v>
      </c>
      <c r="AG193" s="66">
        <f>VLOOKUP($A193,'S47'!$C:$BQ,29,0)</f>
        <v>345</v>
      </c>
      <c r="AH193" s="66">
        <f>VLOOKUP($A193,'S47'!$C:$BQ,30,0)</f>
        <v>1445</v>
      </c>
      <c r="AI193" s="66">
        <f>VLOOKUP($A193,'S47'!$C:$BQ,52,0)</f>
        <v>335.6</v>
      </c>
      <c r="AJ193" s="66">
        <f>VLOOKUP($A193,'S47'!$C:$BQ,59,0)</f>
        <v>0</v>
      </c>
      <c r="AK193" s="66">
        <f>VLOOKUP($A193,'S47'!$C:$BQ,60,0)</f>
        <v>34</v>
      </c>
      <c r="AL193" s="58" t="e">
        <f>VLOOKUP($A193,'S48'!$C:$BQ,32,0)</f>
        <v>#N/A</v>
      </c>
      <c r="AM193" s="58" t="e">
        <f>VLOOKUP($A193,'S48'!$C:$BQ,39,0)</f>
        <v>#N/A</v>
      </c>
      <c r="AN193" s="58" t="e">
        <f>VLOOKUP($A193,'S48'!$C:$BQ,40,0)</f>
        <v>#N/A</v>
      </c>
      <c r="AO193" s="58" t="e">
        <f>VLOOKUP($A193,'S48'!$C:$BQ,22,0)</f>
        <v>#N/A</v>
      </c>
      <c r="AP193" s="66" t="e">
        <f>VLOOKUP($A193,'S48'!$C:$BQ,29,0)</f>
        <v>#N/A</v>
      </c>
      <c r="AQ193" s="66" t="e">
        <f>VLOOKUP($A193,'S48'!$C:$BQ,30,0)</f>
        <v>#N/A</v>
      </c>
      <c r="AR193" s="66" t="e">
        <f>VLOOKUP($A193,'S48'!$C:$BQ,52,0)</f>
        <v>#N/A</v>
      </c>
      <c r="AS193" s="66" t="e">
        <f>VLOOKUP($A193,'S48'!$C:$BQ,59,0)</f>
        <v>#N/A</v>
      </c>
      <c r="AT193" s="66" t="e">
        <f>VLOOKUP($A193,'S48'!$C:$BQ,60,0)</f>
        <v>#N/A</v>
      </c>
      <c r="AU193" s="58" t="e">
        <f>VLOOKUP($A193,'S49'!$C:$BQ,32,0)</f>
        <v>#N/A</v>
      </c>
      <c r="AV193" s="58" t="e">
        <f>VLOOKUP($A193,'S49'!$C:$BQ,39,0)</f>
        <v>#N/A</v>
      </c>
      <c r="AW193" s="58" t="e">
        <f>VLOOKUP($A193,'S49'!$C:$BQ,40,0)</f>
        <v>#N/A</v>
      </c>
      <c r="AX193" s="58" t="e">
        <f>VLOOKUP($A193,'S49'!$C:$BQ,22,0)</f>
        <v>#N/A</v>
      </c>
      <c r="AY193" s="66" t="e">
        <f>VLOOKUP($A193,'S49'!$C:$BQ,29,0)</f>
        <v>#N/A</v>
      </c>
      <c r="AZ193" s="66" t="e">
        <f>VLOOKUP($A193,'S49'!$C:$BQ,30,0)</f>
        <v>#N/A</v>
      </c>
      <c r="BA193" s="66" t="e">
        <f>VLOOKUP($A193,'S49'!$C:$BQ,52,0)</f>
        <v>#N/A</v>
      </c>
      <c r="BB193" s="66" t="e">
        <f>VLOOKUP($A193,'S49'!$C:$BQ,59,0)</f>
        <v>#N/A</v>
      </c>
      <c r="BC193" s="66" t="e">
        <f>VLOOKUP($A193,'S49'!$C:$BQ,60,0)</f>
        <v>#N/A</v>
      </c>
      <c r="BD193" s="58" t="e">
        <f>VLOOKUP($A193,'S50'!$C:$BQ,32,0)</f>
        <v>#N/A</v>
      </c>
      <c r="BE193" s="58" t="e">
        <f>VLOOKUP($A193,'S50'!$C:$BQ,39,0)</f>
        <v>#N/A</v>
      </c>
      <c r="BF193" s="58" t="e">
        <f>VLOOKUP($A193,'S50'!$C:$BQ,40,0)</f>
        <v>#N/A</v>
      </c>
      <c r="BG193" s="58" t="e">
        <f>VLOOKUP($A193,'S50'!$C:$BQ,22,0)</f>
        <v>#N/A</v>
      </c>
      <c r="BH193" s="66" t="e">
        <f>VLOOKUP($A193,'S50'!$C:$BQ,29,0)</f>
        <v>#N/A</v>
      </c>
      <c r="BI193" s="66" t="e">
        <f>VLOOKUP($A193,'S50'!$C:$BQ,30,0)</f>
        <v>#N/A</v>
      </c>
      <c r="BJ193" s="66" t="e">
        <f>VLOOKUP($A193,'S50'!$C:$BQ,52,0)</f>
        <v>#N/A</v>
      </c>
      <c r="BK193" s="66" t="e">
        <f>VLOOKUP($A193,'S50'!$C:$BQ,59,0)</f>
        <v>#N/A</v>
      </c>
      <c r="BL193" s="66" t="e">
        <f>VLOOKUP($A193,'S50'!$C:$BQ,60,0)</f>
        <v>#N/A</v>
      </c>
    </row>
    <row r="194" spans="1:64" x14ac:dyDescent="0.2">
      <c r="A194" s="57" t="s">
        <v>262</v>
      </c>
      <c r="B194" s="58">
        <f>VLOOKUP($A194,'S0 remplacer avec S44'!$C:$BQ,32,0)</f>
        <v>230.15</v>
      </c>
      <c r="C194" s="58">
        <f>VLOOKUP($A194,'S0 remplacer avec S44'!$C:$BQ,39,0)</f>
        <v>60</v>
      </c>
      <c r="D194" s="58">
        <f>VLOOKUP($A194,'S0 remplacer avec S44'!$C:$BQ,40,0)</f>
        <v>118</v>
      </c>
      <c r="E194" s="58">
        <f>VLOOKUP($A194,'S0 remplacer avec S44'!$C:$BQ,22,0)</f>
        <v>2609.2435650000002</v>
      </c>
      <c r="F194" s="66">
        <f>VLOOKUP($A194,'S0 remplacer avec S44'!$C:$BQ,29,0)</f>
        <v>23</v>
      </c>
      <c r="G194" s="66">
        <f>VLOOKUP($A194,'S0 remplacer avec S44'!$C:$BQ,30,0)</f>
        <v>550</v>
      </c>
      <c r="H194" s="66">
        <f>VLOOKUP($A194,'S0 remplacer avec S44'!$C:$BQ,52,0)</f>
        <v>136</v>
      </c>
      <c r="I194" s="66">
        <f>VLOOKUP($A194,'S0 remplacer avec S44'!$C:$BQ,59,0)</f>
        <v>11</v>
      </c>
      <c r="J194" s="66">
        <f>VLOOKUP($A194,'S0 remplacer avec S44'!$C:$BQ,60,0)</f>
        <v>41</v>
      </c>
      <c r="K194" s="58">
        <f>VLOOKUP($A194,'S45'!$C:$BQ,32,0)</f>
        <v>237.65</v>
      </c>
      <c r="L194" s="58">
        <f>VLOOKUP($A194,'S45'!$C:$BQ,39,0)</f>
        <v>52</v>
      </c>
      <c r="M194" s="58">
        <f>VLOOKUP($A194,'S45'!$C:$BQ,40,0)</f>
        <v>110</v>
      </c>
      <c r="N194" s="58">
        <f>VLOOKUP($A194,'S45'!$C:$BQ,22,0)</f>
        <v>2620.7163249999999</v>
      </c>
      <c r="O194" s="66">
        <f>VLOOKUP($A194,'S45'!$C:$BQ,29,0)</f>
        <v>12</v>
      </c>
      <c r="P194" s="66">
        <f>VLOOKUP($A194,'S45'!$C:$BQ,30,0)</f>
        <v>538</v>
      </c>
      <c r="Q194" s="66">
        <f>VLOOKUP($A194,'S45'!$C:$BQ,52,0)</f>
        <v>143</v>
      </c>
      <c r="R194" s="66">
        <f>VLOOKUP($A194,'S45'!$C:$BQ,59,0)</f>
        <v>4</v>
      </c>
      <c r="S194" s="66">
        <f>VLOOKUP($A194,'S45'!$C:$BQ,60,0)</f>
        <v>34</v>
      </c>
      <c r="T194" s="58">
        <f>VLOOKUP($A194,'S46'!$C:$BQ,32,0)</f>
        <v>238.65</v>
      </c>
      <c r="U194" s="58">
        <f>VLOOKUP($A194,'S46'!$C:$BQ,39,0)</f>
        <v>51</v>
      </c>
      <c r="V194" s="58">
        <f>VLOOKUP($A194,'S46'!$C:$BQ,40,0)</f>
        <v>109</v>
      </c>
      <c r="W194" s="58">
        <f>VLOOKUP($A194,'S46'!$C:$BQ,22,0)</f>
        <v>2630.9782150000001</v>
      </c>
      <c r="X194" s="66">
        <f>VLOOKUP($A194,'S46'!$C:$BQ,29,0)</f>
        <v>1</v>
      </c>
      <c r="Y194" s="66">
        <f>VLOOKUP($A194,'S46'!$C:$BQ,30,0)</f>
        <v>528</v>
      </c>
      <c r="Z194" s="66">
        <f>VLOOKUP($A194,'S46'!$C:$BQ,52,0)</f>
        <v>143</v>
      </c>
      <c r="AA194" s="66">
        <f>VLOOKUP($A194,'S46'!$C:$BQ,59,0)</f>
        <v>4</v>
      </c>
      <c r="AB194" s="66">
        <f>VLOOKUP($A194,'S46'!$C:$BQ,60,0)</f>
        <v>34</v>
      </c>
      <c r="AC194" s="58">
        <f>VLOOKUP($A194,'S47'!$C:$BQ,32,0)</f>
        <v>243.15</v>
      </c>
      <c r="AD194" s="58">
        <f>VLOOKUP($A194,'S47'!$C:$BQ,39,0)</f>
        <v>47</v>
      </c>
      <c r="AE194" s="58">
        <f>VLOOKUP($A194,'S47'!$C:$BQ,40,0)</f>
        <v>105</v>
      </c>
      <c r="AF194" s="58">
        <f>VLOOKUP($A194,'S47'!$C:$BQ,22,0)</f>
        <v>2689.9545050000002</v>
      </c>
      <c r="AG194" s="66">
        <f>VLOOKUP($A194,'S47'!$C:$BQ,29,0)</f>
        <v>0</v>
      </c>
      <c r="AH194" s="66">
        <f>VLOOKUP($A194,'S47'!$C:$BQ,30,0)</f>
        <v>469</v>
      </c>
      <c r="AI194" s="66">
        <f>VLOOKUP($A194,'S47'!$C:$BQ,52,0)</f>
        <v>148</v>
      </c>
      <c r="AJ194" s="66">
        <f>VLOOKUP($A194,'S47'!$C:$BQ,59,0)</f>
        <v>0</v>
      </c>
      <c r="AK194" s="66">
        <f>VLOOKUP($A194,'S47'!$C:$BQ,60,0)</f>
        <v>29</v>
      </c>
      <c r="AL194" s="58" t="e">
        <f>VLOOKUP($A194,'S48'!$C:$BQ,32,0)</f>
        <v>#N/A</v>
      </c>
      <c r="AM194" s="58" t="e">
        <f>VLOOKUP($A194,'S48'!$C:$BQ,39,0)</f>
        <v>#N/A</v>
      </c>
      <c r="AN194" s="58" t="e">
        <f>VLOOKUP($A194,'S48'!$C:$BQ,40,0)</f>
        <v>#N/A</v>
      </c>
      <c r="AO194" s="58" t="e">
        <f>VLOOKUP($A194,'S48'!$C:$BQ,22,0)</f>
        <v>#N/A</v>
      </c>
      <c r="AP194" s="66" t="e">
        <f>VLOOKUP($A194,'S48'!$C:$BQ,29,0)</f>
        <v>#N/A</v>
      </c>
      <c r="AQ194" s="66" t="e">
        <f>VLOOKUP($A194,'S48'!$C:$BQ,30,0)</f>
        <v>#N/A</v>
      </c>
      <c r="AR194" s="66" t="e">
        <f>VLOOKUP($A194,'S48'!$C:$BQ,52,0)</f>
        <v>#N/A</v>
      </c>
      <c r="AS194" s="66" t="e">
        <f>VLOOKUP($A194,'S48'!$C:$BQ,59,0)</f>
        <v>#N/A</v>
      </c>
      <c r="AT194" s="66" t="e">
        <f>VLOOKUP($A194,'S48'!$C:$BQ,60,0)</f>
        <v>#N/A</v>
      </c>
      <c r="AU194" s="58" t="e">
        <f>VLOOKUP($A194,'S49'!$C:$BQ,32,0)</f>
        <v>#N/A</v>
      </c>
      <c r="AV194" s="58" t="e">
        <f>VLOOKUP($A194,'S49'!$C:$BQ,39,0)</f>
        <v>#N/A</v>
      </c>
      <c r="AW194" s="58" t="e">
        <f>VLOOKUP($A194,'S49'!$C:$BQ,40,0)</f>
        <v>#N/A</v>
      </c>
      <c r="AX194" s="58" t="e">
        <f>VLOOKUP($A194,'S49'!$C:$BQ,22,0)</f>
        <v>#N/A</v>
      </c>
      <c r="AY194" s="66" t="e">
        <f>VLOOKUP($A194,'S49'!$C:$BQ,29,0)</f>
        <v>#N/A</v>
      </c>
      <c r="AZ194" s="66" t="e">
        <f>VLOOKUP($A194,'S49'!$C:$BQ,30,0)</f>
        <v>#N/A</v>
      </c>
      <c r="BA194" s="66" t="e">
        <f>VLOOKUP($A194,'S49'!$C:$BQ,52,0)</f>
        <v>#N/A</v>
      </c>
      <c r="BB194" s="66" t="e">
        <f>VLOOKUP($A194,'S49'!$C:$BQ,59,0)</f>
        <v>#N/A</v>
      </c>
      <c r="BC194" s="66" t="e">
        <f>VLOOKUP($A194,'S49'!$C:$BQ,60,0)</f>
        <v>#N/A</v>
      </c>
      <c r="BD194" s="58" t="e">
        <f>VLOOKUP($A194,'S50'!$C:$BQ,32,0)</f>
        <v>#N/A</v>
      </c>
      <c r="BE194" s="58" t="e">
        <f>VLOOKUP($A194,'S50'!$C:$BQ,39,0)</f>
        <v>#N/A</v>
      </c>
      <c r="BF194" s="58" t="e">
        <f>VLOOKUP($A194,'S50'!$C:$BQ,40,0)</f>
        <v>#N/A</v>
      </c>
      <c r="BG194" s="58" t="e">
        <f>VLOOKUP($A194,'S50'!$C:$BQ,22,0)</f>
        <v>#N/A</v>
      </c>
      <c r="BH194" s="66" t="e">
        <f>VLOOKUP($A194,'S50'!$C:$BQ,29,0)</f>
        <v>#N/A</v>
      </c>
      <c r="BI194" s="66" t="e">
        <f>VLOOKUP($A194,'S50'!$C:$BQ,30,0)</f>
        <v>#N/A</v>
      </c>
      <c r="BJ194" s="66" t="e">
        <f>VLOOKUP($A194,'S50'!$C:$BQ,52,0)</f>
        <v>#N/A</v>
      </c>
      <c r="BK194" s="66" t="e">
        <f>VLOOKUP($A194,'S50'!$C:$BQ,59,0)</f>
        <v>#N/A</v>
      </c>
      <c r="BL194" s="66" t="e">
        <f>VLOOKUP($A194,'S50'!$C:$BQ,60,0)</f>
        <v>#N/A</v>
      </c>
    </row>
    <row r="195" spans="1:64" x14ac:dyDescent="0.2">
      <c r="A195" s="57" t="s">
        <v>263</v>
      </c>
      <c r="B195" s="58">
        <f>VLOOKUP($A195,'S0 remplacer avec S44'!$C:$BQ,32,0)</f>
        <v>103.8</v>
      </c>
      <c r="C195" s="58">
        <f>VLOOKUP($A195,'S0 remplacer avec S44'!$C:$BQ,39,0)</f>
        <v>20</v>
      </c>
      <c r="D195" s="58">
        <f>VLOOKUP($A195,'S0 remplacer avec S44'!$C:$BQ,40,0)</f>
        <v>45</v>
      </c>
      <c r="E195" s="58">
        <f>VLOOKUP($A195,'S0 remplacer avec S44'!$C:$BQ,22,0)</f>
        <v>1316.923225</v>
      </c>
      <c r="F195" s="66">
        <f>VLOOKUP($A195,'S0 remplacer avec S44'!$C:$BQ,29,0)</f>
        <v>0</v>
      </c>
      <c r="G195" s="66">
        <f>VLOOKUP($A195,'S0 remplacer avec S44'!$C:$BQ,30,0)</f>
        <v>29</v>
      </c>
      <c r="H195" s="66">
        <f>VLOOKUP($A195,'S0 remplacer avec S44'!$C:$BQ,52,0)</f>
        <v>64.8</v>
      </c>
      <c r="I195" s="66">
        <f>VLOOKUP($A195,'S0 remplacer avec S44'!$C:$BQ,59,0)</f>
        <v>0</v>
      </c>
      <c r="J195" s="66">
        <f>VLOOKUP($A195,'S0 remplacer avec S44'!$C:$BQ,60,0)</f>
        <v>11</v>
      </c>
      <c r="K195" s="58">
        <f>VLOOKUP($A195,'S45'!$C:$BQ,32,0)</f>
        <v>106.8</v>
      </c>
      <c r="L195" s="58">
        <f>VLOOKUP($A195,'S45'!$C:$BQ,39,0)</f>
        <v>17</v>
      </c>
      <c r="M195" s="58">
        <f>VLOOKUP($A195,'S45'!$C:$BQ,40,0)</f>
        <v>42</v>
      </c>
      <c r="N195" s="58">
        <f>VLOOKUP($A195,'S45'!$C:$BQ,22,0)</f>
        <v>1391.5574449999999</v>
      </c>
      <c r="O195" s="66">
        <f>VLOOKUP($A195,'S45'!$C:$BQ,29,0)</f>
        <v>0</v>
      </c>
      <c r="P195" s="66">
        <f>VLOOKUP($A195,'S45'!$C:$BQ,30,0)</f>
        <v>0</v>
      </c>
      <c r="Q195" s="66">
        <f>VLOOKUP($A195,'S45'!$C:$BQ,52,0)</f>
        <v>65.8</v>
      </c>
      <c r="R195" s="66">
        <f>VLOOKUP($A195,'S45'!$C:$BQ,59,0)</f>
        <v>0</v>
      </c>
      <c r="S195" s="66">
        <f>VLOOKUP($A195,'S45'!$C:$BQ,60,0)</f>
        <v>10</v>
      </c>
      <c r="T195" s="58">
        <f>VLOOKUP($A195,'S46'!$C:$BQ,32,0)</f>
        <v>108.3</v>
      </c>
      <c r="U195" s="58">
        <f>VLOOKUP($A195,'S46'!$C:$BQ,39,0)</f>
        <v>15</v>
      </c>
      <c r="V195" s="58">
        <f>VLOOKUP($A195,'S46'!$C:$BQ,40,0)</f>
        <v>40</v>
      </c>
      <c r="W195" s="58">
        <f>VLOOKUP($A195,'S46'!$C:$BQ,22,0)</f>
        <v>1443.0133350000001</v>
      </c>
      <c r="X195" s="66">
        <f>VLOOKUP($A195,'S46'!$C:$BQ,29,0)</f>
        <v>0</v>
      </c>
      <c r="Y195" s="66">
        <f>VLOOKUP($A195,'S46'!$C:$BQ,30,0)</f>
        <v>0</v>
      </c>
      <c r="Z195" s="66">
        <f>VLOOKUP($A195,'S46'!$C:$BQ,52,0)</f>
        <v>65.8</v>
      </c>
      <c r="AA195" s="66">
        <f>VLOOKUP($A195,'S46'!$C:$BQ,59,0)</f>
        <v>0</v>
      </c>
      <c r="AB195" s="66">
        <f>VLOOKUP($A195,'S46'!$C:$BQ,60,0)</f>
        <v>10</v>
      </c>
      <c r="AC195" s="58">
        <f>VLOOKUP($A195,'S47'!$C:$BQ,32,0)</f>
        <v>111.3</v>
      </c>
      <c r="AD195" s="58">
        <f>VLOOKUP($A195,'S47'!$C:$BQ,39,0)</f>
        <v>12</v>
      </c>
      <c r="AE195" s="58">
        <f>VLOOKUP($A195,'S47'!$C:$BQ,40,0)</f>
        <v>37</v>
      </c>
      <c r="AF195" s="58">
        <f>VLOOKUP($A195,'S47'!$C:$BQ,22,0)</f>
        <v>1465.756185</v>
      </c>
      <c r="AG195" s="66">
        <f>VLOOKUP($A195,'S47'!$C:$BQ,29,0)</f>
        <v>0</v>
      </c>
      <c r="AH195" s="66">
        <f>VLOOKUP($A195,'S47'!$C:$BQ,30,0)</f>
        <v>0</v>
      </c>
      <c r="AI195" s="66">
        <f>VLOOKUP($A195,'S47'!$C:$BQ,52,0)</f>
        <v>66.8</v>
      </c>
      <c r="AJ195" s="66">
        <f>VLOOKUP($A195,'S47'!$C:$BQ,59,0)</f>
        <v>0</v>
      </c>
      <c r="AK195" s="66">
        <f>VLOOKUP($A195,'S47'!$C:$BQ,60,0)</f>
        <v>9</v>
      </c>
      <c r="AL195" s="58" t="e">
        <f>VLOOKUP($A195,'S48'!$C:$BQ,32,0)</f>
        <v>#N/A</v>
      </c>
      <c r="AM195" s="58" t="e">
        <f>VLOOKUP($A195,'S48'!$C:$BQ,39,0)</f>
        <v>#N/A</v>
      </c>
      <c r="AN195" s="58" t="e">
        <f>VLOOKUP($A195,'S48'!$C:$BQ,40,0)</f>
        <v>#N/A</v>
      </c>
      <c r="AO195" s="58" t="e">
        <f>VLOOKUP($A195,'S48'!$C:$BQ,22,0)</f>
        <v>#N/A</v>
      </c>
      <c r="AP195" s="66" t="e">
        <f>VLOOKUP($A195,'S48'!$C:$BQ,29,0)</f>
        <v>#N/A</v>
      </c>
      <c r="AQ195" s="66" t="e">
        <f>VLOOKUP($A195,'S48'!$C:$BQ,30,0)</f>
        <v>#N/A</v>
      </c>
      <c r="AR195" s="66" t="e">
        <f>VLOOKUP($A195,'S48'!$C:$BQ,52,0)</f>
        <v>#N/A</v>
      </c>
      <c r="AS195" s="66" t="e">
        <f>VLOOKUP($A195,'S48'!$C:$BQ,59,0)</f>
        <v>#N/A</v>
      </c>
      <c r="AT195" s="66" t="e">
        <f>VLOOKUP($A195,'S48'!$C:$BQ,60,0)</f>
        <v>#N/A</v>
      </c>
      <c r="AU195" s="58" t="e">
        <f>VLOOKUP($A195,'S49'!$C:$BQ,32,0)</f>
        <v>#N/A</v>
      </c>
      <c r="AV195" s="58" t="e">
        <f>VLOOKUP($A195,'S49'!$C:$BQ,39,0)</f>
        <v>#N/A</v>
      </c>
      <c r="AW195" s="58" t="e">
        <f>VLOOKUP($A195,'S49'!$C:$BQ,40,0)</f>
        <v>#N/A</v>
      </c>
      <c r="AX195" s="58" t="e">
        <f>VLOOKUP($A195,'S49'!$C:$BQ,22,0)</f>
        <v>#N/A</v>
      </c>
      <c r="AY195" s="66" t="e">
        <f>VLOOKUP($A195,'S49'!$C:$BQ,29,0)</f>
        <v>#N/A</v>
      </c>
      <c r="AZ195" s="66" t="e">
        <f>VLOOKUP($A195,'S49'!$C:$BQ,30,0)</f>
        <v>#N/A</v>
      </c>
      <c r="BA195" s="66" t="e">
        <f>VLOOKUP($A195,'S49'!$C:$BQ,52,0)</f>
        <v>#N/A</v>
      </c>
      <c r="BB195" s="66" t="e">
        <f>VLOOKUP($A195,'S49'!$C:$BQ,59,0)</f>
        <v>#N/A</v>
      </c>
      <c r="BC195" s="66" t="e">
        <f>VLOOKUP($A195,'S49'!$C:$BQ,60,0)</f>
        <v>#N/A</v>
      </c>
      <c r="BD195" s="58" t="e">
        <f>VLOOKUP($A195,'S50'!$C:$BQ,32,0)</f>
        <v>#N/A</v>
      </c>
      <c r="BE195" s="58" t="e">
        <f>VLOOKUP($A195,'S50'!$C:$BQ,39,0)</f>
        <v>#N/A</v>
      </c>
      <c r="BF195" s="58" t="e">
        <f>VLOOKUP($A195,'S50'!$C:$BQ,40,0)</f>
        <v>#N/A</v>
      </c>
      <c r="BG195" s="58" t="e">
        <f>VLOOKUP($A195,'S50'!$C:$BQ,22,0)</f>
        <v>#N/A</v>
      </c>
      <c r="BH195" s="66" t="e">
        <f>VLOOKUP($A195,'S50'!$C:$BQ,29,0)</f>
        <v>#N/A</v>
      </c>
      <c r="BI195" s="66" t="e">
        <f>VLOOKUP($A195,'S50'!$C:$BQ,30,0)</f>
        <v>#N/A</v>
      </c>
      <c r="BJ195" s="66" t="e">
        <f>VLOOKUP($A195,'S50'!$C:$BQ,52,0)</f>
        <v>#N/A</v>
      </c>
      <c r="BK195" s="66" t="e">
        <f>VLOOKUP($A195,'S50'!$C:$BQ,59,0)</f>
        <v>#N/A</v>
      </c>
      <c r="BL195" s="66" t="e">
        <f>VLOOKUP($A195,'S50'!$C:$BQ,60,0)</f>
        <v>#N/A</v>
      </c>
    </row>
    <row r="196" spans="1:64" x14ac:dyDescent="0.2">
      <c r="A196" s="57" t="s">
        <v>264</v>
      </c>
      <c r="B196" s="58">
        <f>VLOOKUP($A196,'S0 remplacer avec S44'!$C:$BQ,32,0)</f>
        <v>104.7</v>
      </c>
      <c r="C196" s="58">
        <f>VLOOKUP($A196,'S0 remplacer avec S44'!$C:$BQ,39,0)</f>
        <v>62</v>
      </c>
      <c r="D196" s="58">
        <f>VLOOKUP($A196,'S0 remplacer avec S44'!$C:$BQ,40,0)</f>
        <v>95</v>
      </c>
      <c r="E196" s="58">
        <f>VLOOKUP($A196,'S0 remplacer avec S44'!$C:$BQ,22,0)</f>
        <v>1220.773635</v>
      </c>
      <c r="F196" s="66">
        <f>VLOOKUP($A196,'S0 remplacer avec S44'!$C:$BQ,29,0)</f>
        <v>293</v>
      </c>
      <c r="G196" s="66">
        <f>VLOOKUP($A196,'S0 remplacer avec S44'!$C:$BQ,30,0)</f>
        <v>595</v>
      </c>
      <c r="H196" s="66">
        <f>VLOOKUP($A196,'S0 remplacer avec S44'!$C:$BQ,52,0)</f>
        <v>75.2</v>
      </c>
      <c r="I196" s="66">
        <f>VLOOKUP($A196,'S0 remplacer avec S44'!$C:$BQ,59,0)</f>
        <v>10</v>
      </c>
      <c r="J196" s="66">
        <f>VLOOKUP($A196,'S0 remplacer avec S44'!$C:$BQ,60,0)</f>
        <v>27</v>
      </c>
      <c r="K196" s="58">
        <f>VLOOKUP($A196,'S45'!$C:$BQ,32,0)</f>
        <v>106.7</v>
      </c>
      <c r="L196" s="58">
        <f>VLOOKUP($A196,'S45'!$C:$BQ,39,0)</f>
        <v>60</v>
      </c>
      <c r="M196" s="58">
        <f>VLOOKUP($A196,'S45'!$C:$BQ,40,0)</f>
        <v>93</v>
      </c>
      <c r="N196" s="58">
        <f>VLOOKUP($A196,'S45'!$C:$BQ,22,0)</f>
        <v>1231.4137450000001</v>
      </c>
      <c r="O196" s="66">
        <f>VLOOKUP($A196,'S45'!$C:$BQ,29,0)</f>
        <v>282</v>
      </c>
      <c r="P196" s="66">
        <f>VLOOKUP($A196,'S45'!$C:$BQ,30,0)</f>
        <v>585</v>
      </c>
      <c r="Q196" s="66">
        <f>VLOOKUP($A196,'S45'!$C:$BQ,52,0)</f>
        <v>75.2</v>
      </c>
      <c r="R196" s="66">
        <f>VLOOKUP($A196,'S45'!$C:$BQ,59,0)</f>
        <v>10</v>
      </c>
      <c r="S196" s="66">
        <f>VLOOKUP($A196,'S45'!$C:$BQ,60,0)</f>
        <v>27</v>
      </c>
      <c r="T196" s="58">
        <f>VLOOKUP($A196,'S46'!$C:$BQ,32,0)</f>
        <v>106.7</v>
      </c>
      <c r="U196" s="58">
        <f>VLOOKUP($A196,'S46'!$C:$BQ,39,0)</f>
        <v>60</v>
      </c>
      <c r="V196" s="58">
        <f>VLOOKUP($A196,'S46'!$C:$BQ,40,0)</f>
        <v>93</v>
      </c>
      <c r="W196" s="58">
        <f>VLOOKUP($A196,'S46'!$C:$BQ,22,0)</f>
        <v>1258.9592950000001</v>
      </c>
      <c r="X196" s="66">
        <f>VLOOKUP($A196,'S46'!$C:$BQ,29,0)</f>
        <v>255</v>
      </c>
      <c r="Y196" s="66">
        <f>VLOOKUP($A196,'S46'!$C:$BQ,30,0)</f>
        <v>557</v>
      </c>
      <c r="Z196" s="66">
        <f>VLOOKUP($A196,'S46'!$C:$BQ,52,0)</f>
        <v>76.2</v>
      </c>
      <c r="AA196" s="66">
        <f>VLOOKUP($A196,'S46'!$C:$BQ,59,0)</f>
        <v>9</v>
      </c>
      <c r="AB196" s="66">
        <f>VLOOKUP($A196,'S46'!$C:$BQ,60,0)</f>
        <v>26</v>
      </c>
      <c r="AC196" s="58">
        <f>VLOOKUP($A196,'S47'!$C:$BQ,32,0)</f>
        <v>105.2</v>
      </c>
      <c r="AD196" s="58">
        <f>VLOOKUP($A196,'S47'!$C:$BQ,39,0)</f>
        <v>62</v>
      </c>
      <c r="AE196" s="58">
        <f>VLOOKUP($A196,'S47'!$C:$BQ,40,0)</f>
        <v>95</v>
      </c>
      <c r="AF196" s="58">
        <f>VLOOKUP($A196,'S47'!$C:$BQ,22,0)</f>
        <v>1282.067395</v>
      </c>
      <c r="AG196" s="66">
        <f>VLOOKUP($A196,'S47'!$C:$BQ,29,0)</f>
        <v>231</v>
      </c>
      <c r="AH196" s="66">
        <f>VLOOKUP($A196,'S47'!$C:$BQ,30,0)</f>
        <v>534</v>
      </c>
      <c r="AI196" s="66">
        <f>VLOOKUP($A196,'S47'!$C:$BQ,52,0)</f>
        <v>76.2</v>
      </c>
      <c r="AJ196" s="66">
        <f>VLOOKUP($A196,'S47'!$C:$BQ,59,0)</f>
        <v>9</v>
      </c>
      <c r="AK196" s="66">
        <f>VLOOKUP($A196,'S47'!$C:$BQ,60,0)</f>
        <v>26</v>
      </c>
      <c r="AL196" s="58" t="e">
        <f>VLOOKUP($A196,'S48'!$C:$BQ,32,0)</f>
        <v>#N/A</v>
      </c>
      <c r="AM196" s="58" t="e">
        <f>VLOOKUP($A196,'S48'!$C:$BQ,39,0)</f>
        <v>#N/A</v>
      </c>
      <c r="AN196" s="58" t="e">
        <f>VLOOKUP($A196,'S48'!$C:$BQ,40,0)</f>
        <v>#N/A</v>
      </c>
      <c r="AO196" s="58" t="e">
        <f>VLOOKUP($A196,'S48'!$C:$BQ,22,0)</f>
        <v>#N/A</v>
      </c>
      <c r="AP196" s="66" t="e">
        <f>VLOOKUP($A196,'S48'!$C:$BQ,29,0)</f>
        <v>#N/A</v>
      </c>
      <c r="AQ196" s="66" t="e">
        <f>VLOOKUP($A196,'S48'!$C:$BQ,30,0)</f>
        <v>#N/A</v>
      </c>
      <c r="AR196" s="66" t="e">
        <f>VLOOKUP($A196,'S48'!$C:$BQ,52,0)</f>
        <v>#N/A</v>
      </c>
      <c r="AS196" s="66" t="e">
        <f>VLOOKUP($A196,'S48'!$C:$BQ,59,0)</f>
        <v>#N/A</v>
      </c>
      <c r="AT196" s="66" t="e">
        <f>VLOOKUP($A196,'S48'!$C:$BQ,60,0)</f>
        <v>#N/A</v>
      </c>
      <c r="AU196" s="58" t="e">
        <f>VLOOKUP($A196,'S49'!$C:$BQ,32,0)</f>
        <v>#N/A</v>
      </c>
      <c r="AV196" s="58" t="e">
        <f>VLOOKUP($A196,'S49'!$C:$BQ,39,0)</f>
        <v>#N/A</v>
      </c>
      <c r="AW196" s="58" t="e">
        <f>VLOOKUP($A196,'S49'!$C:$BQ,40,0)</f>
        <v>#N/A</v>
      </c>
      <c r="AX196" s="58" t="e">
        <f>VLOOKUP($A196,'S49'!$C:$BQ,22,0)</f>
        <v>#N/A</v>
      </c>
      <c r="AY196" s="66" t="e">
        <f>VLOOKUP($A196,'S49'!$C:$BQ,29,0)</f>
        <v>#N/A</v>
      </c>
      <c r="AZ196" s="66" t="e">
        <f>VLOOKUP($A196,'S49'!$C:$BQ,30,0)</f>
        <v>#N/A</v>
      </c>
      <c r="BA196" s="66" t="e">
        <f>VLOOKUP($A196,'S49'!$C:$BQ,52,0)</f>
        <v>#N/A</v>
      </c>
      <c r="BB196" s="66" t="e">
        <f>VLOOKUP($A196,'S49'!$C:$BQ,59,0)</f>
        <v>#N/A</v>
      </c>
      <c r="BC196" s="66" t="e">
        <f>VLOOKUP($A196,'S49'!$C:$BQ,60,0)</f>
        <v>#N/A</v>
      </c>
      <c r="BD196" s="58" t="e">
        <f>VLOOKUP($A196,'S50'!$C:$BQ,32,0)</f>
        <v>#N/A</v>
      </c>
      <c r="BE196" s="58" t="e">
        <f>VLOOKUP($A196,'S50'!$C:$BQ,39,0)</f>
        <v>#N/A</v>
      </c>
      <c r="BF196" s="58" t="e">
        <f>VLOOKUP($A196,'S50'!$C:$BQ,40,0)</f>
        <v>#N/A</v>
      </c>
      <c r="BG196" s="58" t="e">
        <f>VLOOKUP($A196,'S50'!$C:$BQ,22,0)</f>
        <v>#N/A</v>
      </c>
      <c r="BH196" s="66" t="e">
        <f>VLOOKUP($A196,'S50'!$C:$BQ,29,0)</f>
        <v>#N/A</v>
      </c>
      <c r="BI196" s="66" t="e">
        <f>VLOOKUP($A196,'S50'!$C:$BQ,30,0)</f>
        <v>#N/A</v>
      </c>
      <c r="BJ196" s="66" t="e">
        <f>VLOOKUP($A196,'S50'!$C:$BQ,52,0)</f>
        <v>#N/A</v>
      </c>
      <c r="BK196" s="66" t="e">
        <f>VLOOKUP($A196,'S50'!$C:$BQ,59,0)</f>
        <v>#N/A</v>
      </c>
      <c r="BL196" s="66" t="e">
        <f>VLOOKUP($A196,'S50'!$C:$BQ,60,0)</f>
        <v>#N/A</v>
      </c>
    </row>
    <row r="197" spans="1:64" x14ac:dyDescent="0.2">
      <c r="A197" s="57" t="s">
        <v>265</v>
      </c>
      <c r="B197" s="58">
        <f>VLOOKUP($A197,'S0 remplacer avec S44'!$C:$BQ,32,0)</f>
        <v>155.9</v>
      </c>
      <c r="C197" s="58">
        <f>VLOOKUP($A197,'S0 remplacer avec S44'!$C:$BQ,39,0)</f>
        <v>14</v>
      </c>
      <c r="D197" s="58">
        <f>VLOOKUP($A197,'S0 remplacer avec S44'!$C:$BQ,40,0)</f>
        <v>48</v>
      </c>
      <c r="E197" s="58">
        <f>VLOOKUP($A197,'S0 remplacer avec S44'!$C:$BQ,22,0)</f>
        <v>1708.4290699999999</v>
      </c>
      <c r="F197" s="66">
        <f>VLOOKUP($A197,'S0 remplacer avec S44'!$C:$BQ,29,0)</f>
        <v>0</v>
      </c>
      <c r="G197" s="66">
        <f>VLOOKUP($A197,'S0 remplacer avec S44'!$C:$BQ,30,0)</f>
        <v>143</v>
      </c>
      <c r="H197" s="66">
        <f>VLOOKUP($A197,'S0 remplacer avec S44'!$C:$BQ,52,0)</f>
        <v>98.4</v>
      </c>
      <c r="I197" s="66">
        <f>VLOOKUP($A197,'S0 remplacer avec S44'!$C:$BQ,59,0)</f>
        <v>0</v>
      </c>
      <c r="J197" s="66">
        <f>VLOOKUP($A197,'S0 remplacer avec S44'!$C:$BQ,60,0)</f>
        <v>5</v>
      </c>
      <c r="K197" s="58">
        <f>VLOOKUP($A197,'S45'!$C:$BQ,32,0)</f>
        <v>163.19999999999999</v>
      </c>
      <c r="L197" s="58">
        <f>VLOOKUP($A197,'S45'!$C:$BQ,39,0)</f>
        <v>7</v>
      </c>
      <c r="M197" s="58">
        <f>VLOOKUP($A197,'S45'!$C:$BQ,40,0)</f>
        <v>41</v>
      </c>
      <c r="N197" s="58">
        <f>VLOOKUP($A197,'S45'!$C:$BQ,22,0)</f>
        <v>1763.72531</v>
      </c>
      <c r="O197" s="66">
        <f>VLOOKUP($A197,'S45'!$C:$BQ,29,0)</f>
        <v>0</v>
      </c>
      <c r="P197" s="66">
        <f>VLOOKUP($A197,'S45'!$C:$BQ,30,0)</f>
        <v>88</v>
      </c>
      <c r="Q197" s="66">
        <f>VLOOKUP($A197,'S45'!$C:$BQ,52,0)</f>
        <v>101.4</v>
      </c>
      <c r="R197" s="66">
        <f>VLOOKUP($A197,'S45'!$C:$BQ,59,0)</f>
        <v>0</v>
      </c>
      <c r="S197" s="66">
        <f>VLOOKUP($A197,'S45'!$C:$BQ,60,0)</f>
        <v>2</v>
      </c>
      <c r="T197" s="58">
        <f>VLOOKUP($A197,'S46'!$C:$BQ,32,0)</f>
        <v>162.80000000000001</v>
      </c>
      <c r="U197" s="58">
        <f>VLOOKUP($A197,'S46'!$C:$BQ,39,0)</f>
        <v>7</v>
      </c>
      <c r="V197" s="58">
        <f>VLOOKUP($A197,'S46'!$C:$BQ,40,0)</f>
        <v>41</v>
      </c>
      <c r="W197" s="58">
        <f>VLOOKUP($A197,'S46'!$C:$BQ,22,0)</f>
        <v>1734.34229</v>
      </c>
      <c r="X197" s="66">
        <f>VLOOKUP($A197,'S46'!$C:$BQ,29,0)</f>
        <v>0</v>
      </c>
      <c r="Y197" s="66">
        <f>VLOOKUP($A197,'S46'!$C:$BQ,30,0)</f>
        <v>117</v>
      </c>
      <c r="Z197" s="66">
        <f>VLOOKUP($A197,'S46'!$C:$BQ,52,0)</f>
        <v>101.4</v>
      </c>
      <c r="AA197" s="66">
        <f>VLOOKUP($A197,'S46'!$C:$BQ,59,0)</f>
        <v>0</v>
      </c>
      <c r="AB197" s="66">
        <f>VLOOKUP($A197,'S46'!$C:$BQ,60,0)</f>
        <v>2</v>
      </c>
      <c r="AC197" s="58">
        <f>VLOOKUP($A197,'S47'!$C:$BQ,32,0)</f>
        <v>166.8</v>
      </c>
      <c r="AD197" s="58">
        <f>VLOOKUP($A197,'S47'!$C:$BQ,39,0)</f>
        <v>3</v>
      </c>
      <c r="AE197" s="58">
        <f>VLOOKUP($A197,'S47'!$C:$BQ,40,0)</f>
        <v>37</v>
      </c>
      <c r="AF197" s="58">
        <f>VLOOKUP($A197,'S47'!$C:$BQ,22,0)</f>
        <v>1770.9614799999999</v>
      </c>
      <c r="AG197" s="66">
        <f>VLOOKUP($A197,'S47'!$C:$BQ,29,0)</f>
        <v>0</v>
      </c>
      <c r="AH197" s="66">
        <f>VLOOKUP($A197,'S47'!$C:$BQ,30,0)</f>
        <v>81</v>
      </c>
      <c r="AI197" s="66">
        <f>VLOOKUP($A197,'S47'!$C:$BQ,52,0)</f>
        <v>101.4</v>
      </c>
      <c r="AJ197" s="66">
        <f>VLOOKUP($A197,'S47'!$C:$BQ,59,0)</f>
        <v>0</v>
      </c>
      <c r="AK197" s="66">
        <f>VLOOKUP($A197,'S47'!$C:$BQ,60,0)</f>
        <v>2</v>
      </c>
      <c r="AL197" s="58" t="e">
        <f>VLOOKUP($A197,'S48'!$C:$BQ,32,0)</f>
        <v>#N/A</v>
      </c>
      <c r="AM197" s="58" t="e">
        <f>VLOOKUP($A197,'S48'!$C:$BQ,39,0)</f>
        <v>#N/A</v>
      </c>
      <c r="AN197" s="58" t="e">
        <f>VLOOKUP($A197,'S48'!$C:$BQ,40,0)</f>
        <v>#N/A</v>
      </c>
      <c r="AO197" s="58" t="e">
        <f>VLOOKUP($A197,'S48'!$C:$BQ,22,0)</f>
        <v>#N/A</v>
      </c>
      <c r="AP197" s="66" t="e">
        <f>VLOOKUP($A197,'S48'!$C:$BQ,29,0)</f>
        <v>#N/A</v>
      </c>
      <c r="AQ197" s="66" t="e">
        <f>VLOOKUP($A197,'S48'!$C:$BQ,30,0)</f>
        <v>#N/A</v>
      </c>
      <c r="AR197" s="66" t="e">
        <f>VLOOKUP($A197,'S48'!$C:$BQ,52,0)</f>
        <v>#N/A</v>
      </c>
      <c r="AS197" s="66" t="e">
        <f>VLOOKUP($A197,'S48'!$C:$BQ,59,0)</f>
        <v>#N/A</v>
      </c>
      <c r="AT197" s="66" t="e">
        <f>VLOOKUP($A197,'S48'!$C:$BQ,60,0)</f>
        <v>#N/A</v>
      </c>
      <c r="AU197" s="58" t="e">
        <f>VLOOKUP($A197,'S49'!$C:$BQ,32,0)</f>
        <v>#N/A</v>
      </c>
      <c r="AV197" s="58" t="e">
        <f>VLOOKUP($A197,'S49'!$C:$BQ,39,0)</f>
        <v>#N/A</v>
      </c>
      <c r="AW197" s="58" t="e">
        <f>VLOOKUP($A197,'S49'!$C:$BQ,40,0)</f>
        <v>#N/A</v>
      </c>
      <c r="AX197" s="58" t="e">
        <f>VLOOKUP($A197,'S49'!$C:$BQ,22,0)</f>
        <v>#N/A</v>
      </c>
      <c r="AY197" s="66" t="e">
        <f>VLOOKUP($A197,'S49'!$C:$BQ,29,0)</f>
        <v>#N/A</v>
      </c>
      <c r="AZ197" s="66" t="e">
        <f>VLOOKUP($A197,'S49'!$C:$BQ,30,0)</f>
        <v>#N/A</v>
      </c>
      <c r="BA197" s="66" t="e">
        <f>VLOOKUP($A197,'S49'!$C:$BQ,52,0)</f>
        <v>#N/A</v>
      </c>
      <c r="BB197" s="66" t="e">
        <f>VLOOKUP($A197,'S49'!$C:$BQ,59,0)</f>
        <v>#N/A</v>
      </c>
      <c r="BC197" s="66" t="e">
        <f>VLOOKUP($A197,'S49'!$C:$BQ,60,0)</f>
        <v>#N/A</v>
      </c>
      <c r="BD197" s="58" t="e">
        <f>VLOOKUP($A197,'S50'!$C:$BQ,32,0)</f>
        <v>#N/A</v>
      </c>
      <c r="BE197" s="58" t="e">
        <f>VLOOKUP($A197,'S50'!$C:$BQ,39,0)</f>
        <v>#N/A</v>
      </c>
      <c r="BF197" s="58" t="e">
        <f>VLOOKUP($A197,'S50'!$C:$BQ,40,0)</f>
        <v>#N/A</v>
      </c>
      <c r="BG197" s="58" t="e">
        <f>VLOOKUP($A197,'S50'!$C:$BQ,22,0)</f>
        <v>#N/A</v>
      </c>
      <c r="BH197" s="66" t="e">
        <f>VLOOKUP($A197,'S50'!$C:$BQ,29,0)</f>
        <v>#N/A</v>
      </c>
      <c r="BI197" s="66" t="e">
        <f>VLOOKUP($A197,'S50'!$C:$BQ,30,0)</f>
        <v>#N/A</v>
      </c>
      <c r="BJ197" s="66" t="e">
        <f>VLOOKUP($A197,'S50'!$C:$BQ,52,0)</f>
        <v>#N/A</v>
      </c>
      <c r="BK197" s="66" t="e">
        <f>VLOOKUP($A197,'S50'!$C:$BQ,59,0)</f>
        <v>#N/A</v>
      </c>
      <c r="BL197" s="66" t="e">
        <f>VLOOKUP($A197,'S50'!$C:$BQ,60,0)</f>
        <v>#N/A</v>
      </c>
    </row>
    <row r="198" spans="1:64" x14ac:dyDescent="0.2">
      <c r="A198" s="57" t="s">
        <v>266</v>
      </c>
      <c r="B198" s="58">
        <f>VLOOKUP($A198,'S0 remplacer avec S44'!$C:$BQ,32,0)</f>
        <v>221.5</v>
      </c>
      <c r="C198" s="58">
        <f>VLOOKUP($A198,'S0 remplacer avec S44'!$C:$BQ,39,0)</f>
        <v>23</v>
      </c>
      <c r="D198" s="58">
        <f>VLOOKUP($A198,'S0 remplacer avec S44'!$C:$BQ,40,0)</f>
        <v>72</v>
      </c>
      <c r="E198" s="58">
        <f>VLOOKUP($A198,'S0 remplacer avec S44'!$C:$BQ,22,0)</f>
        <v>2057.5146</v>
      </c>
      <c r="F198" s="66">
        <f>VLOOKUP($A198,'S0 remplacer avec S44'!$C:$BQ,29,0)</f>
        <v>163</v>
      </c>
      <c r="G198" s="66">
        <f>VLOOKUP($A198,'S0 remplacer avec S44'!$C:$BQ,30,0)</f>
        <v>607</v>
      </c>
      <c r="H198" s="66">
        <f>VLOOKUP($A198,'S0 remplacer avec S44'!$C:$BQ,52,0)</f>
        <v>146.19999999999999</v>
      </c>
      <c r="I198" s="66">
        <f>VLOOKUP($A198,'S0 remplacer avec S44'!$C:$BQ,59,0)</f>
        <v>0</v>
      </c>
      <c r="J198" s="66">
        <f>VLOOKUP($A198,'S0 remplacer avec S44'!$C:$BQ,60,0)</f>
        <v>3</v>
      </c>
      <c r="K198" s="58">
        <f>VLOOKUP($A198,'S45'!$C:$BQ,32,0)</f>
        <v>225</v>
      </c>
      <c r="L198" s="58">
        <f>VLOOKUP($A198,'S45'!$C:$BQ,39,0)</f>
        <v>20</v>
      </c>
      <c r="M198" s="58">
        <f>VLOOKUP($A198,'S45'!$C:$BQ,40,0)</f>
        <v>68</v>
      </c>
      <c r="N198" s="58">
        <f>VLOOKUP($A198,'S45'!$C:$BQ,22,0)</f>
        <v>2038.5309199999999</v>
      </c>
      <c r="O198" s="66">
        <f>VLOOKUP($A198,'S45'!$C:$BQ,29,0)</f>
        <v>182</v>
      </c>
      <c r="P198" s="66">
        <f>VLOOKUP($A198,'S45'!$C:$BQ,30,0)</f>
        <v>626</v>
      </c>
      <c r="Q198" s="66">
        <f>VLOOKUP($A198,'S45'!$C:$BQ,52,0)</f>
        <v>146.19999999999999</v>
      </c>
      <c r="R198" s="66">
        <f>VLOOKUP($A198,'S45'!$C:$BQ,59,0)</f>
        <v>0</v>
      </c>
      <c r="S198" s="66">
        <f>VLOOKUP($A198,'S45'!$C:$BQ,60,0)</f>
        <v>3</v>
      </c>
      <c r="T198" s="58">
        <f>VLOOKUP($A198,'S46'!$C:$BQ,32,0)</f>
        <v>222.5</v>
      </c>
      <c r="U198" s="58">
        <f>VLOOKUP($A198,'S46'!$C:$BQ,39,0)</f>
        <v>22</v>
      </c>
      <c r="V198" s="58">
        <f>VLOOKUP($A198,'S46'!$C:$BQ,40,0)</f>
        <v>71</v>
      </c>
      <c r="W198" s="58">
        <f>VLOOKUP($A198,'S46'!$C:$BQ,22,0)</f>
        <v>2058.4745200000002</v>
      </c>
      <c r="X198" s="66">
        <f>VLOOKUP($A198,'S46'!$C:$BQ,29,0)</f>
        <v>162</v>
      </c>
      <c r="Y198" s="66">
        <f>VLOOKUP($A198,'S46'!$C:$BQ,30,0)</f>
        <v>606</v>
      </c>
      <c r="Z198" s="66">
        <f>VLOOKUP($A198,'S46'!$C:$BQ,52,0)</f>
        <v>146.19999999999999</v>
      </c>
      <c r="AA198" s="66">
        <f>VLOOKUP($A198,'S46'!$C:$BQ,59,0)</f>
        <v>0</v>
      </c>
      <c r="AB198" s="66">
        <f>VLOOKUP($A198,'S46'!$C:$BQ,60,0)</f>
        <v>3</v>
      </c>
      <c r="AC198" s="58">
        <f>VLOOKUP($A198,'S47'!$C:$BQ,32,0)</f>
        <v>225.5</v>
      </c>
      <c r="AD198" s="58">
        <f>VLOOKUP($A198,'S47'!$C:$BQ,39,0)</f>
        <v>19</v>
      </c>
      <c r="AE198" s="58">
        <f>VLOOKUP($A198,'S47'!$C:$BQ,40,0)</f>
        <v>68</v>
      </c>
      <c r="AF198" s="58">
        <f>VLOOKUP($A198,'S47'!$C:$BQ,22,0)</f>
        <v>2106.6466999999998</v>
      </c>
      <c r="AG198" s="66">
        <f>VLOOKUP($A198,'S47'!$C:$BQ,29,0)</f>
        <v>114</v>
      </c>
      <c r="AH198" s="66">
        <f>VLOOKUP($A198,'S47'!$C:$BQ,30,0)</f>
        <v>558</v>
      </c>
      <c r="AI198" s="66">
        <f>VLOOKUP($A198,'S47'!$C:$BQ,52,0)</f>
        <v>148.19999999999999</v>
      </c>
      <c r="AJ198" s="66">
        <f>VLOOKUP($A198,'S47'!$C:$BQ,59,0)</f>
        <v>0</v>
      </c>
      <c r="AK198" s="66">
        <f>VLOOKUP($A198,'S47'!$C:$BQ,60,0)</f>
        <v>1</v>
      </c>
      <c r="AL198" s="58" t="e">
        <f>VLOOKUP($A198,'S48'!$C:$BQ,32,0)</f>
        <v>#N/A</v>
      </c>
      <c r="AM198" s="58" t="e">
        <f>VLOOKUP($A198,'S48'!$C:$BQ,39,0)</f>
        <v>#N/A</v>
      </c>
      <c r="AN198" s="58" t="e">
        <f>VLOOKUP($A198,'S48'!$C:$BQ,40,0)</f>
        <v>#N/A</v>
      </c>
      <c r="AO198" s="58" t="e">
        <f>VLOOKUP($A198,'S48'!$C:$BQ,22,0)</f>
        <v>#N/A</v>
      </c>
      <c r="AP198" s="66" t="e">
        <f>VLOOKUP($A198,'S48'!$C:$BQ,29,0)</f>
        <v>#N/A</v>
      </c>
      <c r="AQ198" s="66" t="e">
        <f>VLOOKUP($A198,'S48'!$C:$BQ,30,0)</f>
        <v>#N/A</v>
      </c>
      <c r="AR198" s="66" t="e">
        <f>VLOOKUP($A198,'S48'!$C:$BQ,52,0)</f>
        <v>#N/A</v>
      </c>
      <c r="AS198" s="66" t="e">
        <f>VLOOKUP($A198,'S48'!$C:$BQ,59,0)</f>
        <v>#N/A</v>
      </c>
      <c r="AT198" s="66" t="e">
        <f>VLOOKUP($A198,'S48'!$C:$BQ,60,0)</f>
        <v>#N/A</v>
      </c>
      <c r="AU198" s="58" t="e">
        <f>VLOOKUP($A198,'S49'!$C:$BQ,32,0)</f>
        <v>#N/A</v>
      </c>
      <c r="AV198" s="58" t="e">
        <f>VLOOKUP($A198,'S49'!$C:$BQ,39,0)</f>
        <v>#N/A</v>
      </c>
      <c r="AW198" s="58" t="e">
        <f>VLOOKUP($A198,'S49'!$C:$BQ,40,0)</f>
        <v>#N/A</v>
      </c>
      <c r="AX198" s="58" t="e">
        <f>VLOOKUP($A198,'S49'!$C:$BQ,22,0)</f>
        <v>#N/A</v>
      </c>
      <c r="AY198" s="66" t="e">
        <f>VLOOKUP($A198,'S49'!$C:$BQ,29,0)</f>
        <v>#N/A</v>
      </c>
      <c r="AZ198" s="66" t="e">
        <f>VLOOKUP($A198,'S49'!$C:$BQ,30,0)</f>
        <v>#N/A</v>
      </c>
      <c r="BA198" s="66" t="e">
        <f>VLOOKUP($A198,'S49'!$C:$BQ,52,0)</f>
        <v>#N/A</v>
      </c>
      <c r="BB198" s="66" t="e">
        <f>VLOOKUP($A198,'S49'!$C:$BQ,59,0)</f>
        <v>#N/A</v>
      </c>
      <c r="BC198" s="66" t="e">
        <f>VLOOKUP($A198,'S49'!$C:$BQ,60,0)</f>
        <v>#N/A</v>
      </c>
      <c r="BD198" s="58" t="e">
        <f>VLOOKUP($A198,'S50'!$C:$BQ,32,0)</f>
        <v>#N/A</v>
      </c>
      <c r="BE198" s="58" t="e">
        <f>VLOOKUP($A198,'S50'!$C:$BQ,39,0)</f>
        <v>#N/A</v>
      </c>
      <c r="BF198" s="58" t="e">
        <f>VLOOKUP($A198,'S50'!$C:$BQ,40,0)</f>
        <v>#N/A</v>
      </c>
      <c r="BG198" s="58" t="e">
        <f>VLOOKUP($A198,'S50'!$C:$BQ,22,0)</f>
        <v>#N/A</v>
      </c>
      <c r="BH198" s="66" t="e">
        <f>VLOOKUP($A198,'S50'!$C:$BQ,29,0)</f>
        <v>#N/A</v>
      </c>
      <c r="BI198" s="66" t="e">
        <f>VLOOKUP($A198,'S50'!$C:$BQ,30,0)</f>
        <v>#N/A</v>
      </c>
      <c r="BJ198" s="66" t="e">
        <f>VLOOKUP($A198,'S50'!$C:$BQ,52,0)</f>
        <v>#N/A</v>
      </c>
      <c r="BK198" s="66" t="e">
        <f>VLOOKUP($A198,'S50'!$C:$BQ,59,0)</f>
        <v>#N/A</v>
      </c>
      <c r="BL198" s="66" t="e">
        <f>VLOOKUP($A198,'S50'!$C:$BQ,60,0)</f>
        <v>#N/A</v>
      </c>
    </row>
    <row r="199" spans="1:64" x14ac:dyDescent="0.2">
      <c r="A199" s="57" t="s">
        <v>267</v>
      </c>
      <c r="B199" s="58">
        <f>VLOOKUP($A199,'S0 remplacer avec S44'!$C:$BQ,32,0)</f>
        <v>191.65</v>
      </c>
      <c r="C199" s="58">
        <f>VLOOKUP($A199,'S0 remplacer avec S44'!$C:$BQ,39,0)</f>
        <v>13</v>
      </c>
      <c r="D199" s="58">
        <f>VLOOKUP($A199,'S0 remplacer avec S44'!$C:$BQ,40,0)</f>
        <v>54</v>
      </c>
      <c r="E199" s="58">
        <f>VLOOKUP($A199,'S0 remplacer avec S44'!$C:$BQ,22,0)</f>
        <v>1933.5015450000001</v>
      </c>
      <c r="F199" s="66">
        <f>VLOOKUP($A199,'S0 remplacer avec S44'!$C:$BQ,29,0)</f>
        <v>0</v>
      </c>
      <c r="G199" s="66">
        <f>VLOOKUP($A199,'S0 remplacer avec S44'!$C:$BQ,30,0)</f>
        <v>294</v>
      </c>
      <c r="H199" s="66">
        <f>VLOOKUP($A199,'S0 remplacer avec S44'!$C:$BQ,52,0)</f>
        <v>122.8</v>
      </c>
      <c r="I199" s="66">
        <f>VLOOKUP($A199,'S0 remplacer avec S44'!$C:$BQ,59,0)</f>
        <v>0</v>
      </c>
      <c r="J199" s="66">
        <f>VLOOKUP($A199,'S0 remplacer avec S44'!$C:$BQ,60,0)</f>
        <v>2</v>
      </c>
      <c r="K199" s="58">
        <f>VLOOKUP($A199,'S45'!$C:$BQ,32,0)</f>
        <v>198.65</v>
      </c>
      <c r="L199" s="58">
        <f>VLOOKUP($A199,'S45'!$C:$BQ,39,0)</f>
        <v>6</v>
      </c>
      <c r="M199" s="58">
        <f>VLOOKUP($A199,'S45'!$C:$BQ,40,0)</f>
        <v>47</v>
      </c>
      <c r="N199" s="58">
        <f>VLOOKUP($A199,'S45'!$C:$BQ,22,0)</f>
        <v>1944.127105</v>
      </c>
      <c r="O199" s="66">
        <f>VLOOKUP($A199,'S45'!$C:$BQ,29,0)</f>
        <v>0</v>
      </c>
      <c r="P199" s="66">
        <f>VLOOKUP($A199,'S45'!$C:$BQ,30,0)</f>
        <v>284</v>
      </c>
      <c r="Q199" s="66">
        <f>VLOOKUP($A199,'S45'!$C:$BQ,52,0)</f>
        <v>124.8</v>
      </c>
      <c r="R199" s="66">
        <f>VLOOKUP($A199,'S45'!$C:$BQ,59,0)</f>
        <v>0</v>
      </c>
      <c r="S199" s="66">
        <f>VLOOKUP($A199,'S45'!$C:$BQ,60,0)</f>
        <v>0</v>
      </c>
      <c r="T199" s="58">
        <f>VLOOKUP($A199,'S46'!$C:$BQ,32,0)</f>
        <v>198.15</v>
      </c>
      <c r="U199" s="58">
        <f>VLOOKUP($A199,'S46'!$C:$BQ,39,0)</f>
        <v>6</v>
      </c>
      <c r="V199" s="58">
        <f>VLOOKUP($A199,'S46'!$C:$BQ,40,0)</f>
        <v>47</v>
      </c>
      <c r="W199" s="58">
        <f>VLOOKUP($A199,'S46'!$C:$BQ,22,0)</f>
        <v>1953.1631050000001</v>
      </c>
      <c r="X199" s="66">
        <f>VLOOKUP($A199,'S46'!$C:$BQ,29,0)</f>
        <v>0</v>
      </c>
      <c r="Y199" s="66">
        <f>VLOOKUP($A199,'S46'!$C:$BQ,30,0)</f>
        <v>275</v>
      </c>
      <c r="Z199" s="66">
        <f>VLOOKUP($A199,'S46'!$C:$BQ,52,0)</f>
        <v>124.8</v>
      </c>
      <c r="AA199" s="66">
        <f>VLOOKUP($A199,'S46'!$C:$BQ,59,0)</f>
        <v>0</v>
      </c>
      <c r="AB199" s="66">
        <f>VLOOKUP($A199,'S46'!$C:$BQ,60,0)</f>
        <v>0</v>
      </c>
      <c r="AC199" s="58">
        <f>VLOOKUP($A199,'S47'!$C:$BQ,32,0)</f>
        <v>201.65</v>
      </c>
      <c r="AD199" s="58">
        <f>VLOOKUP($A199,'S47'!$C:$BQ,39,0)</f>
        <v>3</v>
      </c>
      <c r="AE199" s="58">
        <f>VLOOKUP($A199,'S47'!$C:$BQ,40,0)</f>
        <v>44</v>
      </c>
      <c r="AF199" s="58">
        <f>VLOOKUP($A199,'S47'!$C:$BQ,22,0)</f>
        <v>2040.360985</v>
      </c>
      <c r="AG199" s="66">
        <f>VLOOKUP($A199,'S47'!$C:$BQ,29,0)</f>
        <v>0</v>
      </c>
      <c r="AH199" s="66">
        <f>VLOOKUP($A199,'S47'!$C:$BQ,30,0)</f>
        <v>187</v>
      </c>
      <c r="AI199" s="66">
        <f>VLOOKUP($A199,'S47'!$C:$BQ,52,0)</f>
        <v>126.8</v>
      </c>
      <c r="AJ199" s="66">
        <f>VLOOKUP($A199,'S47'!$C:$BQ,59,0)</f>
        <v>0</v>
      </c>
      <c r="AK199" s="66">
        <f>VLOOKUP($A199,'S47'!$C:$BQ,60,0)</f>
        <v>0</v>
      </c>
      <c r="AL199" s="58" t="e">
        <f>VLOOKUP($A199,'S48'!$C:$BQ,32,0)</f>
        <v>#N/A</v>
      </c>
      <c r="AM199" s="58" t="e">
        <f>VLOOKUP($A199,'S48'!$C:$BQ,39,0)</f>
        <v>#N/A</v>
      </c>
      <c r="AN199" s="58" t="e">
        <f>VLOOKUP($A199,'S48'!$C:$BQ,40,0)</f>
        <v>#N/A</v>
      </c>
      <c r="AO199" s="58" t="e">
        <f>VLOOKUP($A199,'S48'!$C:$BQ,22,0)</f>
        <v>#N/A</v>
      </c>
      <c r="AP199" s="66" t="e">
        <f>VLOOKUP($A199,'S48'!$C:$BQ,29,0)</f>
        <v>#N/A</v>
      </c>
      <c r="AQ199" s="66" t="e">
        <f>VLOOKUP($A199,'S48'!$C:$BQ,30,0)</f>
        <v>#N/A</v>
      </c>
      <c r="AR199" s="66" t="e">
        <f>VLOOKUP($A199,'S48'!$C:$BQ,52,0)</f>
        <v>#N/A</v>
      </c>
      <c r="AS199" s="66" t="e">
        <f>VLOOKUP($A199,'S48'!$C:$BQ,59,0)</f>
        <v>#N/A</v>
      </c>
      <c r="AT199" s="66" t="e">
        <f>VLOOKUP($A199,'S48'!$C:$BQ,60,0)</f>
        <v>#N/A</v>
      </c>
      <c r="AU199" s="58" t="e">
        <f>VLOOKUP($A199,'S49'!$C:$BQ,32,0)</f>
        <v>#N/A</v>
      </c>
      <c r="AV199" s="58" t="e">
        <f>VLOOKUP($A199,'S49'!$C:$BQ,39,0)</f>
        <v>#N/A</v>
      </c>
      <c r="AW199" s="58" t="e">
        <f>VLOOKUP($A199,'S49'!$C:$BQ,40,0)</f>
        <v>#N/A</v>
      </c>
      <c r="AX199" s="58" t="e">
        <f>VLOOKUP($A199,'S49'!$C:$BQ,22,0)</f>
        <v>#N/A</v>
      </c>
      <c r="AY199" s="66" t="e">
        <f>VLOOKUP($A199,'S49'!$C:$BQ,29,0)</f>
        <v>#N/A</v>
      </c>
      <c r="AZ199" s="66" t="e">
        <f>VLOOKUP($A199,'S49'!$C:$BQ,30,0)</f>
        <v>#N/A</v>
      </c>
      <c r="BA199" s="66" t="e">
        <f>VLOOKUP($A199,'S49'!$C:$BQ,52,0)</f>
        <v>#N/A</v>
      </c>
      <c r="BB199" s="66" t="e">
        <f>VLOOKUP($A199,'S49'!$C:$BQ,59,0)</f>
        <v>#N/A</v>
      </c>
      <c r="BC199" s="66" t="e">
        <f>VLOOKUP($A199,'S49'!$C:$BQ,60,0)</f>
        <v>#N/A</v>
      </c>
      <c r="BD199" s="58" t="e">
        <f>VLOOKUP($A199,'S50'!$C:$BQ,32,0)</f>
        <v>#N/A</v>
      </c>
      <c r="BE199" s="58" t="e">
        <f>VLOOKUP($A199,'S50'!$C:$BQ,39,0)</f>
        <v>#N/A</v>
      </c>
      <c r="BF199" s="58" t="e">
        <f>VLOOKUP($A199,'S50'!$C:$BQ,40,0)</f>
        <v>#N/A</v>
      </c>
      <c r="BG199" s="58" t="e">
        <f>VLOOKUP($A199,'S50'!$C:$BQ,22,0)</f>
        <v>#N/A</v>
      </c>
      <c r="BH199" s="66" t="e">
        <f>VLOOKUP($A199,'S50'!$C:$BQ,29,0)</f>
        <v>#N/A</v>
      </c>
      <c r="BI199" s="66" t="e">
        <f>VLOOKUP($A199,'S50'!$C:$BQ,30,0)</f>
        <v>#N/A</v>
      </c>
      <c r="BJ199" s="66" t="e">
        <f>VLOOKUP($A199,'S50'!$C:$BQ,52,0)</f>
        <v>#N/A</v>
      </c>
      <c r="BK199" s="66" t="e">
        <f>VLOOKUP($A199,'S50'!$C:$BQ,59,0)</f>
        <v>#N/A</v>
      </c>
      <c r="BL199" s="66" t="e">
        <f>VLOOKUP($A199,'S50'!$C:$BQ,60,0)</f>
        <v>#N/A</v>
      </c>
    </row>
    <row r="200" spans="1:64" x14ac:dyDescent="0.2">
      <c r="A200" s="57" t="s">
        <v>268</v>
      </c>
      <c r="B200" s="58">
        <f>VLOOKUP($A200,'S0 remplacer avec S44'!$C:$BQ,32,0)</f>
        <v>95.7</v>
      </c>
      <c r="C200" s="58">
        <f>VLOOKUP($A200,'S0 remplacer avec S44'!$C:$BQ,39,0)</f>
        <v>6</v>
      </c>
      <c r="D200" s="58">
        <f>VLOOKUP($A200,'S0 remplacer avec S44'!$C:$BQ,40,0)</f>
        <v>26</v>
      </c>
      <c r="E200" s="58">
        <f>VLOOKUP($A200,'S0 remplacer avec S44'!$C:$BQ,22,0)</f>
        <v>1481.2113300000001</v>
      </c>
      <c r="F200" s="66">
        <f>VLOOKUP($A200,'S0 remplacer avec S44'!$C:$BQ,29,0)</f>
        <v>0</v>
      </c>
      <c r="G200" s="66">
        <f>VLOOKUP($A200,'S0 remplacer avec S44'!$C:$BQ,30,0)</f>
        <v>0</v>
      </c>
      <c r="H200" s="66">
        <f>VLOOKUP($A200,'S0 remplacer avec S44'!$C:$BQ,52,0)</f>
        <v>62.6</v>
      </c>
      <c r="I200" s="66">
        <f>VLOOKUP($A200,'S0 remplacer avec S44'!$C:$BQ,59,0)</f>
        <v>0</v>
      </c>
      <c r="J200" s="66">
        <f>VLOOKUP($A200,'S0 remplacer avec S44'!$C:$BQ,60,0)</f>
        <v>0</v>
      </c>
      <c r="K200" s="58">
        <f>VLOOKUP($A200,'S45'!$C:$BQ,32,0)</f>
        <v>93.7</v>
      </c>
      <c r="L200" s="58">
        <f>VLOOKUP($A200,'S45'!$C:$BQ,39,0)</f>
        <v>8</v>
      </c>
      <c r="M200" s="58">
        <f>VLOOKUP($A200,'S45'!$C:$BQ,40,0)</f>
        <v>28</v>
      </c>
      <c r="N200" s="58">
        <f>VLOOKUP($A200,'S45'!$C:$BQ,22,0)</f>
        <v>1533.7103300000001</v>
      </c>
      <c r="O200" s="66">
        <f>VLOOKUP($A200,'S45'!$C:$BQ,29,0)</f>
        <v>0</v>
      </c>
      <c r="P200" s="66">
        <f>VLOOKUP($A200,'S45'!$C:$BQ,30,0)</f>
        <v>0</v>
      </c>
      <c r="Q200" s="66">
        <f>VLOOKUP($A200,'S45'!$C:$BQ,52,0)</f>
        <v>64.599999999999994</v>
      </c>
      <c r="R200" s="66">
        <f>VLOOKUP($A200,'S45'!$C:$BQ,59,0)</f>
        <v>0</v>
      </c>
      <c r="S200" s="66">
        <f>VLOOKUP($A200,'S45'!$C:$BQ,60,0)</f>
        <v>0</v>
      </c>
      <c r="T200" s="58">
        <f>VLOOKUP($A200,'S46'!$C:$BQ,32,0)</f>
        <v>95.7</v>
      </c>
      <c r="U200" s="58">
        <f>VLOOKUP($A200,'S46'!$C:$BQ,39,0)</f>
        <v>6</v>
      </c>
      <c r="V200" s="58">
        <f>VLOOKUP($A200,'S46'!$C:$BQ,40,0)</f>
        <v>26</v>
      </c>
      <c r="W200" s="58">
        <f>VLOOKUP($A200,'S46'!$C:$BQ,22,0)</f>
        <v>1535.12033</v>
      </c>
      <c r="X200" s="66">
        <f>VLOOKUP($A200,'S46'!$C:$BQ,29,0)</f>
        <v>0</v>
      </c>
      <c r="Y200" s="66">
        <f>VLOOKUP($A200,'S46'!$C:$BQ,30,0)</f>
        <v>0</v>
      </c>
      <c r="Z200" s="66">
        <f>VLOOKUP($A200,'S46'!$C:$BQ,52,0)</f>
        <v>65.599999999999994</v>
      </c>
      <c r="AA200" s="66">
        <f>VLOOKUP($A200,'S46'!$C:$BQ,59,0)</f>
        <v>0</v>
      </c>
      <c r="AB200" s="66">
        <f>VLOOKUP($A200,'S46'!$C:$BQ,60,0)</f>
        <v>0</v>
      </c>
      <c r="AC200" s="58">
        <f>VLOOKUP($A200,'S47'!$C:$BQ,32,0)</f>
        <v>98.2</v>
      </c>
      <c r="AD200" s="58">
        <f>VLOOKUP($A200,'S47'!$C:$BQ,39,0)</f>
        <v>3</v>
      </c>
      <c r="AE200" s="58">
        <f>VLOOKUP($A200,'S47'!$C:$BQ,40,0)</f>
        <v>23</v>
      </c>
      <c r="AF200" s="58">
        <f>VLOOKUP($A200,'S47'!$C:$BQ,22,0)</f>
        <v>1587.25524</v>
      </c>
      <c r="AG200" s="66">
        <f>VLOOKUP($A200,'S47'!$C:$BQ,29,0)</f>
        <v>0</v>
      </c>
      <c r="AH200" s="66">
        <f>VLOOKUP($A200,'S47'!$C:$BQ,30,0)</f>
        <v>0</v>
      </c>
      <c r="AI200" s="66">
        <f>VLOOKUP($A200,'S47'!$C:$BQ,52,0)</f>
        <v>66.599999999999994</v>
      </c>
      <c r="AJ200" s="66">
        <f>VLOOKUP($A200,'S47'!$C:$BQ,59,0)</f>
        <v>0</v>
      </c>
      <c r="AK200" s="66">
        <f>VLOOKUP($A200,'S47'!$C:$BQ,60,0)</f>
        <v>0</v>
      </c>
      <c r="AL200" s="58" t="e">
        <f>VLOOKUP($A200,'S48'!$C:$BQ,32,0)</f>
        <v>#N/A</v>
      </c>
      <c r="AM200" s="58" t="e">
        <f>VLOOKUP($A200,'S48'!$C:$BQ,39,0)</f>
        <v>#N/A</v>
      </c>
      <c r="AN200" s="58" t="e">
        <f>VLOOKUP($A200,'S48'!$C:$BQ,40,0)</f>
        <v>#N/A</v>
      </c>
      <c r="AO200" s="58" t="e">
        <f>VLOOKUP($A200,'S48'!$C:$BQ,22,0)</f>
        <v>#N/A</v>
      </c>
      <c r="AP200" s="66" t="e">
        <f>VLOOKUP($A200,'S48'!$C:$BQ,29,0)</f>
        <v>#N/A</v>
      </c>
      <c r="AQ200" s="66" t="e">
        <f>VLOOKUP($A200,'S48'!$C:$BQ,30,0)</f>
        <v>#N/A</v>
      </c>
      <c r="AR200" s="66" t="e">
        <f>VLOOKUP($A200,'S48'!$C:$BQ,52,0)</f>
        <v>#N/A</v>
      </c>
      <c r="AS200" s="66" t="e">
        <f>VLOOKUP($A200,'S48'!$C:$BQ,59,0)</f>
        <v>#N/A</v>
      </c>
      <c r="AT200" s="66" t="e">
        <f>VLOOKUP($A200,'S48'!$C:$BQ,60,0)</f>
        <v>#N/A</v>
      </c>
      <c r="AU200" s="58" t="e">
        <f>VLOOKUP($A200,'S49'!$C:$BQ,32,0)</f>
        <v>#N/A</v>
      </c>
      <c r="AV200" s="58" t="e">
        <f>VLOOKUP($A200,'S49'!$C:$BQ,39,0)</f>
        <v>#N/A</v>
      </c>
      <c r="AW200" s="58" t="e">
        <f>VLOOKUP($A200,'S49'!$C:$BQ,40,0)</f>
        <v>#N/A</v>
      </c>
      <c r="AX200" s="58" t="e">
        <f>VLOOKUP($A200,'S49'!$C:$BQ,22,0)</f>
        <v>#N/A</v>
      </c>
      <c r="AY200" s="66" t="e">
        <f>VLOOKUP($A200,'S49'!$C:$BQ,29,0)</f>
        <v>#N/A</v>
      </c>
      <c r="AZ200" s="66" t="e">
        <f>VLOOKUP($A200,'S49'!$C:$BQ,30,0)</f>
        <v>#N/A</v>
      </c>
      <c r="BA200" s="66" t="e">
        <f>VLOOKUP($A200,'S49'!$C:$BQ,52,0)</f>
        <v>#N/A</v>
      </c>
      <c r="BB200" s="66" t="e">
        <f>VLOOKUP($A200,'S49'!$C:$BQ,59,0)</f>
        <v>#N/A</v>
      </c>
      <c r="BC200" s="66" t="e">
        <f>VLOOKUP($A200,'S49'!$C:$BQ,60,0)</f>
        <v>#N/A</v>
      </c>
      <c r="BD200" s="58" t="e">
        <f>VLOOKUP($A200,'S50'!$C:$BQ,32,0)</f>
        <v>#N/A</v>
      </c>
      <c r="BE200" s="58" t="e">
        <f>VLOOKUP($A200,'S50'!$C:$BQ,39,0)</f>
        <v>#N/A</v>
      </c>
      <c r="BF200" s="58" t="e">
        <f>VLOOKUP($A200,'S50'!$C:$BQ,40,0)</f>
        <v>#N/A</v>
      </c>
      <c r="BG200" s="58" t="e">
        <f>VLOOKUP($A200,'S50'!$C:$BQ,22,0)</f>
        <v>#N/A</v>
      </c>
      <c r="BH200" s="66" t="e">
        <f>VLOOKUP($A200,'S50'!$C:$BQ,29,0)</f>
        <v>#N/A</v>
      </c>
      <c r="BI200" s="66" t="e">
        <f>VLOOKUP($A200,'S50'!$C:$BQ,30,0)</f>
        <v>#N/A</v>
      </c>
      <c r="BJ200" s="66" t="e">
        <f>VLOOKUP($A200,'S50'!$C:$BQ,52,0)</f>
        <v>#N/A</v>
      </c>
      <c r="BK200" s="66" t="e">
        <f>VLOOKUP($A200,'S50'!$C:$BQ,59,0)</f>
        <v>#N/A</v>
      </c>
      <c r="BL200" s="66" t="e">
        <f>VLOOKUP($A200,'S50'!$C:$BQ,60,0)</f>
        <v>#N/A</v>
      </c>
    </row>
    <row r="201" spans="1:64" x14ac:dyDescent="0.2">
      <c r="A201" s="57" t="s">
        <v>269</v>
      </c>
      <c r="B201" s="58">
        <f>VLOOKUP($A201,'S0 remplacer avec S44'!$C:$BQ,32,0)</f>
        <v>114.65</v>
      </c>
      <c r="C201" s="58">
        <f>VLOOKUP($A201,'S0 remplacer avec S44'!$C:$BQ,39,0)</f>
        <v>68</v>
      </c>
      <c r="D201" s="58">
        <f>VLOOKUP($A201,'S0 remplacer avec S44'!$C:$BQ,40,0)</f>
        <v>104</v>
      </c>
      <c r="E201" s="58">
        <f>VLOOKUP($A201,'S0 remplacer avec S44'!$C:$BQ,22,0)</f>
        <v>1849.9044349999999</v>
      </c>
      <c r="F201" s="66">
        <f>VLOOKUP($A201,'S0 remplacer avec S44'!$C:$BQ,29,0)</f>
        <v>0</v>
      </c>
      <c r="G201" s="66">
        <f>VLOOKUP($A201,'S0 remplacer avec S44'!$C:$BQ,30,0)</f>
        <v>138</v>
      </c>
      <c r="H201" s="66">
        <f>VLOOKUP($A201,'S0 remplacer avec S44'!$C:$BQ,52,0)</f>
        <v>72.8</v>
      </c>
      <c r="I201" s="66">
        <f>VLOOKUP($A201,'S0 remplacer avec S44'!$C:$BQ,59,0)</f>
        <v>20</v>
      </c>
      <c r="J201" s="66">
        <f>VLOOKUP($A201,'S0 remplacer avec S44'!$C:$BQ,60,0)</f>
        <v>39</v>
      </c>
      <c r="K201" s="58">
        <f>VLOOKUP($A201,'S45'!$C:$BQ,32,0)</f>
        <v>116.15</v>
      </c>
      <c r="L201" s="58">
        <f>VLOOKUP($A201,'S45'!$C:$BQ,39,0)</f>
        <v>66</v>
      </c>
      <c r="M201" s="58">
        <f>VLOOKUP($A201,'S45'!$C:$BQ,40,0)</f>
        <v>103</v>
      </c>
      <c r="N201" s="58">
        <f>VLOOKUP($A201,'S45'!$C:$BQ,22,0)</f>
        <v>1851.9038350000001</v>
      </c>
      <c r="O201" s="66">
        <f>VLOOKUP($A201,'S45'!$C:$BQ,29,0)</f>
        <v>0</v>
      </c>
      <c r="P201" s="66">
        <f>VLOOKUP($A201,'S45'!$C:$BQ,30,0)</f>
        <v>136</v>
      </c>
      <c r="Q201" s="66">
        <f>VLOOKUP($A201,'S45'!$C:$BQ,52,0)</f>
        <v>72.8</v>
      </c>
      <c r="R201" s="66">
        <f>VLOOKUP($A201,'S45'!$C:$BQ,59,0)</f>
        <v>20</v>
      </c>
      <c r="S201" s="66">
        <f>VLOOKUP($A201,'S45'!$C:$BQ,60,0)</f>
        <v>39</v>
      </c>
      <c r="T201" s="58">
        <f>VLOOKUP($A201,'S46'!$C:$BQ,32,0)</f>
        <v>116.15</v>
      </c>
      <c r="U201" s="58">
        <f>VLOOKUP($A201,'S46'!$C:$BQ,39,0)</f>
        <v>66</v>
      </c>
      <c r="V201" s="58">
        <f>VLOOKUP($A201,'S46'!$C:$BQ,40,0)</f>
        <v>103</v>
      </c>
      <c r="W201" s="58">
        <f>VLOOKUP($A201,'S46'!$C:$BQ,22,0)</f>
        <v>1854.5017250000001</v>
      </c>
      <c r="X201" s="66">
        <f>VLOOKUP($A201,'S46'!$C:$BQ,29,0)</f>
        <v>0</v>
      </c>
      <c r="Y201" s="66">
        <f>VLOOKUP($A201,'S46'!$C:$BQ,30,0)</f>
        <v>133</v>
      </c>
      <c r="Z201" s="66">
        <f>VLOOKUP($A201,'S46'!$C:$BQ,52,0)</f>
        <v>73.8</v>
      </c>
      <c r="AA201" s="66">
        <f>VLOOKUP($A201,'S46'!$C:$BQ,59,0)</f>
        <v>19</v>
      </c>
      <c r="AB201" s="66">
        <f>VLOOKUP($A201,'S46'!$C:$BQ,60,0)</f>
        <v>38</v>
      </c>
      <c r="AC201" s="58">
        <f>VLOOKUP($A201,'S47'!$C:$BQ,32,0)</f>
        <v>115.65</v>
      </c>
      <c r="AD201" s="58">
        <f>VLOOKUP($A201,'S47'!$C:$BQ,39,0)</f>
        <v>67</v>
      </c>
      <c r="AE201" s="58">
        <f>VLOOKUP($A201,'S47'!$C:$BQ,40,0)</f>
        <v>103</v>
      </c>
      <c r="AF201" s="58">
        <f>VLOOKUP($A201,'S47'!$C:$BQ,22,0)</f>
        <v>1891.0561250000001</v>
      </c>
      <c r="AG201" s="66">
        <f>VLOOKUP($A201,'S47'!$C:$BQ,29,0)</f>
        <v>0</v>
      </c>
      <c r="AH201" s="66">
        <f>VLOOKUP($A201,'S47'!$C:$BQ,30,0)</f>
        <v>97</v>
      </c>
      <c r="AI201" s="66">
        <f>VLOOKUP($A201,'S47'!$C:$BQ,52,0)</f>
        <v>74.8</v>
      </c>
      <c r="AJ201" s="66">
        <f>VLOOKUP($A201,'S47'!$C:$BQ,59,0)</f>
        <v>18</v>
      </c>
      <c r="AK201" s="66">
        <f>VLOOKUP($A201,'S47'!$C:$BQ,60,0)</f>
        <v>37</v>
      </c>
      <c r="AL201" s="58" t="e">
        <f>VLOOKUP($A201,'S48'!$C:$BQ,32,0)</f>
        <v>#N/A</v>
      </c>
      <c r="AM201" s="58" t="e">
        <f>VLOOKUP($A201,'S48'!$C:$BQ,39,0)</f>
        <v>#N/A</v>
      </c>
      <c r="AN201" s="58" t="e">
        <f>VLOOKUP($A201,'S48'!$C:$BQ,40,0)</f>
        <v>#N/A</v>
      </c>
      <c r="AO201" s="58" t="e">
        <f>VLOOKUP($A201,'S48'!$C:$BQ,22,0)</f>
        <v>#N/A</v>
      </c>
      <c r="AP201" s="66" t="e">
        <f>VLOOKUP($A201,'S48'!$C:$BQ,29,0)</f>
        <v>#N/A</v>
      </c>
      <c r="AQ201" s="66" t="e">
        <f>VLOOKUP($A201,'S48'!$C:$BQ,30,0)</f>
        <v>#N/A</v>
      </c>
      <c r="AR201" s="66" t="e">
        <f>VLOOKUP($A201,'S48'!$C:$BQ,52,0)</f>
        <v>#N/A</v>
      </c>
      <c r="AS201" s="66" t="e">
        <f>VLOOKUP($A201,'S48'!$C:$BQ,59,0)</f>
        <v>#N/A</v>
      </c>
      <c r="AT201" s="66" t="e">
        <f>VLOOKUP($A201,'S48'!$C:$BQ,60,0)</f>
        <v>#N/A</v>
      </c>
      <c r="AU201" s="58" t="e">
        <f>VLOOKUP($A201,'S49'!$C:$BQ,32,0)</f>
        <v>#N/A</v>
      </c>
      <c r="AV201" s="58" t="e">
        <f>VLOOKUP($A201,'S49'!$C:$BQ,39,0)</f>
        <v>#N/A</v>
      </c>
      <c r="AW201" s="58" t="e">
        <f>VLOOKUP($A201,'S49'!$C:$BQ,40,0)</f>
        <v>#N/A</v>
      </c>
      <c r="AX201" s="58" t="e">
        <f>VLOOKUP($A201,'S49'!$C:$BQ,22,0)</f>
        <v>#N/A</v>
      </c>
      <c r="AY201" s="66" t="e">
        <f>VLOOKUP($A201,'S49'!$C:$BQ,29,0)</f>
        <v>#N/A</v>
      </c>
      <c r="AZ201" s="66" t="e">
        <f>VLOOKUP($A201,'S49'!$C:$BQ,30,0)</f>
        <v>#N/A</v>
      </c>
      <c r="BA201" s="66" t="e">
        <f>VLOOKUP($A201,'S49'!$C:$BQ,52,0)</f>
        <v>#N/A</v>
      </c>
      <c r="BB201" s="66" t="e">
        <f>VLOOKUP($A201,'S49'!$C:$BQ,59,0)</f>
        <v>#N/A</v>
      </c>
      <c r="BC201" s="66" t="e">
        <f>VLOOKUP($A201,'S49'!$C:$BQ,60,0)</f>
        <v>#N/A</v>
      </c>
      <c r="BD201" s="58" t="e">
        <f>VLOOKUP($A201,'S50'!$C:$BQ,32,0)</f>
        <v>#N/A</v>
      </c>
      <c r="BE201" s="58" t="e">
        <f>VLOOKUP($A201,'S50'!$C:$BQ,39,0)</f>
        <v>#N/A</v>
      </c>
      <c r="BF201" s="58" t="e">
        <f>VLOOKUP($A201,'S50'!$C:$BQ,40,0)</f>
        <v>#N/A</v>
      </c>
      <c r="BG201" s="58" t="e">
        <f>VLOOKUP($A201,'S50'!$C:$BQ,22,0)</f>
        <v>#N/A</v>
      </c>
      <c r="BH201" s="66" t="e">
        <f>VLOOKUP($A201,'S50'!$C:$BQ,29,0)</f>
        <v>#N/A</v>
      </c>
      <c r="BI201" s="66" t="e">
        <f>VLOOKUP($A201,'S50'!$C:$BQ,30,0)</f>
        <v>#N/A</v>
      </c>
      <c r="BJ201" s="66" t="e">
        <f>VLOOKUP($A201,'S50'!$C:$BQ,52,0)</f>
        <v>#N/A</v>
      </c>
      <c r="BK201" s="66" t="e">
        <f>VLOOKUP($A201,'S50'!$C:$BQ,59,0)</f>
        <v>#N/A</v>
      </c>
      <c r="BL201" s="66" t="e">
        <f>VLOOKUP($A201,'S50'!$C:$BQ,60,0)</f>
        <v>#N/A</v>
      </c>
    </row>
    <row r="202" spans="1:64" x14ac:dyDescent="0.2">
      <c r="A202" s="57" t="s">
        <v>270</v>
      </c>
      <c r="B202" s="58">
        <f>VLOOKUP($A202,'S0 remplacer avec S44'!$C:$BQ,32,0)</f>
        <v>162.6</v>
      </c>
      <c r="C202" s="58">
        <f>VLOOKUP($A202,'S0 remplacer avec S44'!$C:$BQ,39,0)</f>
        <v>5</v>
      </c>
      <c r="D202" s="58">
        <f>VLOOKUP($A202,'S0 remplacer avec S44'!$C:$BQ,40,0)</f>
        <v>39</v>
      </c>
      <c r="E202" s="58">
        <f>VLOOKUP($A202,'S0 remplacer avec S44'!$C:$BQ,22,0)</f>
        <v>1839.3642850000001</v>
      </c>
      <c r="F202" s="66">
        <f>VLOOKUP($A202,'S0 remplacer avec S44'!$C:$BQ,29,0)</f>
        <v>0</v>
      </c>
      <c r="G202" s="66">
        <f>VLOOKUP($A202,'S0 remplacer avec S44'!$C:$BQ,30,0)</f>
        <v>0</v>
      </c>
      <c r="H202" s="66">
        <f>VLOOKUP($A202,'S0 remplacer avec S44'!$C:$BQ,52,0)</f>
        <v>127.4</v>
      </c>
      <c r="I202" s="66">
        <f>VLOOKUP($A202,'S0 remplacer avec S44'!$C:$BQ,59,0)</f>
        <v>0</v>
      </c>
      <c r="J202" s="66">
        <f>VLOOKUP($A202,'S0 remplacer avec S44'!$C:$BQ,60,0)</f>
        <v>0</v>
      </c>
      <c r="K202" s="58">
        <f>VLOOKUP($A202,'S45'!$C:$BQ,32,0)</f>
        <v>166.6</v>
      </c>
      <c r="L202" s="58">
        <f>VLOOKUP($A202,'S45'!$C:$BQ,39,0)</f>
        <v>1</v>
      </c>
      <c r="M202" s="58">
        <f>VLOOKUP($A202,'S45'!$C:$BQ,40,0)</f>
        <v>35</v>
      </c>
      <c r="N202" s="58">
        <f>VLOOKUP($A202,'S45'!$C:$BQ,22,0)</f>
        <v>1955.119365</v>
      </c>
      <c r="O202" s="66">
        <f>VLOOKUP($A202,'S45'!$C:$BQ,29,0)</f>
        <v>0</v>
      </c>
      <c r="P202" s="66">
        <f>VLOOKUP($A202,'S45'!$C:$BQ,30,0)</f>
        <v>0</v>
      </c>
      <c r="Q202" s="66">
        <f>VLOOKUP($A202,'S45'!$C:$BQ,52,0)</f>
        <v>129.4</v>
      </c>
      <c r="R202" s="66">
        <f>VLOOKUP($A202,'S45'!$C:$BQ,59,0)</f>
        <v>0</v>
      </c>
      <c r="S202" s="66">
        <f>VLOOKUP($A202,'S45'!$C:$BQ,60,0)</f>
        <v>0</v>
      </c>
      <c r="T202" s="58">
        <f>VLOOKUP($A202,'S46'!$C:$BQ,32,0)</f>
        <v>167.1</v>
      </c>
      <c r="U202" s="58">
        <f>VLOOKUP($A202,'S46'!$C:$BQ,39,0)</f>
        <v>1</v>
      </c>
      <c r="V202" s="58">
        <f>VLOOKUP($A202,'S46'!$C:$BQ,40,0)</f>
        <v>34</v>
      </c>
      <c r="W202" s="58">
        <f>VLOOKUP($A202,'S46'!$C:$BQ,22,0)</f>
        <v>2024.6844149999999</v>
      </c>
      <c r="X202" s="66">
        <f>VLOOKUP($A202,'S46'!$C:$BQ,29,0)</f>
        <v>0</v>
      </c>
      <c r="Y202" s="66">
        <f>VLOOKUP($A202,'S46'!$C:$BQ,30,0)</f>
        <v>0</v>
      </c>
      <c r="Z202" s="66">
        <f>VLOOKUP($A202,'S46'!$C:$BQ,52,0)</f>
        <v>131.4</v>
      </c>
      <c r="AA202" s="66">
        <f>VLOOKUP($A202,'S46'!$C:$BQ,59,0)</f>
        <v>0</v>
      </c>
      <c r="AB202" s="66">
        <f>VLOOKUP($A202,'S46'!$C:$BQ,60,0)</f>
        <v>0</v>
      </c>
      <c r="AC202" s="58">
        <f>VLOOKUP($A202,'S47'!$C:$BQ,32,0)</f>
        <v>172.1</v>
      </c>
      <c r="AD202" s="58">
        <f>VLOOKUP($A202,'S47'!$C:$BQ,39,0)</f>
        <v>0</v>
      </c>
      <c r="AE202" s="58">
        <f>VLOOKUP($A202,'S47'!$C:$BQ,40,0)</f>
        <v>29</v>
      </c>
      <c r="AF202" s="58">
        <f>VLOOKUP($A202,'S47'!$C:$BQ,22,0)</f>
        <v>2046.827405</v>
      </c>
      <c r="AG202" s="66">
        <f>VLOOKUP($A202,'S47'!$C:$BQ,29,0)</f>
        <v>0</v>
      </c>
      <c r="AH202" s="66">
        <f>VLOOKUP($A202,'S47'!$C:$BQ,30,0)</f>
        <v>0</v>
      </c>
      <c r="AI202" s="66">
        <f>VLOOKUP($A202,'S47'!$C:$BQ,52,0)</f>
        <v>131.4</v>
      </c>
      <c r="AJ202" s="66">
        <f>VLOOKUP($A202,'S47'!$C:$BQ,59,0)</f>
        <v>0</v>
      </c>
      <c r="AK202" s="66">
        <f>VLOOKUP($A202,'S47'!$C:$BQ,60,0)</f>
        <v>0</v>
      </c>
      <c r="AL202" s="58" t="e">
        <f>VLOOKUP($A202,'S48'!$C:$BQ,32,0)</f>
        <v>#N/A</v>
      </c>
      <c r="AM202" s="58" t="e">
        <f>VLOOKUP($A202,'S48'!$C:$BQ,39,0)</f>
        <v>#N/A</v>
      </c>
      <c r="AN202" s="58" t="e">
        <f>VLOOKUP($A202,'S48'!$C:$BQ,40,0)</f>
        <v>#N/A</v>
      </c>
      <c r="AO202" s="58" t="e">
        <f>VLOOKUP($A202,'S48'!$C:$BQ,22,0)</f>
        <v>#N/A</v>
      </c>
      <c r="AP202" s="66" t="e">
        <f>VLOOKUP($A202,'S48'!$C:$BQ,29,0)</f>
        <v>#N/A</v>
      </c>
      <c r="AQ202" s="66" t="e">
        <f>VLOOKUP($A202,'S48'!$C:$BQ,30,0)</f>
        <v>#N/A</v>
      </c>
      <c r="AR202" s="66" t="e">
        <f>VLOOKUP($A202,'S48'!$C:$BQ,52,0)</f>
        <v>#N/A</v>
      </c>
      <c r="AS202" s="66" t="e">
        <f>VLOOKUP($A202,'S48'!$C:$BQ,59,0)</f>
        <v>#N/A</v>
      </c>
      <c r="AT202" s="66" t="e">
        <f>VLOOKUP($A202,'S48'!$C:$BQ,60,0)</f>
        <v>#N/A</v>
      </c>
      <c r="AU202" s="58" t="e">
        <f>VLOOKUP($A202,'S49'!$C:$BQ,32,0)</f>
        <v>#N/A</v>
      </c>
      <c r="AV202" s="58" t="e">
        <f>VLOOKUP($A202,'S49'!$C:$BQ,39,0)</f>
        <v>#N/A</v>
      </c>
      <c r="AW202" s="58" t="e">
        <f>VLOOKUP($A202,'S49'!$C:$BQ,40,0)</f>
        <v>#N/A</v>
      </c>
      <c r="AX202" s="58" t="e">
        <f>VLOOKUP($A202,'S49'!$C:$BQ,22,0)</f>
        <v>#N/A</v>
      </c>
      <c r="AY202" s="66" t="e">
        <f>VLOOKUP($A202,'S49'!$C:$BQ,29,0)</f>
        <v>#N/A</v>
      </c>
      <c r="AZ202" s="66" t="e">
        <f>VLOOKUP($A202,'S49'!$C:$BQ,30,0)</f>
        <v>#N/A</v>
      </c>
      <c r="BA202" s="66" t="e">
        <f>VLOOKUP($A202,'S49'!$C:$BQ,52,0)</f>
        <v>#N/A</v>
      </c>
      <c r="BB202" s="66" t="e">
        <f>VLOOKUP($A202,'S49'!$C:$BQ,59,0)</f>
        <v>#N/A</v>
      </c>
      <c r="BC202" s="66" t="e">
        <f>VLOOKUP($A202,'S49'!$C:$BQ,60,0)</f>
        <v>#N/A</v>
      </c>
      <c r="BD202" s="58" t="e">
        <f>VLOOKUP($A202,'S50'!$C:$BQ,32,0)</f>
        <v>#N/A</v>
      </c>
      <c r="BE202" s="58" t="e">
        <f>VLOOKUP($A202,'S50'!$C:$BQ,39,0)</f>
        <v>#N/A</v>
      </c>
      <c r="BF202" s="58" t="e">
        <f>VLOOKUP($A202,'S50'!$C:$BQ,40,0)</f>
        <v>#N/A</v>
      </c>
      <c r="BG202" s="58" t="e">
        <f>VLOOKUP($A202,'S50'!$C:$BQ,22,0)</f>
        <v>#N/A</v>
      </c>
      <c r="BH202" s="66" t="e">
        <f>VLOOKUP($A202,'S50'!$C:$BQ,29,0)</f>
        <v>#N/A</v>
      </c>
      <c r="BI202" s="66" t="e">
        <f>VLOOKUP($A202,'S50'!$C:$BQ,30,0)</f>
        <v>#N/A</v>
      </c>
      <c r="BJ202" s="66" t="e">
        <f>VLOOKUP($A202,'S50'!$C:$BQ,52,0)</f>
        <v>#N/A</v>
      </c>
      <c r="BK202" s="66" t="e">
        <f>VLOOKUP($A202,'S50'!$C:$BQ,59,0)</f>
        <v>#N/A</v>
      </c>
      <c r="BL202" s="66" t="e">
        <f>VLOOKUP($A202,'S50'!$C:$BQ,60,0)</f>
        <v>#N/A</v>
      </c>
    </row>
    <row r="203" spans="1:64" x14ac:dyDescent="0.2">
      <c r="A203" s="57" t="s">
        <v>271</v>
      </c>
      <c r="B203" s="58">
        <f>VLOOKUP($A203,'S0 remplacer avec S44'!$C:$BQ,32,0)</f>
        <v>57</v>
      </c>
      <c r="C203" s="58">
        <f>VLOOKUP($A203,'S0 remplacer avec S44'!$C:$BQ,39,0)</f>
        <v>66</v>
      </c>
      <c r="D203" s="58">
        <f>VLOOKUP($A203,'S0 remplacer avec S44'!$C:$BQ,40,0)</f>
        <v>91</v>
      </c>
      <c r="E203" s="58">
        <f>VLOOKUP($A203,'S0 remplacer avec S44'!$C:$BQ,22,0)</f>
        <v>630.02453500000001</v>
      </c>
      <c r="F203" s="66">
        <f>VLOOKUP($A203,'S0 remplacer avec S44'!$C:$BQ,29,0)</f>
        <v>489</v>
      </c>
      <c r="G203" s="66">
        <f>VLOOKUP($A203,'S0 remplacer avec S44'!$C:$BQ,30,0)</f>
        <v>713</v>
      </c>
      <c r="H203" s="66">
        <f>VLOOKUP($A203,'S0 remplacer avec S44'!$C:$BQ,52,0)</f>
        <v>37.6</v>
      </c>
      <c r="I203" s="66">
        <f>VLOOKUP($A203,'S0 remplacer avec S44'!$C:$BQ,59,0)</f>
        <v>25</v>
      </c>
      <c r="J203" s="66">
        <f>VLOOKUP($A203,'S0 remplacer avec S44'!$C:$BQ,60,0)</f>
        <v>38</v>
      </c>
      <c r="K203" s="58">
        <f>VLOOKUP($A203,'S45'!$C:$BQ,32,0)</f>
        <v>61</v>
      </c>
      <c r="L203" s="58">
        <f>VLOOKUP($A203,'S45'!$C:$BQ,39,0)</f>
        <v>62</v>
      </c>
      <c r="M203" s="58">
        <f>VLOOKUP($A203,'S45'!$C:$BQ,40,0)</f>
        <v>87</v>
      </c>
      <c r="N203" s="58">
        <f>VLOOKUP($A203,'S45'!$C:$BQ,22,0)</f>
        <v>641.40205500000002</v>
      </c>
      <c r="O203" s="66">
        <f>VLOOKUP($A203,'S45'!$C:$BQ,29,0)</f>
        <v>478</v>
      </c>
      <c r="P203" s="66">
        <f>VLOOKUP($A203,'S45'!$C:$BQ,30,0)</f>
        <v>702</v>
      </c>
      <c r="Q203" s="66">
        <f>VLOOKUP($A203,'S45'!$C:$BQ,52,0)</f>
        <v>37.6</v>
      </c>
      <c r="R203" s="66">
        <f>VLOOKUP($A203,'S45'!$C:$BQ,59,0)</f>
        <v>25</v>
      </c>
      <c r="S203" s="66">
        <f>VLOOKUP($A203,'S45'!$C:$BQ,60,0)</f>
        <v>38</v>
      </c>
      <c r="T203" s="58">
        <f>VLOOKUP($A203,'S46'!$C:$BQ,32,0)</f>
        <v>61</v>
      </c>
      <c r="U203" s="58">
        <f>VLOOKUP($A203,'S46'!$C:$BQ,39,0)</f>
        <v>62</v>
      </c>
      <c r="V203" s="58">
        <f>VLOOKUP($A203,'S46'!$C:$BQ,40,0)</f>
        <v>87</v>
      </c>
      <c r="W203" s="58">
        <f>VLOOKUP($A203,'S46'!$C:$BQ,22,0)</f>
        <v>642.83257500000002</v>
      </c>
      <c r="X203" s="66">
        <f>VLOOKUP($A203,'S46'!$C:$BQ,29,0)</f>
        <v>476</v>
      </c>
      <c r="Y203" s="66">
        <f>VLOOKUP($A203,'S46'!$C:$BQ,30,0)</f>
        <v>700</v>
      </c>
      <c r="Z203" s="66">
        <f>VLOOKUP($A203,'S46'!$C:$BQ,52,0)</f>
        <v>37.6</v>
      </c>
      <c r="AA203" s="66">
        <f>VLOOKUP($A203,'S46'!$C:$BQ,59,0)</f>
        <v>25</v>
      </c>
      <c r="AB203" s="66">
        <f>VLOOKUP($A203,'S46'!$C:$BQ,60,0)</f>
        <v>38</v>
      </c>
      <c r="AC203" s="58">
        <f>VLOOKUP($A203,'S47'!$C:$BQ,32,0)</f>
        <v>61</v>
      </c>
      <c r="AD203" s="58">
        <f>VLOOKUP($A203,'S47'!$C:$BQ,39,0)</f>
        <v>62</v>
      </c>
      <c r="AE203" s="58">
        <f>VLOOKUP($A203,'S47'!$C:$BQ,40,0)</f>
        <v>87</v>
      </c>
      <c r="AF203" s="58">
        <f>VLOOKUP($A203,'S47'!$C:$BQ,22,0)</f>
        <v>660.15421500000002</v>
      </c>
      <c r="AG203" s="66">
        <f>VLOOKUP($A203,'S47'!$C:$BQ,29,0)</f>
        <v>459</v>
      </c>
      <c r="AH203" s="66">
        <f>VLOOKUP($A203,'S47'!$C:$BQ,30,0)</f>
        <v>683</v>
      </c>
      <c r="AI203" s="66">
        <f>VLOOKUP($A203,'S47'!$C:$BQ,52,0)</f>
        <v>37.6</v>
      </c>
      <c r="AJ203" s="66">
        <f>VLOOKUP($A203,'S47'!$C:$BQ,59,0)</f>
        <v>25</v>
      </c>
      <c r="AK203" s="66">
        <f>VLOOKUP($A203,'S47'!$C:$BQ,60,0)</f>
        <v>38</v>
      </c>
      <c r="AL203" s="58" t="e">
        <f>VLOOKUP($A203,'S48'!$C:$BQ,32,0)</f>
        <v>#N/A</v>
      </c>
      <c r="AM203" s="58" t="e">
        <f>VLOOKUP($A203,'S48'!$C:$BQ,39,0)</f>
        <v>#N/A</v>
      </c>
      <c r="AN203" s="58" t="e">
        <f>VLOOKUP($A203,'S48'!$C:$BQ,40,0)</f>
        <v>#N/A</v>
      </c>
      <c r="AO203" s="58" t="e">
        <f>VLOOKUP($A203,'S48'!$C:$BQ,22,0)</f>
        <v>#N/A</v>
      </c>
      <c r="AP203" s="66" t="e">
        <f>VLOOKUP($A203,'S48'!$C:$BQ,29,0)</f>
        <v>#N/A</v>
      </c>
      <c r="AQ203" s="66" t="e">
        <f>VLOOKUP($A203,'S48'!$C:$BQ,30,0)</f>
        <v>#N/A</v>
      </c>
      <c r="AR203" s="66" t="e">
        <f>VLOOKUP($A203,'S48'!$C:$BQ,52,0)</f>
        <v>#N/A</v>
      </c>
      <c r="AS203" s="66" t="e">
        <f>VLOOKUP($A203,'S48'!$C:$BQ,59,0)</f>
        <v>#N/A</v>
      </c>
      <c r="AT203" s="66" t="e">
        <f>VLOOKUP($A203,'S48'!$C:$BQ,60,0)</f>
        <v>#N/A</v>
      </c>
      <c r="AU203" s="58" t="e">
        <f>VLOOKUP($A203,'S49'!$C:$BQ,32,0)</f>
        <v>#N/A</v>
      </c>
      <c r="AV203" s="58" t="e">
        <f>VLOOKUP($A203,'S49'!$C:$BQ,39,0)</f>
        <v>#N/A</v>
      </c>
      <c r="AW203" s="58" t="e">
        <f>VLOOKUP($A203,'S49'!$C:$BQ,40,0)</f>
        <v>#N/A</v>
      </c>
      <c r="AX203" s="58" t="e">
        <f>VLOOKUP($A203,'S49'!$C:$BQ,22,0)</f>
        <v>#N/A</v>
      </c>
      <c r="AY203" s="66" t="e">
        <f>VLOOKUP($A203,'S49'!$C:$BQ,29,0)</f>
        <v>#N/A</v>
      </c>
      <c r="AZ203" s="66" t="e">
        <f>VLOOKUP($A203,'S49'!$C:$BQ,30,0)</f>
        <v>#N/A</v>
      </c>
      <c r="BA203" s="66" t="e">
        <f>VLOOKUP($A203,'S49'!$C:$BQ,52,0)</f>
        <v>#N/A</v>
      </c>
      <c r="BB203" s="66" t="e">
        <f>VLOOKUP($A203,'S49'!$C:$BQ,59,0)</f>
        <v>#N/A</v>
      </c>
      <c r="BC203" s="66" t="e">
        <f>VLOOKUP($A203,'S49'!$C:$BQ,60,0)</f>
        <v>#N/A</v>
      </c>
      <c r="BD203" s="58" t="e">
        <f>VLOOKUP($A203,'S50'!$C:$BQ,32,0)</f>
        <v>#N/A</v>
      </c>
      <c r="BE203" s="58" t="e">
        <f>VLOOKUP($A203,'S50'!$C:$BQ,39,0)</f>
        <v>#N/A</v>
      </c>
      <c r="BF203" s="58" t="e">
        <f>VLOOKUP($A203,'S50'!$C:$BQ,40,0)</f>
        <v>#N/A</v>
      </c>
      <c r="BG203" s="58" t="e">
        <f>VLOOKUP($A203,'S50'!$C:$BQ,22,0)</f>
        <v>#N/A</v>
      </c>
      <c r="BH203" s="66" t="e">
        <f>VLOOKUP($A203,'S50'!$C:$BQ,29,0)</f>
        <v>#N/A</v>
      </c>
      <c r="BI203" s="66" t="e">
        <f>VLOOKUP($A203,'S50'!$C:$BQ,30,0)</f>
        <v>#N/A</v>
      </c>
      <c r="BJ203" s="66" t="e">
        <f>VLOOKUP($A203,'S50'!$C:$BQ,52,0)</f>
        <v>#N/A</v>
      </c>
      <c r="BK203" s="66" t="e">
        <f>VLOOKUP($A203,'S50'!$C:$BQ,59,0)</f>
        <v>#N/A</v>
      </c>
      <c r="BL203" s="66" t="e">
        <f>VLOOKUP($A203,'S50'!$C:$BQ,60,0)</f>
        <v>#N/A</v>
      </c>
    </row>
    <row r="204" spans="1:64" x14ac:dyDescent="0.2">
      <c r="A204" s="57" t="s">
        <v>272</v>
      </c>
      <c r="B204" s="58">
        <f>VLOOKUP($A204,'S0 remplacer avec S44'!$C:$BQ,32,0)</f>
        <v>548.6</v>
      </c>
      <c r="C204" s="58">
        <f>VLOOKUP($A204,'S0 remplacer avec S44'!$C:$BQ,39,0)</f>
        <v>23</v>
      </c>
      <c r="D204" s="58">
        <f>VLOOKUP($A204,'S0 remplacer avec S44'!$C:$BQ,40,0)</f>
        <v>137</v>
      </c>
      <c r="E204" s="58">
        <f>VLOOKUP($A204,'S0 remplacer avec S44'!$C:$BQ,22,0)</f>
        <v>5792.0798850000001</v>
      </c>
      <c r="F204" s="66">
        <f>VLOOKUP($A204,'S0 remplacer avec S44'!$C:$BQ,29,0)</f>
        <v>0</v>
      </c>
      <c r="G204" s="66">
        <f>VLOOKUP($A204,'S0 remplacer avec S44'!$C:$BQ,30,0)</f>
        <v>440</v>
      </c>
      <c r="H204" s="66">
        <f>VLOOKUP($A204,'S0 remplacer avec S44'!$C:$BQ,52,0)</f>
        <v>387.8</v>
      </c>
      <c r="I204" s="66">
        <f>VLOOKUP($A204,'S0 remplacer avec S44'!$C:$BQ,59,0)</f>
        <v>0</v>
      </c>
      <c r="J204" s="66">
        <f>VLOOKUP($A204,'S0 remplacer avec S44'!$C:$BQ,60,0)</f>
        <v>0</v>
      </c>
      <c r="K204" s="58">
        <f>VLOOKUP($A204,'S45'!$C:$BQ,32,0)</f>
        <v>555.79999999999995</v>
      </c>
      <c r="L204" s="58">
        <f>VLOOKUP($A204,'S45'!$C:$BQ,39,0)</f>
        <v>16</v>
      </c>
      <c r="M204" s="58">
        <f>VLOOKUP($A204,'S45'!$C:$BQ,40,0)</f>
        <v>130</v>
      </c>
      <c r="N204" s="58">
        <f>VLOOKUP($A204,'S45'!$C:$BQ,22,0)</f>
        <v>5924.877485</v>
      </c>
      <c r="O204" s="66">
        <f>VLOOKUP($A204,'S45'!$C:$BQ,29,0)</f>
        <v>0</v>
      </c>
      <c r="P204" s="66">
        <f>VLOOKUP($A204,'S45'!$C:$BQ,30,0)</f>
        <v>307</v>
      </c>
      <c r="Q204" s="66">
        <f>VLOOKUP($A204,'S45'!$C:$BQ,52,0)</f>
        <v>393.8</v>
      </c>
      <c r="R204" s="66">
        <f>VLOOKUP($A204,'S45'!$C:$BQ,59,0)</f>
        <v>0</v>
      </c>
      <c r="S204" s="66">
        <f>VLOOKUP($A204,'S45'!$C:$BQ,60,0)</f>
        <v>0</v>
      </c>
      <c r="T204" s="58">
        <f>VLOOKUP($A204,'S46'!$C:$BQ,32,0)</f>
        <v>559.29999999999995</v>
      </c>
      <c r="U204" s="58">
        <f>VLOOKUP($A204,'S46'!$C:$BQ,39,0)</f>
        <v>12</v>
      </c>
      <c r="V204" s="58">
        <f>VLOOKUP($A204,'S46'!$C:$BQ,40,0)</f>
        <v>126</v>
      </c>
      <c r="W204" s="58">
        <f>VLOOKUP($A204,'S46'!$C:$BQ,22,0)</f>
        <v>5934.1476149999999</v>
      </c>
      <c r="X204" s="66">
        <f>VLOOKUP($A204,'S46'!$C:$BQ,29,0)</f>
        <v>0</v>
      </c>
      <c r="Y204" s="66">
        <f>VLOOKUP($A204,'S46'!$C:$BQ,30,0)</f>
        <v>298</v>
      </c>
      <c r="Z204" s="66">
        <f>VLOOKUP($A204,'S46'!$C:$BQ,52,0)</f>
        <v>396.8</v>
      </c>
      <c r="AA204" s="66">
        <f>VLOOKUP($A204,'S46'!$C:$BQ,59,0)</f>
        <v>0</v>
      </c>
      <c r="AB204" s="66">
        <f>VLOOKUP($A204,'S46'!$C:$BQ,60,0)</f>
        <v>0</v>
      </c>
      <c r="AC204" s="58">
        <f>VLOOKUP($A204,'S47'!$C:$BQ,32,0)</f>
        <v>566</v>
      </c>
      <c r="AD204" s="58">
        <f>VLOOKUP($A204,'S47'!$C:$BQ,39,0)</f>
        <v>5</v>
      </c>
      <c r="AE204" s="58">
        <f>VLOOKUP($A204,'S47'!$C:$BQ,40,0)</f>
        <v>120</v>
      </c>
      <c r="AF204" s="58">
        <f>VLOOKUP($A204,'S47'!$C:$BQ,22,0)</f>
        <v>6067.0697250000003</v>
      </c>
      <c r="AG204" s="66">
        <f>VLOOKUP($A204,'S47'!$C:$BQ,29,0)</f>
        <v>0</v>
      </c>
      <c r="AH204" s="66">
        <f>VLOOKUP($A204,'S47'!$C:$BQ,30,0)</f>
        <v>165</v>
      </c>
      <c r="AI204" s="66">
        <f>VLOOKUP($A204,'S47'!$C:$BQ,52,0)</f>
        <v>402.8</v>
      </c>
      <c r="AJ204" s="66">
        <f>VLOOKUP($A204,'S47'!$C:$BQ,59,0)</f>
        <v>0</v>
      </c>
      <c r="AK204" s="66">
        <f>VLOOKUP($A204,'S47'!$C:$BQ,60,0)</f>
        <v>0</v>
      </c>
      <c r="AL204" s="58" t="e">
        <f>VLOOKUP($A204,'S48'!$C:$BQ,32,0)</f>
        <v>#N/A</v>
      </c>
      <c r="AM204" s="58" t="e">
        <f>VLOOKUP($A204,'S48'!$C:$BQ,39,0)</f>
        <v>#N/A</v>
      </c>
      <c r="AN204" s="58" t="e">
        <f>VLOOKUP($A204,'S48'!$C:$BQ,40,0)</f>
        <v>#N/A</v>
      </c>
      <c r="AO204" s="58" t="e">
        <f>VLOOKUP($A204,'S48'!$C:$BQ,22,0)</f>
        <v>#N/A</v>
      </c>
      <c r="AP204" s="66" t="e">
        <f>VLOOKUP($A204,'S48'!$C:$BQ,29,0)</f>
        <v>#N/A</v>
      </c>
      <c r="AQ204" s="66" t="e">
        <f>VLOOKUP($A204,'S48'!$C:$BQ,30,0)</f>
        <v>#N/A</v>
      </c>
      <c r="AR204" s="66" t="e">
        <f>VLOOKUP($A204,'S48'!$C:$BQ,52,0)</f>
        <v>#N/A</v>
      </c>
      <c r="AS204" s="66" t="e">
        <f>VLOOKUP($A204,'S48'!$C:$BQ,59,0)</f>
        <v>#N/A</v>
      </c>
      <c r="AT204" s="66" t="e">
        <f>VLOOKUP($A204,'S48'!$C:$BQ,60,0)</f>
        <v>#N/A</v>
      </c>
      <c r="AU204" s="58" t="e">
        <f>VLOOKUP($A204,'S49'!$C:$BQ,32,0)</f>
        <v>#N/A</v>
      </c>
      <c r="AV204" s="58" t="e">
        <f>VLOOKUP($A204,'S49'!$C:$BQ,39,0)</f>
        <v>#N/A</v>
      </c>
      <c r="AW204" s="58" t="e">
        <f>VLOOKUP($A204,'S49'!$C:$BQ,40,0)</f>
        <v>#N/A</v>
      </c>
      <c r="AX204" s="58" t="e">
        <f>VLOOKUP($A204,'S49'!$C:$BQ,22,0)</f>
        <v>#N/A</v>
      </c>
      <c r="AY204" s="66" t="e">
        <f>VLOOKUP($A204,'S49'!$C:$BQ,29,0)</f>
        <v>#N/A</v>
      </c>
      <c r="AZ204" s="66" t="e">
        <f>VLOOKUP($A204,'S49'!$C:$BQ,30,0)</f>
        <v>#N/A</v>
      </c>
      <c r="BA204" s="66" t="e">
        <f>VLOOKUP($A204,'S49'!$C:$BQ,52,0)</f>
        <v>#N/A</v>
      </c>
      <c r="BB204" s="66" t="e">
        <f>VLOOKUP($A204,'S49'!$C:$BQ,59,0)</f>
        <v>#N/A</v>
      </c>
      <c r="BC204" s="66" t="e">
        <f>VLOOKUP($A204,'S49'!$C:$BQ,60,0)</f>
        <v>#N/A</v>
      </c>
      <c r="BD204" s="58" t="e">
        <f>VLOOKUP($A204,'S50'!$C:$BQ,32,0)</f>
        <v>#N/A</v>
      </c>
      <c r="BE204" s="58" t="e">
        <f>VLOOKUP($A204,'S50'!$C:$BQ,39,0)</f>
        <v>#N/A</v>
      </c>
      <c r="BF204" s="58" t="e">
        <f>VLOOKUP($A204,'S50'!$C:$BQ,40,0)</f>
        <v>#N/A</v>
      </c>
      <c r="BG204" s="58" t="e">
        <f>VLOOKUP($A204,'S50'!$C:$BQ,22,0)</f>
        <v>#N/A</v>
      </c>
      <c r="BH204" s="66" t="e">
        <f>VLOOKUP($A204,'S50'!$C:$BQ,29,0)</f>
        <v>#N/A</v>
      </c>
      <c r="BI204" s="66" t="e">
        <f>VLOOKUP($A204,'S50'!$C:$BQ,30,0)</f>
        <v>#N/A</v>
      </c>
      <c r="BJ204" s="66" t="e">
        <f>VLOOKUP($A204,'S50'!$C:$BQ,52,0)</f>
        <v>#N/A</v>
      </c>
      <c r="BK204" s="66" t="e">
        <f>VLOOKUP($A204,'S50'!$C:$BQ,59,0)</f>
        <v>#N/A</v>
      </c>
      <c r="BL204" s="66" t="e">
        <f>VLOOKUP($A204,'S50'!$C:$BQ,60,0)</f>
        <v>#N/A</v>
      </c>
    </row>
    <row r="205" spans="1:64" x14ac:dyDescent="0.2">
      <c r="A205" s="57" t="s">
        <v>273</v>
      </c>
      <c r="B205" s="58">
        <f>VLOOKUP($A205,'S0 remplacer avec S44'!$C:$BQ,32,0)</f>
        <v>189.9</v>
      </c>
      <c r="C205" s="58">
        <f>VLOOKUP($A205,'S0 remplacer avec S44'!$C:$BQ,39,0)</f>
        <v>47</v>
      </c>
      <c r="D205" s="58">
        <f>VLOOKUP($A205,'S0 remplacer avec S44'!$C:$BQ,40,0)</f>
        <v>95</v>
      </c>
      <c r="E205" s="58">
        <f>VLOOKUP($A205,'S0 remplacer avec S44'!$C:$BQ,22,0)</f>
        <v>2896.0673550000001</v>
      </c>
      <c r="F205" s="66">
        <f>VLOOKUP($A205,'S0 remplacer avec S44'!$C:$BQ,29,0)</f>
        <v>0</v>
      </c>
      <c r="G205" s="66">
        <f>VLOOKUP($A205,'S0 remplacer avec S44'!$C:$BQ,30,0)</f>
        <v>0</v>
      </c>
      <c r="H205" s="66">
        <f>VLOOKUP($A205,'S0 remplacer avec S44'!$C:$BQ,52,0)</f>
        <v>127.4</v>
      </c>
      <c r="I205" s="66">
        <f>VLOOKUP($A205,'S0 remplacer avec S44'!$C:$BQ,59,0)</f>
        <v>0</v>
      </c>
      <c r="J205" s="66">
        <f>VLOOKUP($A205,'S0 remplacer avec S44'!$C:$BQ,60,0)</f>
        <v>17</v>
      </c>
      <c r="K205" s="58">
        <f>VLOOKUP($A205,'S45'!$C:$BQ,32,0)</f>
        <v>197.4</v>
      </c>
      <c r="L205" s="58">
        <f>VLOOKUP($A205,'S45'!$C:$BQ,39,0)</f>
        <v>40</v>
      </c>
      <c r="M205" s="58">
        <f>VLOOKUP($A205,'S45'!$C:$BQ,40,0)</f>
        <v>87</v>
      </c>
      <c r="N205" s="58">
        <f>VLOOKUP($A205,'S45'!$C:$BQ,22,0)</f>
        <v>2952.6717650000001</v>
      </c>
      <c r="O205" s="66">
        <f>VLOOKUP($A205,'S45'!$C:$BQ,29,0)</f>
        <v>0</v>
      </c>
      <c r="P205" s="66">
        <f>VLOOKUP($A205,'S45'!$C:$BQ,30,0)</f>
        <v>0</v>
      </c>
      <c r="Q205" s="66">
        <f>VLOOKUP($A205,'S45'!$C:$BQ,52,0)</f>
        <v>129.4</v>
      </c>
      <c r="R205" s="66">
        <f>VLOOKUP($A205,'S45'!$C:$BQ,59,0)</f>
        <v>0</v>
      </c>
      <c r="S205" s="66">
        <f>VLOOKUP($A205,'S45'!$C:$BQ,60,0)</f>
        <v>15</v>
      </c>
      <c r="T205" s="58">
        <f>VLOOKUP($A205,'S46'!$C:$BQ,32,0)</f>
        <v>197.4</v>
      </c>
      <c r="U205" s="58">
        <f>VLOOKUP($A205,'S46'!$C:$BQ,39,0)</f>
        <v>40</v>
      </c>
      <c r="V205" s="58">
        <f>VLOOKUP($A205,'S46'!$C:$BQ,40,0)</f>
        <v>87</v>
      </c>
      <c r="W205" s="58">
        <f>VLOOKUP($A205,'S46'!$C:$BQ,22,0)</f>
        <v>2953.624965</v>
      </c>
      <c r="X205" s="66">
        <f>VLOOKUP($A205,'S46'!$C:$BQ,29,0)</f>
        <v>0</v>
      </c>
      <c r="Y205" s="66">
        <f>VLOOKUP($A205,'S46'!$C:$BQ,30,0)</f>
        <v>0</v>
      </c>
      <c r="Z205" s="66">
        <f>VLOOKUP($A205,'S46'!$C:$BQ,52,0)</f>
        <v>129.4</v>
      </c>
      <c r="AA205" s="66">
        <f>VLOOKUP($A205,'S46'!$C:$BQ,59,0)</f>
        <v>0</v>
      </c>
      <c r="AB205" s="66">
        <f>VLOOKUP($A205,'S46'!$C:$BQ,60,0)</f>
        <v>15</v>
      </c>
      <c r="AC205" s="58">
        <f>VLOOKUP($A205,'S47'!$C:$BQ,32,0)</f>
        <v>196.9</v>
      </c>
      <c r="AD205" s="58">
        <f>VLOOKUP($A205,'S47'!$C:$BQ,39,0)</f>
        <v>40</v>
      </c>
      <c r="AE205" s="58">
        <f>VLOOKUP($A205,'S47'!$C:$BQ,40,0)</f>
        <v>88</v>
      </c>
      <c r="AF205" s="58">
        <f>VLOOKUP($A205,'S47'!$C:$BQ,22,0)</f>
        <v>3030.0403550000001</v>
      </c>
      <c r="AG205" s="66">
        <f>VLOOKUP($A205,'S47'!$C:$BQ,29,0)</f>
        <v>0</v>
      </c>
      <c r="AH205" s="66">
        <f>VLOOKUP($A205,'S47'!$C:$BQ,30,0)</f>
        <v>0</v>
      </c>
      <c r="AI205" s="66">
        <f>VLOOKUP($A205,'S47'!$C:$BQ,52,0)</f>
        <v>128.4</v>
      </c>
      <c r="AJ205" s="66">
        <f>VLOOKUP($A205,'S47'!$C:$BQ,59,0)</f>
        <v>0</v>
      </c>
      <c r="AK205" s="66">
        <f>VLOOKUP($A205,'S47'!$C:$BQ,60,0)</f>
        <v>16</v>
      </c>
      <c r="AL205" s="58" t="e">
        <f>VLOOKUP($A205,'S48'!$C:$BQ,32,0)</f>
        <v>#N/A</v>
      </c>
      <c r="AM205" s="58" t="e">
        <f>VLOOKUP($A205,'S48'!$C:$BQ,39,0)</f>
        <v>#N/A</v>
      </c>
      <c r="AN205" s="58" t="e">
        <f>VLOOKUP($A205,'S48'!$C:$BQ,40,0)</f>
        <v>#N/A</v>
      </c>
      <c r="AO205" s="58" t="e">
        <f>VLOOKUP($A205,'S48'!$C:$BQ,22,0)</f>
        <v>#N/A</v>
      </c>
      <c r="AP205" s="66" t="e">
        <f>VLOOKUP($A205,'S48'!$C:$BQ,29,0)</f>
        <v>#N/A</v>
      </c>
      <c r="AQ205" s="66" t="e">
        <f>VLOOKUP($A205,'S48'!$C:$BQ,30,0)</f>
        <v>#N/A</v>
      </c>
      <c r="AR205" s="66" t="e">
        <f>VLOOKUP($A205,'S48'!$C:$BQ,52,0)</f>
        <v>#N/A</v>
      </c>
      <c r="AS205" s="66" t="e">
        <f>VLOOKUP($A205,'S48'!$C:$BQ,59,0)</f>
        <v>#N/A</v>
      </c>
      <c r="AT205" s="66" t="e">
        <f>VLOOKUP($A205,'S48'!$C:$BQ,60,0)</f>
        <v>#N/A</v>
      </c>
      <c r="AU205" s="58" t="e">
        <f>VLOOKUP($A205,'S49'!$C:$BQ,32,0)</f>
        <v>#N/A</v>
      </c>
      <c r="AV205" s="58" t="e">
        <f>VLOOKUP($A205,'S49'!$C:$BQ,39,0)</f>
        <v>#N/A</v>
      </c>
      <c r="AW205" s="58" t="e">
        <f>VLOOKUP($A205,'S49'!$C:$BQ,40,0)</f>
        <v>#N/A</v>
      </c>
      <c r="AX205" s="58" t="e">
        <f>VLOOKUP($A205,'S49'!$C:$BQ,22,0)</f>
        <v>#N/A</v>
      </c>
      <c r="AY205" s="66" t="e">
        <f>VLOOKUP($A205,'S49'!$C:$BQ,29,0)</f>
        <v>#N/A</v>
      </c>
      <c r="AZ205" s="66" t="e">
        <f>VLOOKUP($A205,'S49'!$C:$BQ,30,0)</f>
        <v>#N/A</v>
      </c>
      <c r="BA205" s="66" t="e">
        <f>VLOOKUP($A205,'S49'!$C:$BQ,52,0)</f>
        <v>#N/A</v>
      </c>
      <c r="BB205" s="66" t="e">
        <f>VLOOKUP($A205,'S49'!$C:$BQ,59,0)</f>
        <v>#N/A</v>
      </c>
      <c r="BC205" s="66" t="e">
        <f>VLOOKUP($A205,'S49'!$C:$BQ,60,0)</f>
        <v>#N/A</v>
      </c>
      <c r="BD205" s="58" t="e">
        <f>VLOOKUP($A205,'S50'!$C:$BQ,32,0)</f>
        <v>#N/A</v>
      </c>
      <c r="BE205" s="58" t="e">
        <f>VLOOKUP($A205,'S50'!$C:$BQ,39,0)</f>
        <v>#N/A</v>
      </c>
      <c r="BF205" s="58" t="e">
        <f>VLOOKUP($A205,'S50'!$C:$BQ,40,0)</f>
        <v>#N/A</v>
      </c>
      <c r="BG205" s="58" t="e">
        <f>VLOOKUP($A205,'S50'!$C:$BQ,22,0)</f>
        <v>#N/A</v>
      </c>
      <c r="BH205" s="66" t="e">
        <f>VLOOKUP($A205,'S50'!$C:$BQ,29,0)</f>
        <v>#N/A</v>
      </c>
      <c r="BI205" s="66" t="e">
        <f>VLOOKUP($A205,'S50'!$C:$BQ,30,0)</f>
        <v>#N/A</v>
      </c>
      <c r="BJ205" s="66" t="e">
        <f>VLOOKUP($A205,'S50'!$C:$BQ,52,0)</f>
        <v>#N/A</v>
      </c>
      <c r="BK205" s="66" t="e">
        <f>VLOOKUP($A205,'S50'!$C:$BQ,59,0)</f>
        <v>#N/A</v>
      </c>
      <c r="BL205" s="66" t="e">
        <f>VLOOKUP($A205,'S50'!$C:$BQ,60,0)</f>
        <v>#N/A</v>
      </c>
    </row>
    <row r="206" spans="1:64" x14ac:dyDescent="0.2">
      <c r="A206" s="57" t="s">
        <v>274</v>
      </c>
      <c r="B206" s="58">
        <f>VLOOKUP($A206,'S0 remplacer avec S44'!$C:$BQ,32,0)</f>
        <v>174.85</v>
      </c>
      <c r="C206" s="58">
        <f>VLOOKUP($A206,'S0 remplacer avec S44'!$C:$BQ,39,0)</f>
        <v>0</v>
      </c>
      <c r="D206" s="58">
        <f>VLOOKUP($A206,'S0 remplacer avec S44'!$C:$BQ,40,0)</f>
        <v>24</v>
      </c>
      <c r="E206" s="58">
        <f>VLOOKUP($A206,'S0 remplacer avec S44'!$C:$BQ,22,0)</f>
        <v>1477.14858</v>
      </c>
      <c r="F206" s="66">
        <f>VLOOKUP($A206,'S0 remplacer avec S44'!$C:$BQ,29,0)</f>
        <v>27</v>
      </c>
      <c r="G206" s="66">
        <f>VLOOKUP($A206,'S0 remplacer avec S44'!$C:$BQ,30,0)</f>
        <v>328</v>
      </c>
      <c r="H206" s="66">
        <f>VLOOKUP($A206,'S0 remplacer avec S44'!$C:$BQ,52,0)</f>
        <v>107</v>
      </c>
      <c r="I206" s="66">
        <f>VLOOKUP($A206,'S0 remplacer avec S44'!$C:$BQ,59,0)</f>
        <v>0</v>
      </c>
      <c r="J206" s="66">
        <f>VLOOKUP($A206,'S0 remplacer avec S44'!$C:$BQ,60,0)</f>
        <v>0</v>
      </c>
      <c r="K206" s="58">
        <f>VLOOKUP($A206,'S45'!$C:$BQ,32,0)</f>
        <v>179.85</v>
      </c>
      <c r="L206" s="58">
        <f>VLOOKUP($A206,'S45'!$C:$BQ,39,0)</f>
        <v>0</v>
      </c>
      <c r="M206" s="58">
        <f>VLOOKUP($A206,'S45'!$C:$BQ,40,0)</f>
        <v>19</v>
      </c>
      <c r="N206" s="58">
        <f>VLOOKUP($A206,'S45'!$C:$BQ,22,0)</f>
        <v>1507.2710400000001</v>
      </c>
      <c r="O206" s="66">
        <f>VLOOKUP($A206,'S45'!$C:$BQ,29,0)</f>
        <v>0</v>
      </c>
      <c r="P206" s="66">
        <f>VLOOKUP($A206,'S45'!$C:$BQ,30,0)</f>
        <v>298</v>
      </c>
      <c r="Q206" s="66">
        <f>VLOOKUP($A206,'S45'!$C:$BQ,52,0)</f>
        <v>111</v>
      </c>
      <c r="R206" s="66">
        <f>VLOOKUP($A206,'S45'!$C:$BQ,59,0)</f>
        <v>0</v>
      </c>
      <c r="S206" s="66">
        <f>VLOOKUP($A206,'S45'!$C:$BQ,60,0)</f>
        <v>0</v>
      </c>
      <c r="T206" s="58">
        <f>VLOOKUP($A206,'S46'!$C:$BQ,32,0)</f>
        <v>179.85</v>
      </c>
      <c r="U206" s="58">
        <f>VLOOKUP($A206,'S46'!$C:$BQ,39,0)</f>
        <v>0</v>
      </c>
      <c r="V206" s="58">
        <f>VLOOKUP($A206,'S46'!$C:$BQ,40,0)</f>
        <v>19</v>
      </c>
      <c r="W206" s="58">
        <f>VLOOKUP($A206,'S46'!$C:$BQ,22,0)</f>
        <v>1508.5229099999999</v>
      </c>
      <c r="X206" s="66">
        <f>VLOOKUP($A206,'S46'!$C:$BQ,29,0)</f>
        <v>0</v>
      </c>
      <c r="Y206" s="66">
        <f>VLOOKUP($A206,'S46'!$C:$BQ,30,0)</f>
        <v>297</v>
      </c>
      <c r="Z206" s="66">
        <f>VLOOKUP($A206,'S46'!$C:$BQ,52,0)</f>
        <v>112</v>
      </c>
      <c r="AA206" s="66">
        <f>VLOOKUP($A206,'S46'!$C:$BQ,59,0)</f>
        <v>0</v>
      </c>
      <c r="AB206" s="66">
        <f>VLOOKUP($A206,'S46'!$C:$BQ,60,0)</f>
        <v>0</v>
      </c>
      <c r="AC206" s="58">
        <f>VLOOKUP($A206,'S47'!$C:$BQ,32,0)</f>
        <v>183.85</v>
      </c>
      <c r="AD206" s="58">
        <f>VLOOKUP($A206,'S47'!$C:$BQ,39,0)</f>
        <v>0</v>
      </c>
      <c r="AE206" s="58">
        <f>VLOOKUP($A206,'S47'!$C:$BQ,40,0)</f>
        <v>15</v>
      </c>
      <c r="AF206" s="58">
        <f>VLOOKUP($A206,'S47'!$C:$BQ,22,0)</f>
        <v>1543.70109</v>
      </c>
      <c r="AG206" s="66">
        <f>VLOOKUP($A206,'S47'!$C:$BQ,29,0)</f>
        <v>0</v>
      </c>
      <c r="AH206" s="66">
        <f>VLOOKUP($A206,'S47'!$C:$BQ,30,0)</f>
        <v>262</v>
      </c>
      <c r="AI206" s="66">
        <f>VLOOKUP($A206,'S47'!$C:$BQ,52,0)</f>
        <v>112</v>
      </c>
      <c r="AJ206" s="66">
        <f>VLOOKUP($A206,'S47'!$C:$BQ,59,0)</f>
        <v>0</v>
      </c>
      <c r="AK206" s="66">
        <f>VLOOKUP($A206,'S47'!$C:$BQ,60,0)</f>
        <v>0</v>
      </c>
      <c r="AL206" s="58" t="e">
        <f>VLOOKUP($A206,'S48'!$C:$BQ,32,0)</f>
        <v>#N/A</v>
      </c>
      <c r="AM206" s="58" t="e">
        <f>VLOOKUP($A206,'S48'!$C:$BQ,39,0)</f>
        <v>#N/A</v>
      </c>
      <c r="AN206" s="58" t="e">
        <f>VLOOKUP($A206,'S48'!$C:$BQ,40,0)</f>
        <v>#N/A</v>
      </c>
      <c r="AO206" s="58" t="e">
        <f>VLOOKUP($A206,'S48'!$C:$BQ,22,0)</f>
        <v>#N/A</v>
      </c>
      <c r="AP206" s="66" t="e">
        <f>VLOOKUP($A206,'S48'!$C:$BQ,29,0)</f>
        <v>#N/A</v>
      </c>
      <c r="AQ206" s="66" t="e">
        <f>VLOOKUP($A206,'S48'!$C:$BQ,30,0)</f>
        <v>#N/A</v>
      </c>
      <c r="AR206" s="66" t="e">
        <f>VLOOKUP($A206,'S48'!$C:$BQ,52,0)</f>
        <v>#N/A</v>
      </c>
      <c r="AS206" s="66" t="e">
        <f>VLOOKUP($A206,'S48'!$C:$BQ,59,0)</f>
        <v>#N/A</v>
      </c>
      <c r="AT206" s="66" t="e">
        <f>VLOOKUP($A206,'S48'!$C:$BQ,60,0)</f>
        <v>#N/A</v>
      </c>
      <c r="AU206" s="58" t="e">
        <f>VLOOKUP($A206,'S49'!$C:$BQ,32,0)</f>
        <v>#N/A</v>
      </c>
      <c r="AV206" s="58" t="e">
        <f>VLOOKUP($A206,'S49'!$C:$BQ,39,0)</f>
        <v>#N/A</v>
      </c>
      <c r="AW206" s="58" t="e">
        <f>VLOOKUP($A206,'S49'!$C:$BQ,40,0)</f>
        <v>#N/A</v>
      </c>
      <c r="AX206" s="58" t="e">
        <f>VLOOKUP($A206,'S49'!$C:$BQ,22,0)</f>
        <v>#N/A</v>
      </c>
      <c r="AY206" s="66" t="e">
        <f>VLOOKUP($A206,'S49'!$C:$BQ,29,0)</f>
        <v>#N/A</v>
      </c>
      <c r="AZ206" s="66" t="e">
        <f>VLOOKUP($A206,'S49'!$C:$BQ,30,0)</f>
        <v>#N/A</v>
      </c>
      <c r="BA206" s="66" t="e">
        <f>VLOOKUP($A206,'S49'!$C:$BQ,52,0)</f>
        <v>#N/A</v>
      </c>
      <c r="BB206" s="66" t="e">
        <f>VLOOKUP($A206,'S49'!$C:$BQ,59,0)</f>
        <v>#N/A</v>
      </c>
      <c r="BC206" s="66" t="e">
        <f>VLOOKUP($A206,'S49'!$C:$BQ,60,0)</f>
        <v>#N/A</v>
      </c>
      <c r="BD206" s="58" t="e">
        <f>VLOOKUP($A206,'S50'!$C:$BQ,32,0)</f>
        <v>#N/A</v>
      </c>
      <c r="BE206" s="58" t="e">
        <f>VLOOKUP($A206,'S50'!$C:$BQ,39,0)</f>
        <v>#N/A</v>
      </c>
      <c r="BF206" s="58" t="e">
        <f>VLOOKUP($A206,'S50'!$C:$BQ,40,0)</f>
        <v>#N/A</v>
      </c>
      <c r="BG206" s="58" t="e">
        <f>VLOOKUP($A206,'S50'!$C:$BQ,22,0)</f>
        <v>#N/A</v>
      </c>
      <c r="BH206" s="66" t="e">
        <f>VLOOKUP($A206,'S50'!$C:$BQ,29,0)</f>
        <v>#N/A</v>
      </c>
      <c r="BI206" s="66" t="e">
        <f>VLOOKUP($A206,'S50'!$C:$BQ,30,0)</f>
        <v>#N/A</v>
      </c>
      <c r="BJ206" s="66" t="e">
        <f>VLOOKUP($A206,'S50'!$C:$BQ,52,0)</f>
        <v>#N/A</v>
      </c>
      <c r="BK206" s="66" t="e">
        <f>VLOOKUP($A206,'S50'!$C:$BQ,59,0)</f>
        <v>#N/A</v>
      </c>
      <c r="BL206" s="66" t="e">
        <f>VLOOKUP($A206,'S50'!$C:$BQ,60,0)</f>
        <v>#N/A</v>
      </c>
    </row>
    <row r="207" spans="1:64" x14ac:dyDescent="0.2">
      <c r="A207" s="57" t="s">
        <v>277</v>
      </c>
      <c r="B207" s="58">
        <f>VLOOKUP($A207,'S0 remplacer avec S44'!$C:$BQ,32,0)</f>
        <v>233.25</v>
      </c>
      <c r="C207" s="58">
        <f>VLOOKUP($A207,'S0 remplacer avec S44'!$C:$BQ,39,0)</f>
        <v>10</v>
      </c>
      <c r="D207" s="58">
        <f>VLOOKUP($A207,'S0 remplacer avec S44'!$C:$BQ,40,0)</f>
        <v>58</v>
      </c>
      <c r="E207" s="58">
        <f>VLOOKUP($A207,'S0 remplacer avec S44'!$C:$BQ,22,0)</f>
        <v>3554.1077300000002</v>
      </c>
      <c r="F207" s="66">
        <f>VLOOKUP($A207,'S0 remplacer avec S44'!$C:$BQ,29,0)</f>
        <v>0</v>
      </c>
      <c r="G207" s="66">
        <f>VLOOKUP($A207,'S0 remplacer avec S44'!$C:$BQ,30,0)</f>
        <v>0</v>
      </c>
      <c r="H207" s="66">
        <f>VLOOKUP($A207,'S0 remplacer avec S44'!$C:$BQ,52,0)</f>
        <v>185.6</v>
      </c>
      <c r="I207" s="66">
        <f>VLOOKUP($A207,'S0 remplacer avec S44'!$C:$BQ,59,0)</f>
        <v>0</v>
      </c>
      <c r="J207" s="66">
        <f>VLOOKUP($A207,'S0 remplacer avec S44'!$C:$BQ,60,0)</f>
        <v>0</v>
      </c>
      <c r="K207" s="58">
        <f>VLOOKUP($A207,'S45'!$C:$BQ,32,0)</f>
        <v>235.75</v>
      </c>
      <c r="L207" s="58">
        <f>VLOOKUP($A207,'S45'!$C:$BQ,39,0)</f>
        <v>7</v>
      </c>
      <c r="M207" s="58">
        <f>VLOOKUP($A207,'S45'!$C:$BQ,40,0)</f>
        <v>56</v>
      </c>
      <c r="N207" s="58">
        <f>VLOOKUP($A207,'S45'!$C:$BQ,22,0)</f>
        <v>3606.0383400000001</v>
      </c>
      <c r="O207" s="66">
        <f>VLOOKUP($A207,'S45'!$C:$BQ,29,0)</f>
        <v>0</v>
      </c>
      <c r="P207" s="66">
        <f>VLOOKUP($A207,'S45'!$C:$BQ,30,0)</f>
        <v>0</v>
      </c>
      <c r="Q207" s="66">
        <f>VLOOKUP($A207,'S45'!$C:$BQ,52,0)</f>
        <v>188.6</v>
      </c>
      <c r="R207" s="66">
        <f>VLOOKUP($A207,'S45'!$C:$BQ,59,0)</f>
        <v>0</v>
      </c>
      <c r="S207" s="66">
        <f>VLOOKUP($A207,'S45'!$C:$BQ,60,0)</f>
        <v>0</v>
      </c>
      <c r="T207" s="58">
        <f>VLOOKUP($A207,'S46'!$C:$BQ,32,0)</f>
        <v>235.25</v>
      </c>
      <c r="U207" s="58">
        <f>VLOOKUP($A207,'S46'!$C:$BQ,39,0)</f>
        <v>8</v>
      </c>
      <c r="V207" s="58">
        <f>VLOOKUP($A207,'S46'!$C:$BQ,40,0)</f>
        <v>56</v>
      </c>
      <c r="W207" s="58">
        <f>VLOOKUP($A207,'S46'!$C:$BQ,22,0)</f>
        <v>3624.0181299999999</v>
      </c>
      <c r="X207" s="66">
        <f>VLOOKUP($A207,'S46'!$C:$BQ,29,0)</f>
        <v>0</v>
      </c>
      <c r="Y207" s="66">
        <f>VLOOKUP($A207,'S46'!$C:$BQ,30,0)</f>
        <v>0</v>
      </c>
      <c r="Z207" s="66">
        <f>VLOOKUP($A207,'S46'!$C:$BQ,52,0)</f>
        <v>189.6</v>
      </c>
      <c r="AA207" s="66">
        <f>VLOOKUP($A207,'S46'!$C:$BQ,59,0)</f>
        <v>0</v>
      </c>
      <c r="AB207" s="66">
        <f>VLOOKUP($A207,'S46'!$C:$BQ,60,0)</f>
        <v>0</v>
      </c>
      <c r="AC207" s="58">
        <f>VLOOKUP($A207,'S47'!$C:$BQ,32,0)</f>
        <v>242.75</v>
      </c>
      <c r="AD207" s="58">
        <f>VLOOKUP($A207,'S47'!$C:$BQ,39,0)</f>
        <v>0</v>
      </c>
      <c r="AE207" s="58">
        <f>VLOOKUP($A207,'S47'!$C:$BQ,40,0)</f>
        <v>49</v>
      </c>
      <c r="AF207" s="58">
        <f>VLOOKUP($A207,'S47'!$C:$BQ,22,0)</f>
        <v>3627.99127</v>
      </c>
      <c r="AG207" s="66">
        <f>VLOOKUP($A207,'S47'!$C:$BQ,29,0)</f>
        <v>0</v>
      </c>
      <c r="AH207" s="66">
        <f>VLOOKUP($A207,'S47'!$C:$BQ,30,0)</f>
        <v>0</v>
      </c>
      <c r="AI207" s="66">
        <f>VLOOKUP($A207,'S47'!$C:$BQ,52,0)</f>
        <v>190.6</v>
      </c>
      <c r="AJ207" s="66">
        <f>VLOOKUP($A207,'S47'!$C:$BQ,59,0)</f>
        <v>0</v>
      </c>
      <c r="AK207" s="66">
        <f>VLOOKUP($A207,'S47'!$C:$BQ,60,0)</f>
        <v>0</v>
      </c>
      <c r="AL207" s="58" t="e">
        <f>VLOOKUP($A207,'S48'!$C:$BQ,32,0)</f>
        <v>#N/A</v>
      </c>
      <c r="AM207" s="58" t="e">
        <f>VLOOKUP($A207,'S48'!$C:$BQ,39,0)</f>
        <v>#N/A</v>
      </c>
      <c r="AN207" s="58" t="e">
        <f>VLOOKUP($A207,'S48'!$C:$BQ,40,0)</f>
        <v>#N/A</v>
      </c>
      <c r="AO207" s="58" t="e">
        <f>VLOOKUP($A207,'S48'!$C:$BQ,22,0)</f>
        <v>#N/A</v>
      </c>
      <c r="AP207" s="66" t="e">
        <f>VLOOKUP($A207,'S48'!$C:$BQ,29,0)</f>
        <v>#N/A</v>
      </c>
      <c r="AQ207" s="66" t="e">
        <f>VLOOKUP($A207,'S48'!$C:$BQ,30,0)</f>
        <v>#N/A</v>
      </c>
      <c r="AR207" s="66" t="e">
        <f>VLOOKUP($A207,'S48'!$C:$BQ,52,0)</f>
        <v>#N/A</v>
      </c>
      <c r="AS207" s="66" t="e">
        <f>VLOOKUP($A207,'S48'!$C:$BQ,59,0)</f>
        <v>#N/A</v>
      </c>
      <c r="AT207" s="66" t="e">
        <f>VLOOKUP($A207,'S48'!$C:$BQ,60,0)</f>
        <v>#N/A</v>
      </c>
      <c r="AU207" s="58" t="e">
        <f>VLOOKUP($A207,'S49'!$C:$BQ,32,0)</f>
        <v>#N/A</v>
      </c>
      <c r="AV207" s="58" t="e">
        <f>VLOOKUP($A207,'S49'!$C:$BQ,39,0)</f>
        <v>#N/A</v>
      </c>
      <c r="AW207" s="58" t="e">
        <f>VLOOKUP($A207,'S49'!$C:$BQ,40,0)</f>
        <v>#N/A</v>
      </c>
      <c r="AX207" s="58" t="e">
        <f>VLOOKUP($A207,'S49'!$C:$BQ,22,0)</f>
        <v>#N/A</v>
      </c>
      <c r="AY207" s="66" t="e">
        <f>VLOOKUP($A207,'S49'!$C:$BQ,29,0)</f>
        <v>#N/A</v>
      </c>
      <c r="AZ207" s="66" t="e">
        <f>VLOOKUP($A207,'S49'!$C:$BQ,30,0)</f>
        <v>#N/A</v>
      </c>
      <c r="BA207" s="66" t="e">
        <f>VLOOKUP($A207,'S49'!$C:$BQ,52,0)</f>
        <v>#N/A</v>
      </c>
      <c r="BB207" s="66" t="e">
        <f>VLOOKUP($A207,'S49'!$C:$BQ,59,0)</f>
        <v>#N/A</v>
      </c>
      <c r="BC207" s="66" t="e">
        <f>VLOOKUP($A207,'S49'!$C:$BQ,60,0)</f>
        <v>#N/A</v>
      </c>
      <c r="BD207" s="58" t="e">
        <f>VLOOKUP($A207,'S50'!$C:$BQ,32,0)</f>
        <v>#N/A</v>
      </c>
      <c r="BE207" s="58" t="e">
        <f>VLOOKUP($A207,'S50'!$C:$BQ,39,0)</f>
        <v>#N/A</v>
      </c>
      <c r="BF207" s="58" t="e">
        <f>VLOOKUP($A207,'S50'!$C:$BQ,40,0)</f>
        <v>#N/A</v>
      </c>
      <c r="BG207" s="58" t="e">
        <f>VLOOKUP($A207,'S50'!$C:$BQ,22,0)</f>
        <v>#N/A</v>
      </c>
      <c r="BH207" s="66" t="e">
        <f>VLOOKUP($A207,'S50'!$C:$BQ,29,0)</f>
        <v>#N/A</v>
      </c>
      <c r="BI207" s="66" t="e">
        <f>VLOOKUP($A207,'S50'!$C:$BQ,30,0)</f>
        <v>#N/A</v>
      </c>
      <c r="BJ207" s="66" t="e">
        <f>VLOOKUP($A207,'S50'!$C:$BQ,52,0)</f>
        <v>#N/A</v>
      </c>
      <c r="BK207" s="66" t="e">
        <f>VLOOKUP($A207,'S50'!$C:$BQ,59,0)</f>
        <v>#N/A</v>
      </c>
      <c r="BL207" s="66" t="e">
        <f>VLOOKUP($A207,'S50'!$C:$BQ,60,0)</f>
        <v>#N/A</v>
      </c>
    </row>
    <row r="208" spans="1:64" x14ac:dyDescent="0.2">
      <c r="A208" s="57" t="s">
        <v>278</v>
      </c>
      <c r="B208" s="58">
        <f>VLOOKUP($A208,'S0 remplacer avec S44'!$C:$BQ,32,0)</f>
        <v>126.55</v>
      </c>
      <c r="C208" s="58">
        <f>VLOOKUP($A208,'S0 remplacer avec S44'!$C:$BQ,39,0)</f>
        <v>62</v>
      </c>
      <c r="D208" s="58">
        <f>VLOOKUP($A208,'S0 remplacer avec S44'!$C:$BQ,40,0)</f>
        <v>100</v>
      </c>
      <c r="E208" s="58">
        <f>VLOOKUP($A208,'S0 remplacer avec S44'!$C:$BQ,22,0)</f>
        <v>1746.823625</v>
      </c>
      <c r="F208" s="66">
        <f>VLOOKUP($A208,'S0 remplacer avec S44'!$C:$BQ,29,0)</f>
        <v>0</v>
      </c>
      <c r="G208" s="66">
        <f>VLOOKUP($A208,'S0 remplacer avec S44'!$C:$BQ,30,0)</f>
        <v>309</v>
      </c>
      <c r="H208" s="66">
        <f>VLOOKUP($A208,'S0 remplacer avec S44'!$C:$BQ,52,0)</f>
        <v>91.8</v>
      </c>
      <c r="I208" s="66">
        <f>VLOOKUP($A208,'S0 remplacer avec S44'!$C:$BQ,59,0)</f>
        <v>4</v>
      </c>
      <c r="J208" s="66">
        <f>VLOOKUP($A208,'S0 remplacer avec S44'!$C:$BQ,60,0)</f>
        <v>23</v>
      </c>
      <c r="K208" s="58">
        <f>VLOOKUP($A208,'S45'!$C:$BQ,32,0)</f>
        <v>127.55</v>
      </c>
      <c r="L208" s="58">
        <f>VLOOKUP($A208,'S45'!$C:$BQ,39,0)</f>
        <v>61</v>
      </c>
      <c r="M208" s="58">
        <f>VLOOKUP($A208,'S45'!$C:$BQ,40,0)</f>
        <v>99</v>
      </c>
      <c r="N208" s="58">
        <f>VLOOKUP($A208,'S45'!$C:$BQ,22,0)</f>
        <v>1749.3936249999999</v>
      </c>
      <c r="O208" s="66">
        <f>VLOOKUP($A208,'S45'!$C:$BQ,29,0)</f>
        <v>0</v>
      </c>
      <c r="P208" s="66">
        <f>VLOOKUP($A208,'S45'!$C:$BQ,30,0)</f>
        <v>307</v>
      </c>
      <c r="Q208" s="66">
        <f>VLOOKUP($A208,'S45'!$C:$BQ,52,0)</f>
        <v>93.8</v>
      </c>
      <c r="R208" s="66">
        <f>VLOOKUP($A208,'S45'!$C:$BQ,59,0)</f>
        <v>2</v>
      </c>
      <c r="S208" s="66">
        <f>VLOOKUP($A208,'S45'!$C:$BQ,60,0)</f>
        <v>21</v>
      </c>
      <c r="T208" s="58">
        <f>VLOOKUP($A208,'S46'!$C:$BQ,32,0)</f>
        <v>127.55</v>
      </c>
      <c r="U208" s="58">
        <f>VLOOKUP($A208,'S46'!$C:$BQ,39,0)</f>
        <v>61</v>
      </c>
      <c r="V208" s="58">
        <f>VLOOKUP($A208,'S46'!$C:$BQ,40,0)</f>
        <v>99</v>
      </c>
      <c r="W208" s="58">
        <f>VLOOKUP($A208,'S46'!$C:$BQ,22,0)</f>
        <v>1750.0326250000001</v>
      </c>
      <c r="X208" s="66">
        <f>VLOOKUP($A208,'S46'!$C:$BQ,29,0)</f>
        <v>0</v>
      </c>
      <c r="Y208" s="66">
        <f>VLOOKUP($A208,'S46'!$C:$BQ,30,0)</f>
        <v>306</v>
      </c>
      <c r="Z208" s="66">
        <f>VLOOKUP($A208,'S46'!$C:$BQ,52,0)</f>
        <v>93.8</v>
      </c>
      <c r="AA208" s="66">
        <f>VLOOKUP($A208,'S46'!$C:$BQ,59,0)</f>
        <v>2</v>
      </c>
      <c r="AB208" s="66">
        <f>VLOOKUP($A208,'S46'!$C:$BQ,60,0)</f>
        <v>21</v>
      </c>
      <c r="AC208" s="58">
        <f>VLOOKUP($A208,'S47'!$C:$BQ,32,0)</f>
        <v>130.05000000000001</v>
      </c>
      <c r="AD208" s="58">
        <f>VLOOKUP($A208,'S47'!$C:$BQ,39,0)</f>
        <v>59</v>
      </c>
      <c r="AE208" s="58">
        <f>VLOOKUP($A208,'S47'!$C:$BQ,40,0)</f>
        <v>96</v>
      </c>
      <c r="AF208" s="58">
        <f>VLOOKUP($A208,'S47'!$C:$BQ,22,0)</f>
        <v>1751.101085</v>
      </c>
      <c r="AG208" s="66">
        <f>VLOOKUP($A208,'S47'!$C:$BQ,29,0)</f>
        <v>0</v>
      </c>
      <c r="AH208" s="66">
        <f>VLOOKUP($A208,'S47'!$C:$BQ,30,0)</f>
        <v>305</v>
      </c>
      <c r="AI208" s="66">
        <f>VLOOKUP($A208,'S47'!$C:$BQ,52,0)</f>
        <v>94.8</v>
      </c>
      <c r="AJ208" s="66">
        <f>VLOOKUP($A208,'S47'!$C:$BQ,59,0)</f>
        <v>1</v>
      </c>
      <c r="AK208" s="66">
        <f>VLOOKUP($A208,'S47'!$C:$BQ,60,0)</f>
        <v>20</v>
      </c>
      <c r="AL208" s="58" t="e">
        <f>VLOOKUP($A208,'S48'!$C:$BQ,32,0)</f>
        <v>#N/A</v>
      </c>
      <c r="AM208" s="58" t="e">
        <f>VLOOKUP($A208,'S48'!$C:$BQ,39,0)</f>
        <v>#N/A</v>
      </c>
      <c r="AN208" s="58" t="e">
        <f>VLOOKUP($A208,'S48'!$C:$BQ,40,0)</f>
        <v>#N/A</v>
      </c>
      <c r="AO208" s="58" t="e">
        <f>VLOOKUP($A208,'S48'!$C:$BQ,22,0)</f>
        <v>#N/A</v>
      </c>
      <c r="AP208" s="66" t="e">
        <f>VLOOKUP($A208,'S48'!$C:$BQ,29,0)</f>
        <v>#N/A</v>
      </c>
      <c r="AQ208" s="66" t="e">
        <f>VLOOKUP($A208,'S48'!$C:$BQ,30,0)</f>
        <v>#N/A</v>
      </c>
      <c r="AR208" s="66" t="e">
        <f>VLOOKUP($A208,'S48'!$C:$BQ,52,0)</f>
        <v>#N/A</v>
      </c>
      <c r="AS208" s="66" t="e">
        <f>VLOOKUP($A208,'S48'!$C:$BQ,59,0)</f>
        <v>#N/A</v>
      </c>
      <c r="AT208" s="66" t="e">
        <f>VLOOKUP($A208,'S48'!$C:$BQ,60,0)</f>
        <v>#N/A</v>
      </c>
      <c r="AU208" s="58" t="e">
        <f>VLOOKUP($A208,'S49'!$C:$BQ,32,0)</f>
        <v>#N/A</v>
      </c>
      <c r="AV208" s="58" t="e">
        <f>VLOOKUP($A208,'S49'!$C:$BQ,39,0)</f>
        <v>#N/A</v>
      </c>
      <c r="AW208" s="58" t="e">
        <f>VLOOKUP($A208,'S49'!$C:$BQ,40,0)</f>
        <v>#N/A</v>
      </c>
      <c r="AX208" s="58" t="e">
        <f>VLOOKUP($A208,'S49'!$C:$BQ,22,0)</f>
        <v>#N/A</v>
      </c>
      <c r="AY208" s="66" t="e">
        <f>VLOOKUP($A208,'S49'!$C:$BQ,29,0)</f>
        <v>#N/A</v>
      </c>
      <c r="AZ208" s="66" t="e">
        <f>VLOOKUP($A208,'S49'!$C:$BQ,30,0)</f>
        <v>#N/A</v>
      </c>
      <c r="BA208" s="66" t="e">
        <f>VLOOKUP($A208,'S49'!$C:$BQ,52,0)</f>
        <v>#N/A</v>
      </c>
      <c r="BB208" s="66" t="e">
        <f>VLOOKUP($A208,'S49'!$C:$BQ,59,0)</f>
        <v>#N/A</v>
      </c>
      <c r="BC208" s="66" t="e">
        <f>VLOOKUP($A208,'S49'!$C:$BQ,60,0)</f>
        <v>#N/A</v>
      </c>
      <c r="BD208" s="58" t="e">
        <f>VLOOKUP($A208,'S50'!$C:$BQ,32,0)</f>
        <v>#N/A</v>
      </c>
      <c r="BE208" s="58" t="e">
        <f>VLOOKUP($A208,'S50'!$C:$BQ,39,0)</f>
        <v>#N/A</v>
      </c>
      <c r="BF208" s="58" t="e">
        <f>VLOOKUP($A208,'S50'!$C:$BQ,40,0)</f>
        <v>#N/A</v>
      </c>
      <c r="BG208" s="58" t="e">
        <f>VLOOKUP($A208,'S50'!$C:$BQ,22,0)</f>
        <v>#N/A</v>
      </c>
      <c r="BH208" s="66" t="e">
        <f>VLOOKUP($A208,'S50'!$C:$BQ,29,0)</f>
        <v>#N/A</v>
      </c>
      <c r="BI208" s="66" t="e">
        <f>VLOOKUP($A208,'S50'!$C:$BQ,30,0)</f>
        <v>#N/A</v>
      </c>
      <c r="BJ208" s="66" t="e">
        <f>VLOOKUP($A208,'S50'!$C:$BQ,52,0)</f>
        <v>#N/A</v>
      </c>
      <c r="BK208" s="66" t="e">
        <f>VLOOKUP($A208,'S50'!$C:$BQ,59,0)</f>
        <v>#N/A</v>
      </c>
      <c r="BL208" s="66" t="e">
        <f>VLOOKUP($A208,'S50'!$C:$BQ,60,0)</f>
        <v>#N/A</v>
      </c>
    </row>
    <row r="209" spans="1:64" x14ac:dyDescent="0.2">
      <c r="A209" s="57" t="s">
        <v>279</v>
      </c>
      <c r="B209" s="58">
        <f>VLOOKUP($A209,'S0 remplacer avec S44'!$C:$BQ,32,0)</f>
        <v>125.5</v>
      </c>
      <c r="C209" s="58">
        <f>VLOOKUP($A209,'S0 remplacer avec S44'!$C:$BQ,39,0)</f>
        <v>85</v>
      </c>
      <c r="D209" s="58">
        <f>VLOOKUP($A209,'S0 remplacer avec S44'!$C:$BQ,40,0)</f>
        <v>127</v>
      </c>
      <c r="E209" s="58">
        <f>VLOOKUP($A209,'S0 remplacer avec S44'!$C:$BQ,22,0)</f>
        <v>2727.9404199999999</v>
      </c>
      <c r="F209" s="66">
        <f>VLOOKUP($A209,'S0 remplacer avec S44'!$C:$BQ,29,0)</f>
        <v>0</v>
      </c>
      <c r="G209" s="66">
        <f>VLOOKUP($A209,'S0 remplacer avec S44'!$C:$BQ,30,0)</f>
        <v>0</v>
      </c>
      <c r="H209" s="66">
        <f>VLOOKUP($A209,'S0 remplacer avec S44'!$C:$BQ,52,0)</f>
        <v>93.2</v>
      </c>
      <c r="I209" s="66">
        <f>VLOOKUP($A209,'S0 remplacer avec S44'!$C:$BQ,59,0)</f>
        <v>14</v>
      </c>
      <c r="J209" s="66">
        <f>VLOOKUP($A209,'S0 remplacer avec S44'!$C:$BQ,60,0)</f>
        <v>35</v>
      </c>
      <c r="K209" s="58">
        <f>VLOOKUP($A209,'S45'!$C:$BQ,32,0)</f>
        <v>135.5</v>
      </c>
      <c r="L209" s="58">
        <f>VLOOKUP($A209,'S45'!$C:$BQ,39,0)</f>
        <v>75</v>
      </c>
      <c r="M209" s="58">
        <f>VLOOKUP($A209,'S45'!$C:$BQ,40,0)</f>
        <v>117</v>
      </c>
      <c r="N209" s="58">
        <f>VLOOKUP($A209,'S45'!$C:$BQ,22,0)</f>
        <v>2755.0279700000001</v>
      </c>
      <c r="O209" s="66">
        <f>VLOOKUP($A209,'S45'!$C:$BQ,29,0)</f>
        <v>0</v>
      </c>
      <c r="P209" s="66">
        <f>VLOOKUP($A209,'S45'!$C:$BQ,30,0)</f>
        <v>0</v>
      </c>
      <c r="Q209" s="66">
        <f>VLOOKUP($A209,'S45'!$C:$BQ,52,0)</f>
        <v>94.2</v>
      </c>
      <c r="R209" s="66">
        <f>VLOOKUP($A209,'S45'!$C:$BQ,59,0)</f>
        <v>13</v>
      </c>
      <c r="S209" s="66">
        <f>VLOOKUP($A209,'S45'!$C:$BQ,60,0)</f>
        <v>34</v>
      </c>
      <c r="T209" s="58">
        <f>VLOOKUP($A209,'S46'!$C:$BQ,32,0)</f>
        <v>136</v>
      </c>
      <c r="U209" s="58">
        <f>VLOOKUP($A209,'S46'!$C:$BQ,39,0)</f>
        <v>75</v>
      </c>
      <c r="V209" s="58">
        <f>VLOOKUP($A209,'S46'!$C:$BQ,40,0)</f>
        <v>117</v>
      </c>
      <c r="W209" s="58">
        <f>VLOOKUP($A209,'S46'!$C:$BQ,22,0)</f>
        <v>2756.0392099999999</v>
      </c>
      <c r="X209" s="66">
        <f>VLOOKUP($A209,'S46'!$C:$BQ,29,0)</f>
        <v>0</v>
      </c>
      <c r="Y209" s="66">
        <f>VLOOKUP($A209,'S46'!$C:$BQ,30,0)</f>
        <v>0</v>
      </c>
      <c r="Z209" s="66">
        <f>VLOOKUP($A209,'S46'!$C:$BQ,52,0)</f>
        <v>95.2</v>
      </c>
      <c r="AA209" s="66">
        <f>VLOOKUP($A209,'S46'!$C:$BQ,59,0)</f>
        <v>12</v>
      </c>
      <c r="AB209" s="66">
        <f>VLOOKUP($A209,'S46'!$C:$BQ,60,0)</f>
        <v>33</v>
      </c>
      <c r="AC209" s="58">
        <f>VLOOKUP($A209,'S47'!$C:$BQ,32,0)</f>
        <v>137.5</v>
      </c>
      <c r="AD209" s="58">
        <f>VLOOKUP($A209,'S47'!$C:$BQ,39,0)</f>
        <v>73</v>
      </c>
      <c r="AE209" s="58">
        <f>VLOOKUP($A209,'S47'!$C:$BQ,40,0)</f>
        <v>115</v>
      </c>
      <c r="AF209" s="58">
        <f>VLOOKUP($A209,'S47'!$C:$BQ,22,0)</f>
        <v>2773.2529300000001</v>
      </c>
      <c r="AG209" s="66">
        <f>VLOOKUP($A209,'S47'!$C:$BQ,29,0)</f>
        <v>0</v>
      </c>
      <c r="AH209" s="66">
        <f>VLOOKUP($A209,'S47'!$C:$BQ,30,0)</f>
        <v>0</v>
      </c>
      <c r="AI209" s="66">
        <f>VLOOKUP($A209,'S47'!$C:$BQ,52,0)</f>
        <v>96.2</v>
      </c>
      <c r="AJ209" s="66">
        <f>VLOOKUP($A209,'S47'!$C:$BQ,59,0)</f>
        <v>11</v>
      </c>
      <c r="AK209" s="66">
        <f>VLOOKUP($A209,'S47'!$C:$BQ,60,0)</f>
        <v>32</v>
      </c>
      <c r="AL209" s="58" t="e">
        <f>VLOOKUP($A209,'S48'!$C:$BQ,32,0)</f>
        <v>#N/A</v>
      </c>
      <c r="AM209" s="58" t="e">
        <f>VLOOKUP($A209,'S48'!$C:$BQ,39,0)</f>
        <v>#N/A</v>
      </c>
      <c r="AN209" s="58" t="e">
        <f>VLOOKUP($A209,'S48'!$C:$BQ,40,0)</f>
        <v>#N/A</v>
      </c>
      <c r="AO209" s="58" t="e">
        <f>VLOOKUP($A209,'S48'!$C:$BQ,22,0)</f>
        <v>#N/A</v>
      </c>
      <c r="AP209" s="66" t="e">
        <f>VLOOKUP($A209,'S48'!$C:$BQ,29,0)</f>
        <v>#N/A</v>
      </c>
      <c r="AQ209" s="66" t="e">
        <f>VLOOKUP($A209,'S48'!$C:$BQ,30,0)</f>
        <v>#N/A</v>
      </c>
      <c r="AR209" s="66" t="e">
        <f>VLOOKUP($A209,'S48'!$C:$BQ,52,0)</f>
        <v>#N/A</v>
      </c>
      <c r="AS209" s="66" t="e">
        <f>VLOOKUP($A209,'S48'!$C:$BQ,59,0)</f>
        <v>#N/A</v>
      </c>
      <c r="AT209" s="66" t="e">
        <f>VLOOKUP($A209,'S48'!$C:$BQ,60,0)</f>
        <v>#N/A</v>
      </c>
      <c r="AU209" s="58" t="e">
        <f>VLOOKUP($A209,'S49'!$C:$BQ,32,0)</f>
        <v>#N/A</v>
      </c>
      <c r="AV209" s="58" t="e">
        <f>VLOOKUP($A209,'S49'!$C:$BQ,39,0)</f>
        <v>#N/A</v>
      </c>
      <c r="AW209" s="58" t="e">
        <f>VLOOKUP($A209,'S49'!$C:$BQ,40,0)</f>
        <v>#N/A</v>
      </c>
      <c r="AX209" s="58" t="e">
        <f>VLOOKUP($A209,'S49'!$C:$BQ,22,0)</f>
        <v>#N/A</v>
      </c>
      <c r="AY209" s="66" t="e">
        <f>VLOOKUP($A209,'S49'!$C:$BQ,29,0)</f>
        <v>#N/A</v>
      </c>
      <c r="AZ209" s="66" t="e">
        <f>VLOOKUP($A209,'S49'!$C:$BQ,30,0)</f>
        <v>#N/A</v>
      </c>
      <c r="BA209" s="66" t="e">
        <f>VLOOKUP($A209,'S49'!$C:$BQ,52,0)</f>
        <v>#N/A</v>
      </c>
      <c r="BB209" s="66" t="e">
        <f>VLOOKUP($A209,'S49'!$C:$BQ,59,0)</f>
        <v>#N/A</v>
      </c>
      <c r="BC209" s="66" t="e">
        <f>VLOOKUP($A209,'S49'!$C:$BQ,60,0)</f>
        <v>#N/A</v>
      </c>
      <c r="BD209" s="58" t="e">
        <f>VLOOKUP($A209,'S50'!$C:$BQ,32,0)</f>
        <v>#N/A</v>
      </c>
      <c r="BE209" s="58" t="e">
        <f>VLOOKUP($A209,'S50'!$C:$BQ,39,0)</f>
        <v>#N/A</v>
      </c>
      <c r="BF209" s="58" t="e">
        <f>VLOOKUP($A209,'S50'!$C:$BQ,40,0)</f>
        <v>#N/A</v>
      </c>
      <c r="BG209" s="58" t="e">
        <f>VLOOKUP($A209,'S50'!$C:$BQ,22,0)</f>
        <v>#N/A</v>
      </c>
      <c r="BH209" s="66" t="e">
        <f>VLOOKUP($A209,'S50'!$C:$BQ,29,0)</f>
        <v>#N/A</v>
      </c>
      <c r="BI209" s="66" t="e">
        <f>VLOOKUP($A209,'S50'!$C:$BQ,30,0)</f>
        <v>#N/A</v>
      </c>
      <c r="BJ209" s="66" t="e">
        <f>VLOOKUP($A209,'S50'!$C:$BQ,52,0)</f>
        <v>#N/A</v>
      </c>
      <c r="BK209" s="66" t="e">
        <f>VLOOKUP($A209,'S50'!$C:$BQ,59,0)</f>
        <v>#N/A</v>
      </c>
      <c r="BL209" s="66" t="e">
        <f>VLOOKUP($A209,'S50'!$C:$BQ,60,0)</f>
        <v>#N/A</v>
      </c>
    </row>
    <row r="210" spans="1:64" x14ac:dyDescent="0.2">
      <c r="A210" s="57" t="s">
        <v>280</v>
      </c>
      <c r="B210" s="58">
        <f>VLOOKUP($A210,'S0 remplacer avec S44'!$C:$BQ,32,0)</f>
        <v>233.2</v>
      </c>
      <c r="C210" s="58">
        <f>VLOOKUP($A210,'S0 remplacer avec S44'!$C:$BQ,39,0)</f>
        <v>3</v>
      </c>
      <c r="D210" s="58">
        <f>VLOOKUP($A210,'S0 remplacer avec S44'!$C:$BQ,40,0)</f>
        <v>51</v>
      </c>
      <c r="E210" s="58">
        <f>VLOOKUP($A210,'S0 remplacer avec S44'!$C:$BQ,22,0)</f>
        <v>1895.7929549999999</v>
      </c>
      <c r="F210" s="66">
        <f>VLOOKUP($A210,'S0 remplacer avec S44'!$C:$BQ,29,0)</f>
        <v>253</v>
      </c>
      <c r="G210" s="66">
        <f>VLOOKUP($A210,'S0 remplacer avec S44'!$C:$BQ,30,0)</f>
        <v>682</v>
      </c>
      <c r="H210" s="66">
        <f>VLOOKUP($A210,'S0 remplacer avec S44'!$C:$BQ,52,0)</f>
        <v>132</v>
      </c>
      <c r="I210" s="66">
        <f>VLOOKUP($A210,'S0 remplacer avec S44'!$C:$BQ,59,0)</f>
        <v>0</v>
      </c>
      <c r="J210" s="66">
        <f>VLOOKUP($A210,'S0 remplacer avec S44'!$C:$BQ,60,0)</f>
        <v>12</v>
      </c>
      <c r="K210" s="58">
        <f>VLOOKUP($A210,'S45'!$C:$BQ,32,0)</f>
        <v>234.2</v>
      </c>
      <c r="L210" s="58">
        <f>VLOOKUP($A210,'S45'!$C:$BQ,39,0)</f>
        <v>2</v>
      </c>
      <c r="M210" s="58">
        <f>VLOOKUP($A210,'S45'!$C:$BQ,40,0)</f>
        <v>50</v>
      </c>
      <c r="N210" s="58">
        <f>VLOOKUP($A210,'S45'!$C:$BQ,22,0)</f>
        <v>1955.822195</v>
      </c>
      <c r="O210" s="66">
        <f>VLOOKUP($A210,'S45'!$C:$BQ,29,0)</f>
        <v>193</v>
      </c>
      <c r="P210" s="66">
        <f>VLOOKUP($A210,'S45'!$C:$BQ,30,0)</f>
        <v>622</v>
      </c>
      <c r="Q210" s="66">
        <f>VLOOKUP($A210,'S45'!$C:$BQ,52,0)</f>
        <v>133</v>
      </c>
      <c r="R210" s="66">
        <f>VLOOKUP($A210,'S45'!$C:$BQ,59,0)</f>
        <v>0</v>
      </c>
      <c r="S210" s="66">
        <f>VLOOKUP($A210,'S45'!$C:$BQ,60,0)</f>
        <v>11</v>
      </c>
      <c r="T210" s="58">
        <f>VLOOKUP($A210,'S46'!$C:$BQ,32,0)</f>
        <v>233.2</v>
      </c>
      <c r="U210" s="58">
        <f>VLOOKUP($A210,'S46'!$C:$BQ,39,0)</f>
        <v>3</v>
      </c>
      <c r="V210" s="58">
        <f>VLOOKUP($A210,'S46'!$C:$BQ,40,0)</f>
        <v>51</v>
      </c>
      <c r="W210" s="58">
        <f>VLOOKUP($A210,'S46'!$C:$BQ,22,0)</f>
        <v>1974.268785</v>
      </c>
      <c r="X210" s="66">
        <f>VLOOKUP($A210,'S46'!$C:$BQ,29,0)</f>
        <v>174</v>
      </c>
      <c r="Y210" s="66">
        <f>VLOOKUP($A210,'S46'!$C:$BQ,30,0)</f>
        <v>604</v>
      </c>
      <c r="Z210" s="66">
        <f>VLOOKUP($A210,'S46'!$C:$BQ,52,0)</f>
        <v>135</v>
      </c>
      <c r="AA210" s="66">
        <f>VLOOKUP($A210,'S46'!$C:$BQ,59,0)</f>
        <v>0</v>
      </c>
      <c r="AB210" s="66">
        <f>VLOOKUP($A210,'S46'!$C:$BQ,60,0)</f>
        <v>9</v>
      </c>
      <c r="AC210" s="58">
        <f>VLOOKUP($A210,'S47'!$C:$BQ,32,0)</f>
        <v>234.2</v>
      </c>
      <c r="AD210" s="58">
        <f>VLOOKUP($A210,'S47'!$C:$BQ,39,0)</f>
        <v>2</v>
      </c>
      <c r="AE210" s="58">
        <f>VLOOKUP($A210,'S47'!$C:$BQ,40,0)</f>
        <v>50</v>
      </c>
      <c r="AF210" s="58">
        <f>VLOOKUP($A210,'S47'!$C:$BQ,22,0)</f>
        <v>1979.9536949999999</v>
      </c>
      <c r="AG210" s="66">
        <f>VLOOKUP($A210,'S47'!$C:$BQ,29,0)</f>
        <v>168</v>
      </c>
      <c r="AH210" s="66">
        <f>VLOOKUP($A210,'S47'!$C:$BQ,30,0)</f>
        <v>598</v>
      </c>
      <c r="AI210" s="66">
        <f>VLOOKUP($A210,'S47'!$C:$BQ,52,0)</f>
        <v>136</v>
      </c>
      <c r="AJ210" s="66">
        <f>VLOOKUP($A210,'S47'!$C:$BQ,59,0)</f>
        <v>0</v>
      </c>
      <c r="AK210" s="66">
        <f>VLOOKUP($A210,'S47'!$C:$BQ,60,0)</f>
        <v>8</v>
      </c>
      <c r="AL210" s="58" t="e">
        <f>VLOOKUP($A210,'S48'!$C:$BQ,32,0)</f>
        <v>#N/A</v>
      </c>
      <c r="AM210" s="58" t="e">
        <f>VLOOKUP($A210,'S48'!$C:$BQ,39,0)</f>
        <v>#N/A</v>
      </c>
      <c r="AN210" s="58" t="e">
        <f>VLOOKUP($A210,'S48'!$C:$BQ,40,0)</f>
        <v>#N/A</v>
      </c>
      <c r="AO210" s="58" t="e">
        <f>VLOOKUP($A210,'S48'!$C:$BQ,22,0)</f>
        <v>#N/A</v>
      </c>
      <c r="AP210" s="66" t="e">
        <f>VLOOKUP($A210,'S48'!$C:$BQ,29,0)</f>
        <v>#N/A</v>
      </c>
      <c r="AQ210" s="66" t="e">
        <f>VLOOKUP($A210,'S48'!$C:$BQ,30,0)</f>
        <v>#N/A</v>
      </c>
      <c r="AR210" s="66" t="e">
        <f>VLOOKUP($A210,'S48'!$C:$BQ,52,0)</f>
        <v>#N/A</v>
      </c>
      <c r="AS210" s="66" t="e">
        <f>VLOOKUP($A210,'S48'!$C:$BQ,59,0)</f>
        <v>#N/A</v>
      </c>
      <c r="AT210" s="66" t="e">
        <f>VLOOKUP($A210,'S48'!$C:$BQ,60,0)</f>
        <v>#N/A</v>
      </c>
      <c r="AU210" s="58" t="e">
        <f>VLOOKUP($A210,'S49'!$C:$BQ,32,0)</f>
        <v>#N/A</v>
      </c>
      <c r="AV210" s="58" t="e">
        <f>VLOOKUP($A210,'S49'!$C:$BQ,39,0)</f>
        <v>#N/A</v>
      </c>
      <c r="AW210" s="58" t="e">
        <f>VLOOKUP($A210,'S49'!$C:$BQ,40,0)</f>
        <v>#N/A</v>
      </c>
      <c r="AX210" s="58" t="e">
        <f>VLOOKUP($A210,'S49'!$C:$BQ,22,0)</f>
        <v>#N/A</v>
      </c>
      <c r="AY210" s="66" t="e">
        <f>VLOOKUP($A210,'S49'!$C:$BQ,29,0)</f>
        <v>#N/A</v>
      </c>
      <c r="AZ210" s="66" t="e">
        <f>VLOOKUP($A210,'S49'!$C:$BQ,30,0)</f>
        <v>#N/A</v>
      </c>
      <c r="BA210" s="66" t="e">
        <f>VLOOKUP($A210,'S49'!$C:$BQ,52,0)</f>
        <v>#N/A</v>
      </c>
      <c r="BB210" s="66" t="e">
        <f>VLOOKUP($A210,'S49'!$C:$BQ,59,0)</f>
        <v>#N/A</v>
      </c>
      <c r="BC210" s="66" t="e">
        <f>VLOOKUP($A210,'S49'!$C:$BQ,60,0)</f>
        <v>#N/A</v>
      </c>
      <c r="BD210" s="58" t="e">
        <f>VLOOKUP($A210,'S50'!$C:$BQ,32,0)</f>
        <v>#N/A</v>
      </c>
      <c r="BE210" s="58" t="e">
        <f>VLOOKUP($A210,'S50'!$C:$BQ,39,0)</f>
        <v>#N/A</v>
      </c>
      <c r="BF210" s="58" t="e">
        <f>VLOOKUP($A210,'S50'!$C:$BQ,40,0)</f>
        <v>#N/A</v>
      </c>
      <c r="BG210" s="58" t="e">
        <f>VLOOKUP($A210,'S50'!$C:$BQ,22,0)</f>
        <v>#N/A</v>
      </c>
      <c r="BH210" s="66" t="e">
        <f>VLOOKUP($A210,'S50'!$C:$BQ,29,0)</f>
        <v>#N/A</v>
      </c>
      <c r="BI210" s="66" t="e">
        <f>VLOOKUP($A210,'S50'!$C:$BQ,30,0)</f>
        <v>#N/A</v>
      </c>
      <c r="BJ210" s="66" t="e">
        <f>VLOOKUP($A210,'S50'!$C:$BQ,52,0)</f>
        <v>#N/A</v>
      </c>
      <c r="BK210" s="66" t="e">
        <f>VLOOKUP($A210,'S50'!$C:$BQ,59,0)</f>
        <v>#N/A</v>
      </c>
      <c r="BL210" s="66" t="e">
        <f>VLOOKUP($A210,'S50'!$C:$BQ,60,0)</f>
        <v>#N/A</v>
      </c>
    </row>
    <row r="211" spans="1:64" x14ac:dyDescent="0.2">
      <c r="A211" s="57" t="s">
        <v>281</v>
      </c>
      <c r="B211" s="58">
        <f>VLOOKUP($A211,'S0 remplacer avec S44'!$C:$BQ,32,0)</f>
        <v>82.5</v>
      </c>
      <c r="C211" s="58">
        <f>VLOOKUP($A211,'S0 remplacer avec S44'!$C:$BQ,39,0)</f>
        <v>114</v>
      </c>
      <c r="D211" s="58">
        <f>VLOOKUP($A211,'S0 remplacer avec S44'!$C:$BQ,40,0)</f>
        <v>153</v>
      </c>
      <c r="E211" s="58">
        <f>VLOOKUP($A211,'S0 remplacer avec S44'!$C:$BQ,22,0)</f>
        <v>1870.383435</v>
      </c>
      <c r="F211" s="66">
        <f>VLOOKUP($A211,'S0 remplacer avec S44'!$C:$BQ,29,0)</f>
        <v>0</v>
      </c>
      <c r="G211" s="66">
        <f>VLOOKUP($A211,'S0 remplacer avec S44'!$C:$BQ,30,0)</f>
        <v>268</v>
      </c>
      <c r="H211" s="66">
        <f>VLOOKUP($A211,'S0 remplacer avec S44'!$C:$BQ,52,0)</f>
        <v>62.6</v>
      </c>
      <c r="I211" s="66">
        <f>VLOOKUP($A211,'S0 remplacer avec S44'!$C:$BQ,59,0)</f>
        <v>37</v>
      </c>
      <c r="J211" s="66">
        <f>VLOOKUP($A211,'S0 remplacer avec S44'!$C:$BQ,60,0)</f>
        <v>57</v>
      </c>
      <c r="K211" s="58">
        <f>VLOOKUP($A211,'S45'!$C:$BQ,32,0)</f>
        <v>82.5</v>
      </c>
      <c r="L211" s="58">
        <f>VLOOKUP($A211,'S45'!$C:$BQ,39,0)</f>
        <v>114</v>
      </c>
      <c r="M211" s="58">
        <f>VLOOKUP($A211,'S45'!$C:$BQ,40,0)</f>
        <v>153</v>
      </c>
      <c r="N211" s="58">
        <f>VLOOKUP($A211,'S45'!$C:$BQ,22,0)</f>
        <v>1923.5525950000001</v>
      </c>
      <c r="O211" s="66">
        <f>VLOOKUP($A211,'S45'!$C:$BQ,29,0)</f>
        <v>0</v>
      </c>
      <c r="P211" s="66">
        <f>VLOOKUP($A211,'S45'!$C:$BQ,30,0)</f>
        <v>215</v>
      </c>
      <c r="Q211" s="66">
        <f>VLOOKUP($A211,'S45'!$C:$BQ,52,0)</f>
        <v>62.6</v>
      </c>
      <c r="R211" s="66">
        <f>VLOOKUP($A211,'S45'!$C:$BQ,59,0)</f>
        <v>37</v>
      </c>
      <c r="S211" s="66">
        <f>VLOOKUP($A211,'S45'!$C:$BQ,60,0)</f>
        <v>57</v>
      </c>
      <c r="T211" s="58">
        <f>VLOOKUP($A211,'S46'!$C:$BQ,32,0)</f>
        <v>83.5</v>
      </c>
      <c r="U211" s="58">
        <f>VLOOKUP($A211,'S46'!$C:$BQ,39,0)</f>
        <v>113</v>
      </c>
      <c r="V211" s="58">
        <f>VLOOKUP($A211,'S46'!$C:$BQ,40,0)</f>
        <v>152</v>
      </c>
      <c r="W211" s="58">
        <f>VLOOKUP($A211,'S46'!$C:$BQ,22,0)</f>
        <v>1925.0515949999999</v>
      </c>
      <c r="X211" s="66">
        <f>VLOOKUP($A211,'S46'!$C:$BQ,29,0)</f>
        <v>0</v>
      </c>
      <c r="Y211" s="66">
        <f>VLOOKUP($A211,'S46'!$C:$BQ,30,0)</f>
        <v>213</v>
      </c>
      <c r="Z211" s="66">
        <f>VLOOKUP($A211,'S46'!$C:$BQ,52,0)</f>
        <v>62.6</v>
      </c>
      <c r="AA211" s="66">
        <f>VLOOKUP($A211,'S46'!$C:$BQ,59,0)</f>
        <v>37</v>
      </c>
      <c r="AB211" s="66">
        <f>VLOOKUP($A211,'S46'!$C:$BQ,60,0)</f>
        <v>57</v>
      </c>
      <c r="AC211" s="58">
        <f>VLOOKUP($A211,'S47'!$C:$BQ,32,0)</f>
        <v>89</v>
      </c>
      <c r="AD211" s="58">
        <f>VLOOKUP($A211,'S47'!$C:$BQ,39,0)</f>
        <v>107</v>
      </c>
      <c r="AE211" s="58">
        <f>VLOOKUP($A211,'S47'!$C:$BQ,40,0)</f>
        <v>147</v>
      </c>
      <c r="AF211" s="58">
        <f>VLOOKUP($A211,'S47'!$C:$BQ,22,0)</f>
        <v>1984.3392550000001</v>
      </c>
      <c r="AG211" s="66">
        <f>VLOOKUP($A211,'S47'!$C:$BQ,29,0)</f>
        <v>0</v>
      </c>
      <c r="AH211" s="66">
        <f>VLOOKUP($A211,'S47'!$C:$BQ,30,0)</f>
        <v>154</v>
      </c>
      <c r="AI211" s="66">
        <f>VLOOKUP($A211,'S47'!$C:$BQ,52,0)</f>
        <v>63.6</v>
      </c>
      <c r="AJ211" s="66">
        <f>VLOOKUP($A211,'S47'!$C:$BQ,59,0)</f>
        <v>36</v>
      </c>
      <c r="AK211" s="66">
        <f>VLOOKUP($A211,'S47'!$C:$BQ,60,0)</f>
        <v>56</v>
      </c>
      <c r="AL211" s="58" t="e">
        <f>VLOOKUP($A211,'S48'!$C:$BQ,32,0)</f>
        <v>#N/A</v>
      </c>
      <c r="AM211" s="58" t="e">
        <f>VLOOKUP($A211,'S48'!$C:$BQ,39,0)</f>
        <v>#N/A</v>
      </c>
      <c r="AN211" s="58" t="e">
        <f>VLOOKUP($A211,'S48'!$C:$BQ,40,0)</f>
        <v>#N/A</v>
      </c>
      <c r="AO211" s="58" t="e">
        <f>VLOOKUP($A211,'S48'!$C:$BQ,22,0)</f>
        <v>#N/A</v>
      </c>
      <c r="AP211" s="66" t="e">
        <f>VLOOKUP($A211,'S48'!$C:$BQ,29,0)</f>
        <v>#N/A</v>
      </c>
      <c r="AQ211" s="66" t="e">
        <f>VLOOKUP($A211,'S48'!$C:$BQ,30,0)</f>
        <v>#N/A</v>
      </c>
      <c r="AR211" s="66" t="e">
        <f>VLOOKUP($A211,'S48'!$C:$BQ,52,0)</f>
        <v>#N/A</v>
      </c>
      <c r="AS211" s="66" t="e">
        <f>VLOOKUP($A211,'S48'!$C:$BQ,59,0)</f>
        <v>#N/A</v>
      </c>
      <c r="AT211" s="66" t="e">
        <f>VLOOKUP($A211,'S48'!$C:$BQ,60,0)</f>
        <v>#N/A</v>
      </c>
      <c r="AU211" s="58" t="e">
        <f>VLOOKUP($A211,'S49'!$C:$BQ,32,0)</f>
        <v>#N/A</v>
      </c>
      <c r="AV211" s="58" t="e">
        <f>VLOOKUP($A211,'S49'!$C:$BQ,39,0)</f>
        <v>#N/A</v>
      </c>
      <c r="AW211" s="58" t="e">
        <f>VLOOKUP($A211,'S49'!$C:$BQ,40,0)</f>
        <v>#N/A</v>
      </c>
      <c r="AX211" s="58" t="e">
        <f>VLOOKUP($A211,'S49'!$C:$BQ,22,0)</f>
        <v>#N/A</v>
      </c>
      <c r="AY211" s="66" t="e">
        <f>VLOOKUP($A211,'S49'!$C:$BQ,29,0)</f>
        <v>#N/A</v>
      </c>
      <c r="AZ211" s="66" t="e">
        <f>VLOOKUP($A211,'S49'!$C:$BQ,30,0)</f>
        <v>#N/A</v>
      </c>
      <c r="BA211" s="66" t="e">
        <f>VLOOKUP($A211,'S49'!$C:$BQ,52,0)</f>
        <v>#N/A</v>
      </c>
      <c r="BB211" s="66" t="e">
        <f>VLOOKUP($A211,'S49'!$C:$BQ,59,0)</f>
        <v>#N/A</v>
      </c>
      <c r="BC211" s="66" t="e">
        <f>VLOOKUP($A211,'S49'!$C:$BQ,60,0)</f>
        <v>#N/A</v>
      </c>
      <c r="BD211" s="58" t="e">
        <f>VLOOKUP($A211,'S50'!$C:$BQ,32,0)</f>
        <v>#N/A</v>
      </c>
      <c r="BE211" s="58" t="e">
        <f>VLOOKUP($A211,'S50'!$C:$BQ,39,0)</f>
        <v>#N/A</v>
      </c>
      <c r="BF211" s="58" t="e">
        <f>VLOOKUP($A211,'S50'!$C:$BQ,40,0)</f>
        <v>#N/A</v>
      </c>
      <c r="BG211" s="58" t="e">
        <f>VLOOKUP($A211,'S50'!$C:$BQ,22,0)</f>
        <v>#N/A</v>
      </c>
      <c r="BH211" s="66" t="e">
        <f>VLOOKUP($A211,'S50'!$C:$BQ,29,0)</f>
        <v>#N/A</v>
      </c>
      <c r="BI211" s="66" t="e">
        <f>VLOOKUP($A211,'S50'!$C:$BQ,30,0)</f>
        <v>#N/A</v>
      </c>
      <c r="BJ211" s="66" t="e">
        <f>VLOOKUP($A211,'S50'!$C:$BQ,52,0)</f>
        <v>#N/A</v>
      </c>
      <c r="BK211" s="66" t="e">
        <f>VLOOKUP($A211,'S50'!$C:$BQ,59,0)</f>
        <v>#N/A</v>
      </c>
      <c r="BL211" s="66" t="e">
        <f>VLOOKUP($A211,'S50'!$C:$BQ,60,0)</f>
        <v>#N/A</v>
      </c>
    </row>
    <row r="212" spans="1:64" x14ac:dyDescent="0.2">
      <c r="A212" s="57" t="s">
        <v>282</v>
      </c>
      <c r="B212" s="58">
        <f>VLOOKUP($A212,'S0 remplacer avec S44'!$C:$BQ,32,0)</f>
        <v>132.44999999999999</v>
      </c>
      <c r="C212" s="58">
        <f>VLOOKUP($A212,'S0 remplacer avec S44'!$C:$BQ,39,0)</f>
        <v>104</v>
      </c>
      <c r="D212" s="58">
        <f>VLOOKUP($A212,'S0 remplacer avec S44'!$C:$BQ,40,0)</f>
        <v>151</v>
      </c>
      <c r="E212" s="58">
        <f>VLOOKUP($A212,'S0 remplacer avec S44'!$C:$BQ,22,0)</f>
        <v>2035.99938</v>
      </c>
      <c r="F212" s="66">
        <f>VLOOKUP($A212,'S0 remplacer avec S44'!$C:$BQ,29,0)</f>
        <v>112</v>
      </c>
      <c r="G212" s="66">
        <f>VLOOKUP($A212,'S0 remplacer avec S44'!$C:$BQ,30,0)</f>
        <v>541</v>
      </c>
      <c r="H212" s="66">
        <f>VLOOKUP($A212,'S0 remplacer avec S44'!$C:$BQ,52,0)</f>
        <v>149</v>
      </c>
      <c r="I212" s="66">
        <f>VLOOKUP($A212,'S0 remplacer avec S44'!$C:$BQ,59,0)</f>
        <v>0</v>
      </c>
      <c r="J212" s="66">
        <f>VLOOKUP($A212,'S0 remplacer avec S44'!$C:$BQ,60,0)</f>
        <v>0</v>
      </c>
      <c r="K212" s="58">
        <f>VLOOKUP($A212,'S45'!$C:$BQ,32,0)</f>
        <v>133.94999999999999</v>
      </c>
      <c r="L212" s="58">
        <f>VLOOKUP($A212,'S45'!$C:$BQ,39,0)</f>
        <v>103</v>
      </c>
      <c r="M212" s="58">
        <f>VLOOKUP($A212,'S45'!$C:$BQ,40,0)</f>
        <v>150</v>
      </c>
      <c r="N212" s="58">
        <f>VLOOKUP($A212,'S45'!$C:$BQ,22,0)</f>
        <v>2006.0844500000001</v>
      </c>
      <c r="O212" s="66">
        <f>VLOOKUP($A212,'S45'!$C:$BQ,29,0)</f>
        <v>142</v>
      </c>
      <c r="P212" s="66">
        <f>VLOOKUP($A212,'S45'!$C:$BQ,30,0)</f>
        <v>571</v>
      </c>
      <c r="Q212" s="66">
        <f>VLOOKUP($A212,'S45'!$C:$BQ,52,0)</f>
        <v>154</v>
      </c>
      <c r="R212" s="66">
        <f>VLOOKUP($A212,'S45'!$C:$BQ,59,0)</f>
        <v>0</v>
      </c>
      <c r="S212" s="66">
        <f>VLOOKUP($A212,'S45'!$C:$BQ,60,0)</f>
        <v>0</v>
      </c>
      <c r="T212" s="58">
        <f>VLOOKUP($A212,'S46'!$C:$BQ,32,0)</f>
        <v>133.44999999999999</v>
      </c>
      <c r="U212" s="58">
        <f>VLOOKUP($A212,'S46'!$C:$BQ,39,0)</f>
        <v>103</v>
      </c>
      <c r="V212" s="58">
        <f>VLOOKUP($A212,'S46'!$C:$BQ,40,0)</f>
        <v>150</v>
      </c>
      <c r="W212" s="58">
        <f>VLOOKUP($A212,'S46'!$C:$BQ,22,0)</f>
        <v>2006.9844499999999</v>
      </c>
      <c r="X212" s="66">
        <f>VLOOKUP($A212,'S46'!$C:$BQ,29,0)</f>
        <v>141</v>
      </c>
      <c r="Y212" s="66">
        <f>VLOOKUP($A212,'S46'!$C:$BQ,30,0)</f>
        <v>570</v>
      </c>
      <c r="Z212" s="66">
        <f>VLOOKUP($A212,'S46'!$C:$BQ,52,0)</f>
        <v>156</v>
      </c>
      <c r="AA212" s="66">
        <f>VLOOKUP($A212,'S46'!$C:$BQ,59,0)</f>
        <v>0</v>
      </c>
      <c r="AB212" s="66">
        <f>VLOOKUP($A212,'S46'!$C:$BQ,60,0)</f>
        <v>0</v>
      </c>
      <c r="AC212" s="58">
        <f>VLOOKUP($A212,'S47'!$C:$BQ,32,0)</f>
        <v>134.44999999999999</v>
      </c>
      <c r="AD212" s="58">
        <f>VLOOKUP($A212,'S47'!$C:$BQ,39,0)</f>
        <v>102</v>
      </c>
      <c r="AE212" s="58">
        <f>VLOOKUP($A212,'S47'!$C:$BQ,40,0)</f>
        <v>149</v>
      </c>
      <c r="AF212" s="58">
        <f>VLOOKUP($A212,'S47'!$C:$BQ,22,0)</f>
        <v>2086.8885799999998</v>
      </c>
      <c r="AG212" s="66">
        <f>VLOOKUP($A212,'S47'!$C:$BQ,29,0)</f>
        <v>61</v>
      </c>
      <c r="AH212" s="66">
        <f>VLOOKUP($A212,'S47'!$C:$BQ,30,0)</f>
        <v>490</v>
      </c>
      <c r="AI212" s="66">
        <f>VLOOKUP($A212,'S47'!$C:$BQ,52,0)</f>
        <v>158</v>
      </c>
      <c r="AJ212" s="66">
        <f>VLOOKUP($A212,'S47'!$C:$BQ,59,0)</f>
        <v>0</v>
      </c>
      <c r="AK212" s="66">
        <f>VLOOKUP($A212,'S47'!$C:$BQ,60,0)</f>
        <v>0</v>
      </c>
      <c r="AL212" s="58" t="e">
        <f>VLOOKUP($A212,'S48'!$C:$BQ,32,0)</f>
        <v>#N/A</v>
      </c>
      <c r="AM212" s="58" t="e">
        <f>VLOOKUP($A212,'S48'!$C:$BQ,39,0)</f>
        <v>#N/A</v>
      </c>
      <c r="AN212" s="58" t="e">
        <f>VLOOKUP($A212,'S48'!$C:$BQ,40,0)</f>
        <v>#N/A</v>
      </c>
      <c r="AO212" s="58" t="e">
        <f>VLOOKUP($A212,'S48'!$C:$BQ,22,0)</f>
        <v>#N/A</v>
      </c>
      <c r="AP212" s="66" t="e">
        <f>VLOOKUP($A212,'S48'!$C:$BQ,29,0)</f>
        <v>#N/A</v>
      </c>
      <c r="AQ212" s="66" t="e">
        <f>VLOOKUP($A212,'S48'!$C:$BQ,30,0)</f>
        <v>#N/A</v>
      </c>
      <c r="AR212" s="66" t="e">
        <f>VLOOKUP($A212,'S48'!$C:$BQ,52,0)</f>
        <v>#N/A</v>
      </c>
      <c r="AS212" s="66" t="e">
        <f>VLOOKUP($A212,'S48'!$C:$BQ,59,0)</f>
        <v>#N/A</v>
      </c>
      <c r="AT212" s="66" t="e">
        <f>VLOOKUP($A212,'S48'!$C:$BQ,60,0)</f>
        <v>#N/A</v>
      </c>
      <c r="AU212" s="58" t="e">
        <f>VLOOKUP($A212,'S49'!$C:$BQ,32,0)</f>
        <v>#N/A</v>
      </c>
      <c r="AV212" s="58" t="e">
        <f>VLOOKUP($A212,'S49'!$C:$BQ,39,0)</f>
        <v>#N/A</v>
      </c>
      <c r="AW212" s="58" t="e">
        <f>VLOOKUP($A212,'S49'!$C:$BQ,40,0)</f>
        <v>#N/A</v>
      </c>
      <c r="AX212" s="58" t="e">
        <f>VLOOKUP($A212,'S49'!$C:$BQ,22,0)</f>
        <v>#N/A</v>
      </c>
      <c r="AY212" s="66" t="e">
        <f>VLOOKUP($A212,'S49'!$C:$BQ,29,0)</f>
        <v>#N/A</v>
      </c>
      <c r="AZ212" s="66" t="e">
        <f>VLOOKUP($A212,'S49'!$C:$BQ,30,0)</f>
        <v>#N/A</v>
      </c>
      <c r="BA212" s="66" t="e">
        <f>VLOOKUP($A212,'S49'!$C:$BQ,52,0)</f>
        <v>#N/A</v>
      </c>
      <c r="BB212" s="66" t="e">
        <f>VLOOKUP($A212,'S49'!$C:$BQ,59,0)</f>
        <v>#N/A</v>
      </c>
      <c r="BC212" s="66" t="e">
        <f>VLOOKUP($A212,'S49'!$C:$BQ,60,0)</f>
        <v>#N/A</v>
      </c>
      <c r="BD212" s="58" t="e">
        <f>VLOOKUP($A212,'S50'!$C:$BQ,32,0)</f>
        <v>#N/A</v>
      </c>
      <c r="BE212" s="58" t="e">
        <f>VLOOKUP($A212,'S50'!$C:$BQ,39,0)</f>
        <v>#N/A</v>
      </c>
      <c r="BF212" s="58" t="e">
        <f>VLOOKUP($A212,'S50'!$C:$BQ,40,0)</f>
        <v>#N/A</v>
      </c>
      <c r="BG212" s="58" t="e">
        <f>VLOOKUP($A212,'S50'!$C:$BQ,22,0)</f>
        <v>#N/A</v>
      </c>
      <c r="BH212" s="66" t="e">
        <f>VLOOKUP($A212,'S50'!$C:$BQ,29,0)</f>
        <v>#N/A</v>
      </c>
      <c r="BI212" s="66" t="e">
        <f>VLOOKUP($A212,'S50'!$C:$BQ,30,0)</f>
        <v>#N/A</v>
      </c>
      <c r="BJ212" s="66" t="e">
        <f>VLOOKUP($A212,'S50'!$C:$BQ,52,0)</f>
        <v>#N/A</v>
      </c>
      <c r="BK212" s="66" t="e">
        <f>VLOOKUP($A212,'S50'!$C:$BQ,59,0)</f>
        <v>#N/A</v>
      </c>
      <c r="BL212" s="66" t="e">
        <f>VLOOKUP($A212,'S50'!$C:$BQ,60,0)</f>
        <v>#N/A</v>
      </c>
    </row>
    <row r="213" spans="1:64" x14ac:dyDescent="0.2">
      <c r="A213" s="57" t="s">
        <v>283</v>
      </c>
      <c r="B213" s="58">
        <f>VLOOKUP($A213,'S0 remplacer avec S44'!$C:$BQ,32,0)</f>
        <v>204.1</v>
      </c>
      <c r="C213" s="58">
        <f>VLOOKUP($A213,'S0 remplacer avec S44'!$C:$BQ,39,0)</f>
        <v>105</v>
      </c>
      <c r="D213" s="58">
        <f>VLOOKUP($A213,'S0 remplacer avec S44'!$C:$BQ,40,0)</f>
        <v>167</v>
      </c>
      <c r="E213" s="58">
        <f>VLOOKUP($A213,'S0 remplacer avec S44'!$C:$BQ,22,0)</f>
        <v>2943.4045099999998</v>
      </c>
      <c r="F213" s="66">
        <f>VLOOKUP($A213,'S0 remplacer avec S44'!$C:$BQ,29,0)</f>
        <v>0</v>
      </c>
      <c r="G213" s="66">
        <f>VLOOKUP($A213,'S0 remplacer avec S44'!$C:$BQ,30,0)</f>
        <v>424</v>
      </c>
      <c r="H213" s="66">
        <f>VLOOKUP($A213,'S0 remplacer avec S44'!$C:$BQ,52,0)</f>
        <v>190.2</v>
      </c>
      <c r="I213" s="66">
        <f>VLOOKUP($A213,'S0 remplacer avec S44'!$C:$BQ,59,0)</f>
        <v>0</v>
      </c>
      <c r="J213" s="66">
        <f>VLOOKUP($A213,'S0 remplacer avec S44'!$C:$BQ,60,0)</f>
        <v>0</v>
      </c>
      <c r="K213" s="58">
        <f>VLOOKUP($A213,'S45'!$C:$BQ,32,0)</f>
        <v>216.1</v>
      </c>
      <c r="L213" s="58">
        <f>VLOOKUP($A213,'S45'!$C:$BQ,39,0)</f>
        <v>93</v>
      </c>
      <c r="M213" s="58">
        <f>VLOOKUP($A213,'S45'!$C:$BQ,40,0)</f>
        <v>155</v>
      </c>
      <c r="N213" s="58">
        <f>VLOOKUP($A213,'S45'!$C:$BQ,22,0)</f>
        <v>3033.18986</v>
      </c>
      <c r="O213" s="66">
        <f>VLOOKUP($A213,'S45'!$C:$BQ,29,0)</f>
        <v>0</v>
      </c>
      <c r="P213" s="66">
        <f>VLOOKUP($A213,'S45'!$C:$BQ,30,0)</f>
        <v>334</v>
      </c>
      <c r="Q213" s="66">
        <f>VLOOKUP($A213,'S45'!$C:$BQ,52,0)</f>
        <v>192.2</v>
      </c>
      <c r="R213" s="66">
        <f>VLOOKUP($A213,'S45'!$C:$BQ,59,0)</f>
        <v>0</v>
      </c>
      <c r="S213" s="66">
        <f>VLOOKUP($A213,'S45'!$C:$BQ,60,0)</f>
        <v>0</v>
      </c>
      <c r="T213" s="58">
        <f>VLOOKUP($A213,'S46'!$C:$BQ,32,0)</f>
        <v>218.1</v>
      </c>
      <c r="U213" s="58">
        <f>VLOOKUP($A213,'S46'!$C:$BQ,39,0)</f>
        <v>91</v>
      </c>
      <c r="V213" s="58">
        <f>VLOOKUP($A213,'S46'!$C:$BQ,40,0)</f>
        <v>153</v>
      </c>
      <c r="W213" s="58">
        <f>VLOOKUP($A213,'S46'!$C:$BQ,22,0)</f>
        <v>3043.58419</v>
      </c>
      <c r="X213" s="66">
        <f>VLOOKUP($A213,'S46'!$C:$BQ,29,0)</f>
        <v>0</v>
      </c>
      <c r="Y213" s="66">
        <f>VLOOKUP($A213,'S46'!$C:$BQ,30,0)</f>
        <v>324</v>
      </c>
      <c r="Z213" s="66">
        <f>VLOOKUP($A213,'S46'!$C:$BQ,52,0)</f>
        <v>195.2</v>
      </c>
      <c r="AA213" s="66">
        <f>VLOOKUP($A213,'S46'!$C:$BQ,59,0)</f>
        <v>0</v>
      </c>
      <c r="AB213" s="66">
        <f>VLOOKUP($A213,'S46'!$C:$BQ,60,0)</f>
        <v>0</v>
      </c>
      <c r="AC213" s="58">
        <f>VLOOKUP($A213,'S47'!$C:$BQ,32,0)</f>
        <v>226.6</v>
      </c>
      <c r="AD213" s="58">
        <f>VLOOKUP($A213,'S47'!$C:$BQ,39,0)</f>
        <v>82</v>
      </c>
      <c r="AE213" s="58">
        <f>VLOOKUP($A213,'S47'!$C:$BQ,40,0)</f>
        <v>144</v>
      </c>
      <c r="AF213" s="58">
        <f>VLOOKUP($A213,'S47'!$C:$BQ,22,0)</f>
        <v>3151.4695999999999</v>
      </c>
      <c r="AG213" s="66">
        <f>VLOOKUP($A213,'S47'!$C:$BQ,29,0)</f>
        <v>0</v>
      </c>
      <c r="AH213" s="66">
        <f>VLOOKUP($A213,'S47'!$C:$BQ,30,0)</f>
        <v>216</v>
      </c>
      <c r="AI213" s="66">
        <f>VLOOKUP($A213,'S47'!$C:$BQ,52,0)</f>
        <v>197.2</v>
      </c>
      <c r="AJ213" s="66">
        <f>VLOOKUP($A213,'S47'!$C:$BQ,59,0)</f>
        <v>0</v>
      </c>
      <c r="AK213" s="66">
        <f>VLOOKUP($A213,'S47'!$C:$BQ,60,0)</f>
        <v>0</v>
      </c>
      <c r="AL213" s="58" t="e">
        <f>VLOOKUP($A213,'S48'!$C:$BQ,32,0)</f>
        <v>#N/A</v>
      </c>
      <c r="AM213" s="58" t="e">
        <f>VLOOKUP($A213,'S48'!$C:$BQ,39,0)</f>
        <v>#N/A</v>
      </c>
      <c r="AN213" s="58" t="e">
        <f>VLOOKUP($A213,'S48'!$C:$BQ,40,0)</f>
        <v>#N/A</v>
      </c>
      <c r="AO213" s="58" t="e">
        <f>VLOOKUP($A213,'S48'!$C:$BQ,22,0)</f>
        <v>#N/A</v>
      </c>
      <c r="AP213" s="66" t="e">
        <f>VLOOKUP($A213,'S48'!$C:$BQ,29,0)</f>
        <v>#N/A</v>
      </c>
      <c r="AQ213" s="66" t="e">
        <f>VLOOKUP($A213,'S48'!$C:$BQ,30,0)</f>
        <v>#N/A</v>
      </c>
      <c r="AR213" s="66" t="e">
        <f>VLOOKUP($A213,'S48'!$C:$BQ,52,0)</f>
        <v>#N/A</v>
      </c>
      <c r="AS213" s="66" t="e">
        <f>VLOOKUP($A213,'S48'!$C:$BQ,59,0)</f>
        <v>#N/A</v>
      </c>
      <c r="AT213" s="66" t="e">
        <f>VLOOKUP($A213,'S48'!$C:$BQ,60,0)</f>
        <v>#N/A</v>
      </c>
      <c r="AU213" s="58" t="e">
        <f>VLOOKUP($A213,'S49'!$C:$BQ,32,0)</f>
        <v>#N/A</v>
      </c>
      <c r="AV213" s="58" t="e">
        <f>VLOOKUP($A213,'S49'!$C:$BQ,39,0)</f>
        <v>#N/A</v>
      </c>
      <c r="AW213" s="58" t="e">
        <f>VLOOKUP($A213,'S49'!$C:$BQ,40,0)</f>
        <v>#N/A</v>
      </c>
      <c r="AX213" s="58" t="e">
        <f>VLOOKUP($A213,'S49'!$C:$BQ,22,0)</f>
        <v>#N/A</v>
      </c>
      <c r="AY213" s="66" t="e">
        <f>VLOOKUP($A213,'S49'!$C:$BQ,29,0)</f>
        <v>#N/A</v>
      </c>
      <c r="AZ213" s="66" t="e">
        <f>VLOOKUP($A213,'S49'!$C:$BQ,30,0)</f>
        <v>#N/A</v>
      </c>
      <c r="BA213" s="66" t="e">
        <f>VLOOKUP($A213,'S49'!$C:$BQ,52,0)</f>
        <v>#N/A</v>
      </c>
      <c r="BB213" s="66" t="e">
        <f>VLOOKUP($A213,'S49'!$C:$BQ,59,0)</f>
        <v>#N/A</v>
      </c>
      <c r="BC213" s="66" t="e">
        <f>VLOOKUP($A213,'S49'!$C:$BQ,60,0)</f>
        <v>#N/A</v>
      </c>
      <c r="BD213" s="58" t="e">
        <f>VLOOKUP($A213,'S50'!$C:$BQ,32,0)</f>
        <v>#N/A</v>
      </c>
      <c r="BE213" s="58" t="e">
        <f>VLOOKUP($A213,'S50'!$C:$BQ,39,0)</f>
        <v>#N/A</v>
      </c>
      <c r="BF213" s="58" t="e">
        <f>VLOOKUP($A213,'S50'!$C:$BQ,40,0)</f>
        <v>#N/A</v>
      </c>
      <c r="BG213" s="58" t="e">
        <f>VLOOKUP($A213,'S50'!$C:$BQ,22,0)</f>
        <v>#N/A</v>
      </c>
      <c r="BH213" s="66" t="e">
        <f>VLOOKUP($A213,'S50'!$C:$BQ,29,0)</f>
        <v>#N/A</v>
      </c>
      <c r="BI213" s="66" t="e">
        <f>VLOOKUP($A213,'S50'!$C:$BQ,30,0)</f>
        <v>#N/A</v>
      </c>
      <c r="BJ213" s="66" t="e">
        <f>VLOOKUP($A213,'S50'!$C:$BQ,52,0)</f>
        <v>#N/A</v>
      </c>
      <c r="BK213" s="66" t="e">
        <f>VLOOKUP($A213,'S50'!$C:$BQ,59,0)</f>
        <v>#N/A</v>
      </c>
      <c r="BL213" s="66" t="e">
        <f>VLOOKUP($A213,'S50'!$C:$BQ,60,0)</f>
        <v>#N/A</v>
      </c>
    </row>
    <row r="214" spans="1:64" x14ac:dyDescent="0.2">
      <c r="A214" s="57" t="s">
        <v>284</v>
      </c>
      <c r="B214" s="58">
        <f>VLOOKUP($A214,'S0 remplacer avec S44'!$C:$BQ,32,0)</f>
        <v>111.55</v>
      </c>
      <c r="C214" s="58">
        <f>VLOOKUP($A214,'S0 remplacer avec S44'!$C:$BQ,39,0)</f>
        <v>70</v>
      </c>
      <c r="D214" s="58">
        <f>VLOOKUP($A214,'S0 remplacer avec S44'!$C:$BQ,40,0)</f>
        <v>106</v>
      </c>
      <c r="E214" s="58">
        <f>VLOOKUP($A214,'S0 remplacer avec S44'!$C:$BQ,22,0)</f>
        <v>1856.9513850000001</v>
      </c>
      <c r="F214" s="66">
        <f>VLOOKUP($A214,'S0 remplacer avec S44'!$C:$BQ,29,0)</f>
        <v>0</v>
      </c>
      <c r="G214" s="66">
        <f>VLOOKUP($A214,'S0 remplacer avec S44'!$C:$BQ,30,0)</f>
        <v>120</v>
      </c>
      <c r="H214" s="66">
        <f>VLOOKUP($A214,'S0 remplacer avec S44'!$C:$BQ,52,0)</f>
        <v>73</v>
      </c>
      <c r="I214" s="66">
        <f>VLOOKUP($A214,'S0 remplacer avec S44'!$C:$BQ,59,0)</f>
        <v>20</v>
      </c>
      <c r="J214" s="66">
        <f>VLOOKUP($A214,'S0 remplacer avec S44'!$C:$BQ,60,0)</f>
        <v>38</v>
      </c>
      <c r="K214" s="58">
        <f>VLOOKUP($A214,'S45'!$C:$BQ,32,0)</f>
        <v>113.05</v>
      </c>
      <c r="L214" s="58">
        <f>VLOOKUP($A214,'S45'!$C:$BQ,39,0)</f>
        <v>69</v>
      </c>
      <c r="M214" s="58">
        <f>VLOOKUP($A214,'S45'!$C:$BQ,40,0)</f>
        <v>105</v>
      </c>
      <c r="N214" s="58">
        <f>VLOOKUP($A214,'S45'!$C:$BQ,22,0)</f>
        <v>1864.3534649999999</v>
      </c>
      <c r="O214" s="66">
        <f>VLOOKUP($A214,'S45'!$C:$BQ,29,0)</f>
        <v>0</v>
      </c>
      <c r="P214" s="66">
        <f>VLOOKUP($A214,'S45'!$C:$BQ,30,0)</f>
        <v>113</v>
      </c>
      <c r="Q214" s="66">
        <f>VLOOKUP($A214,'S45'!$C:$BQ,52,0)</f>
        <v>73</v>
      </c>
      <c r="R214" s="66">
        <f>VLOOKUP($A214,'S45'!$C:$BQ,59,0)</f>
        <v>20</v>
      </c>
      <c r="S214" s="66">
        <f>VLOOKUP($A214,'S45'!$C:$BQ,60,0)</f>
        <v>38</v>
      </c>
      <c r="T214" s="58">
        <f>VLOOKUP($A214,'S46'!$C:$BQ,32,0)</f>
        <v>113.05</v>
      </c>
      <c r="U214" s="58">
        <f>VLOOKUP($A214,'S46'!$C:$BQ,39,0)</f>
        <v>69</v>
      </c>
      <c r="V214" s="58">
        <f>VLOOKUP($A214,'S46'!$C:$BQ,40,0)</f>
        <v>105</v>
      </c>
      <c r="W214" s="58">
        <f>VLOOKUP($A214,'S46'!$C:$BQ,22,0)</f>
        <v>1864.4234650000001</v>
      </c>
      <c r="X214" s="66">
        <f>VLOOKUP($A214,'S46'!$C:$BQ,29,0)</f>
        <v>0</v>
      </c>
      <c r="Y214" s="66">
        <f>VLOOKUP($A214,'S46'!$C:$BQ,30,0)</f>
        <v>113</v>
      </c>
      <c r="Z214" s="66">
        <f>VLOOKUP($A214,'S46'!$C:$BQ,52,0)</f>
        <v>73</v>
      </c>
      <c r="AA214" s="66">
        <f>VLOOKUP($A214,'S46'!$C:$BQ,59,0)</f>
        <v>20</v>
      </c>
      <c r="AB214" s="66">
        <f>VLOOKUP($A214,'S46'!$C:$BQ,60,0)</f>
        <v>38</v>
      </c>
      <c r="AC214" s="58">
        <f>VLOOKUP($A214,'S47'!$C:$BQ,32,0)</f>
        <v>111.25</v>
      </c>
      <c r="AD214" s="58">
        <f>VLOOKUP($A214,'S47'!$C:$BQ,39,0)</f>
        <v>70</v>
      </c>
      <c r="AE214" s="58">
        <f>VLOOKUP($A214,'S47'!$C:$BQ,40,0)</f>
        <v>107</v>
      </c>
      <c r="AF214" s="58">
        <f>VLOOKUP($A214,'S47'!$C:$BQ,22,0)</f>
        <v>1817.3734649999999</v>
      </c>
      <c r="AG214" s="66">
        <f>VLOOKUP($A214,'S47'!$C:$BQ,29,0)</f>
        <v>0</v>
      </c>
      <c r="AH214" s="66">
        <f>VLOOKUP($A214,'S47'!$C:$BQ,30,0)</f>
        <v>160</v>
      </c>
      <c r="AI214" s="66">
        <f>VLOOKUP($A214,'S47'!$C:$BQ,52,0)</f>
        <v>75</v>
      </c>
      <c r="AJ214" s="66">
        <f>VLOOKUP($A214,'S47'!$C:$BQ,59,0)</f>
        <v>18</v>
      </c>
      <c r="AK214" s="66">
        <f>VLOOKUP($A214,'S47'!$C:$BQ,60,0)</f>
        <v>36</v>
      </c>
      <c r="AL214" s="58" t="e">
        <f>VLOOKUP($A214,'S48'!$C:$BQ,32,0)</f>
        <v>#N/A</v>
      </c>
      <c r="AM214" s="58" t="e">
        <f>VLOOKUP($A214,'S48'!$C:$BQ,39,0)</f>
        <v>#N/A</v>
      </c>
      <c r="AN214" s="58" t="e">
        <f>VLOOKUP($A214,'S48'!$C:$BQ,40,0)</f>
        <v>#N/A</v>
      </c>
      <c r="AO214" s="58" t="e">
        <f>VLOOKUP($A214,'S48'!$C:$BQ,22,0)</f>
        <v>#N/A</v>
      </c>
      <c r="AP214" s="66" t="e">
        <f>VLOOKUP($A214,'S48'!$C:$BQ,29,0)</f>
        <v>#N/A</v>
      </c>
      <c r="AQ214" s="66" t="e">
        <f>VLOOKUP($A214,'S48'!$C:$BQ,30,0)</f>
        <v>#N/A</v>
      </c>
      <c r="AR214" s="66" t="e">
        <f>VLOOKUP($A214,'S48'!$C:$BQ,52,0)</f>
        <v>#N/A</v>
      </c>
      <c r="AS214" s="66" t="e">
        <f>VLOOKUP($A214,'S48'!$C:$BQ,59,0)</f>
        <v>#N/A</v>
      </c>
      <c r="AT214" s="66" t="e">
        <f>VLOOKUP($A214,'S48'!$C:$BQ,60,0)</f>
        <v>#N/A</v>
      </c>
      <c r="AU214" s="58" t="e">
        <f>VLOOKUP($A214,'S49'!$C:$BQ,32,0)</f>
        <v>#N/A</v>
      </c>
      <c r="AV214" s="58" t="e">
        <f>VLOOKUP($A214,'S49'!$C:$BQ,39,0)</f>
        <v>#N/A</v>
      </c>
      <c r="AW214" s="58" t="e">
        <f>VLOOKUP($A214,'S49'!$C:$BQ,40,0)</f>
        <v>#N/A</v>
      </c>
      <c r="AX214" s="58" t="e">
        <f>VLOOKUP($A214,'S49'!$C:$BQ,22,0)</f>
        <v>#N/A</v>
      </c>
      <c r="AY214" s="66" t="e">
        <f>VLOOKUP($A214,'S49'!$C:$BQ,29,0)</f>
        <v>#N/A</v>
      </c>
      <c r="AZ214" s="66" t="e">
        <f>VLOOKUP($A214,'S49'!$C:$BQ,30,0)</f>
        <v>#N/A</v>
      </c>
      <c r="BA214" s="66" t="e">
        <f>VLOOKUP($A214,'S49'!$C:$BQ,52,0)</f>
        <v>#N/A</v>
      </c>
      <c r="BB214" s="66" t="e">
        <f>VLOOKUP($A214,'S49'!$C:$BQ,59,0)</f>
        <v>#N/A</v>
      </c>
      <c r="BC214" s="66" t="e">
        <f>VLOOKUP($A214,'S49'!$C:$BQ,60,0)</f>
        <v>#N/A</v>
      </c>
      <c r="BD214" s="58" t="e">
        <f>VLOOKUP($A214,'S50'!$C:$BQ,32,0)</f>
        <v>#N/A</v>
      </c>
      <c r="BE214" s="58" t="e">
        <f>VLOOKUP($A214,'S50'!$C:$BQ,39,0)</f>
        <v>#N/A</v>
      </c>
      <c r="BF214" s="58" t="e">
        <f>VLOOKUP($A214,'S50'!$C:$BQ,40,0)</f>
        <v>#N/A</v>
      </c>
      <c r="BG214" s="58" t="e">
        <f>VLOOKUP($A214,'S50'!$C:$BQ,22,0)</f>
        <v>#N/A</v>
      </c>
      <c r="BH214" s="66" t="e">
        <f>VLOOKUP($A214,'S50'!$C:$BQ,29,0)</f>
        <v>#N/A</v>
      </c>
      <c r="BI214" s="66" t="e">
        <f>VLOOKUP($A214,'S50'!$C:$BQ,30,0)</f>
        <v>#N/A</v>
      </c>
      <c r="BJ214" s="66" t="e">
        <f>VLOOKUP($A214,'S50'!$C:$BQ,52,0)</f>
        <v>#N/A</v>
      </c>
      <c r="BK214" s="66" t="e">
        <f>VLOOKUP($A214,'S50'!$C:$BQ,59,0)</f>
        <v>#N/A</v>
      </c>
      <c r="BL214" s="66" t="e">
        <f>VLOOKUP($A214,'S50'!$C:$BQ,60,0)</f>
        <v>#N/A</v>
      </c>
    </row>
    <row r="215" spans="1:64" x14ac:dyDescent="0.2">
      <c r="A215" s="57" t="s">
        <v>285</v>
      </c>
      <c r="B215" s="58">
        <f>VLOOKUP($A215,'S0 remplacer avec S44'!$C:$BQ,32,0)</f>
        <v>133.35</v>
      </c>
      <c r="C215" s="58">
        <f>VLOOKUP($A215,'S0 remplacer avec S44'!$C:$BQ,39,0)</f>
        <v>28</v>
      </c>
      <c r="D215" s="58">
        <f>VLOOKUP($A215,'S0 remplacer avec S44'!$C:$BQ,40,0)</f>
        <v>60</v>
      </c>
      <c r="E215" s="58">
        <f>VLOOKUP($A215,'S0 remplacer avec S44'!$C:$BQ,22,0)</f>
        <v>2346.3714450000002</v>
      </c>
      <c r="F215" s="66">
        <f>VLOOKUP($A215,'S0 remplacer avec S44'!$C:$BQ,29,0)</f>
        <v>0</v>
      </c>
      <c r="G215" s="66">
        <f>VLOOKUP($A215,'S0 remplacer avec S44'!$C:$BQ,30,0)</f>
        <v>0</v>
      </c>
      <c r="H215" s="66">
        <f>VLOOKUP($A215,'S0 remplacer avec S44'!$C:$BQ,52,0)</f>
        <v>78.599999999999994</v>
      </c>
      <c r="I215" s="66">
        <f>VLOOKUP($A215,'S0 remplacer avec S44'!$C:$BQ,59,0)</f>
        <v>3</v>
      </c>
      <c r="J215" s="66">
        <f>VLOOKUP($A215,'S0 remplacer avec S44'!$C:$BQ,60,0)</f>
        <v>20</v>
      </c>
      <c r="K215" s="58">
        <f>VLOOKUP($A215,'S45'!$C:$BQ,32,0)</f>
        <v>135.85</v>
      </c>
      <c r="L215" s="58">
        <f>VLOOKUP($A215,'S45'!$C:$BQ,39,0)</f>
        <v>25</v>
      </c>
      <c r="M215" s="58">
        <f>VLOOKUP($A215,'S45'!$C:$BQ,40,0)</f>
        <v>57</v>
      </c>
      <c r="N215" s="58">
        <f>VLOOKUP($A215,'S45'!$C:$BQ,22,0)</f>
        <v>2381.077405</v>
      </c>
      <c r="O215" s="66">
        <f>VLOOKUP($A215,'S45'!$C:$BQ,29,0)</f>
        <v>0</v>
      </c>
      <c r="P215" s="66">
        <f>VLOOKUP($A215,'S45'!$C:$BQ,30,0)</f>
        <v>0</v>
      </c>
      <c r="Q215" s="66">
        <f>VLOOKUP($A215,'S45'!$C:$BQ,52,0)</f>
        <v>79.599999999999994</v>
      </c>
      <c r="R215" s="66">
        <f>VLOOKUP($A215,'S45'!$C:$BQ,59,0)</f>
        <v>2</v>
      </c>
      <c r="S215" s="66">
        <f>VLOOKUP($A215,'S45'!$C:$BQ,60,0)</f>
        <v>19</v>
      </c>
      <c r="T215" s="58">
        <f>VLOOKUP($A215,'S46'!$C:$BQ,32,0)</f>
        <v>136.85</v>
      </c>
      <c r="U215" s="58">
        <f>VLOOKUP($A215,'S46'!$C:$BQ,39,0)</f>
        <v>24</v>
      </c>
      <c r="V215" s="58">
        <f>VLOOKUP($A215,'S46'!$C:$BQ,40,0)</f>
        <v>56</v>
      </c>
      <c r="W215" s="58">
        <f>VLOOKUP($A215,'S46'!$C:$BQ,22,0)</f>
        <v>2381.7994749999998</v>
      </c>
      <c r="X215" s="66">
        <f>VLOOKUP($A215,'S46'!$C:$BQ,29,0)</f>
        <v>0</v>
      </c>
      <c r="Y215" s="66">
        <f>VLOOKUP($A215,'S46'!$C:$BQ,30,0)</f>
        <v>0</v>
      </c>
      <c r="Z215" s="66">
        <f>VLOOKUP($A215,'S46'!$C:$BQ,52,0)</f>
        <v>79.599999999999994</v>
      </c>
      <c r="AA215" s="66">
        <f>VLOOKUP($A215,'S46'!$C:$BQ,59,0)</f>
        <v>2</v>
      </c>
      <c r="AB215" s="66">
        <f>VLOOKUP($A215,'S46'!$C:$BQ,60,0)</f>
        <v>19</v>
      </c>
      <c r="AC215" s="58">
        <f>VLOOKUP($A215,'S47'!$C:$BQ,32,0)</f>
        <v>138.85</v>
      </c>
      <c r="AD215" s="58">
        <f>VLOOKUP($A215,'S47'!$C:$BQ,39,0)</f>
        <v>22</v>
      </c>
      <c r="AE215" s="58">
        <f>VLOOKUP($A215,'S47'!$C:$BQ,40,0)</f>
        <v>54</v>
      </c>
      <c r="AF215" s="58">
        <f>VLOOKUP($A215,'S47'!$C:$BQ,22,0)</f>
        <v>2434.1344749999998</v>
      </c>
      <c r="AG215" s="66">
        <f>VLOOKUP($A215,'S47'!$C:$BQ,29,0)</f>
        <v>0</v>
      </c>
      <c r="AH215" s="66">
        <f>VLOOKUP($A215,'S47'!$C:$BQ,30,0)</f>
        <v>0</v>
      </c>
      <c r="AI215" s="66">
        <f>VLOOKUP($A215,'S47'!$C:$BQ,52,0)</f>
        <v>82.6</v>
      </c>
      <c r="AJ215" s="66">
        <f>VLOOKUP($A215,'S47'!$C:$BQ,59,0)</f>
        <v>0</v>
      </c>
      <c r="AK215" s="66">
        <f>VLOOKUP($A215,'S47'!$C:$BQ,60,0)</f>
        <v>16</v>
      </c>
      <c r="AL215" s="58" t="e">
        <f>VLOOKUP($A215,'S48'!$C:$BQ,32,0)</f>
        <v>#N/A</v>
      </c>
      <c r="AM215" s="58" t="e">
        <f>VLOOKUP($A215,'S48'!$C:$BQ,39,0)</f>
        <v>#N/A</v>
      </c>
      <c r="AN215" s="58" t="e">
        <f>VLOOKUP($A215,'S48'!$C:$BQ,40,0)</f>
        <v>#N/A</v>
      </c>
      <c r="AO215" s="58" t="e">
        <f>VLOOKUP($A215,'S48'!$C:$BQ,22,0)</f>
        <v>#N/A</v>
      </c>
      <c r="AP215" s="66" t="e">
        <f>VLOOKUP($A215,'S48'!$C:$BQ,29,0)</f>
        <v>#N/A</v>
      </c>
      <c r="AQ215" s="66" t="e">
        <f>VLOOKUP($A215,'S48'!$C:$BQ,30,0)</f>
        <v>#N/A</v>
      </c>
      <c r="AR215" s="66" t="e">
        <f>VLOOKUP($A215,'S48'!$C:$BQ,52,0)</f>
        <v>#N/A</v>
      </c>
      <c r="AS215" s="66" t="e">
        <f>VLOOKUP($A215,'S48'!$C:$BQ,59,0)</f>
        <v>#N/A</v>
      </c>
      <c r="AT215" s="66" t="e">
        <f>VLOOKUP($A215,'S48'!$C:$BQ,60,0)</f>
        <v>#N/A</v>
      </c>
      <c r="AU215" s="58" t="e">
        <f>VLOOKUP($A215,'S49'!$C:$BQ,32,0)</f>
        <v>#N/A</v>
      </c>
      <c r="AV215" s="58" t="e">
        <f>VLOOKUP($A215,'S49'!$C:$BQ,39,0)</f>
        <v>#N/A</v>
      </c>
      <c r="AW215" s="58" t="e">
        <f>VLOOKUP($A215,'S49'!$C:$BQ,40,0)</f>
        <v>#N/A</v>
      </c>
      <c r="AX215" s="58" t="e">
        <f>VLOOKUP($A215,'S49'!$C:$BQ,22,0)</f>
        <v>#N/A</v>
      </c>
      <c r="AY215" s="66" t="e">
        <f>VLOOKUP($A215,'S49'!$C:$BQ,29,0)</f>
        <v>#N/A</v>
      </c>
      <c r="AZ215" s="66" t="e">
        <f>VLOOKUP($A215,'S49'!$C:$BQ,30,0)</f>
        <v>#N/A</v>
      </c>
      <c r="BA215" s="66" t="e">
        <f>VLOOKUP($A215,'S49'!$C:$BQ,52,0)</f>
        <v>#N/A</v>
      </c>
      <c r="BB215" s="66" t="e">
        <f>VLOOKUP($A215,'S49'!$C:$BQ,59,0)</f>
        <v>#N/A</v>
      </c>
      <c r="BC215" s="66" t="e">
        <f>VLOOKUP($A215,'S49'!$C:$BQ,60,0)</f>
        <v>#N/A</v>
      </c>
      <c r="BD215" s="58" t="e">
        <f>VLOOKUP($A215,'S50'!$C:$BQ,32,0)</f>
        <v>#N/A</v>
      </c>
      <c r="BE215" s="58" t="e">
        <f>VLOOKUP($A215,'S50'!$C:$BQ,39,0)</f>
        <v>#N/A</v>
      </c>
      <c r="BF215" s="58" t="e">
        <f>VLOOKUP($A215,'S50'!$C:$BQ,40,0)</f>
        <v>#N/A</v>
      </c>
      <c r="BG215" s="58" t="e">
        <f>VLOOKUP($A215,'S50'!$C:$BQ,22,0)</f>
        <v>#N/A</v>
      </c>
      <c r="BH215" s="66" t="e">
        <f>VLOOKUP($A215,'S50'!$C:$BQ,29,0)</f>
        <v>#N/A</v>
      </c>
      <c r="BI215" s="66" t="e">
        <f>VLOOKUP($A215,'S50'!$C:$BQ,30,0)</f>
        <v>#N/A</v>
      </c>
      <c r="BJ215" s="66" t="e">
        <f>VLOOKUP($A215,'S50'!$C:$BQ,52,0)</f>
        <v>#N/A</v>
      </c>
      <c r="BK215" s="66" t="e">
        <f>VLOOKUP($A215,'S50'!$C:$BQ,59,0)</f>
        <v>#N/A</v>
      </c>
      <c r="BL215" s="66" t="e">
        <f>VLOOKUP($A215,'S50'!$C:$BQ,60,0)</f>
        <v>#N/A</v>
      </c>
    </row>
    <row r="216" spans="1:64" x14ac:dyDescent="0.2">
      <c r="A216" s="57" t="s">
        <v>286</v>
      </c>
      <c r="B216" s="58">
        <f>VLOOKUP($A216,'S0 remplacer avec S44'!$C:$BQ,32,0)</f>
        <v>84.9</v>
      </c>
      <c r="C216" s="58">
        <f>VLOOKUP($A216,'S0 remplacer avec S44'!$C:$BQ,39,0)</f>
        <v>154</v>
      </c>
      <c r="D216" s="58">
        <f>VLOOKUP($A216,'S0 remplacer avec S44'!$C:$BQ,40,0)</f>
        <v>202</v>
      </c>
      <c r="E216" s="58">
        <f>VLOOKUP($A216,'S0 remplacer avec S44'!$C:$BQ,22,0)</f>
        <v>1589.7305550000001</v>
      </c>
      <c r="F216" s="66">
        <f>VLOOKUP($A216,'S0 remplacer avec S44'!$C:$BQ,29,0)</f>
        <v>583</v>
      </c>
      <c r="G216" s="66">
        <f>VLOOKUP($A216,'S0 remplacer avec S44'!$C:$BQ,30,0)</f>
        <v>1018</v>
      </c>
      <c r="H216" s="66">
        <f>VLOOKUP($A216,'S0 remplacer avec S44'!$C:$BQ,52,0)</f>
        <v>179.4</v>
      </c>
      <c r="I216" s="66">
        <f>VLOOKUP($A216,'S0 remplacer avec S44'!$C:$BQ,59,0)</f>
        <v>0</v>
      </c>
      <c r="J216" s="66">
        <f>VLOOKUP($A216,'S0 remplacer avec S44'!$C:$BQ,60,0)</f>
        <v>0</v>
      </c>
      <c r="K216" s="58">
        <f>VLOOKUP($A216,'S45'!$C:$BQ,32,0)</f>
        <v>90.9</v>
      </c>
      <c r="L216" s="58">
        <f>VLOOKUP($A216,'S45'!$C:$BQ,39,0)</f>
        <v>148</v>
      </c>
      <c r="M216" s="58">
        <f>VLOOKUP($A216,'S45'!$C:$BQ,40,0)</f>
        <v>196</v>
      </c>
      <c r="N216" s="58">
        <f>VLOOKUP($A216,'S45'!$C:$BQ,22,0)</f>
        <v>1605.4983549999999</v>
      </c>
      <c r="O216" s="66">
        <f>VLOOKUP($A216,'S45'!$C:$BQ,29,0)</f>
        <v>567</v>
      </c>
      <c r="P216" s="66">
        <f>VLOOKUP($A216,'S45'!$C:$BQ,30,0)</f>
        <v>1002</v>
      </c>
      <c r="Q216" s="66">
        <f>VLOOKUP($A216,'S45'!$C:$BQ,52,0)</f>
        <v>186.4</v>
      </c>
      <c r="R216" s="66">
        <f>VLOOKUP($A216,'S45'!$C:$BQ,59,0)</f>
        <v>0</v>
      </c>
      <c r="S216" s="66">
        <f>VLOOKUP($A216,'S45'!$C:$BQ,60,0)</f>
        <v>0</v>
      </c>
      <c r="T216" s="58">
        <f>VLOOKUP($A216,'S46'!$C:$BQ,32,0)</f>
        <v>89.9</v>
      </c>
      <c r="U216" s="58">
        <f>VLOOKUP($A216,'S46'!$C:$BQ,39,0)</f>
        <v>149</v>
      </c>
      <c r="V216" s="58">
        <f>VLOOKUP($A216,'S46'!$C:$BQ,40,0)</f>
        <v>197</v>
      </c>
      <c r="W216" s="58">
        <f>VLOOKUP($A216,'S46'!$C:$BQ,22,0)</f>
        <v>1631.4659349999999</v>
      </c>
      <c r="X216" s="66">
        <f>VLOOKUP($A216,'S46'!$C:$BQ,29,0)</f>
        <v>541</v>
      </c>
      <c r="Y216" s="66">
        <f>VLOOKUP($A216,'S46'!$C:$BQ,30,0)</f>
        <v>976</v>
      </c>
      <c r="Z216" s="66">
        <f>VLOOKUP($A216,'S46'!$C:$BQ,52,0)</f>
        <v>195.4</v>
      </c>
      <c r="AA216" s="66">
        <f>VLOOKUP($A216,'S46'!$C:$BQ,59,0)</f>
        <v>0</v>
      </c>
      <c r="AB216" s="66">
        <f>VLOOKUP($A216,'S46'!$C:$BQ,60,0)</f>
        <v>0</v>
      </c>
      <c r="AC216" s="58">
        <f>VLOOKUP($A216,'S47'!$C:$BQ,32,0)</f>
        <v>93.9</v>
      </c>
      <c r="AD216" s="58">
        <f>VLOOKUP($A216,'S47'!$C:$BQ,39,0)</f>
        <v>145</v>
      </c>
      <c r="AE216" s="58">
        <f>VLOOKUP($A216,'S47'!$C:$BQ,40,0)</f>
        <v>193</v>
      </c>
      <c r="AF216" s="58">
        <f>VLOOKUP($A216,'S47'!$C:$BQ,22,0)</f>
        <v>1633.338665</v>
      </c>
      <c r="AG216" s="66">
        <f>VLOOKUP($A216,'S47'!$C:$BQ,29,0)</f>
        <v>540</v>
      </c>
      <c r="AH216" s="66">
        <f>VLOOKUP($A216,'S47'!$C:$BQ,30,0)</f>
        <v>974</v>
      </c>
      <c r="AI216" s="66">
        <f>VLOOKUP($A216,'S47'!$C:$BQ,52,0)</f>
        <v>204.4</v>
      </c>
      <c r="AJ216" s="66">
        <f>VLOOKUP($A216,'S47'!$C:$BQ,59,0)</f>
        <v>0</v>
      </c>
      <c r="AK216" s="66">
        <f>VLOOKUP($A216,'S47'!$C:$BQ,60,0)</f>
        <v>0</v>
      </c>
      <c r="AL216" s="58" t="e">
        <f>VLOOKUP($A216,'S48'!$C:$BQ,32,0)</f>
        <v>#N/A</v>
      </c>
      <c r="AM216" s="58" t="e">
        <f>VLOOKUP($A216,'S48'!$C:$BQ,39,0)</f>
        <v>#N/A</v>
      </c>
      <c r="AN216" s="58" t="e">
        <f>VLOOKUP($A216,'S48'!$C:$BQ,40,0)</f>
        <v>#N/A</v>
      </c>
      <c r="AO216" s="58" t="e">
        <f>VLOOKUP($A216,'S48'!$C:$BQ,22,0)</f>
        <v>#N/A</v>
      </c>
      <c r="AP216" s="66" t="e">
        <f>VLOOKUP($A216,'S48'!$C:$BQ,29,0)</f>
        <v>#N/A</v>
      </c>
      <c r="AQ216" s="66" t="e">
        <f>VLOOKUP($A216,'S48'!$C:$BQ,30,0)</f>
        <v>#N/A</v>
      </c>
      <c r="AR216" s="66" t="e">
        <f>VLOOKUP($A216,'S48'!$C:$BQ,52,0)</f>
        <v>#N/A</v>
      </c>
      <c r="AS216" s="66" t="e">
        <f>VLOOKUP($A216,'S48'!$C:$BQ,59,0)</f>
        <v>#N/A</v>
      </c>
      <c r="AT216" s="66" t="e">
        <f>VLOOKUP($A216,'S48'!$C:$BQ,60,0)</f>
        <v>#N/A</v>
      </c>
      <c r="AU216" s="58" t="e">
        <f>VLOOKUP($A216,'S49'!$C:$BQ,32,0)</f>
        <v>#N/A</v>
      </c>
      <c r="AV216" s="58" t="e">
        <f>VLOOKUP($A216,'S49'!$C:$BQ,39,0)</f>
        <v>#N/A</v>
      </c>
      <c r="AW216" s="58" t="e">
        <f>VLOOKUP($A216,'S49'!$C:$BQ,40,0)</f>
        <v>#N/A</v>
      </c>
      <c r="AX216" s="58" t="e">
        <f>VLOOKUP($A216,'S49'!$C:$BQ,22,0)</f>
        <v>#N/A</v>
      </c>
      <c r="AY216" s="66" t="e">
        <f>VLOOKUP($A216,'S49'!$C:$BQ,29,0)</f>
        <v>#N/A</v>
      </c>
      <c r="AZ216" s="66" t="e">
        <f>VLOOKUP($A216,'S49'!$C:$BQ,30,0)</f>
        <v>#N/A</v>
      </c>
      <c r="BA216" s="66" t="e">
        <f>VLOOKUP($A216,'S49'!$C:$BQ,52,0)</f>
        <v>#N/A</v>
      </c>
      <c r="BB216" s="66" t="e">
        <f>VLOOKUP($A216,'S49'!$C:$BQ,59,0)</f>
        <v>#N/A</v>
      </c>
      <c r="BC216" s="66" t="e">
        <f>VLOOKUP($A216,'S49'!$C:$BQ,60,0)</f>
        <v>#N/A</v>
      </c>
      <c r="BD216" s="58" t="e">
        <f>VLOOKUP($A216,'S50'!$C:$BQ,32,0)</f>
        <v>#N/A</v>
      </c>
      <c r="BE216" s="58" t="e">
        <f>VLOOKUP($A216,'S50'!$C:$BQ,39,0)</f>
        <v>#N/A</v>
      </c>
      <c r="BF216" s="58" t="e">
        <f>VLOOKUP($A216,'S50'!$C:$BQ,40,0)</f>
        <v>#N/A</v>
      </c>
      <c r="BG216" s="58" t="e">
        <f>VLOOKUP($A216,'S50'!$C:$BQ,22,0)</f>
        <v>#N/A</v>
      </c>
      <c r="BH216" s="66" t="e">
        <f>VLOOKUP($A216,'S50'!$C:$BQ,29,0)</f>
        <v>#N/A</v>
      </c>
      <c r="BI216" s="66" t="e">
        <f>VLOOKUP($A216,'S50'!$C:$BQ,30,0)</f>
        <v>#N/A</v>
      </c>
      <c r="BJ216" s="66" t="e">
        <f>VLOOKUP($A216,'S50'!$C:$BQ,52,0)</f>
        <v>#N/A</v>
      </c>
      <c r="BK216" s="66" t="e">
        <f>VLOOKUP($A216,'S50'!$C:$BQ,59,0)</f>
        <v>#N/A</v>
      </c>
      <c r="BL216" s="66" t="e">
        <f>VLOOKUP($A216,'S50'!$C:$BQ,60,0)</f>
        <v>#N/A</v>
      </c>
    </row>
    <row r="217" spans="1:64" x14ac:dyDescent="0.2">
      <c r="A217" s="57" t="s">
        <v>287</v>
      </c>
      <c r="B217" s="58">
        <f>VLOOKUP($A217,'S0 remplacer avec S44'!$C:$BQ,32,0)</f>
        <v>149.94999999999999</v>
      </c>
      <c r="C217" s="58">
        <f>VLOOKUP($A217,'S0 remplacer avec S44'!$C:$BQ,39,0)</f>
        <v>109</v>
      </c>
      <c r="D217" s="58">
        <f>VLOOKUP($A217,'S0 remplacer avec S44'!$C:$BQ,40,0)</f>
        <v>160</v>
      </c>
      <c r="E217" s="58">
        <f>VLOOKUP($A217,'S0 remplacer avec S44'!$C:$BQ,22,0)</f>
        <v>1874.639555</v>
      </c>
      <c r="F217" s="66">
        <f>VLOOKUP($A217,'S0 remplacer avec S44'!$C:$BQ,29,0)</f>
        <v>474</v>
      </c>
      <c r="G217" s="66">
        <f>VLOOKUP($A217,'S0 remplacer avec S44'!$C:$BQ,30,0)</f>
        <v>944</v>
      </c>
      <c r="H217" s="66">
        <f>VLOOKUP($A217,'S0 remplacer avec S44'!$C:$BQ,52,0)</f>
        <v>145.80000000000001</v>
      </c>
      <c r="I217" s="66">
        <f>VLOOKUP($A217,'S0 remplacer avec S44'!$C:$BQ,59,0)</f>
        <v>0</v>
      </c>
      <c r="J217" s="66">
        <f>VLOOKUP($A217,'S0 remplacer avec S44'!$C:$BQ,60,0)</f>
        <v>12</v>
      </c>
      <c r="K217" s="58">
        <f>VLOOKUP($A217,'S45'!$C:$BQ,32,0)</f>
        <v>151.94999999999999</v>
      </c>
      <c r="L217" s="58">
        <f>VLOOKUP($A217,'S45'!$C:$BQ,39,0)</f>
        <v>107</v>
      </c>
      <c r="M217" s="58">
        <f>VLOOKUP($A217,'S45'!$C:$BQ,40,0)</f>
        <v>158</v>
      </c>
      <c r="N217" s="58">
        <f>VLOOKUP($A217,'S45'!$C:$BQ,22,0)</f>
        <v>1909.044155</v>
      </c>
      <c r="O217" s="66">
        <f>VLOOKUP($A217,'S45'!$C:$BQ,29,0)</f>
        <v>440</v>
      </c>
      <c r="P217" s="66">
        <f>VLOOKUP($A217,'S45'!$C:$BQ,30,0)</f>
        <v>909</v>
      </c>
      <c r="Q217" s="66">
        <f>VLOOKUP($A217,'S45'!$C:$BQ,52,0)</f>
        <v>146.80000000000001</v>
      </c>
      <c r="R217" s="66">
        <f>VLOOKUP($A217,'S45'!$C:$BQ,59,0)</f>
        <v>0</v>
      </c>
      <c r="S217" s="66">
        <f>VLOOKUP($A217,'S45'!$C:$BQ,60,0)</f>
        <v>11</v>
      </c>
      <c r="T217" s="58">
        <f>VLOOKUP($A217,'S46'!$C:$BQ,32,0)</f>
        <v>151.94999999999999</v>
      </c>
      <c r="U217" s="58">
        <f>VLOOKUP($A217,'S46'!$C:$BQ,39,0)</f>
        <v>107</v>
      </c>
      <c r="V217" s="58">
        <f>VLOOKUP($A217,'S46'!$C:$BQ,40,0)</f>
        <v>158</v>
      </c>
      <c r="W217" s="58">
        <f>VLOOKUP($A217,'S46'!$C:$BQ,22,0)</f>
        <v>1915.190165</v>
      </c>
      <c r="X217" s="66">
        <f>VLOOKUP($A217,'S46'!$C:$BQ,29,0)</f>
        <v>434</v>
      </c>
      <c r="Y217" s="66">
        <f>VLOOKUP($A217,'S46'!$C:$BQ,30,0)</f>
        <v>903</v>
      </c>
      <c r="Z217" s="66">
        <f>VLOOKUP($A217,'S46'!$C:$BQ,52,0)</f>
        <v>146.80000000000001</v>
      </c>
      <c r="AA217" s="66">
        <f>VLOOKUP($A217,'S46'!$C:$BQ,59,0)</f>
        <v>0</v>
      </c>
      <c r="AB217" s="66">
        <f>VLOOKUP($A217,'S46'!$C:$BQ,60,0)</f>
        <v>11</v>
      </c>
      <c r="AC217" s="58">
        <f>VLOOKUP($A217,'S47'!$C:$BQ,32,0)</f>
        <v>160.94999999999999</v>
      </c>
      <c r="AD217" s="58">
        <f>VLOOKUP($A217,'S47'!$C:$BQ,39,0)</f>
        <v>98</v>
      </c>
      <c r="AE217" s="58">
        <f>VLOOKUP($A217,'S47'!$C:$BQ,40,0)</f>
        <v>149</v>
      </c>
      <c r="AF217" s="58">
        <f>VLOOKUP($A217,'S47'!$C:$BQ,22,0)</f>
        <v>1930.296335</v>
      </c>
      <c r="AG217" s="66">
        <f>VLOOKUP($A217,'S47'!$C:$BQ,29,0)</f>
        <v>419</v>
      </c>
      <c r="AH217" s="66">
        <f>VLOOKUP($A217,'S47'!$C:$BQ,30,0)</f>
        <v>888</v>
      </c>
      <c r="AI217" s="66">
        <f>VLOOKUP($A217,'S47'!$C:$BQ,52,0)</f>
        <v>148.80000000000001</v>
      </c>
      <c r="AJ217" s="66">
        <f>VLOOKUP($A217,'S47'!$C:$BQ,59,0)</f>
        <v>0</v>
      </c>
      <c r="AK217" s="66">
        <f>VLOOKUP($A217,'S47'!$C:$BQ,60,0)</f>
        <v>9</v>
      </c>
      <c r="AL217" s="58" t="e">
        <f>VLOOKUP($A217,'S48'!$C:$BQ,32,0)</f>
        <v>#N/A</v>
      </c>
      <c r="AM217" s="58" t="e">
        <f>VLOOKUP($A217,'S48'!$C:$BQ,39,0)</f>
        <v>#N/A</v>
      </c>
      <c r="AN217" s="58" t="e">
        <f>VLOOKUP($A217,'S48'!$C:$BQ,40,0)</f>
        <v>#N/A</v>
      </c>
      <c r="AO217" s="58" t="e">
        <f>VLOOKUP($A217,'S48'!$C:$BQ,22,0)</f>
        <v>#N/A</v>
      </c>
      <c r="AP217" s="66" t="e">
        <f>VLOOKUP($A217,'S48'!$C:$BQ,29,0)</f>
        <v>#N/A</v>
      </c>
      <c r="AQ217" s="66" t="e">
        <f>VLOOKUP($A217,'S48'!$C:$BQ,30,0)</f>
        <v>#N/A</v>
      </c>
      <c r="AR217" s="66" t="e">
        <f>VLOOKUP($A217,'S48'!$C:$BQ,52,0)</f>
        <v>#N/A</v>
      </c>
      <c r="AS217" s="66" t="e">
        <f>VLOOKUP($A217,'S48'!$C:$BQ,59,0)</f>
        <v>#N/A</v>
      </c>
      <c r="AT217" s="66" t="e">
        <f>VLOOKUP($A217,'S48'!$C:$BQ,60,0)</f>
        <v>#N/A</v>
      </c>
      <c r="AU217" s="58" t="e">
        <f>VLOOKUP($A217,'S49'!$C:$BQ,32,0)</f>
        <v>#N/A</v>
      </c>
      <c r="AV217" s="58" t="e">
        <f>VLOOKUP($A217,'S49'!$C:$BQ,39,0)</f>
        <v>#N/A</v>
      </c>
      <c r="AW217" s="58" t="e">
        <f>VLOOKUP($A217,'S49'!$C:$BQ,40,0)</f>
        <v>#N/A</v>
      </c>
      <c r="AX217" s="58" t="e">
        <f>VLOOKUP($A217,'S49'!$C:$BQ,22,0)</f>
        <v>#N/A</v>
      </c>
      <c r="AY217" s="66" t="e">
        <f>VLOOKUP($A217,'S49'!$C:$BQ,29,0)</f>
        <v>#N/A</v>
      </c>
      <c r="AZ217" s="66" t="e">
        <f>VLOOKUP($A217,'S49'!$C:$BQ,30,0)</f>
        <v>#N/A</v>
      </c>
      <c r="BA217" s="66" t="e">
        <f>VLOOKUP($A217,'S49'!$C:$BQ,52,0)</f>
        <v>#N/A</v>
      </c>
      <c r="BB217" s="66" t="e">
        <f>VLOOKUP($A217,'S49'!$C:$BQ,59,0)</f>
        <v>#N/A</v>
      </c>
      <c r="BC217" s="66" t="e">
        <f>VLOOKUP($A217,'S49'!$C:$BQ,60,0)</f>
        <v>#N/A</v>
      </c>
      <c r="BD217" s="58" t="e">
        <f>VLOOKUP($A217,'S50'!$C:$BQ,32,0)</f>
        <v>#N/A</v>
      </c>
      <c r="BE217" s="58" t="e">
        <f>VLOOKUP($A217,'S50'!$C:$BQ,39,0)</f>
        <v>#N/A</v>
      </c>
      <c r="BF217" s="58" t="e">
        <f>VLOOKUP($A217,'S50'!$C:$BQ,40,0)</f>
        <v>#N/A</v>
      </c>
      <c r="BG217" s="58" t="e">
        <f>VLOOKUP($A217,'S50'!$C:$BQ,22,0)</f>
        <v>#N/A</v>
      </c>
      <c r="BH217" s="66" t="e">
        <f>VLOOKUP($A217,'S50'!$C:$BQ,29,0)</f>
        <v>#N/A</v>
      </c>
      <c r="BI217" s="66" t="e">
        <f>VLOOKUP($A217,'S50'!$C:$BQ,30,0)</f>
        <v>#N/A</v>
      </c>
      <c r="BJ217" s="66" t="e">
        <f>VLOOKUP($A217,'S50'!$C:$BQ,52,0)</f>
        <v>#N/A</v>
      </c>
      <c r="BK217" s="66" t="e">
        <f>VLOOKUP($A217,'S50'!$C:$BQ,59,0)</f>
        <v>#N/A</v>
      </c>
      <c r="BL217" s="66" t="e">
        <f>VLOOKUP($A217,'S50'!$C:$BQ,60,0)</f>
        <v>#N/A</v>
      </c>
    </row>
    <row r="218" spans="1:64" x14ac:dyDescent="0.2">
      <c r="A218" s="57" t="s">
        <v>288</v>
      </c>
      <c r="B218" s="58">
        <f>VLOOKUP($A218,'S0 remplacer avec S44'!$C:$BQ,32,0)</f>
        <v>102.25</v>
      </c>
      <c r="C218" s="58">
        <f>VLOOKUP($A218,'S0 remplacer avec S44'!$C:$BQ,39,0)</f>
        <v>91</v>
      </c>
      <c r="D218" s="58">
        <f>VLOOKUP($A218,'S0 remplacer avec S44'!$C:$BQ,40,0)</f>
        <v>130</v>
      </c>
      <c r="E218" s="58">
        <f>VLOOKUP($A218,'S0 remplacer avec S44'!$C:$BQ,22,0)</f>
        <v>1139.5952299999999</v>
      </c>
      <c r="F218" s="66">
        <f>VLOOKUP($A218,'S0 remplacer avec S44'!$C:$BQ,29,0)</f>
        <v>618</v>
      </c>
      <c r="G218" s="66">
        <f>VLOOKUP($A218,'S0 remplacer avec S44'!$C:$BQ,30,0)</f>
        <v>970</v>
      </c>
      <c r="H218" s="66">
        <f>VLOOKUP($A218,'S0 remplacer avec S44'!$C:$BQ,52,0)</f>
        <v>96.8</v>
      </c>
      <c r="I218" s="66">
        <f>VLOOKUP($A218,'S0 remplacer avec S44'!$C:$BQ,59,0)</f>
        <v>2</v>
      </c>
      <c r="J218" s="66">
        <f>VLOOKUP($A218,'S0 remplacer avec S44'!$C:$BQ,60,0)</f>
        <v>21</v>
      </c>
      <c r="K218" s="58">
        <f>VLOOKUP($A218,'S45'!$C:$BQ,32,0)</f>
        <v>103.25</v>
      </c>
      <c r="L218" s="58">
        <f>VLOOKUP($A218,'S45'!$C:$BQ,39,0)</f>
        <v>90</v>
      </c>
      <c r="M218" s="58">
        <f>VLOOKUP($A218,'S45'!$C:$BQ,40,0)</f>
        <v>129</v>
      </c>
      <c r="N218" s="58">
        <f>VLOOKUP($A218,'S45'!$C:$BQ,22,0)</f>
        <v>1133.07945</v>
      </c>
      <c r="O218" s="66">
        <f>VLOOKUP($A218,'S45'!$C:$BQ,29,0)</f>
        <v>625</v>
      </c>
      <c r="P218" s="66">
        <f>VLOOKUP($A218,'S45'!$C:$BQ,30,0)</f>
        <v>976</v>
      </c>
      <c r="Q218" s="66">
        <f>VLOOKUP($A218,'S45'!$C:$BQ,52,0)</f>
        <v>96.8</v>
      </c>
      <c r="R218" s="66">
        <f>VLOOKUP($A218,'S45'!$C:$BQ,59,0)</f>
        <v>2</v>
      </c>
      <c r="S218" s="66">
        <f>VLOOKUP($A218,'S45'!$C:$BQ,60,0)</f>
        <v>21</v>
      </c>
      <c r="T218" s="58">
        <f>VLOOKUP($A218,'S46'!$C:$BQ,32,0)</f>
        <v>103.75</v>
      </c>
      <c r="U218" s="58">
        <f>VLOOKUP($A218,'S46'!$C:$BQ,39,0)</f>
        <v>90</v>
      </c>
      <c r="V218" s="58">
        <f>VLOOKUP($A218,'S46'!$C:$BQ,40,0)</f>
        <v>129</v>
      </c>
      <c r="W218" s="58">
        <f>VLOOKUP($A218,'S46'!$C:$BQ,22,0)</f>
        <v>1145.11196</v>
      </c>
      <c r="X218" s="66">
        <f>VLOOKUP($A218,'S46'!$C:$BQ,29,0)</f>
        <v>613</v>
      </c>
      <c r="Y218" s="66">
        <f>VLOOKUP($A218,'S46'!$C:$BQ,30,0)</f>
        <v>964</v>
      </c>
      <c r="Z218" s="66">
        <f>VLOOKUP($A218,'S46'!$C:$BQ,52,0)</f>
        <v>97.8</v>
      </c>
      <c r="AA218" s="66">
        <f>VLOOKUP($A218,'S46'!$C:$BQ,59,0)</f>
        <v>1</v>
      </c>
      <c r="AB218" s="66">
        <f>VLOOKUP($A218,'S46'!$C:$BQ,60,0)</f>
        <v>20</v>
      </c>
      <c r="AC218" s="58">
        <f>VLOOKUP($A218,'S47'!$C:$BQ,32,0)</f>
        <v>106.25</v>
      </c>
      <c r="AD218" s="58">
        <f>VLOOKUP($A218,'S47'!$C:$BQ,39,0)</f>
        <v>87</v>
      </c>
      <c r="AE218" s="58">
        <f>VLOOKUP($A218,'S47'!$C:$BQ,40,0)</f>
        <v>126</v>
      </c>
      <c r="AF218" s="58">
        <f>VLOOKUP($A218,'S47'!$C:$BQ,22,0)</f>
        <v>1146.0728200000001</v>
      </c>
      <c r="AG218" s="66">
        <f>VLOOKUP($A218,'S47'!$C:$BQ,29,0)</f>
        <v>612</v>
      </c>
      <c r="AH218" s="66">
        <f>VLOOKUP($A218,'S47'!$C:$BQ,30,0)</f>
        <v>963</v>
      </c>
      <c r="AI218" s="66">
        <f>VLOOKUP($A218,'S47'!$C:$BQ,52,0)</f>
        <v>98.8</v>
      </c>
      <c r="AJ218" s="66">
        <f>VLOOKUP($A218,'S47'!$C:$BQ,59,0)</f>
        <v>0</v>
      </c>
      <c r="AK218" s="66">
        <f>VLOOKUP($A218,'S47'!$C:$BQ,60,0)</f>
        <v>19</v>
      </c>
      <c r="AL218" s="58" t="e">
        <f>VLOOKUP($A218,'S48'!$C:$BQ,32,0)</f>
        <v>#N/A</v>
      </c>
      <c r="AM218" s="58" t="e">
        <f>VLOOKUP($A218,'S48'!$C:$BQ,39,0)</f>
        <v>#N/A</v>
      </c>
      <c r="AN218" s="58" t="e">
        <f>VLOOKUP($A218,'S48'!$C:$BQ,40,0)</f>
        <v>#N/A</v>
      </c>
      <c r="AO218" s="58" t="e">
        <f>VLOOKUP($A218,'S48'!$C:$BQ,22,0)</f>
        <v>#N/A</v>
      </c>
      <c r="AP218" s="66" t="e">
        <f>VLOOKUP($A218,'S48'!$C:$BQ,29,0)</f>
        <v>#N/A</v>
      </c>
      <c r="AQ218" s="66" t="e">
        <f>VLOOKUP($A218,'S48'!$C:$BQ,30,0)</f>
        <v>#N/A</v>
      </c>
      <c r="AR218" s="66" t="e">
        <f>VLOOKUP($A218,'S48'!$C:$BQ,52,0)</f>
        <v>#N/A</v>
      </c>
      <c r="AS218" s="66" t="e">
        <f>VLOOKUP($A218,'S48'!$C:$BQ,59,0)</f>
        <v>#N/A</v>
      </c>
      <c r="AT218" s="66" t="e">
        <f>VLOOKUP($A218,'S48'!$C:$BQ,60,0)</f>
        <v>#N/A</v>
      </c>
      <c r="AU218" s="58" t="e">
        <f>VLOOKUP($A218,'S49'!$C:$BQ,32,0)</f>
        <v>#N/A</v>
      </c>
      <c r="AV218" s="58" t="e">
        <f>VLOOKUP($A218,'S49'!$C:$BQ,39,0)</f>
        <v>#N/A</v>
      </c>
      <c r="AW218" s="58" t="e">
        <f>VLOOKUP($A218,'S49'!$C:$BQ,40,0)</f>
        <v>#N/A</v>
      </c>
      <c r="AX218" s="58" t="e">
        <f>VLOOKUP($A218,'S49'!$C:$BQ,22,0)</f>
        <v>#N/A</v>
      </c>
      <c r="AY218" s="66" t="e">
        <f>VLOOKUP($A218,'S49'!$C:$BQ,29,0)</f>
        <v>#N/A</v>
      </c>
      <c r="AZ218" s="66" t="e">
        <f>VLOOKUP($A218,'S49'!$C:$BQ,30,0)</f>
        <v>#N/A</v>
      </c>
      <c r="BA218" s="66" t="e">
        <f>VLOOKUP($A218,'S49'!$C:$BQ,52,0)</f>
        <v>#N/A</v>
      </c>
      <c r="BB218" s="66" t="e">
        <f>VLOOKUP($A218,'S49'!$C:$BQ,59,0)</f>
        <v>#N/A</v>
      </c>
      <c r="BC218" s="66" t="e">
        <f>VLOOKUP($A218,'S49'!$C:$BQ,60,0)</f>
        <v>#N/A</v>
      </c>
      <c r="BD218" s="58" t="e">
        <f>VLOOKUP($A218,'S50'!$C:$BQ,32,0)</f>
        <v>#N/A</v>
      </c>
      <c r="BE218" s="58" t="e">
        <f>VLOOKUP($A218,'S50'!$C:$BQ,39,0)</f>
        <v>#N/A</v>
      </c>
      <c r="BF218" s="58" t="e">
        <f>VLOOKUP($A218,'S50'!$C:$BQ,40,0)</f>
        <v>#N/A</v>
      </c>
      <c r="BG218" s="58" t="e">
        <f>VLOOKUP($A218,'S50'!$C:$BQ,22,0)</f>
        <v>#N/A</v>
      </c>
      <c r="BH218" s="66" t="e">
        <f>VLOOKUP($A218,'S50'!$C:$BQ,29,0)</f>
        <v>#N/A</v>
      </c>
      <c r="BI218" s="66" t="e">
        <f>VLOOKUP($A218,'S50'!$C:$BQ,30,0)</f>
        <v>#N/A</v>
      </c>
      <c r="BJ218" s="66" t="e">
        <f>VLOOKUP($A218,'S50'!$C:$BQ,52,0)</f>
        <v>#N/A</v>
      </c>
      <c r="BK218" s="66" t="e">
        <f>VLOOKUP($A218,'S50'!$C:$BQ,59,0)</f>
        <v>#N/A</v>
      </c>
      <c r="BL218" s="66" t="e">
        <f>VLOOKUP($A218,'S50'!$C:$BQ,60,0)</f>
        <v>#N/A</v>
      </c>
    </row>
    <row r="219" spans="1:64" x14ac:dyDescent="0.2">
      <c r="A219" s="57" t="s">
        <v>289</v>
      </c>
      <c r="B219" s="58">
        <f>VLOOKUP($A219,'S0 remplacer avec S44'!$C:$BQ,32,0)</f>
        <v>250.4</v>
      </c>
      <c r="C219" s="58">
        <f>VLOOKUP($A219,'S0 remplacer avec S44'!$C:$BQ,39,0)</f>
        <v>210</v>
      </c>
      <c r="D219" s="58">
        <f>VLOOKUP($A219,'S0 remplacer avec S44'!$C:$BQ,40,0)</f>
        <v>302</v>
      </c>
      <c r="E219" s="58">
        <f>VLOOKUP($A219,'S0 remplacer avec S44'!$C:$BQ,22,0)</f>
        <v>3139.4278749999999</v>
      </c>
      <c r="F219" s="66">
        <f>VLOOKUP($A219,'S0 remplacer avec S44'!$C:$BQ,29,0)</f>
        <v>1044</v>
      </c>
      <c r="G219" s="66">
        <f>VLOOKUP($A219,'S0 remplacer avec S44'!$C:$BQ,30,0)</f>
        <v>1881</v>
      </c>
      <c r="H219" s="66">
        <f>VLOOKUP($A219,'S0 remplacer avec S44'!$C:$BQ,52,0)</f>
        <v>239.4</v>
      </c>
      <c r="I219" s="66">
        <f>VLOOKUP($A219,'S0 remplacer avec S44'!$C:$BQ,59,0)</f>
        <v>0</v>
      </c>
      <c r="J219" s="66">
        <f>VLOOKUP($A219,'S0 remplacer avec S44'!$C:$BQ,60,0)</f>
        <v>41</v>
      </c>
      <c r="K219" s="58">
        <f>VLOOKUP($A219,'S45'!$C:$BQ,32,0)</f>
        <v>259.39999999999998</v>
      </c>
      <c r="L219" s="58">
        <f>VLOOKUP($A219,'S45'!$C:$BQ,39,0)</f>
        <v>201</v>
      </c>
      <c r="M219" s="58">
        <f>VLOOKUP($A219,'S45'!$C:$BQ,40,0)</f>
        <v>293</v>
      </c>
      <c r="N219" s="58">
        <f>VLOOKUP($A219,'S45'!$C:$BQ,22,0)</f>
        <v>3161.955645</v>
      </c>
      <c r="O219" s="66">
        <f>VLOOKUP($A219,'S45'!$C:$BQ,29,0)</f>
        <v>1022</v>
      </c>
      <c r="P219" s="66">
        <f>VLOOKUP($A219,'S45'!$C:$BQ,30,0)</f>
        <v>1858</v>
      </c>
      <c r="Q219" s="66">
        <f>VLOOKUP($A219,'S45'!$C:$BQ,52,0)</f>
        <v>245.4</v>
      </c>
      <c r="R219" s="66">
        <f>VLOOKUP($A219,'S45'!$C:$BQ,59,0)</f>
        <v>0</v>
      </c>
      <c r="S219" s="66">
        <f>VLOOKUP($A219,'S45'!$C:$BQ,60,0)</f>
        <v>35</v>
      </c>
      <c r="T219" s="58">
        <f>VLOOKUP($A219,'S46'!$C:$BQ,32,0)</f>
        <v>259.39999999999998</v>
      </c>
      <c r="U219" s="58">
        <f>VLOOKUP($A219,'S46'!$C:$BQ,39,0)</f>
        <v>201</v>
      </c>
      <c r="V219" s="58">
        <f>VLOOKUP($A219,'S46'!$C:$BQ,40,0)</f>
        <v>293</v>
      </c>
      <c r="W219" s="58">
        <f>VLOOKUP($A219,'S46'!$C:$BQ,22,0)</f>
        <v>3184.6268150000001</v>
      </c>
      <c r="X219" s="66">
        <f>VLOOKUP($A219,'S46'!$C:$BQ,29,0)</f>
        <v>999</v>
      </c>
      <c r="Y219" s="66">
        <f>VLOOKUP($A219,'S46'!$C:$BQ,30,0)</f>
        <v>1836</v>
      </c>
      <c r="Z219" s="66">
        <f>VLOOKUP($A219,'S46'!$C:$BQ,52,0)</f>
        <v>250.4</v>
      </c>
      <c r="AA219" s="66">
        <f>VLOOKUP($A219,'S46'!$C:$BQ,59,0)</f>
        <v>0</v>
      </c>
      <c r="AB219" s="66">
        <f>VLOOKUP($A219,'S46'!$C:$BQ,60,0)</f>
        <v>30</v>
      </c>
      <c r="AC219" s="58">
        <f>VLOOKUP($A219,'S47'!$C:$BQ,32,0)</f>
        <v>261.89999999999998</v>
      </c>
      <c r="AD219" s="58">
        <f>VLOOKUP($A219,'S47'!$C:$BQ,39,0)</f>
        <v>199</v>
      </c>
      <c r="AE219" s="58">
        <f>VLOOKUP($A219,'S47'!$C:$BQ,40,0)</f>
        <v>290</v>
      </c>
      <c r="AF219" s="58">
        <f>VLOOKUP($A219,'S47'!$C:$BQ,22,0)</f>
        <v>3201.8572450000001</v>
      </c>
      <c r="AG219" s="66">
        <f>VLOOKUP($A219,'S47'!$C:$BQ,29,0)</f>
        <v>982</v>
      </c>
      <c r="AH219" s="66">
        <f>VLOOKUP($A219,'S47'!$C:$BQ,30,0)</f>
        <v>1818</v>
      </c>
      <c r="AI219" s="66">
        <f>VLOOKUP($A219,'S47'!$C:$BQ,52,0)</f>
        <v>257.39999999999998</v>
      </c>
      <c r="AJ219" s="66">
        <f>VLOOKUP($A219,'S47'!$C:$BQ,59,0)</f>
        <v>0</v>
      </c>
      <c r="AK219" s="66">
        <f>VLOOKUP($A219,'S47'!$C:$BQ,60,0)</f>
        <v>23</v>
      </c>
      <c r="AL219" s="58" t="e">
        <f>VLOOKUP($A219,'S48'!$C:$BQ,32,0)</f>
        <v>#N/A</v>
      </c>
      <c r="AM219" s="58" t="e">
        <f>VLOOKUP($A219,'S48'!$C:$BQ,39,0)</f>
        <v>#N/A</v>
      </c>
      <c r="AN219" s="58" t="e">
        <f>VLOOKUP($A219,'S48'!$C:$BQ,40,0)</f>
        <v>#N/A</v>
      </c>
      <c r="AO219" s="58" t="e">
        <f>VLOOKUP($A219,'S48'!$C:$BQ,22,0)</f>
        <v>#N/A</v>
      </c>
      <c r="AP219" s="66" t="e">
        <f>VLOOKUP($A219,'S48'!$C:$BQ,29,0)</f>
        <v>#N/A</v>
      </c>
      <c r="AQ219" s="66" t="e">
        <f>VLOOKUP($A219,'S48'!$C:$BQ,30,0)</f>
        <v>#N/A</v>
      </c>
      <c r="AR219" s="66" t="e">
        <f>VLOOKUP($A219,'S48'!$C:$BQ,52,0)</f>
        <v>#N/A</v>
      </c>
      <c r="AS219" s="66" t="e">
        <f>VLOOKUP($A219,'S48'!$C:$BQ,59,0)</f>
        <v>#N/A</v>
      </c>
      <c r="AT219" s="66" t="e">
        <f>VLOOKUP($A219,'S48'!$C:$BQ,60,0)</f>
        <v>#N/A</v>
      </c>
      <c r="AU219" s="58" t="e">
        <f>VLOOKUP($A219,'S49'!$C:$BQ,32,0)</f>
        <v>#N/A</v>
      </c>
      <c r="AV219" s="58" t="e">
        <f>VLOOKUP($A219,'S49'!$C:$BQ,39,0)</f>
        <v>#N/A</v>
      </c>
      <c r="AW219" s="58" t="e">
        <f>VLOOKUP($A219,'S49'!$C:$BQ,40,0)</f>
        <v>#N/A</v>
      </c>
      <c r="AX219" s="58" t="e">
        <f>VLOOKUP($A219,'S49'!$C:$BQ,22,0)</f>
        <v>#N/A</v>
      </c>
      <c r="AY219" s="66" t="e">
        <f>VLOOKUP($A219,'S49'!$C:$BQ,29,0)</f>
        <v>#N/A</v>
      </c>
      <c r="AZ219" s="66" t="e">
        <f>VLOOKUP($A219,'S49'!$C:$BQ,30,0)</f>
        <v>#N/A</v>
      </c>
      <c r="BA219" s="66" t="e">
        <f>VLOOKUP($A219,'S49'!$C:$BQ,52,0)</f>
        <v>#N/A</v>
      </c>
      <c r="BB219" s="66" t="e">
        <f>VLOOKUP($A219,'S49'!$C:$BQ,59,0)</f>
        <v>#N/A</v>
      </c>
      <c r="BC219" s="66" t="e">
        <f>VLOOKUP($A219,'S49'!$C:$BQ,60,0)</f>
        <v>#N/A</v>
      </c>
      <c r="BD219" s="58" t="e">
        <f>VLOOKUP($A219,'S50'!$C:$BQ,32,0)</f>
        <v>#N/A</v>
      </c>
      <c r="BE219" s="58" t="e">
        <f>VLOOKUP($A219,'S50'!$C:$BQ,39,0)</f>
        <v>#N/A</v>
      </c>
      <c r="BF219" s="58" t="e">
        <f>VLOOKUP($A219,'S50'!$C:$BQ,40,0)</f>
        <v>#N/A</v>
      </c>
      <c r="BG219" s="58" t="e">
        <f>VLOOKUP($A219,'S50'!$C:$BQ,22,0)</f>
        <v>#N/A</v>
      </c>
      <c r="BH219" s="66" t="e">
        <f>VLOOKUP($A219,'S50'!$C:$BQ,29,0)</f>
        <v>#N/A</v>
      </c>
      <c r="BI219" s="66" t="e">
        <f>VLOOKUP($A219,'S50'!$C:$BQ,30,0)</f>
        <v>#N/A</v>
      </c>
      <c r="BJ219" s="66" t="e">
        <f>VLOOKUP($A219,'S50'!$C:$BQ,52,0)</f>
        <v>#N/A</v>
      </c>
      <c r="BK219" s="66" t="e">
        <f>VLOOKUP($A219,'S50'!$C:$BQ,59,0)</f>
        <v>#N/A</v>
      </c>
      <c r="BL219" s="66" t="e">
        <f>VLOOKUP($A219,'S50'!$C:$BQ,60,0)</f>
        <v>#N/A</v>
      </c>
    </row>
    <row r="220" spans="1:64" x14ac:dyDescent="0.2">
      <c r="A220" s="57" t="s">
        <v>290</v>
      </c>
      <c r="B220" s="58">
        <f>VLOOKUP($A220,'S0 remplacer avec S44'!$C:$BQ,32,0)</f>
        <v>147.15</v>
      </c>
      <c r="C220" s="58">
        <f>VLOOKUP($A220,'S0 remplacer avec S44'!$C:$BQ,39,0)</f>
        <v>40</v>
      </c>
      <c r="D220" s="58">
        <f>VLOOKUP($A220,'S0 remplacer avec S44'!$C:$BQ,40,0)</f>
        <v>77</v>
      </c>
      <c r="E220" s="58">
        <f>VLOOKUP($A220,'S0 remplacer avec S44'!$C:$BQ,22,0)</f>
        <v>1881.4585400000001</v>
      </c>
      <c r="F220" s="66">
        <f>VLOOKUP($A220,'S0 remplacer avec S44'!$C:$BQ,29,0)</f>
        <v>0</v>
      </c>
      <c r="G220" s="66">
        <f>VLOOKUP($A220,'S0 remplacer avec S44'!$C:$BQ,30,0)</f>
        <v>155</v>
      </c>
      <c r="H220" s="66">
        <f>VLOOKUP($A220,'S0 remplacer avec S44'!$C:$BQ,52,0)</f>
        <v>229.4</v>
      </c>
      <c r="I220" s="66">
        <f>VLOOKUP($A220,'S0 remplacer avec S44'!$C:$BQ,59,0)</f>
        <v>0</v>
      </c>
      <c r="J220" s="66">
        <f>VLOOKUP($A220,'S0 remplacer avec S44'!$C:$BQ,60,0)</f>
        <v>0</v>
      </c>
      <c r="K220" s="58">
        <f>VLOOKUP($A220,'S45'!$C:$BQ,32,0)</f>
        <v>148.65</v>
      </c>
      <c r="L220" s="58">
        <f>VLOOKUP($A220,'S45'!$C:$BQ,39,0)</f>
        <v>38</v>
      </c>
      <c r="M220" s="58">
        <f>VLOOKUP($A220,'S45'!$C:$BQ,40,0)</f>
        <v>76</v>
      </c>
      <c r="N220" s="58">
        <f>VLOOKUP($A220,'S45'!$C:$BQ,22,0)</f>
        <v>1927.5988</v>
      </c>
      <c r="O220" s="66">
        <f>VLOOKUP($A220,'S45'!$C:$BQ,29,0)</f>
        <v>0</v>
      </c>
      <c r="P220" s="66">
        <f>VLOOKUP($A220,'S45'!$C:$BQ,30,0)</f>
        <v>109</v>
      </c>
      <c r="Q220" s="66">
        <f>VLOOKUP($A220,'S45'!$C:$BQ,52,0)</f>
        <v>236.4</v>
      </c>
      <c r="R220" s="66">
        <f>VLOOKUP($A220,'S45'!$C:$BQ,59,0)</f>
        <v>0</v>
      </c>
      <c r="S220" s="66">
        <f>VLOOKUP($A220,'S45'!$C:$BQ,60,0)</f>
        <v>0</v>
      </c>
      <c r="T220" s="58">
        <f>VLOOKUP($A220,'S46'!$C:$BQ,32,0)</f>
        <v>149.15</v>
      </c>
      <c r="U220" s="58">
        <f>VLOOKUP($A220,'S46'!$C:$BQ,39,0)</f>
        <v>38</v>
      </c>
      <c r="V220" s="58">
        <f>VLOOKUP($A220,'S46'!$C:$BQ,40,0)</f>
        <v>75</v>
      </c>
      <c r="W220" s="58">
        <f>VLOOKUP($A220,'S46'!$C:$BQ,22,0)</f>
        <v>1968.96</v>
      </c>
      <c r="X220" s="66">
        <f>VLOOKUP($A220,'S46'!$C:$BQ,29,0)</f>
        <v>0</v>
      </c>
      <c r="Y220" s="66">
        <f>VLOOKUP($A220,'S46'!$C:$BQ,30,0)</f>
        <v>68</v>
      </c>
      <c r="Z220" s="66">
        <f>VLOOKUP($A220,'S46'!$C:$BQ,52,0)</f>
        <v>237.4</v>
      </c>
      <c r="AA220" s="66">
        <f>VLOOKUP($A220,'S46'!$C:$BQ,59,0)</f>
        <v>0</v>
      </c>
      <c r="AB220" s="66">
        <f>VLOOKUP($A220,'S46'!$C:$BQ,60,0)</f>
        <v>0</v>
      </c>
      <c r="AC220" s="58">
        <f>VLOOKUP($A220,'S47'!$C:$BQ,32,0)</f>
        <v>151.65</v>
      </c>
      <c r="AD220" s="58">
        <f>VLOOKUP($A220,'S47'!$C:$BQ,39,0)</f>
        <v>35</v>
      </c>
      <c r="AE220" s="58">
        <f>VLOOKUP($A220,'S47'!$C:$BQ,40,0)</f>
        <v>73</v>
      </c>
      <c r="AF220" s="58">
        <f>VLOOKUP($A220,'S47'!$C:$BQ,22,0)</f>
        <v>2048.5781099999999</v>
      </c>
      <c r="AG220" s="66">
        <f>VLOOKUP($A220,'S47'!$C:$BQ,29,0)</f>
        <v>0</v>
      </c>
      <c r="AH220" s="66">
        <f>VLOOKUP($A220,'S47'!$C:$BQ,30,0)</f>
        <v>0</v>
      </c>
      <c r="AI220" s="66">
        <f>VLOOKUP($A220,'S47'!$C:$BQ,52,0)</f>
        <v>240.4</v>
      </c>
      <c r="AJ220" s="66">
        <f>VLOOKUP($A220,'S47'!$C:$BQ,59,0)</f>
        <v>0</v>
      </c>
      <c r="AK220" s="66">
        <f>VLOOKUP($A220,'S47'!$C:$BQ,60,0)</f>
        <v>0</v>
      </c>
      <c r="AL220" s="58" t="e">
        <f>VLOOKUP($A220,'S48'!$C:$BQ,32,0)</f>
        <v>#N/A</v>
      </c>
      <c r="AM220" s="58" t="e">
        <f>VLOOKUP($A220,'S48'!$C:$BQ,39,0)</f>
        <v>#N/A</v>
      </c>
      <c r="AN220" s="58" t="e">
        <f>VLOOKUP($A220,'S48'!$C:$BQ,40,0)</f>
        <v>#N/A</v>
      </c>
      <c r="AO220" s="58" t="e">
        <f>VLOOKUP($A220,'S48'!$C:$BQ,22,0)</f>
        <v>#N/A</v>
      </c>
      <c r="AP220" s="66" t="e">
        <f>VLOOKUP($A220,'S48'!$C:$BQ,29,0)</f>
        <v>#N/A</v>
      </c>
      <c r="AQ220" s="66" t="e">
        <f>VLOOKUP($A220,'S48'!$C:$BQ,30,0)</f>
        <v>#N/A</v>
      </c>
      <c r="AR220" s="66" t="e">
        <f>VLOOKUP($A220,'S48'!$C:$BQ,52,0)</f>
        <v>#N/A</v>
      </c>
      <c r="AS220" s="66" t="e">
        <f>VLOOKUP($A220,'S48'!$C:$BQ,59,0)</f>
        <v>#N/A</v>
      </c>
      <c r="AT220" s="66" t="e">
        <f>VLOOKUP($A220,'S48'!$C:$BQ,60,0)</f>
        <v>#N/A</v>
      </c>
      <c r="AU220" s="58" t="e">
        <f>VLOOKUP($A220,'S49'!$C:$BQ,32,0)</f>
        <v>#N/A</v>
      </c>
      <c r="AV220" s="58" t="e">
        <f>VLOOKUP($A220,'S49'!$C:$BQ,39,0)</f>
        <v>#N/A</v>
      </c>
      <c r="AW220" s="58" t="e">
        <f>VLOOKUP($A220,'S49'!$C:$BQ,40,0)</f>
        <v>#N/A</v>
      </c>
      <c r="AX220" s="58" t="e">
        <f>VLOOKUP($A220,'S49'!$C:$BQ,22,0)</f>
        <v>#N/A</v>
      </c>
      <c r="AY220" s="66" t="e">
        <f>VLOOKUP($A220,'S49'!$C:$BQ,29,0)</f>
        <v>#N/A</v>
      </c>
      <c r="AZ220" s="66" t="e">
        <f>VLOOKUP($A220,'S49'!$C:$BQ,30,0)</f>
        <v>#N/A</v>
      </c>
      <c r="BA220" s="66" t="e">
        <f>VLOOKUP($A220,'S49'!$C:$BQ,52,0)</f>
        <v>#N/A</v>
      </c>
      <c r="BB220" s="66" t="e">
        <f>VLOOKUP($A220,'S49'!$C:$BQ,59,0)</f>
        <v>#N/A</v>
      </c>
      <c r="BC220" s="66" t="e">
        <f>VLOOKUP($A220,'S49'!$C:$BQ,60,0)</f>
        <v>#N/A</v>
      </c>
      <c r="BD220" s="58" t="e">
        <f>VLOOKUP($A220,'S50'!$C:$BQ,32,0)</f>
        <v>#N/A</v>
      </c>
      <c r="BE220" s="58" t="e">
        <f>VLOOKUP($A220,'S50'!$C:$BQ,39,0)</f>
        <v>#N/A</v>
      </c>
      <c r="BF220" s="58" t="e">
        <f>VLOOKUP($A220,'S50'!$C:$BQ,40,0)</f>
        <v>#N/A</v>
      </c>
      <c r="BG220" s="58" t="e">
        <f>VLOOKUP($A220,'S50'!$C:$BQ,22,0)</f>
        <v>#N/A</v>
      </c>
      <c r="BH220" s="66" t="e">
        <f>VLOOKUP($A220,'S50'!$C:$BQ,29,0)</f>
        <v>#N/A</v>
      </c>
      <c r="BI220" s="66" t="e">
        <f>VLOOKUP($A220,'S50'!$C:$BQ,30,0)</f>
        <v>#N/A</v>
      </c>
      <c r="BJ220" s="66" t="e">
        <f>VLOOKUP($A220,'S50'!$C:$BQ,52,0)</f>
        <v>#N/A</v>
      </c>
      <c r="BK220" s="66" t="e">
        <f>VLOOKUP($A220,'S50'!$C:$BQ,59,0)</f>
        <v>#N/A</v>
      </c>
      <c r="BL220" s="66" t="e">
        <f>VLOOKUP($A220,'S50'!$C:$BQ,60,0)</f>
        <v>#N/A</v>
      </c>
    </row>
    <row r="221" spans="1:64" x14ac:dyDescent="0.2">
      <c r="A221" s="57" t="s">
        <v>291</v>
      </c>
      <c r="B221" s="58">
        <f>VLOOKUP($A221,'S0 remplacer avec S44'!$C:$BQ,32,0)</f>
        <v>185.55</v>
      </c>
      <c r="C221" s="58">
        <f>VLOOKUP($A221,'S0 remplacer avec S44'!$C:$BQ,39,0)</f>
        <v>14</v>
      </c>
      <c r="D221" s="58">
        <f>VLOOKUP($A221,'S0 remplacer avec S44'!$C:$BQ,40,0)</f>
        <v>53</v>
      </c>
      <c r="E221" s="58">
        <f>VLOOKUP($A221,'S0 remplacer avec S44'!$C:$BQ,22,0)</f>
        <v>1586.928715</v>
      </c>
      <c r="F221" s="66">
        <f>VLOOKUP($A221,'S0 remplacer avec S44'!$C:$BQ,29,0)</f>
        <v>220</v>
      </c>
      <c r="G221" s="66">
        <f>VLOOKUP($A221,'S0 remplacer avec S44'!$C:$BQ,30,0)</f>
        <v>581</v>
      </c>
      <c r="H221" s="66">
        <f>VLOOKUP($A221,'S0 remplacer avec S44'!$C:$BQ,52,0)</f>
        <v>129.6</v>
      </c>
      <c r="I221" s="66">
        <f>VLOOKUP($A221,'S0 remplacer avec S44'!$C:$BQ,59,0)</f>
        <v>0</v>
      </c>
      <c r="J221" s="66">
        <f>VLOOKUP($A221,'S0 remplacer avec S44'!$C:$BQ,60,0)</f>
        <v>0</v>
      </c>
      <c r="K221" s="58">
        <f>VLOOKUP($A221,'S45'!$C:$BQ,32,0)</f>
        <v>194.05</v>
      </c>
      <c r="L221" s="58">
        <f>VLOOKUP($A221,'S45'!$C:$BQ,39,0)</f>
        <v>5</v>
      </c>
      <c r="M221" s="58">
        <f>VLOOKUP($A221,'S45'!$C:$BQ,40,0)</f>
        <v>45</v>
      </c>
      <c r="N221" s="58">
        <f>VLOOKUP($A221,'S45'!$C:$BQ,22,0)</f>
        <v>1664.660545</v>
      </c>
      <c r="O221" s="66">
        <f>VLOOKUP($A221,'S45'!$C:$BQ,29,0)</f>
        <v>142</v>
      </c>
      <c r="P221" s="66">
        <f>VLOOKUP($A221,'S45'!$C:$BQ,30,0)</f>
        <v>503</v>
      </c>
      <c r="Q221" s="66">
        <f>VLOOKUP($A221,'S45'!$C:$BQ,52,0)</f>
        <v>129.6</v>
      </c>
      <c r="R221" s="66">
        <f>VLOOKUP($A221,'S45'!$C:$BQ,59,0)</f>
        <v>0</v>
      </c>
      <c r="S221" s="66">
        <f>VLOOKUP($A221,'S45'!$C:$BQ,60,0)</f>
        <v>0</v>
      </c>
      <c r="T221" s="58">
        <f>VLOOKUP($A221,'S46'!$C:$BQ,32,0)</f>
        <v>194.55</v>
      </c>
      <c r="U221" s="58">
        <f>VLOOKUP($A221,'S46'!$C:$BQ,39,0)</f>
        <v>5</v>
      </c>
      <c r="V221" s="58">
        <f>VLOOKUP($A221,'S46'!$C:$BQ,40,0)</f>
        <v>44</v>
      </c>
      <c r="W221" s="58">
        <f>VLOOKUP($A221,'S46'!$C:$BQ,22,0)</f>
        <v>1675.9016449999999</v>
      </c>
      <c r="X221" s="66">
        <f>VLOOKUP($A221,'S46'!$C:$BQ,29,0)</f>
        <v>131</v>
      </c>
      <c r="Y221" s="66">
        <f>VLOOKUP($A221,'S46'!$C:$BQ,30,0)</f>
        <v>492</v>
      </c>
      <c r="Z221" s="66">
        <f>VLOOKUP($A221,'S46'!$C:$BQ,52,0)</f>
        <v>133.6</v>
      </c>
      <c r="AA221" s="66">
        <f>VLOOKUP($A221,'S46'!$C:$BQ,59,0)</f>
        <v>0</v>
      </c>
      <c r="AB221" s="66">
        <f>VLOOKUP($A221,'S46'!$C:$BQ,60,0)</f>
        <v>0</v>
      </c>
      <c r="AC221" s="58">
        <f>VLOOKUP($A221,'S47'!$C:$BQ,32,0)</f>
        <v>200.55</v>
      </c>
      <c r="AD221" s="58">
        <f>VLOOKUP($A221,'S47'!$C:$BQ,39,0)</f>
        <v>0</v>
      </c>
      <c r="AE221" s="58">
        <f>VLOOKUP($A221,'S47'!$C:$BQ,40,0)</f>
        <v>38</v>
      </c>
      <c r="AF221" s="58">
        <f>VLOOKUP($A221,'S47'!$C:$BQ,22,0)</f>
        <v>1684.2708150000001</v>
      </c>
      <c r="AG221" s="66">
        <f>VLOOKUP($A221,'S47'!$C:$BQ,29,0)</f>
        <v>122</v>
      </c>
      <c r="AH221" s="66">
        <f>VLOOKUP($A221,'S47'!$C:$BQ,30,0)</f>
        <v>484</v>
      </c>
      <c r="AI221" s="66">
        <f>VLOOKUP($A221,'S47'!$C:$BQ,52,0)</f>
        <v>136.6</v>
      </c>
      <c r="AJ221" s="66">
        <f>VLOOKUP($A221,'S47'!$C:$BQ,59,0)</f>
        <v>0</v>
      </c>
      <c r="AK221" s="66">
        <f>VLOOKUP($A221,'S47'!$C:$BQ,60,0)</f>
        <v>0</v>
      </c>
      <c r="AL221" s="58" t="e">
        <f>VLOOKUP($A221,'S48'!$C:$BQ,32,0)</f>
        <v>#N/A</v>
      </c>
      <c r="AM221" s="58" t="e">
        <f>VLOOKUP($A221,'S48'!$C:$BQ,39,0)</f>
        <v>#N/A</v>
      </c>
      <c r="AN221" s="58" t="e">
        <f>VLOOKUP($A221,'S48'!$C:$BQ,40,0)</f>
        <v>#N/A</v>
      </c>
      <c r="AO221" s="58" t="e">
        <f>VLOOKUP($A221,'S48'!$C:$BQ,22,0)</f>
        <v>#N/A</v>
      </c>
      <c r="AP221" s="66" t="e">
        <f>VLOOKUP($A221,'S48'!$C:$BQ,29,0)</f>
        <v>#N/A</v>
      </c>
      <c r="AQ221" s="66" t="e">
        <f>VLOOKUP($A221,'S48'!$C:$BQ,30,0)</f>
        <v>#N/A</v>
      </c>
      <c r="AR221" s="66" t="e">
        <f>VLOOKUP($A221,'S48'!$C:$BQ,52,0)</f>
        <v>#N/A</v>
      </c>
      <c r="AS221" s="66" t="e">
        <f>VLOOKUP($A221,'S48'!$C:$BQ,59,0)</f>
        <v>#N/A</v>
      </c>
      <c r="AT221" s="66" t="e">
        <f>VLOOKUP($A221,'S48'!$C:$BQ,60,0)</f>
        <v>#N/A</v>
      </c>
      <c r="AU221" s="58" t="e">
        <f>VLOOKUP($A221,'S49'!$C:$BQ,32,0)</f>
        <v>#N/A</v>
      </c>
      <c r="AV221" s="58" t="e">
        <f>VLOOKUP($A221,'S49'!$C:$BQ,39,0)</f>
        <v>#N/A</v>
      </c>
      <c r="AW221" s="58" t="e">
        <f>VLOOKUP($A221,'S49'!$C:$BQ,40,0)</f>
        <v>#N/A</v>
      </c>
      <c r="AX221" s="58" t="e">
        <f>VLOOKUP($A221,'S49'!$C:$BQ,22,0)</f>
        <v>#N/A</v>
      </c>
      <c r="AY221" s="66" t="e">
        <f>VLOOKUP($A221,'S49'!$C:$BQ,29,0)</f>
        <v>#N/A</v>
      </c>
      <c r="AZ221" s="66" t="e">
        <f>VLOOKUP($A221,'S49'!$C:$BQ,30,0)</f>
        <v>#N/A</v>
      </c>
      <c r="BA221" s="66" t="e">
        <f>VLOOKUP($A221,'S49'!$C:$BQ,52,0)</f>
        <v>#N/A</v>
      </c>
      <c r="BB221" s="66" t="e">
        <f>VLOOKUP($A221,'S49'!$C:$BQ,59,0)</f>
        <v>#N/A</v>
      </c>
      <c r="BC221" s="66" t="e">
        <f>VLOOKUP($A221,'S49'!$C:$BQ,60,0)</f>
        <v>#N/A</v>
      </c>
      <c r="BD221" s="58" t="e">
        <f>VLOOKUP($A221,'S50'!$C:$BQ,32,0)</f>
        <v>#N/A</v>
      </c>
      <c r="BE221" s="58" t="e">
        <f>VLOOKUP($A221,'S50'!$C:$BQ,39,0)</f>
        <v>#N/A</v>
      </c>
      <c r="BF221" s="58" t="e">
        <f>VLOOKUP($A221,'S50'!$C:$BQ,40,0)</f>
        <v>#N/A</v>
      </c>
      <c r="BG221" s="58" t="e">
        <f>VLOOKUP($A221,'S50'!$C:$BQ,22,0)</f>
        <v>#N/A</v>
      </c>
      <c r="BH221" s="66" t="e">
        <f>VLOOKUP($A221,'S50'!$C:$BQ,29,0)</f>
        <v>#N/A</v>
      </c>
      <c r="BI221" s="66" t="e">
        <f>VLOOKUP($A221,'S50'!$C:$BQ,30,0)</f>
        <v>#N/A</v>
      </c>
      <c r="BJ221" s="66" t="e">
        <f>VLOOKUP($A221,'S50'!$C:$BQ,52,0)</f>
        <v>#N/A</v>
      </c>
      <c r="BK221" s="66" t="e">
        <f>VLOOKUP($A221,'S50'!$C:$BQ,59,0)</f>
        <v>#N/A</v>
      </c>
      <c r="BL221" s="66" t="e">
        <f>VLOOKUP($A221,'S50'!$C:$BQ,60,0)</f>
        <v>#N/A</v>
      </c>
    </row>
    <row r="222" spans="1:64" x14ac:dyDescent="0.2">
      <c r="A222" s="57" t="s">
        <v>292</v>
      </c>
      <c r="B222" s="58">
        <f>VLOOKUP($A222,'S0 remplacer avec S44'!$C:$BQ,32,0)</f>
        <v>248.6</v>
      </c>
      <c r="C222" s="58">
        <f>VLOOKUP($A222,'S0 remplacer avec S44'!$C:$BQ,39,0)</f>
        <v>238</v>
      </c>
      <c r="D222" s="58">
        <f>VLOOKUP($A222,'S0 remplacer avec S44'!$C:$BQ,40,0)</f>
        <v>335</v>
      </c>
      <c r="E222" s="58">
        <f>VLOOKUP($A222,'S0 remplacer avec S44'!$C:$BQ,22,0)</f>
        <v>4758.2896899999996</v>
      </c>
      <c r="F222" s="66">
        <f>VLOOKUP($A222,'S0 remplacer avec S44'!$C:$BQ,29,0)</f>
        <v>0</v>
      </c>
      <c r="G222" s="66">
        <f>VLOOKUP($A222,'S0 remplacer avec S44'!$C:$BQ,30,0)</f>
        <v>543</v>
      </c>
      <c r="H222" s="66">
        <f>VLOOKUP($A222,'S0 remplacer avec S44'!$C:$BQ,52,0)</f>
        <v>297.39999999999998</v>
      </c>
      <c r="I222" s="66">
        <f>VLOOKUP($A222,'S0 remplacer avec S44'!$C:$BQ,59,0)</f>
        <v>0</v>
      </c>
      <c r="J222" s="66">
        <f>VLOOKUP($A222,'S0 remplacer avec S44'!$C:$BQ,60,0)</f>
        <v>0</v>
      </c>
      <c r="K222" s="58">
        <f>VLOOKUP($A222,'S45'!$C:$BQ,32,0)</f>
        <v>254.1</v>
      </c>
      <c r="L222" s="58">
        <f>VLOOKUP($A222,'S45'!$C:$BQ,39,0)</f>
        <v>232</v>
      </c>
      <c r="M222" s="58">
        <f>VLOOKUP($A222,'S45'!$C:$BQ,40,0)</f>
        <v>329</v>
      </c>
      <c r="N222" s="58">
        <f>VLOOKUP($A222,'S45'!$C:$BQ,22,0)</f>
        <v>4890.3975</v>
      </c>
      <c r="O222" s="66">
        <f>VLOOKUP($A222,'S45'!$C:$BQ,29,0)</f>
        <v>0</v>
      </c>
      <c r="P222" s="66">
        <f>VLOOKUP($A222,'S45'!$C:$BQ,30,0)</f>
        <v>411</v>
      </c>
      <c r="Q222" s="66">
        <f>VLOOKUP($A222,'S45'!$C:$BQ,52,0)</f>
        <v>299.39999999999998</v>
      </c>
      <c r="R222" s="66">
        <f>VLOOKUP($A222,'S45'!$C:$BQ,59,0)</f>
        <v>0</v>
      </c>
      <c r="S222" s="66">
        <f>VLOOKUP($A222,'S45'!$C:$BQ,60,0)</f>
        <v>0</v>
      </c>
      <c r="T222" s="58">
        <f>VLOOKUP($A222,'S46'!$C:$BQ,32,0)</f>
        <v>254.1</v>
      </c>
      <c r="U222" s="58">
        <f>VLOOKUP($A222,'S46'!$C:$BQ,39,0)</f>
        <v>232</v>
      </c>
      <c r="V222" s="58">
        <f>VLOOKUP($A222,'S46'!$C:$BQ,40,0)</f>
        <v>329</v>
      </c>
      <c r="W222" s="58">
        <f>VLOOKUP($A222,'S46'!$C:$BQ,22,0)</f>
        <v>4930.2639499999996</v>
      </c>
      <c r="X222" s="66">
        <f>VLOOKUP($A222,'S46'!$C:$BQ,29,0)</f>
        <v>0</v>
      </c>
      <c r="Y222" s="66">
        <f>VLOOKUP($A222,'S46'!$C:$BQ,30,0)</f>
        <v>371</v>
      </c>
      <c r="Z222" s="66">
        <f>VLOOKUP($A222,'S46'!$C:$BQ,52,0)</f>
        <v>304.39999999999998</v>
      </c>
      <c r="AA222" s="66">
        <f>VLOOKUP($A222,'S46'!$C:$BQ,59,0)</f>
        <v>0</v>
      </c>
      <c r="AB222" s="66">
        <f>VLOOKUP($A222,'S46'!$C:$BQ,60,0)</f>
        <v>0</v>
      </c>
      <c r="AC222" s="58">
        <f>VLOOKUP($A222,'S47'!$C:$BQ,32,0)</f>
        <v>261.10000000000002</v>
      </c>
      <c r="AD222" s="58">
        <f>VLOOKUP($A222,'S47'!$C:$BQ,39,0)</f>
        <v>225</v>
      </c>
      <c r="AE222" s="58">
        <f>VLOOKUP($A222,'S47'!$C:$BQ,40,0)</f>
        <v>322</v>
      </c>
      <c r="AF222" s="58">
        <f>VLOOKUP($A222,'S47'!$C:$BQ,22,0)</f>
        <v>5019.7256699999998</v>
      </c>
      <c r="AG222" s="66">
        <f>VLOOKUP($A222,'S47'!$C:$BQ,29,0)</f>
        <v>0</v>
      </c>
      <c r="AH222" s="66">
        <f>VLOOKUP($A222,'S47'!$C:$BQ,30,0)</f>
        <v>282</v>
      </c>
      <c r="AI222" s="66">
        <f>VLOOKUP($A222,'S47'!$C:$BQ,52,0)</f>
        <v>310.39999999999998</v>
      </c>
      <c r="AJ222" s="66">
        <f>VLOOKUP($A222,'S47'!$C:$BQ,59,0)</f>
        <v>0</v>
      </c>
      <c r="AK222" s="66">
        <f>VLOOKUP($A222,'S47'!$C:$BQ,60,0)</f>
        <v>0</v>
      </c>
      <c r="AL222" s="58" t="e">
        <f>VLOOKUP($A222,'S48'!$C:$BQ,32,0)</f>
        <v>#N/A</v>
      </c>
      <c r="AM222" s="58" t="e">
        <f>VLOOKUP($A222,'S48'!$C:$BQ,39,0)</f>
        <v>#N/A</v>
      </c>
      <c r="AN222" s="58" t="e">
        <f>VLOOKUP($A222,'S48'!$C:$BQ,40,0)</f>
        <v>#N/A</v>
      </c>
      <c r="AO222" s="58" t="e">
        <f>VLOOKUP($A222,'S48'!$C:$BQ,22,0)</f>
        <v>#N/A</v>
      </c>
      <c r="AP222" s="66" t="e">
        <f>VLOOKUP($A222,'S48'!$C:$BQ,29,0)</f>
        <v>#N/A</v>
      </c>
      <c r="AQ222" s="66" t="e">
        <f>VLOOKUP($A222,'S48'!$C:$BQ,30,0)</f>
        <v>#N/A</v>
      </c>
      <c r="AR222" s="66" t="e">
        <f>VLOOKUP($A222,'S48'!$C:$BQ,52,0)</f>
        <v>#N/A</v>
      </c>
      <c r="AS222" s="66" t="e">
        <f>VLOOKUP($A222,'S48'!$C:$BQ,59,0)</f>
        <v>#N/A</v>
      </c>
      <c r="AT222" s="66" t="e">
        <f>VLOOKUP($A222,'S48'!$C:$BQ,60,0)</f>
        <v>#N/A</v>
      </c>
      <c r="AU222" s="58" t="e">
        <f>VLOOKUP($A222,'S49'!$C:$BQ,32,0)</f>
        <v>#N/A</v>
      </c>
      <c r="AV222" s="58" t="e">
        <f>VLOOKUP($A222,'S49'!$C:$BQ,39,0)</f>
        <v>#N/A</v>
      </c>
      <c r="AW222" s="58" t="e">
        <f>VLOOKUP($A222,'S49'!$C:$BQ,40,0)</f>
        <v>#N/A</v>
      </c>
      <c r="AX222" s="58" t="e">
        <f>VLOOKUP($A222,'S49'!$C:$BQ,22,0)</f>
        <v>#N/A</v>
      </c>
      <c r="AY222" s="66" t="e">
        <f>VLOOKUP($A222,'S49'!$C:$BQ,29,0)</f>
        <v>#N/A</v>
      </c>
      <c r="AZ222" s="66" t="e">
        <f>VLOOKUP($A222,'S49'!$C:$BQ,30,0)</f>
        <v>#N/A</v>
      </c>
      <c r="BA222" s="66" t="e">
        <f>VLOOKUP($A222,'S49'!$C:$BQ,52,0)</f>
        <v>#N/A</v>
      </c>
      <c r="BB222" s="66" t="e">
        <f>VLOOKUP($A222,'S49'!$C:$BQ,59,0)</f>
        <v>#N/A</v>
      </c>
      <c r="BC222" s="66" t="e">
        <f>VLOOKUP($A222,'S49'!$C:$BQ,60,0)</f>
        <v>#N/A</v>
      </c>
      <c r="BD222" s="58" t="e">
        <f>VLOOKUP($A222,'S50'!$C:$BQ,32,0)</f>
        <v>#N/A</v>
      </c>
      <c r="BE222" s="58" t="e">
        <f>VLOOKUP($A222,'S50'!$C:$BQ,39,0)</f>
        <v>#N/A</v>
      </c>
      <c r="BF222" s="58" t="e">
        <f>VLOOKUP($A222,'S50'!$C:$BQ,40,0)</f>
        <v>#N/A</v>
      </c>
      <c r="BG222" s="58" t="e">
        <f>VLOOKUP($A222,'S50'!$C:$BQ,22,0)</f>
        <v>#N/A</v>
      </c>
      <c r="BH222" s="66" t="e">
        <f>VLOOKUP($A222,'S50'!$C:$BQ,29,0)</f>
        <v>#N/A</v>
      </c>
      <c r="BI222" s="66" t="e">
        <f>VLOOKUP($A222,'S50'!$C:$BQ,30,0)</f>
        <v>#N/A</v>
      </c>
      <c r="BJ222" s="66" t="e">
        <f>VLOOKUP($A222,'S50'!$C:$BQ,52,0)</f>
        <v>#N/A</v>
      </c>
      <c r="BK222" s="66" t="e">
        <f>VLOOKUP($A222,'S50'!$C:$BQ,59,0)</f>
        <v>#N/A</v>
      </c>
      <c r="BL222" s="66" t="e">
        <f>VLOOKUP($A222,'S50'!$C:$BQ,60,0)</f>
        <v>#N/A</v>
      </c>
    </row>
    <row r="223" spans="1:64" x14ac:dyDescent="0.2">
      <c r="A223" s="57" t="s">
        <v>293</v>
      </c>
      <c r="B223" s="58">
        <f>VLOOKUP($A223,'S0 remplacer avec S44'!$C:$BQ,32,0)</f>
        <v>113.5</v>
      </c>
      <c r="C223" s="58">
        <f>VLOOKUP($A223,'S0 remplacer avec S44'!$C:$BQ,39,0)</f>
        <v>66</v>
      </c>
      <c r="D223" s="58">
        <f>VLOOKUP($A223,'S0 remplacer avec S44'!$C:$BQ,40,0)</f>
        <v>101</v>
      </c>
      <c r="E223" s="58">
        <f>VLOOKUP($A223,'S0 remplacer avec S44'!$C:$BQ,22,0)</f>
        <v>1676.7995149999999</v>
      </c>
      <c r="F223" s="66">
        <f>VLOOKUP($A223,'S0 remplacer avec S44'!$C:$BQ,29,0)</f>
        <v>0</v>
      </c>
      <c r="G223" s="66">
        <f>VLOOKUP($A223,'S0 remplacer avec S44'!$C:$BQ,30,0)</f>
        <v>274</v>
      </c>
      <c r="H223" s="66">
        <f>VLOOKUP($A223,'S0 remplacer avec S44'!$C:$BQ,52,0)</f>
        <v>71.400000000000006</v>
      </c>
      <c r="I223" s="66">
        <f>VLOOKUP($A223,'S0 remplacer avec S44'!$C:$BQ,59,0)</f>
        <v>20</v>
      </c>
      <c r="J223" s="66">
        <f>VLOOKUP($A223,'S0 remplacer avec S44'!$C:$BQ,60,0)</f>
        <v>38</v>
      </c>
      <c r="K223" s="58">
        <f>VLOOKUP($A223,'S45'!$C:$BQ,32,0)</f>
        <v>115</v>
      </c>
      <c r="L223" s="58">
        <f>VLOOKUP($A223,'S45'!$C:$BQ,39,0)</f>
        <v>64</v>
      </c>
      <c r="M223" s="58">
        <f>VLOOKUP($A223,'S45'!$C:$BQ,40,0)</f>
        <v>100</v>
      </c>
      <c r="N223" s="58">
        <f>VLOOKUP($A223,'S45'!$C:$BQ,22,0)</f>
        <v>1693.9432850000001</v>
      </c>
      <c r="O223" s="66">
        <f>VLOOKUP($A223,'S45'!$C:$BQ,29,0)</f>
        <v>0</v>
      </c>
      <c r="P223" s="66">
        <f>VLOOKUP($A223,'S45'!$C:$BQ,30,0)</f>
        <v>257</v>
      </c>
      <c r="Q223" s="66">
        <f>VLOOKUP($A223,'S45'!$C:$BQ,52,0)</f>
        <v>72.400000000000006</v>
      </c>
      <c r="R223" s="66">
        <f>VLOOKUP($A223,'S45'!$C:$BQ,59,0)</f>
        <v>19</v>
      </c>
      <c r="S223" s="66">
        <f>VLOOKUP($A223,'S45'!$C:$BQ,60,0)</f>
        <v>37</v>
      </c>
      <c r="T223" s="58">
        <f>VLOOKUP($A223,'S46'!$C:$BQ,32,0)</f>
        <v>116</v>
      </c>
      <c r="U223" s="58">
        <f>VLOOKUP($A223,'S46'!$C:$BQ,39,0)</f>
        <v>63</v>
      </c>
      <c r="V223" s="58">
        <f>VLOOKUP($A223,'S46'!$C:$BQ,40,0)</f>
        <v>99</v>
      </c>
      <c r="W223" s="58">
        <f>VLOOKUP($A223,'S46'!$C:$BQ,22,0)</f>
        <v>1698.3117950000001</v>
      </c>
      <c r="X223" s="66">
        <f>VLOOKUP($A223,'S46'!$C:$BQ,29,0)</f>
        <v>0</v>
      </c>
      <c r="Y223" s="66">
        <f>VLOOKUP($A223,'S46'!$C:$BQ,30,0)</f>
        <v>253</v>
      </c>
      <c r="Z223" s="66">
        <f>VLOOKUP($A223,'S46'!$C:$BQ,52,0)</f>
        <v>72.400000000000006</v>
      </c>
      <c r="AA223" s="66">
        <f>VLOOKUP($A223,'S46'!$C:$BQ,59,0)</f>
        <v>19</v>
      </c>
      <c r="AB223" s="66">
        <f>VLOOKUP($A223,'S46'!$C:$BQ,60,0)</f>
        <v>37</v>
      </c>
      <c r="AC223" s="58">
        <f>VLOOKUP($A223,'S47'!$C:$BQ,32,0)</f>
        <v>128</v>
      </c>
      <c r="AD223" s="58">
        <f>VLOOKUP($A223,'S47'!$C:$BQ,39,0)</f>
        <v>51</v>
      </c>
      <c r="AE223" s="58">
        <f>VLOOKUP($A223,'S47'!$C:$BQ,40,0)</f>
        <v>87</v>
      </c>
      <c r="AF223" s="58">
        <f>VLOOKUP($A223,'S47'!$C:$BQ,22,0)</f>
        <v>1744.8327850000001</v>
      </c>
      <c r="AG223" s="66">
        <f>VLOOKUP($A223,'S47'!$C:$BQ,29,0)</f>
        <v>0</v>
      </c>
      <c r="AH223" s="66">
        <f>VLOOKUP($A223,'S47'!$C:$BQ,30,0)</f>
        <v>206</v>
      </c>
      <c r="AI223" s="66">
        <f>VLOOKUP($A223,'S47'!$C:$BQ,52,0)</f>
        <v>76.400000000000006</v>
      </c>
      <c r="AJ223" s="66">
        <f>VLOOKUP($A223,'S47'!$C:$BQ,59,0)</f>
        <v>15</v>
      </c>
      <c r="AK223" s="66">
        <f>VLOOKUP($A223,'S47'!$C:$BQ,60,0)</f>
        <v>33</v>
      </c>
      <c r="AL223" s="58" t="e">
        <f>VLOOKUP($A223,'S48'!$C:$BQ,32,0)</f>
        <v>#N/A</v>
      </c>
      <c r="AM223" s="58" t="e">
        <f>VLOOKUP($A223,'S48'!$C:$BQ,39,0)</f>
        <v>#N/A</v>
      </c>
      <c r="AN223" s="58" t="e">
        <f>VLOOKUP($A223,'S48'!$C:$BQ,40,0)</f>
        <v>#N/A</v>
      </c>
      <c r="AO223" s="58" t="e">
        <f>VLOOKUP($A223,'S48'!$C:$BQ,22,0)</f>
        <v>#N/A</v>
      </c>
      <c r="AP223" s="66" t="e">
        <f>VLOOKUP($A223,'S48'!$C:$BQ,29,0)</f>
        <v>#N/A</v>
      </c>
      <c r="AQ223" s="66" t="e">
        <f>VLOOKUP($A223,'S48'!$C:$BQ,30,0)</f>
        <v>#N/A</v>
      </c>
      <c r="AR223" s="66" t="e">
        <f>VLOOKUP($A223,'S48'!$C:$BQ,52,0)</f>
        <v>#N/A</v>
      </c>
      <c r="AS223" s="66" t="e">
        <f>VLOOKUP($A223,'S48'!$C:$BQ,59,0)</f>
        <v>#N/A</v>
      </c>
      <c r="AT223" s="66" t="e">
        <f>VLOOKUP($A223,'S48'!$C:$BQ,60,0)</f>
        <v>#N/A</v>
      </c>
      <c r="AU223" s="58" t="e">
        <f>VLOOKUP($A223,'S49'!$C:$BQ,32,0)</f>
        <v>#N/A</v>
      </c>
      <c r="AV223" s="58" t="e">
        <f>VLOOKUP($A223,'S49'!$C:$BQ,39,0)</f>
        <v>#N/A</v>
      </c>
      <c r="AW223" s="58" t="e">
        <f>VLOOKUP($A223,'S49'!$C:$BQ,40,0)</f>
        <v>#N/A</v>
      </c>
      <c r="AX223" s="58" t="e">
        <f>VLOOKUP($A223,'S49'!$C:$BQ,22,0)</f>
        <v>#N/A</v>
      </c>
      <c r="AY223" s="66" t="e">
        <f>VLOOKUP($A223,'S49'!$C:$BQ,29,0)</f>
        <v>#N/A</v>
      </c>
      <c r="AZ223" s="66" t="e">
        <f>VLOOKUP($A223,'S49'!$C:$BQ,30,0)</f>
        <v>#N/A</v>
      </c>
      <c r="BA223" s="66" t="e">
        <f>VLOOKUP($A223,'S49'!$C:$BQ,52,0)</f>
        <v>#N/A</v>
      </c>
      <c r="BB223" s="66" t="e">
        <f>VLOOKUP($A223,'S49'!$C:$BQ,59,0)</f>
        <v>#N/A</v>
      </c>
      <c r="BC223" s="66" t="e">
        <f>VLOOKUP($A223,'S49'!$C:$BQ,60,0)</f>
        <v>#N/A</v>
      </c>
      <c r="BD223" s="58" t="e">
        <f>VLOOKUP($A223,'S50'!$C:$BQ,32,0)</f>
        <v>#N/A</v>
      </c>
      <c r="BE223" s="58" t="e">
        <f>VLOOKUP($A223,'S50'!$C:$BQ,39,0)</f>
        <v>#N/A</v>
      </c>
      <c r="BF223" s="58" t="e">
        <f>VLOOKUP($A223,'S50'!$C:$BQ,40,0)</f>
        <v>#N/A</v>
      </c>
      <c r="BG223" s="58" t="e">
        <f>VLOOKUP($A223,'S50'!$C:$BQ,22,0)</f>
        <v>#N/A</v>
      </c>
      <c r="BH223" s="66" t="e">
        <f>VLOOKUP($A223,'S50'!$C:$BQ,29,0)</f>
        <v>#N/A</v>
      </c>
      <c r="BI223" s="66" t="e">
        <f>VLOOKUP($A223,'S50'!$C:$BQ,30,0)</f>
        <v>#N/A</v>
      </c>
      <c r="BJ223" s="66" t="e">
        <f>VLOOKUP($A223,'S50'!$C:$BQ,52,0)</f>
        <v>#N/A</v>
      </c>
      <c r="BK223" s="66" t="e">
        <f>VLOOKUP($A223,'S50'!$C:$BQ,59,0)</f>
        <v>#N/A</v>
      </c>
      <c r="BL223" s="66" t="e">
        <f>VLOOKUP($A223,'S50'!$C:$BQ,60,0)</f>
        <v>#N/A</v>
      </c>
    </row>
    <row r="224" spans="1:64" x14ac:dyDescent="0.2">
      <c r="A224" s="57" t="s">
        <v>294</v>
      </c>
      <c r="B224" s="58">
        <f>VLOOKUP($A224,'S0 remplacer avec S44'!$C:$BQ,32,0)</f>
        <v>136.15</v>
      </c>
      <c r="C224" s="58">
        <f>VLOOKUP($A224,'S0 remplacer avec S44'!$C:$BQ,39,0)</f>
        <v>52</v>
      </c>
      <c r="D224" s="58">
        <f>VLOOKUP($A224,'S0 remplacer avec S44'!$C:$BQ,40,0)</f>
        <v>89</v>
      </c>
      <c r="E224" s="58">
        <f>VLOOKUP($A224,'S0 remplacer avec S44'!$C:$BQ,22,0)</f>
        <v>2388.0721800000001</v>
      </c>
      <c r="F224" s="66">
        <f>VLOOKUP($A224,'S0 remplacer avec S44'!$C:$BQ,29,0)</f>
        <v>0</v>
      </c>
      <c r="G224" s="66">
        <f>VLOOKUP($A224,'S0 remplacer avec S44'!$C:$BQ,30,0)</f>
        <v>0</v>
      </c>
      <c r="H224" s="66">
        <f>VLOOKUP($A224,'S0 remplacer avec S44'!$C:$BQ,52,0)</f>
        <v>104.4</v>
      </c>
      <c r="I224" s="66">
        <f>VLOOKUP($A224,'S0 remplacer avec S44'!$C:$BQ,59,0)</f>
        <v>0</v>
      </c>
      <c r="J224" s="66">
        <f>VLOOKUP($A224,'S0 remplacer avec S44'!$C:$BQ,60,0)</f>
        <v>10</v>
      </c>
      <c r="K224" s="58">
        <f>VLOOKUP($A224,'S45'!$C:$BQ,32,0)</f>
        <v>140.65</v>
      </c>
      <c r="L224" s="58">
        <f>VLOOKUP($A224,'S45'!$C:$BQ,39,0)</f>
        <v>47</v>
      </c>
      <c r="M224" s="58">
        <f>VLOOKUP($A224,'S45'!$C:$BQ,40,0)</f>
        <v>85</v>
      </c>
      <c r="N224" s="58">
        <f>VLOOKUP($A224,'S45'!$C:$BQ,22,0)</f>
        <v>2484.4627399999999</v>
      </c>
      <c r="O224" s="66">
        <f>VLOOKUP($A224,'S45'!$C:$BQ,29,0)</f>
        <v>0</v>
      </c>
      <c r="P224" s="66">
        <f>VLOOKUP($A224,'S45'!$C:$BQ,30,0)</f>
        <v>0</v>
      </c>
      <c r="Q224" s="66">
        <f>VLOOKUP($A224,'S45'!$C:$BQ,52,0)</f>
        <v>107.4</v>
      </c>
      <c r="R224" s="66">
        <f>VLOOKUP($A224,'S45'!$C:$BQ,59,0)</f>
        <v>0</v>
      </c>
      <c r="S224" s="66">
        <f>VLOOKUP($A224,'S45'!$C:$BQ,60,0)</f>
        <v>7</v>
      </c>
      <c r="T224" s="58">
        <f>VLOOKUP($A224,'S46'!$C:$BQ,32,0)</f>
        <v>140.65</v>
      </c>
      <c r="U224" s="58">
        <f>VLOOKUP($A224,'S46'!$C:$BQ,39,0)</f>
        <v>47</v>
      </c>
      <c r="V224" s="58">
        <f>VLOOKUP($A224,'S46'!$C:$BQ,40,0)</f>
        <v>85</v>
      </c>
      <c r="W224" s="58">
        <f>VLOOKUP($A224,'S46'!$C:$BQ,22,0)</f>
        <v>2487.9791399999999</v>
      </c>
      <c r="X224" s="66">
        <f>VLOOKUP($A224,'S46'!$C:$BQ,29,0)</f>
        <v>0</v>
      </c>
      <c r="Y224" s="66">
        <f>VLOOKUP($A224,'S46'!$C:$BQ,30,0)</f>
        <v>0</v>
      </c>
      <c r="Z224" s="66">
        <f>VLOOKUP($A224,'S46'!$C:$BQ,52,0)</f>
        <v>108.4</v>
      </c>
      <c r="AA224" s="66">
        <f>VLOOKUP($A224,'S46'!$C:$BQ,59,0)</f>
        <v>0</v>
      </c>
      <c r="AB224" s="66">
        <f>VLOOKUP($A224,'S46'!$C:$BQ,60,0)</f>
        <v>6</v>
      </c>
      <c r="AC224" s="58">
        <f>VLOOKUP($A224,'S47'!$C:$BQ,32,0)</f>
        <v>144.65</v>
      </c>
      <c r="AD224" s="58">
        <f>VLOOKUP($A224,'S47'!$C:$BQ,39,0)</f>
        <v>43</v>
      </c>
      <c r="AE224" s="58">
        <f>VLOOKUP($A224,'S47'!$C:$BQ,40,0)</f>
        <v>81</v>
      </c>
      <c r="AF224" s="58">
        <f>VLOOKUP($A224,'S47'!$C:$BQ,22,0)</f>
        <v>2472.7702300000001</v>
      </c>
      <c r="AG224" s="66">
        <f>VLOOKUP($A224,'S47'!$C:$BQ,29,0)</f>
        <v>0</v>
      </c>
      <c r="AH224" s="66">
        <f>VLOOKUP($A224,'S47'!$C:$BQ,30,0)</f>
        <v>0</v>
      </c>
      <c r="AI224" s="66">
        <f>VLOOKUP($A224,'S47'!$C:$BQ,52,0)</f>
        <v>112.4</v>
      </c>
      <c r="AJ224" s="66">
        <f>VLOOKUP($A224,'S47'!$C:$BQ,59,0)</f>
        <v>0</v>
      </c>
      <c r="AK224" s="66">
        <f>VLOOKUP($A224,'S47'!$C:$BQ,60,0)</f>
        <v>2</v>
      </c>
      <c r="AL224" s="58" t="e">
        <f>VLOOKUP($A224,'S48'!$C:$BQ,32,0)</f>
        <v>#N/A</v>
      </c>
      <c r="AM224" s="58" t="e">
        <f>VLOOKUP($A224,'S48'!$C:$BQ,39,0)</f>
        <v>#N/A</v>
      </c>
      <c r="AN224" s="58" t="e">
        <f>VLOOKUP($A224,'S48'!$C:$BQ,40,0)</f>
        <v>#N/A</v>
      </c>
      <c r="AO224" s="58" t="e">
        <f>VLOOKUP($A224,'S48'!$C:$BQ,22,0)</f>
        <v>#N/A</v>
      </c>
      <c r="AP224" s="66" t="e">
        <f>VLOOKUP($A224,'S48'!$C:$BQ,29,0)</f>
        <v>#N/A</v>
      </c>
      <c r="AQ224" s="66" t="e">
        <f>VLOOKUP($A224,'S48'!$C:$BQ,30,0)</f>
        <v>#N/A</v>
      </c>
      <c r="AR224" s="66" t="e">
        <f>VLOOKUP($A224,'S48'!$C:$BQ,52,0)</f>
        <v>#N/A</v>
      </c>
      <c r="AS224" s="66" t="e">
        <f>VLOOKUP($A224,'S48'!$C:$BQ,59,0)</f>
        <v>#N/A</v>
      </c>
      <c r="AT224" s="66" t="e">
        <f>VLOOKUP($A224,'S48'!$C:$BQ,60,0)</f>
        <v>#N/A</v>
      </c>
      <c r="AU224" s="58" t="e">
        <f>VLOOKUP($A224,'S49'!$C:$BQ,32,0)</f>
        <v>#N/A</v>
      </c>
      <c r="AV224" s="58" t="e">
        <f>VLOOKUP($A224,'S49'!$C:$BQ,39,0)</f>
        <v>#N/A</v>
      </c>
      <c r="AW224" s="58" t="e">
        <f>VLOOKUP($A224,'S49'!$C:$BQ,40,0)</f>
        <v>#N/A</v>
      </c>
      <c r="AX224" s="58" t="e">
        <f>VLOOKUP($A224,'S49'!$C:$BQ,22,0)</f>
        <v>#N/A</v>
      </c>
      <c r="AY224" s="66" t="e">
        <f>VLOOKUP($A224,'S49'!$C:$BQ,29,0)</f>
        <v>#N/A</v>
      </c>
      <c r="AZ224" s="66" t="e">
        <f>VLOOKUP($A224,'S49'!$C:$BQ,30,0)</f>
        <v>#N/A</v>
      </c>
      <c r="BA224" s="66" t="e">
        <f>VLOOKUP($A224,'S49'!$C:$BQ,52,0)</f>
        <v>#N/A</v>
      </c>
      <c r="BB224" s="66" t="e">
        <f>VLOOKUP($A224,'S49'!$C:$BQ,59,0)</f>
        <v>#N/A</v>
      </c>
      <c r="BC224" s="66" t="e">
        <f>VLOOKUP($A224,'S49'!$C:$BQ,60,0)</f>
        <v>#N/A</v>
      </c>
      <c r="BD224" s="58" t="e">
        <f>VLOOKUP($A224,'S50'!$C:$BQ,32,0)</f>
        <v>#N/A</v>
      </c>
      <c r="BE224" s="58" t="e">
        <f>VLOOKUP($A224,'S50'!$C:$BQ,39,0)</f>
        <v>#N/A</v>
      </c>
      <c r="BF224" s="58" t="e">
        <f>VLOOKUP($A224,'S50'!$C:$BQ,40,0)</f>
        <v>#N/A</v>
      </c>
      <c r="BG224" s="58" t="e">
        <f>VLOOKUP($A224,'S50'!$C:$BQ,22,0)</f>
        <v>#N/A</v>
      </c>
      <c r="BH224" s="66" t="e">
        <f>VLOOKUP($A224,'S50'!$C:$BQ,29,0)</f>
        <v>#N/A</v>
      </c>
      <c r="BI224" s="66" t="e">
        <f>VLOOKUP($A224,'S50'!$C:$BQ,30,0)</f>
        <v>#N/A</v>
      </c>
      <c r="BJ224" s="66" t="e">
        <f>VLOOKUP($A224,'S50'!$C:$BQ,52,0)</f>
        <v>#N/A</v>
      </c>
      <c r="BK224" s="66" t="e">
        <f>VLOOKUP($A224,'S50'!$C:$BQ,59,0)</f>
        <v>#N/A</v>
      </c>
      <c r="BL224" s="66" t="e">
        <f>VLOOKUP($A224,'S50'!$C:$BQ,60,0)</f>
        <v>#N/A</v>
      </c>
    </row>
    <row r="225" spans="1:64" x14ac:dyDescent="0.2">
      <c r="A225" s="57" t="s">
        <v>295</v>
      </c>
      <c r="B225" s="58">
        <f>VLOOKUP($A225,'S0 remplacer avec S44'!$C:$BQ,32,0)</f>
        <v>156.85</v>
      </c>
      <c r="C225" s="58">
        <f>VLOOKUP($A225,'S0 remplacer avec S44'!$C:$BQ,39,0)</f>
        <v>52</v>
      </c>
      <c r="D225" s="58">
        <f>VLOOKUP($A225,'S0 remplacer avec S44'!$C:$BQ,40,0)</f>
        <v>94</v>
      </c>
      <c r="E225" s="58">
        <f>VLOOKUP($A225,'S0 remplacer avec S44'!$C:$BQ,22,0)</f>
        <v>1578.5626549999999</v>
      </c>
      <c r="F225" s="66">
        <f>VLOOKUP($A225,'S0 remplacer avec S44'!$C:$BQ,29,0)</f>
        <v>320</v>
      </c>
      <c r="G225" s="66">
        <f>VLOOKUP($A225,'S0 remplacer avec S44'!$C:$BQ,30,0)</f>
        <v>700</v>
      </c>
      <c r="H225" s="66">
        <f>VLOOKUP($A225,'S0 remplacer avec S44'!$C:$BQ,52,0)</f>
        <v>100.8</v>
      </c>
      <c r="I225" s="66">
        <f>VLOOKUP($A225,'S0 remplacer avec S44'!$C:$BQ,59,0)</f>
        <v>6</v>
      </c>
      <c r="J225" s="66">
        <f>VLOOKUP($A225,'S0 remplacer avec S44'!$C:$BQ,60,0)</f>
        <v>27</v>
      </c>
      <c r="K225" s="58">
        <f>VLOOKUP($A225,'S45'!$C:$BQ,32,0)</f>
        <v>158.35</v>
      </c>
      <c r="L225" s="58">
        <f>VLOOKUP($A225,'S45'!$C:$BQ,39,0)</f>
        <v>51</v>
      </c>
      <c r="M225" s="58">
        <f>VLOOKUP($A225,'S45'!$C:$BQ,40,0)</f>
        <v>93</v>
      </c>
      <c r="N225" s="58">
        <f>VLOOKUP($A225,'S45'!$C:$BQ,22,0)</f>
        <v>1582.5174549999999</v>
      </c>
      <c r="O225" s="66">
        <f>VLOOKUP($A225,'S45'!$C:$BQ,29,0)</f>
        <v>316</v>
      </c>
      <c r="P225" s="66">
        <f>VLOOKUP($A225,'S45'!$C:$BQ,30,0)</f>
        <v>696</v>
      </c>
      <c r="Q225" s="66">
        <f>VLOOKUP($A225,'S45'!$C:$BQ,52,0)</f>
        <v>103.8</v>
      </c>
      <c r="R225" s="66">
        <f>VLOOKUP($A225,'S45'!$C:$BQ,59,0)</f>
        <v>3</v>
      </c>
      <c r="S225" s="66">
        <f>VLOOKUP($A225,'S45'!$C:$BQ,60,0)</f>
        <v>24</v>
      </c>
      <c r="T225" s="58">
        <f>VLOOKUP($A225,'S46'!$C:$BQ,32,0)</f>
        <v>159.35</v>
      </c>
      <c r="U225" s="58">
        <f>VLOOKUP($A225,'S46'!$C:$BQ,39,0)</f>
        <v>50</v>
      </c>
      <c r="V225" s="58">
        <f>VLOOKUP($A225,'S46'!$C:$BQ,40,0)</f>
        <v>92</v>
      </c>
      <c r="W225" s="58">
        <f>VLOOKUP($A225,'S46'!$C:$BQ,22,0)</f>
        <v>1603.110905</v>
      </c>
      <c r="X225" s="66">
        <f>VLOOKUP($A225,'S46'!$C:$BQ,29,0)</f>
        <v>295</v>
      </c>
      <c r="Y225" s="66">
        <f>VLOOKUP($A225,'S46'!$C:$BQ,30,0)</f>
        <v>675</v>
      </c>
      <c r="Z225" s="66">
        <f>VLOOKUP($A225,'S46'!$C:$BQ,52,0)</f>
        <v>105.8</v>
      </c>
      <c r="AA225" s="66">
        <f>VLOOKUP($A225,'S46'!$C:$BQ,59,0)</f>
        <v>1</v>
      </c>
      <c r="AB225" s="66">
        <f>VLOOKUP($A225,'S46'!$C:$BQ,60,0)</f>
        <v>22</v>
      </c>
      <c r="AC225" s="58">
        <f>VLOOKUP($A225,'S47'!$C:$BQ,32,0)</f>
        <v>167.35</v>
      </c>
      <c r="AD225" s="58">
        <f>VLOOKUP($A225,'S47'!$C:$BQ,39,0)</f>
        <v>42</v>
      </c>
      <c r="AE225" s="58">
        <f>VLOOKUP($A225,'S47'!$C:$BQ,40,0)</f>
        <v>84</v>
      </c>
      <c r="AF225" s="58">
        <f>VLOOKUP($A225,'S47'!$C:$BQ,22,0)</f>
        <v>1627.174665</v>
      </c>
      <c r="AG225" s="66">
        <f>VLOOKUP($A225,'S47'!$C:$BQ,29,0)</f>
        <v>271</v>
      </c>
      <c r="AH225" s="66">
        <f>VLOOKUP($A225,'S47'!$C:$BQ,30,0)</f>
        <v>651</v>
      </c>
      <c r="AI225" s="66">
        <f>VLOOKUP($A225,'S47'!$C:$BQ,52,0)</f>
        <v>110.8</v>
      </c>
      <c r="AJ225" s="66">
        <f>VLOOKUP($A225,'S47'!$C:$BQ,59,0)</f>
        <v>0</v>
      </c>
      <c r="AK225" s="66">
        <f>VLOOKUP($A225,'S47'!$C:$BQ,60,0)</f>
        <v>17</v>
      </c>
      <c r="AL225" s="58" t="e">
        <f>VLOOKUP($A225,'S48'!$C:$BQ,32,0)</f>
        <v>#N/A</v>
      </c>
      <c r="AM225" s="58" t="e">
        <f>VLOOKUP($A225,'S48'!$C:$BQ,39,0)</f>
        <v>#N/A</v>
      </c>
      <c r="AN225" s="58" t="e">
        <f>VLOOKUP($A225,'S48'!$C:$BQ,40,0)</f>
        <v>#N/A</v>
      </c>
      <c r="AO225" s="58" t="e">
        <f>VLOOKUP($A225,'S48'!$C:$BQ,22,0)</f>
        <v>#N/A</v>
      </c>
      <c r="AP225" s="66" t="e">
        <f>VLOOKUP($A225,'S48'!$C:$BQ,29,0)</f>
        <v>#N/A</v>
      </c>
      <c r="AQ225" s="66" t="e">
        <f>VLOOKUP($A225,'S48'!$C:$BQ,30,0)</f>
        <v>#N/A</v>
      </c>
      <c r="AR225" s="66" t="e">
        <f>VLOOKUP($A225,'S48'!$C:$BQ,52,0)</f>
        <v>#N/A</v>
      </c>
      <c r="AS225" s="66" t="e">
        <f>VLOOKUP($A225,'S48'!$C:$BQ,59,0)</f>
        <v>#N/A</v>
      </c>
      <c r="AT225" s="66" t="e">
        <f>VLOOKUP($A225,'S48'!$C:$BQ,60,0)</f>
        <v>#N/A</v>
      </c>
      <c r="AU225" s="58" t="e">
        <f>VLOOKUP($A225,'S49'!$C:$BQ,32,0)</f>
        <v>#N/A</v>
      </c>
      <c r="AV225" s="58" t="e">
        <f>VLOOKUP($A225,'S49'!$C:$BQ,39,0)</f>
        <v>#N/A</v>
      </c>
      <c r="AW225" s="58" t="e">
        <f>VLOOKUP($A225,'S49'!$C:$BQ,40,0)</f>
        <v>#N/A</v>
      </c>
      <c r="AX225" s="58" t="e">
        <f>VLOOKUP($A225,'S49'!$C:$BQ,22,0)</f>
        <v>#N/A</v>
      </c>
      <c r="AY225" s="66" t="e">
        <f>VLOOKUP($A225,'S49'!$C:$BQ,29,0)</f>
        <v>#N/A</v>
      </c>
      <c r="AZ225" s="66" t="e">
        <f>VLOOKUP($A225,'S49'!$C:$BQ,30,0)</f>
        <v>#N/A</v>
      </c>
      <c r="BA225" s="66" t="e">
        <f>VLOOKUP($A225,'S49'!$C:$BQ,52,0)</f>
        <v>#N/A</v>
      </c>
      <c r="BB225" s="66" t="e">
        <f>VLOOKUP($A225,'S49'!$C:$BQ,59,0)</f>
        <v>#N/A</v>
      </c>
      <c r="BC225" s="66" t="e">
        <f>VLOOKUP($A225,'S49'!$C:$BQ,60,0)</f>
        <v>#N/A</v>
      </c>
      <c r="BD225" s="58" t="e">
        <f>VLOOKUP($A225,'S50'!$C:$BQ,32,0)</f>
        <v>#N/A</v>
      </c>
      <c r="BE225" s="58" t="e">
        <f>VLOOKUP($A225,'S50'!$C:$BQ,39,0)</f>
        <v>#N/A</v>
      </c>
      <c r="BF225" s="58" t="e">
        <f>VLOOKUP($A225,'S50'!$C:$BQ,40,0)</f>
        <v>#N/A</v>
      </c>
      <c r="BG225" s="58" t="e">
        <f>VLOOKUP($A225,'S50'!$C:$BQ,22,0)</f>
        <v>#N/A</v>
      </c>
      <c r="BH225" s="66" t="e">
        <f>VLOOKUP($A225,'S50'!$C:$BQ,29,0)</f>
        <v>#N/A</v>
      </c>
      <c r="BI225" s="66" t="e">
        <f>VLOOKUP($A225,'S50'!$C:$BQ,30,0)</f>
        <v>#N/A</v>
      </c>
      <c r="BJ225" s="66" t="e">
        <f>VLOOKUP($A225,'S50'!$C:$BQ,52,0)</f>
        <v>#N/A</v>
      </c>
      <c r="BK225" s="66" t="e">
        <f>VLOOKUP($A225,'S50'!$C:$BQ,59,0)</f>
        <v>#N/A</v>
      </c>
      <c r="BL225" s="66" t="e">
        <f>VLOOKUP($A225,'S50'!$C:$BQ,60,0)</f>
        <v>#N/A</v>
      </c>
    </row>
    <row r="226" spans="1:64" x14ac:dyDescent="0.2">
      <c r="A226" s="57" t="s">
        <v>296</v>
      </c>
      <c r="B226" s="58">
        <f>VLOOKUP($A226,'S0 remplacer avec S44'!$C:$BQ,32,0)</f>
        <v>110.8</v>
      </c>
      <c r="C226" s="58">
        <f>VLOOKUP($A226,'S0 remplacer avec S44'!$C:$BQ,39,0)</f>
        <v>131</v>
      </c>
      <c r="D226" s="58">
        <f>VLOOKUP($A226,'S0 remplacer avec S44'!$C:$BQ,40,0)</f>
        <v>179</v>
      </c>
      <c r="E226" s="58">
        <f>VLOOKUP($A226,'S0 remplacer avec S44'!$C:$BQ,22,0)</f>
        <v>1727.88093</v>
      </c>
      <c r="F226" s="66">
        <f>VLOOKUP($A226,'S0 remplacer avec S44'!$C:$BQ,29,0)</f>
        <v>466</v>
      </c>
      <c r="G226" s="66">
        <f>VLOOKUP($A226,'S0 remplacer avec S44'!$C:$BQ,30,0)</f>
        <v>904</v>
      </c>
      <c r="H226" s="66">
        <f>VLOOKUP($A226,'S0 remplacer avec S44'!$C:$BQ,52,0)</f>
        <v>97.6</v>
      </c>
      <c r="I226" s="66">
        <f>VLOOKUP($A226,'S0 remplacer avec S44'!$C:$BQ,59,0)</f>
        <v>25</v>
      </c>
      <c r="J226" s="66">
        <f>VLOOKUP($A226,'S0 remplacer avec S44'!$C:$BQ,60,0)</f>
        <v>50</v>
      </c>
      <c r="K226" s="58">
        <f>VLOOKUP($A226,'S45'!$C:$BQ,32,0)</f>
        <v>109.4</v>
      </c>
      <c r="L226" s="58">
        <f>VLOOKUP($A226,'S45'!$C:$BQ,39,0)</f>
        <v>132</v>
      </c>
      <c r="M226" s="58">
        <f>VLOOKUP($A226,'S45'!$C:$BQ,40,0)</f>
        <v>180</v>
      </c>
      <c r="N226" s="58">
        <f>VLOOKUP($A226,'S45'!$C:$BQ,22,0)</f>
        <v>1718.21694</v>
      </c>
      <c r="O226" s="66">
        <f>VLOOKUP($A226,'S45'!$C:$BQ,29,0)</f>
        <v>475</v>
      </c>
      <c r="P226" s="66">
        <f>VLOOKUP($A226,'S45'!$C:$BQ,30,0)</f>
        <v>914</v>
      </c>
      <c r="Q226" s="66">
        <f>VLOOKUP($A226,'S45'!$C:$BQ,52,0)</f>
        <v>98.6</v>
      </c>
      <c r="R226" s="66">
        <f>VLOOKUP($A226,'S45'!$C:$BQ,59,0)</f>
        <v>24</v>
      </c>
      <c r="S226" s="66">
        <f>VLOOKUP($A226,'S45'!$C:$BQ,60,0)</f>
        <v>49</v>
      </c>
      <c r="T226" s="58">
        <f>VLOOKUP($A226,'S46'!$C:$BQ,32,0)</f>
        <v>109.4</v>
      </c>
      <c r="U226" s="58">
        <f>VLOOKUP($A226,'S46'!$C:$BQ,39,0)</f>
        <v>132</v>
      </c>
      <c r="V226" s="58">
        <f>VLOOKUP($A226,'S46'!$C:$BQ,40,0)</f>
        <v>180</v>
      </c>
      <c r="W226" s="58">
        <f>VLOOKUP($A226,'S46'!$C:$BQ,22,0)</f>
        <v>1765.65239</v>
      </c>
      <c r="X226" s="66">
        <f>VLOOKUP($A226,'S46'!$C:$BQ,29,0)</f>
        <v>428</v>
      </c>
      <c r="Y226" s="66">
        <f>VLOOKUP($A226,'S46'!$C:$BQ,30,0)</f>
        <v>866</v>
      </c>
      <c r="Z226" s="66">
        <f>VLOOKUP($A226,'S46'!$C:$BQ,52,0)</f>
        <v>103.6</v>
      </c>
      <c r="AA226" s="66">
        <f>VLOOKUP($A226,'S46'!$C:$BQ,59,0)</f>
        <v>19</v>
      </c>
      <c r="AB226" s="66">
        <f>VLOOKUP($A226,'S46'!$C:$BQ,60,0)</f>
        <v>44</v>
      </c>
      <c r="AC226" s="58">
        <f>VLOOKUP($A226,'S47'!$C:$BQ,32,0)</f>
        <v>112.9</v>
      </c>
      <c r="AD226" s="58">
        <f>VLOOKUP($A226,'S47'!$C:$BQ,39,0)</f>
        <v>129</v>
      </c>
      <c r="AE226" s="58">
        <f>VLOOKUP($A226,'S47'!$C:$BQ,40,0)</f>
        <v>177</v>
      </c>
      <c r="AF226" s="58">
        <f>VLOOKUP($A226,'S47'!$C:$BQ,22,0)</f>
        <v>1830.30639</v>
      </c>
      <c r="AG226" s="66">
        <f>VLOOKUP($A226,'S47'!$C:$BQ,29,0)</f>
        <v>363</v>
      </c>
      <c r="AH226" s="66">
        <f>VLOOKUP($A226,'S47'!$C:$BQ,30,0)</f>
        <v>802</v>
      </c>
      <c r="AI226" s="66">
        <f>VLOOKUP($A226,'S47'!$C:$BQ,52,0)</f>
        <v>107.6</v>
      </c>
      <c r="AJ226" s="66">
        <f>VLOOKUP($A226,'S47'!$C:$BQ,59,0)</f>
        <v>15</v>
      </c>
      <c r="AK226" s="66">
        <f>VLOOKUP($A226,'S47'!$C:$BQ,60,0)</f>
        <v>40</v>
      </c>
      <c r="AL226" s="58" t="e">
        <f>VLOOKUP($A226,'S48'!$C:$BQ,32,0)</f>
        <v>#N/A</v>
      </c>
      <c r="AM226" s="58" t="e">
        <f>VLOOKUP($A226,'S48'!$C:$BQ,39,0)</f>
        <v>#N/A</v>
      </c>
      <c r="AN226" s="58" t="e">
        <f>VLOOKUP($A226,'S48'!$C:$BQ,40,0)</f>
        <v>#N/A</v>
      </c>
      <c r="AO226" s="58" t="e">
        <f>VLOOKUP($A226,'S48'!$C:$BQ,22,0)</f>
        <v>#N/A</v>
      </c>
      <c r="AP226" s="66" t="e">
        <f>VLOOKUP($A226,'S48'!$C:$BQ,29,0)</f>
        <v>#N/A</v>
      </c>
      <c r="AQ226" s="66" t="e">
        <f>VLOOKUP($A226,'S48'!$C:$BQ,30,0)</f>
        <v>#N/A</v>
      </c>
      <c r="AR226" s="66" t="e">
        <f>VLOOKUP($A226,'S48'!$C:$BQ,52,0)</f>
        <v>#N/A</v>
      </c>
      <c r="AS226" s="66" t="e">
        <f>VLOOKUP($A226,'S48'!$C:$BQ,59,0)</f>
        <v>#N/A</v>
      </c>
      <c r="AT226" s="66" t="e">
        <f>VLOOKUP($A226,'S48'!$C:$BQ,60,0)</f>
        <v>#N/A</v>
      </c>
      <c r="AU226" s="58" t="e">
        <f>VLOOKUP($A226,'S49'!$C:$BQ,32,0)</f>
        <v>#N/A</v>
      </c>
      <c r="AV226" s="58" t="e">
        <f>VLOOKUP($A226,'S49'!$C:$BQ,39,0)</f>
        <v>#N/A</v>
      </c>
      <c r="AW226" s="58" t="e">
        <f>VLOOKUP($A226,'S49'!$C:$BQ,40,0)</f>
        <v>#N/A</v>
      </c>
      <c r="AX226" s="58" t="e">
        <f>VLOOKUP($A226,'S49'!$C:$BQ,22,0)</f>
        <v>#N/A</v>
      </c>
      <c r="AY226" s="66" t="e">
        <f>VLOOKUP($A226,'S49'!$C:$BQ,29,0)</f>
        <v>#N/A</v>
      </c>
      <c r="AZ226" s="66" t="e">
        <f>VLOOKUP($A226,'S49'!$C:$BQ,30,0)</f>
        <v>#N/A</v>
      </c>
      <c r="BA226" s="66" t="e">
        <f>VLOOKUP($A226,'S49'!$C:$BQ,52,0)</f>
        <v>#N/A</v>
      </c>
      <c r="BB226" s="66" t="e">
        <f>VLOOKUP($A226,'S49'!$C:$BQ,59,0)</f>
        <v>#N/A</v>
      </c>
      <c r="BC226" s="66" t="e">
        <f>VLOOKUP($A226,'S49'!$C:$BQ,60,0)</f>
        <v>#N/A</v>
      </c>
      <c r="BD226" s="58" t="e">
        <f>VLOOKUP($A226,'S50'!$C:$BQ,32,0)</f>
        <v>#N/A</v>
      </c>
      <c r="BE226" s="58" t="e">
        <f>VLOOKUP($A226,'S50'!$C:$BQ,39,0)</f>
        <v>#N/A</v>
      </c>
      <c r="BF226" s="58" t="e">
        <f>VLOOKUP($A226,'S50'!$C:$BQ,40,0)</f>
        <v>#N/A</v>
      </c>
      <c r="BG226" s="58" t="e">
        <f>VLOOKUP($A226,'S50'!$C:$BQ,22,0)</f>
        <v>#N/A</v>
      </c>
      <c r="BH226" s="66" t="e">
        <f>VLOOKUP($A226,'S50'!$C:$BQ,29,0)</f>
        <v>#N/A</v>
      </c>
      <c r="BI226" s="66" t="e">
        <f>VLOOKUP($A226,'S50'!$C:$BQ,30,0)</f>
        <v>#N/A</v>
      </c>
      <c r="BJ226" s="66" t="e">
        <f>VLOOKUP($A226,'S50'!$C:$BQ,52,0)</f>
        <v>#N/A</v>
      </c>
      <c r="BK226" s="66" t="e">
        <f>VLOOKUP($A226,'S50'!$C:$BQ,59,0)</f>
        <v>#N/A</v>
      </c>
      <c r="BL226" s="66" t="e">
        <f>VLOOKUP($A226,'S50'!$C:$BQ,60,0)</f>
        <v>#N/A</v>
      </c>
    </row>
    <row r="227" spans="1:64" x14ac:dyDescent="0.2">
      <c r="A227" s="57" t="s">
        <v>297</v>
      </c>
      <c r="B227" s="58">
        <f>VLOOKUP($A227,'S0 remplacer avec S44'!$C:$BQ,32,0)</f>
        <v>322.35000000000002</v>
      </c>
      <c r="C227" s="58">
        <f>VLOOKUP($A227,'S0 remplacer avec S44'!$C:$BQ,39,0)</f>
        <v>58</v>
      </c>
      <c r="D227" s="58">
        <f>VLOOKUP($A227,'S0 remplacer avec S44'!$C:$BQ,40,0)</f>
        <v>133</v>
      </c>
      <c r="E227" s="58">
        <f>VLOOKUP($A227,'S0 remplacer avec S44'!$C:$BQ,22,0)</f>
        <v>3503.1975849999999</v>
      </c>
      <c r="F227" s="66">
        <f>VLOOKUP($A227,'S0 remplacer avec S44'!$C:$BQ,29,0)</f>
        <v>0</v>
      </c>
      <c r="G227" s="66">
        <f>VLOOKUP($A227,'S0 remplacer avec S44'!$C:$BQ,30,0)</f>
        <v>638</v>
      </c>
      <c r="H227" s="66">
        <f>VLOOKUP($A227,'S0 remplacer avec S44'!$C:$BQ,52,0)</f>
        <v>242.2</v>
      </c>
      <c r="I227" s="66">
        <f>VLOOKUP($A227,'S0 remplacer avec S44'!$C:$BQ,59,0)</f>
        <v>0</v>
      </c>
      <c r="J227" s="66">
        <f>VLOOKUP($A227,'S0 remplacer avec S44'!$C:$BQ,60,0)</f>
        <v>0</v>
      </c>
      <c r="K227" s="58">
        <f>VLOOKUP($A227,'S45'!$C:$BQ,32,0)</f>
        <v>329.85</v>
      </c>
      <c r="L227" s="58">
        <f>VLOOKUP($A227,'S45'!$C:$BQ,39,0)</f>
        <v>50</v>
      </c>
      <c r="M227" s="58">
        <f>VLOOKUP($A227,'S45'!$C:$BQ,40,0)</f>
        <v>126</v>
      </c>
      <c r="N227" s="58">
        <f>VLOOKUP($A227,'S45'!$C:$BQ,22,0)</f>
        <v>3554.1274349999999</v>
      </c>
      <c r="O227" s="66">
        <f>VLOOKUP($A227,'S45'!$C:$BQ,29,0)</f>
        <v>0</v>
      </c>
      <c r="P227" s="66">
        <f>VLOOKUP($A227,'S45'!$C:$BQ,30,0)</f>
        <v>588</v>
      </c>
      <c r="Q227" s="66">
        <f>VLOOKUP($A227,'S45'!$C:$BQ,52,0)</f>
        <v>244.2</v>
      </c>
      <c r="R227" s="66">
        <f>VLOOKUP($A227,'S45'!$C:$BQ,59,0)</f>
        <v>0</v>
      </c>
      <c r="S227" s="66">
        <f>VLOOKUP($A227,'S45'!$C:$BQ,60,0)</f>
        <v>0</v>
      </c>
      <c r="T227" s="58">
        <f>VLOOKUP($A227,'S46'!$C:$BQ,32,0)</f>
        <v>332.85</v>
      </c>
      <c r="U227" s="58">
        <f>VLOOKUP($A227,'S46'!$C:$BQ,39,0)</f>
        <v>47</v>
      </c>
      <c r="V227" s="58">
        <f>VLOOKUP($A227,'S46'!$C:$BQ,40,0)</f>
        <v>123</v>
      </c>
      <c r="W227" s="58">
        <f>VLOOKUP($A227,'S46'!$C:$BQ,22,0)</f>
        <v>3570.6159849999999</v>
      </c>
      <c r="X227" s="66">
        <f>VLOOKUP($A227,'S46'!$C:$BQ,29,0)</f>
        <v>0</v>
      </c>
      <c r="Y227" s="66">
        <f>VLOOKUP($A227,'S46'!$C:$BQ,30,0)</f>
        <v>571</v>
      </c>
      <c r="Z227" s="66">
        <f>VLOOKUP($A227,'S46'!$C:$BQ,52,0)</f>
        <v>245.2</v>
      </c>
      <c r="AA227" s="66">
        <f>VLOOKUP($A227,'S46'!$C:$BQ,59,0)</f>
        <v>0</v>
      </c>
      <c r="AB227" s="66">
        <f>VLOOKUP($A227,'S46'!$C:$BQ,60,0)</f>
        <v>0</v>
      </c>
      <c r="AC227" s="58">
        <f>VLOOKUP($A227,'S47'!$C:$BQ,32,0)</f>
        <v>343.85</v>
      </c>
      <c r="AD227" s="58">
        <f>VLOOKUP($A227,'S47'!$C:$BQ,39,0)</f>
        <v>36</v>
      </c>
      <c r="AE227" s="58">
        <f>VLOOKUP($A227,'S47'!$C:$BQ,40,0)</f>
        <v>112</v>
      </c>
      <c r="AF227" s="58">
        <f>VLOOKUP($A227,'S47'!$C:$BQ,22,0)</f>
        <v>3573.5986849999999</v>
      </c>
      <c r="AG227" s="66">
        <f>VLOOKUP($A227,'S47'!$C:$BQ,29,0)</f>
        <v>0</v>
      </c>
      <c r="AH227" s="66">
        <f>VLOOKUP($A227,'S47'!$C:$BQ,30,0)</f>
        <v>568</v>
      </c>
      <c r="AI227" s="66">
        <f>VLOOKUP($A227,'S47'!$C:$BQ,52,0)</f>
        <v>246.2</v>
      </c>
      <c r="AJ227" s="66">
        <f>VLOOKUP($A227,'S47'!$C:$BQ,59,0)</f>
        <v>0</v>
      </c>
      <c r="AK227" s="66">
        <f>VLOOKUP($A227,'S47'!$C:$BQ,60,0)</f>
        <v>0</v>
      </c>
      <c r="AL227" s="58" t="e">
        <f>VLOOKUP($A227,'S48'!$C:$BQ,32,0)</f>
        <v>#N/A</v>
      </c>
      <c r="AM227" s="58" t="e">
        <f>VLOOKUP($A227,'S48'!$C:$BQ,39,0)</f>
        <v>#N/A</v>
      </c>
      <c r="AN227" s="58" t="e">
        <f>VLOOKUP($A227,'S48'!$C:$BQ,40,0)</f>
        <v>#N/A</v>
      </c>
      <c r="AO227" s="58" t="e">
        <f>VLOOKUP($A227,'S48'!$C:$BQ,22,0)</f>
        <v>#N/A</v>
      </c>
      <c r="AP227" s="66" t="e">
        <f>VLOOKUP($A227,'S48'!$C:$BQ,29,0)</f>
        <v>#N/A</v>
      </c>
      <c r="AQ227" s="66" t="e">
        <f>VLOOKUP($A227,'S48'!$C:$BQ,30,0)</f>
        <v>#N/A</v>
      </c>
      <c r="AR227" s="66" t="e">
        <f>VLOOKUP($A227,'S48'!$C:$BQ,52,0)</f>
        <v>#N/A</v>
      </c>
      <c r="AS227" s="66" t="e">
        <f>VLOOKUP($A227,'S48'!$C:$BQ,59,0)</f>
        <v>#N/A</v>
      </c>
      <c r="AT227" s="66" t="e">
        <f>VLOOKUP($A227,'S48'!$C:$BQ,60,0)</f>
        <v>#N/A</v>
      </c>
      <c r="AU227" s="58" t="e">
        <f>VLOOKUP($A227,'S49'!$C:$BQ,32,0)</f>
        <v>#N/A</v>
      </c>
      <c r="AV227" s="58" t="e">
        <f>VLOOKUP($A227,'S49'!$C:$BQ,39,0)</f>
        <v>#N/A</v>
      </c>
      <c r="AW227" s="58" t="e">
        <f>VLOOKUP($A227,'S49'!$C:$BQ,40,0)</f>
        <v>#N/A</v>
      </c>
      <c r="AX227" s="58" t="e">
        <f>VLOOKUP($A227,'S49'!$C:$BQ,22,0)</f>
        <v>#N/A</v>
      </c>
      <c r="AY227" s="66" t="e">
        <f>VLOOKUP($A227,'S49'!$C:$BQ,29,0)</f>
        <v>#N/A</v>
      </c>
      <c r="AZ227" s="66" t="e">
        <f>VLOOKUP($A227,'S49'!$C:$BQ,30,0)</f>
        <v>#N/A</v>
      </c>
      <c r="BA227" s="66" t="e">
        <f>VLOOKUP($A227,'S49'!$C:$BQ,52,0)</f>
        <v>#N/A</v>
      </c>
      <c r="BB227" s="66" t="e">
        <f>VLOOKUP($A227,'S49'!$C:$BQ,59,0)</f>
        <v>#N/A</v>
      </c>
      <c r="BC227" s="66" t="e">
        <f>VLOOKUP($A227,'S49'!$C:$BQ,60,0)</f>
        <v>#N/A</v>
      </c>
      <c r="BD227" s="58" t="e">
        <f>VLOOKUP($A227,'S50'!$C:$BQ,32,0)</f>
        <v>#N/A</v>
      </c>
      <c r="BE227" s="58" t="e">
        <f>VLOOKUP($A227,'S50'!$C:$BQ,39,0)</f>
        <v>#N/A</v>
      </c>
      <c r="BF227" s="58" t="e">
        <f>VLOOKUP($A227,'S50'!$C:$BQ,40,0)</f>
        <v>#N/A</v>
      </c>
      <c r="BG227" s="58" t="e">
        <f>VLOOKUP($A227,'S50'!$C:$BQ,22,0)</f>
        <v>#N/A</v>
      </c>
      <c r="BH227" s="66" t="e">
        <f>VLOOKUP($A227,'S50'!$C:$BQ,29,0)</f>
        <v>#N/A</v>
      </c>
      <c r="BI227" s="66" t="e">
        <f>VLOOKUP($A227,'S50'!$C:$BQ,30,0)</f>
        <v>#N/A</v>
      </c>
      <c r="BJ227" s="66" t="e">
        <f>VLOOKUP($A227,'S50'!$C:$BQ,52,0)</f>
        <v>#N/A</v>
      </c>
      <c r="BK227" s="66" t="e">
        <f>VLOOKUP($A227,'S50'!$C:$BQ,59,0)</f>
        <v>#N/A</v>
      </c>
      <c r="BL227" s="66" t="e">
        <f>VLOOKUP($A227,'S50'!$C:$BQ,60,0)</f>
        <v>#N/A</v>
      </c>
    </row>
    <row r="228" spans="1:64" x14ac:dyDescent="0.2">
      <c r="A228" s="57" t="s">
        <v>298</v>
      </c>
      <c r="B228" s="58">
        <f>VLOOKUP($A228,'S0 remplacer avec S44'!$C:$BQ,32,0)</f>
        <v>271.14999999999998</v>
      </c>
      <c r="C228" s="58">
        <f>VLOOKUP($A228,'S0 remplacer avec S44'!$C:$BQ,39,0)</f>
        <v>89</v>
      </c>
      <c r="D228" s="58">
        <f>VLOOKUP($A228,'S0 remplacer avec S44'!$C:$BQ,40,0)</f>
        <v>161</v>
      </c>
      <c r="E228" s="58">
        <f>VLOOKUP($A228,'S0 remplacer avec S44'!$C:$BQ,22,0)</f>
        <v>2936.9269850000001</v>
      </c>
      <c r="F228" s="66">
        <f>VLOOKUP($A228,'S0 remplacer avec S44'!$C:$BQ,29,0)</f>
        <v>332</v>
      </c>
      <c r="G228" s="66">
        <f>VLOOKUP($A228,'S0 remplacer avec S44'!$C:$BQ,30,0)</f>
        <v>986</v>
      </c>
      <c r="H228" s="66">
        <f>VLOOKUP($A228,'S0 remplacer avec S44'!$C:$BQ,52,0)</f>
        <v>249.6</v>
      </c>
      <c r="I228" s="66">
        <f>VLOOKUP($A228,'S0 remplacer avec S44'!$C:$BQ,59,0)</f>
        <v>0</v>
      </c>
      <c r="J228" s="66">
        <f>VLOOKUP($A228,'S0 remplacer avec S44'!$C:$BQ,60,0)</f>
        <v>0</v>
      </c>
      <c r="K228" s="58">
        <f>VLOOKUP($A228,'S45'!$C:$BQ,32,0)</f>
        <v>271.64999999999998</v>
      </c>
      <c r="L228" s="58">
        <f>VLOOKUP($A228,'S45'!$C:$BQ,39,0)</f>
        <v>88</v>
      </c>
      <c r="M228" s="58">
        <f>VLOOKUP($A228,'S45'!$C:$BQ,40,0)</f>
        <v>160</v>
      </c>
      <c r="N228" s="58">
        <f>VLOOKUP($A228,'S45'!$C:$BQ,22,0)</f>
        <v>2980.2418750000002</v>
      </c>
      <c r="O228" s="66">
        <f>VLOOKUP($A228,'S45'!$C:$BQ,29,0)</f>
        <v>289</v>
      </c>
      <c r="P228" s="66">
        <f>VLOOKUP($A228,'S45'!$C:$BQ,30,0)</f>
        <v>943</v>
      </c>
      <c r="Q228" s="66">
        <f>VLOOKUP($A228,'S45'!$C:$BQ,52,0)</f>
        <v>253.6</v>
      </c>
      <c r="R228" s="66">
        <f>VLOOKUP($A228,'S45'!$C:$BQ,59,0)</f>
        <v>0</v>
      </c>
      <c r="S228" s="66">
        <f>VLOOKUP($A228,'S45'!$C:$BQ,60,0)</f>
        <v>0</v>
      </c>
      <c r="T228" s="58">
        <f>VLOOKUP($A228,'S46'!$C:$BQ,32,0)</f>
        <v>273.14999999999998</v>
      </c>
      <c r="U228" s="58">
        <f>VLOOKUP($A228,'S46'!$C:$BQ,39,0)</f>
        <v>87</v>
      </c>
      <c r="V228" s="58">
        <f>VLOOKUP($A228,'S46'!$C:$BQ,40,0)</f>
        <v>159</v>
      </c>
      <c r="W228" s="58">
        <f>VLOOKUP($A228,'S46'!$C:$BQ,22,0)</f>
        <v>2971.6316550000001</v>
      </c>
      <c r="X228" s="66">
        <f>VLOOKUP($A228,'S46'!$C:$BQ,29,0)</f>
        <v>298</v>
      </c>
      <c r="Y228" s="66">
        <f>VLOOKUP($A228,'S46'!$C:$BQ,30,0)</f>
        <v>951</v>
      </c>
      <c r="Z228" s="66">
        <f>VLOOKUP($A228,'S46'!$C:$BQ,52,0)</f>
        <v>254.6</v>
      </c>
      <c r="AA228" s="66">
        <f>VLOOKUP($A228,'S46'!$C:$BQ,59,0)</f>
        <v>0</v>
      </c>
      <c r="AB228" s="66">
        <f>VLOOKUP($A228,'S46'!$C:$BQ,60,0)</f>
        <v>0</v>
      </c>
      <c r="AC228" s="58">
        <f>VLOOKUP($A228,'S47'!$C:$BQ,32,0)</f>
        <v>278.14999999999998</v>
      </c>
      <c r="AD228" s="58">
        <f>VLOOKUP($A228,'S47'!$C:$BQ,39,0)</f>
        <v>82</v>
      </c>
      <c r="AE228" s="58">
        <f>VLOOKUP($A228,'S47'!$C:$BQ,40,0)</f>
        <v>154</v>
      </c>
      <c r="AF228" s="58">
        <f>VLOOKUP($A228,'S47'!$C:$BQ,22,0)</f>
        <v>3008.8086050000002</v>
      </c>
      <c r="AG228" s="66">
        <f>VLOOKUP($A228,'S47'!$C:$BQ,29,0)</f>
        <v>260</v>
      </c>
      <c r="AH228" s="66">
        <f>VLOOKUP($A228,'S47'!$C:$BQ,30,0)</f>
        <v>914</v>
      </c>
      <c r="AI228" s="66">
        <f>VLOOKUP($A228,'S47'!$C:$BQ,52,0)</f>
        <v>259.60000000000002</v>
      </c>
      <c r="AJ228" s="66">
        <f>VLOOKUP($A228,'S47'!$C:$BQ,59,0)</f>
        <v>0</v>
      </c>
      <c r="AK228" s="66">
        <f>VLOOKUP($A228,'S47'!$C:$BQ,60,0)</f>
        <v>0</v>
      </c>
      <c r="AL228" s="58" t="e">
        <f>VLOOKUP($A228,'S48'!$C:$BQ,32,0)</f>
        <v>#N/A</v>
      </c>
      <c r="AM228" s="58" t="e">
        <f>VLOOKUP($A228,'S48'!$C:$BQ,39,0)</f>
        <v>#N/A</v>
      </c>
      <c r="AN228" s="58" t="e">
        <f>VLOOKUP($A228,'S48'!$C:$BQ,40,0)</f>
        <v>#N/A</v>
      </c>
      <c r="AO228" s="58" t="e">
        <f>VLOOKUP($A228,'S48'!$C:$BQ,22,0)</f>
        <v>#N/A</v>
      </c>
      <c r="AP228" s="66" t="e">
        <f>VLOOKUP($A228,'S48'!$C:$BQ,29,0)</f>
        <v>#N/A</v>
      </c>
      <c r="AQ228" s="66" t="e">
        <f>VLOOKUP($A228,'S48'!$C:$BQ,30,0)</f>
        <v>#N/A</v>
      </c>
      <c r="AR228" s="66" t="e">
        <f>VLOOKUP($A228,'S48'!$C:$BQ,52,0)</f>
        <v>#N/A</v>
      </c>
      <c r="AS228" s="66" t="e">
        <f>VLOOKUP($A228,'S48'!$C:$BQ,59,0)</f>
        <v>#N/A</v>
      </c>
      <c r="AT228" s="66" t="e">
        <f>VLOOKUP($A228,'S48'!$C:$BQ,60,0)</f>
        <v>#N/A</v>
      </c>
      <c r="AU228" s="58" t="e">
        <f>VLOOKUP($A228,'S49'!$C:$BQ,32,0)</f>
        <v>#N/A</v>
      </c>
      <c r="AV228" s="58" t="e">
        <f>VLOOKUP($A228,'S49'!$C:$BQ,39,0)</f>
        <v>#N/A</v>
      </c>
      <c r="AW228" s="58" t="e">
        <f>VLOOKUP($A228,'S49'!$C:$BQ,40,0)</f>
        <v>#N/A</v>
      </c>
      <c r="AX228" s="58" t="e">
        <f>VLOOKUP($A228,'S49'!$C:$BQ,22,0)</f>
        <v>#N/A</v>
      </c>
      <c r="AY228" s="66" t="e">
        <f>VLOOKUP($A228,'S49'!$C:$BQ,29,0)</f>
        <v>#N/A</v>
      </c>
      <c r="AZ228" s="66" t="e">
        <f>VLOOKUP($A228,'S49'!$C:$BQ,30,0)</f>
        <v>#N/A</v>
      </c>
      <c r="BA228" s="66" t="e">
        <f>VLOOKUP($A228,'S49'!$C:$BQ,52,0)</f>
        <v>#N/A</v>
      </c>
      <c r="BB228" s="66" t="e">
        <f>VLOOKUP($A228,'S49'!$C:$BQ,59,0)</f>
        <v>#N/A</v>
      </c>
      <c r="BC228" s="66" t="e">
        <f>VLOOKUP($A228,'S49'!$C:$BQ,60,0)</f>
        <v>#N/A</v>
      </c>
      <c r="BD228" s="58" t="e">
        <f>VLOOKUP($A228,'S50'!$C:$BQ,32,0)</f>
        <v>#N/A</v>
      </c>
      <c r="BE228" s="58" t="e">
        <f>VLOOKUP($A228,'S50'!$C:$BQ,39,0)</f>
        <v>#N/A</v>
      </c>
      <c r="BF228" s="58" t="e">
        <f>VLOOKUP($A228,'S50'!$C:$BQ,40,0)</f>
        <v>#N/A</v>
      </c>
      <c r="BG228" s="58" t="e">
        <f>VLOOKUP($A228,'S50'!$C:$BQ,22,0)</f>
        <v>#N/A</v>
      </c>
      <c r="BH228" s="66" t="e">
        <f>VLOOKUP($A228,'S50'!$C:$BQ,29,0)</f>
        <v>#N/A</v>
      </c>
      <c r="BI228" s="66" t="e">
        <f>VLOOKUP($A228,'S50'!$C:$BQ,30,0)</f>
        <v>#N/A</v>
      </c>
      <c r="BJ228" s="66" t="e">
        <f>VLOOKUP($A228,'S50'!$C:$BQ,52,0)</f>
        <v>#N/A</v>
      </c>
      <c r="BK228" s="66" t="e">
        <f>VLOOKUP($A228,'S50'!$C:$BQ,59,0)</f>
        <v>#N/A</v>
      </c>
      <c r="BL228" s="66" t="e">
        <f>VLOOKUP($A228,'S50'!$C:$BQ,60,0)</f>
        <v>#N/A</v>
      </c>
    </row>
    <row r="229" spans="1:64" x14ac:dyDescent="0.2">
      <c r="A229" s="57" t="s">
        <v>300</v>
      </c>
      <c r="B229" s="58">
        <f>VLOOKUP($A229,'S0 remplacer avec S44'!$C:$BQ,32,0)</f>
        <v>158.69999999999999</v>
      </c>
      <c r="C229" s="58">
        <f>VLOOKUP($A229,'S0 remplacer avec S44'!$C:$BQ,39,0)</f>
        <v>0</v>
      </c>
      <c r="D229" s="58">
        <f>VLOOKUP($A229,'S0 remplacer avec S44'!$C:$BQ,40,0)</f>
        <v>27</v>
      </c>
      <c r="E229" s="58">
        <f>VLOOKUP($A229,'S0 remplacer avec S44'!$C:$BQ,22,0)</f>
        <v>2000.6537499999999</v>
      </c>
      <c r="F229" s="66">
        <f>VLOOKUP($A229,'S0 remplacer avec S44'!$C:$BQ,29,0)</f>
        <v>0</v>
      </c>
      <c r="G229" s="66">
        <f>VLOOKUP($A229,'S0 remplacer avec S44'!$C:$BQ,30,0)</f>
        <v>0</v>
      </c>
      <c r="H229" s="66">
        <f>VLOOKUP($A229,'S0 remplacer avec S44'!$C:$BQ,52,0)</f>
        <v>96.6</v>
      </c>
      <c r="I229" s="66">
        <f>VLOOKUP($A229,'S0 remplacer avec S44'!$C:$BQ,59,0)</f>
        <v>0</v>
      </c>
      <c r="J229" s="66">
        <f>VLOOKUP($A229,'S0 remplacer avec S44'!$C:$BQ,60,0)</f>
        <v>0</v>
      </c>
      <c r="K229" s="58">
        <f>VLOOKUP($A229,'S45'!$C:$BQ,32,0)</f>
        <v>157.19999999999999</v>
      </c>
      <c r="L229" s="58">
        <f>VLOOKUP($A229,'S45'!$C:$BQ,39,0)</f>
        <v>0</v>
      </c>
      <c r="M229" s="58">
        <f>VLOOKUP($A229,'S45'!$C:$BQ,40,0)</f>
        <v>29</v>
      </c>
      <c r="N229" s="58">
        <f>VLOOKUP($A229,'S45'!$C:$BQ,22,0)</f>
        <v>2007.19829</v>
      </c>
      <c r="O229" s="66">
        <f>VLOOKUP($A229,'S45'!$C:$BQ,29,0)</f>
        <v>0</v>
      </c>
      <c r="P229" s="66">
        <f>VLOOKUP($A229,'S45'!$C:$BQ,30,0)</f>
        <v>0</v>
      </c>
      <c r="Q229" s="66">
        <f>VLOOKUP($A229,'S45'!$C:$BQ,52,0)</f>
        <v>98.6</v>
      </c>
      <c r="R229" s="66">
        <f>VLOOKUP($A229,'S45'!$C:$BQ,59,0)</f>
        <v>0</v>
      </c>
      <c r="S229" s="66">
        <f>VLOOKUP($A229,'S45'!$C:$BQ,60,0)</f>
        <v>0</v>
      </c>
      <c r="T229" s="58">
        <f>VLOOKUP($A229,'S46'!$C:$BQ,32,0)</f>
        <v>157.19999999999999</v>
      </c>
      <c r="U229" s="58">
        <f>VLOOKUP($A229,'S46'!$C:$BQ,39,0)</f>
        <v>0</v>
      </c>
      <c r="V229" s="58">
        <f>VLOOKUP($A229,'S46'!$C:$BQ,40,0)</f>
        <v>29</v>
      </c>
      <c r="W229" s="58">
        <f>VLOOKUP($A229,'S46'!$C:$BQ,22,0)</f>
        <v>2009.63285</v>
      </c>
      <c r="X229" s="66">
        <f>VLOOKUP($A229,'S46'!$C:$BQ,29,0)</f>
        <v>0</v>
      </c>
      <c r="Y229" s="66">
        <f>VLOOKUP($A229,'S46'!$C:$BQ,30,0)</f>
        <v>0</v>
      </c>
      <c r="Z229" s="66">
        <f>VLOOKUP($A229,'S46'!$C:$BQ,52,0)</f>
        <v>98.6</v>
      </c>
      <c r="AA229" s="66">
        <f>VLOOKUP($A229,'S46'!$C:$BQ,59,0)</f>
        <v>0</v>
      </c>
      <c r="AB229" s="66">
        <f>VLOOKUP($A229,'S46'!$C:$BQ,60,0)</f>
        <v>0</v>
      </c>
      <c r="AC229" s="58">
        <f>VLOOKUP($A229,'S47'!$C:$BQ,32,0)</f>
        <v>161.19999999999999</v>
      </c>
      <c r="AD229" s="58">
        <f>VLOOKUP($A229,'S47'!$C:$BQ,39,0)</f>
        <v>0</v>
      </c>
      <c r="AE229" s="58">
        <f>VLOOKUP($A229,'S47'!$C:$BQ,40,0)</f>
        <v>25</v>
      </c>
      <c r="AF229" s="58">
        <f>VLOOKUP($A229,'S47'!$C:$BQ,22,0)</f>
        <v>2066.6131500000001</v>
      </c>
      <c r="AG229" s="66">
        <f>VLOOKUP($A229,'S47'!$C:$BQ,29,0)</f>
        <v>0</v>
      </c>
      <c r="AH229" s="66">
        <f>VLOOKUP($A229,'S47'!$C:$BQ,30,0)</f>
        <v>0</v>
      </c>
      <c r="AI229" s="66">
        <f>VLOOKUP($A229,'S47'!$C:$BQ,52,0)</f>
        <v>99.6</v>
      </c>
      <c r="AJ229" s="66">
        <f>VLOOKUP($A229,'S47'!$C:$BQ,59,0)</f>
        <v>0</v>
      </c>
      <c r="AK229" s="66">
        <f>VLOOKUP($A229,'S47'!$C:$BQ,60,0)</f>
        <v>0</v>
      </c>
      <c r="AL229" s="58" t="e">
        <f>VLOOKUP($A229,'S48'!$C:$BQ,32,0)</f>
        <v>#N/A</v>
      </c>
      <c r="AM229" s="58" t="e">
        <f>VLOOKUP($A229,'S48'!$C:$BQ,39,0)</f>
        <v>#N/A</v>
      </c>
      <c r="AN229" s="58" t="e">
        <f>VLOOKUP($A229,'S48'!$C:$BQ,40,0)</f>
        <v>#N/A</v>
      </c>
      <c r="AO229" s="58" t="e">
        <f>VLOOKUP($A229,'S48'!$C:$BQ,22,0)</f>
        <v>#N/A</v>
      </c>
      <c r="AP229" s="66" t="e">
        <f>VLOOKUP($A229,'S48'!$C:$BQ,29,0)</f>
        <v>#N/A</v>
      </c>
      <c r="AQ229" s="66" t="e">
        <f>VLOOKUP($A229,'S48'!$C:$BQ,30,0)</f>
        <v>#N/A</v>
      </c>
      <c r="AR229" s="66" t="e">
        <f>VLOOKUP($A229,'S48'!$C:$BQ,52,0)</f>
        <v>#N/A</v>
      </c>
      <c r="AS229" s="66" t="e">
        <f>VLOOKUP($A229,'S48'!$C:$BQ,59,0)</f>
        <v>#N/A</v>
      </c>
      <c r="AT229" s="66" t="e">
        <f>VLOOKUP($A229,'S48'!$C:$BQ,60,0)</f>
        <v>#N/A</v>
      </c>
      <c r="AU229" s="58" t="e">
        <f>VLOOKUP($A229,'S49'!$C:$BQ,32,0)</f>
        <v>#N/A</v>
      </c>
      <c r="AV229" s="58" t="e">
        <f>VLOOKUP($A229,'S49'!$C:$BQ,39,0)</f>
        <v>#N/A</v>
      </c>
      <c r="AW229" s="58" t="e">
        <f>VLOOKUP($A229,'S49'!$C:$BQ,40,0)</f>
        <v>#N/A</v>
      </c>
      <c r="AX229" s="58" t="e">
        <f>VLOOKUP($A229,'S49'!$C:$BQ,22,0)</f>
        <v>#N/A</v>
      </c>
      <c r="AY229" s="66" t="e">
        <f>VLOOKUP($A229,'S49'!$C:$BQ,29,0)</f>
        <v>#N/A</v>
      </c>
      <c r="AZ229" s="66" t="e">
        <f>VLOOKUP($A229,'S49'!$C:$BQ,30,0)</f>
        <v>#N/A</v>
      </c>
      <c r="BA229" s="66" t="e">
        <f>VLOOKUP($A229,'S49'!$C:$BQ,52,0)</f>
        <v>#N/A</v>
      </c>
      <c r="BB229" s="66" t="e">
        <f>VLOOKUP($A229,'S49'!$C:$BQ,59,0)</f>
        <v>#N/A</v>
      </c>
      <c r="BC229" s="66" t="e">
        <f>VLOOKUP($A229,'S49'!$C:$BQ,60,0)</f>
        <v>#N/A</v>
      </c>
      <c r="BD229" s="58" t="e">
        <f>VLOOKUP($A229,'S50'!$C:$BQ,32,0)</f>
        <v>#N/A</v>
      </c>
      <c r="BE229" s="58" t="e">
        <f>VLOOKUP($A229,'S50'!$C:$BQ,39,0)</f>
        <v>#N/A</v>
      </c>
      <c r="BF229" s="58" t="e">
        <f>VLOOKUP($A229,'S50'!$C:$BQ,40,0)</f>
        <v>#N/A</v>
      </c>
      <c r="BG229" s="58" t="e">
        <f>VLOOKUP($A229,'S50'!$C:$BQ,22,0)</f>
        <v>#N/A</v>
      </c>
      <c r="BH229" s="66" t="e">
        <f>VLOOKUP($A229,'S50'!$C:$BQ,29,0)</f>
        <v>#N/A</v>
      </c>
      <c r="BI229" s="66" t="e">
        <f>VLOOKUP($A229,'S50'!$C:$BQ,30,0)</f>
        <v>#N/A</v>
      </c>
      <c r="BJ229" s="66" t="e">
        <f>VLOOKUP($A229,'S50'!$C:$BQ,52,0)</f>
        <v>#N/A</v>
      </c>
      <c r="BK229" s="66" t="e">
        <f>VLOOKUP($A229,'S50'!$C:$BQ,59,0)</f>
        <v>#N/A</v>
      </c>
      <c r="BL229" s="66" t="e">
        <f>VLOOKUP($A229,'S50'!$C:$BQ,60,0)</f>
        <v>#N/A</v>
      </c>
    </row>
    <row r="230" spans="1:64" x14ac:dyDescent="0.2">
      <c r="A230" s="57" t="s">
        <v>301</v>
      </c>
      <c r="B230" s="58">
        <f>VLOOKUP($A230,'S0 remplacer avec S44'!$C:$BQ,32,0)</f>
        <v>186.65</v>
      </c>
      <c r="C230" s="58">
        <f>VLOOKUP($A230,'S0 remplacer avec S44'!$C:$BQ,39,0)</f>
        <v>23</v>
      </c>
      <c r="D230" s="58">
        <f>VLOOKUP($A230,'S0 remplacer avec S44'!$C:$BQ,40,0)</f>
        <v>65</v>
      </c>
      <c r="E230" s="58">
        <f>VLOOKUP($A230,'S0 remplacer avec S44'!$C:$BQ,22,0)</f>
        <v>1977.1868300000001</v>
      </c>
      <c r="F230" s="66">
        <f>VLOOKUP($A230,'S0 remplacer avec S44'!$C:$BQ,29,0)</f>
        <v>0</v>
      </c>
      <c r="G230" s="66">
        <f>VLOOKUP($A230,'S0 remplacer avec S44'!$C:$BQ,30,0)</f>
        <v>311</v>
      </c>
      <c r="H230" s="66">
        <f>VLOOKUP($A230,'S0 remplacer avec S44'!$C:$BQ,52,0)</f>
        <v>158.6</v>
      </c>
      <c r="I230" s="66">
        <f>VLOOKUP($A230,'S0 remplacer avec S44'!$C:$BQ,59,0)</f>
        <v>0</v>
      </c>
      <c r="J230" s="66">
        <f>VLOOKUP($A230,'S0 remplacer avec S44'!$C:$BQ,60,0)</f>
        <v>0</v>
      </c>
      <c r="K230" s="58">
        <f>VLOOKUP($A230,'S45'!$C:$BQ,32,0)</f>
        <v>201.15</v>
      </c>
      <c r="L230" s="58">
        <f>VLOOKUP($A230,'S45'!$C:$BQ,39,0)</f>
        <v>9</v>
      </c>
      <c r="M230" s="58">
        <f>VLOOKUP($A230,'S45'!$C:$BQ,40,0)</f>
        <v>51</v>
      </c>
      <c r="N230" s="58">
        <f>VLOOKUP($A230,'S45'!$C:$BQ,22,0)</f>
        <v>1992.8008400000001</v>
      </c>
      <c r="O230" s="66">
        <f>VLOOKUP($A230,'S45'!$C:$BQ,29,0)</f>
        <v>0</v>
      </c>
      <c r="P230" s="66">
        <f>VLOOKUP($A230,'S45'!$C:$BQ,30,0)</f>
        <v>295</v>
      </c>
      <c r="Q230" s="66">
        <f>VLOOKUP($A230,'S45'!$C:$BQ,52,0)</f>
        <v>161.6</v>
      </c>
      <c r="R230" s="66">
        <f>VLOOKUP($A230,'S45'!$C:$BQ,59,0)</f>
        <v>0</v>
      </c>
      <c r="S230" s="66">
        <f>VLOOKUP($A230,'S45'!$C:$BQ,60,0)</f>
        <v>0</v>
      </c>
      <c r="T230" s="58">
        <f>VLOOKUP($A230,'S46'!$C:$BQ,32,0)</f>
        <v>205.65</v>
      </c>
      <c r="U230" s="58">
        <f>VLOOKUP($A230,'S46'!$C:$BQ,39,0)</f>
        <v>4</v>
      </c>
      <c r="V230" s="58">
        <f>VLOOKUP($A230,'S46'!$C:$BQ,40,0)</f>
        <v>46</v>
      </c>
      <c r="W230" s="58">
        <f>VLOOKUP($A230,'S46'!$C:$BQ,22,0)</f>
        <v>2010.3578399999999</v>
      </c>
      <c r="X230" s="66">
        <f>VLOOKUP($A230,'S46'!$C:$BQ,29,0)</f>
        <v>0</v>
      </c>
      <c r="Y230" s="66">
        <f>VLOOKUP($A230,'S46'!$C:$BQ,30,0)</f>
        <v>277</v>
      </c>
      <c r="Z230" s="66">
        <f>VLOOKUP($A230,'S46'!$C:$BQ,52,0)</f>
        <v>167.6</v>
      </c>
      <c r="AA230" s="66">
        <f>VLOOKUP($A230,'S46'!$C:$BQ,59,0)</f>
        <v>0</v>
      </c>
      <c r="AB230" s="66">
        <f>VLOOKUP($A230,'S46'!$C:$BQ,60,0)</f>
        <v>0</v>
      </c>
      <c r="AC230" s="58">
        <f>VLOOKUP($A230,'S47'!$C:$BQ,32,0)</f>
        <v>215.65</v>
      </c>
      <c r="AD230" s="58">
        <f>VLOOKUP($A230,'S47'!$C:$BQ,39,0)</f>
        <v>0</v>
      </c>
      <c r="AE230" s="58">
        <f>VLOOKUP($A230,'S47'!$C:$BQ,40,0)</f>
        <v>36</v>
      </c>
      <c r="AF230" s="58">
        <f>VLOOKUP($A230,'S47'!$C:$BQ,22,0)</f>
        <v>2089.13184</v>
      </c>
      <c r="AG230" s="66">
        <f>VLOOKUP($A230,'S47'!$C:$BQ,29,0)</f>
        <v>0</v>
      </c>
      <c r="AH230" s="66">
        <f>VLOOKUP($A230,'S47'!$C:$BQ,30,0)</f>
        <v>199</v>
      </c>
      <c r="AI230" s="66">
        <f>VLOOKUP($A230,'S47'!$C:$BQ,52,0)</f>
        <v>167.6</v>
      </c>
      <c r="AJ230" s="66">
        <f>VLOOKUP($A230,'S47'!$C:$BQ,59,0)</f>
        <v>0</v>
      </c>
      <c r="AK230" s="66">
        <f>VLOOKUP($A230,'S47'!$C:$BQ,60,0)</f>
        <v>0</v>
      </c>
      <c r="AL230" s="58" t="e">
        <f>VLOOKUP($A230,'S48'!$C:$BQ,32,0)</f>
        <v>#N/A</v>
      </c>
      <c r="AM230" s="58" t="e">
        <f>VLOOKUP($A230,'S48'!$C:$BQ,39,0)</f>
        <v>#N/A</v>
      </c>
      <c r="AN230" s="58" t="e">
        <f>VLOOKUP($A230,'S48'!$C:$BQ,40,0)</f>
        <v>#N/A</v>
      </c>
      <c r="AO230" s="58" t="e">
        <f>VLOOKUP($A230,'S48'!$C:$BQ,22,0)</f>
        <v>#N/A</v>
      </c>
      <c r="AP230" s="66" t="e">
        <f>VLOOKUP($A230,'S48'!$C:$BQ,29,0)</f>
        <v>#N/A</v>
      </c>
      <c r="AQ230" s="66" t="e">
        <f>VLOOKUP($A230,'S48'!$C:$BQ,30,0)</f>
        <v>#N/A</v>
      </c>
      <c r="AR230" s="66" t="e">
        <f>VLOOKUP($A230,'S48'!$C:$BQ,52,0)</f>
        <v>#N/A</v>
      </c>
      <c r="AS230" s="66" t="e">
        <f>VLOOKUP($A230,'S48'!$C:$BQ,59,0)</f>
        <v>#N/A</v>
      </c>
      <c r="AT230" s="66" t="e">
        <f>VLOOKUP($A230,'S48'!$C:$BQ,60,0)</f>
        <v>#N/A</v>
      </c>
      <c r="AU230" s="58" t="e">
        <f>VLOOKUP($A230,'S49'!$C:$BQ,32,0)</f>
        <v>#N/A</v>
      </c>
      <c r="AV230" s="58" t="e">
        <f>VLOOKUP($A230,'S49'!$C:$BQ,39,0)</f>
        <v>#N/A</v>
      </c>
      <c r="AW230" s="58" t="e">
        <f>VLOOKUP($A230,'S49'!$C:$BQ,40,0)</f>
        <v>#N/A</v>
      </c>
      <c r="AX230" s="58" t="e">
        <f>VLOOKUP($A230,'S49'!$C:$BQ,22,0)</f>
        <v>#N/A</v>
      </c>
      <c r="AY230" s="66" t="e">
        <f>VLOOKUP($A230,'S49'!$C:$BQ,29,0)</f>
        <v>#N/A</v>
      </c>
      <c r="AZ230" s="66" t="e">
        <f>VLOOKUP($A230,'S49'!$C:$BQ,30,0)</f>
        <v>#N/A</v>
      </c>
      <c r="BA230" s="66" t="e">
        <f>VLOOKUP($A230,'S49'!$C:$BQ,52,0)</f>
        <v>#N/A</v>
      </c>
      <c r="BB230" s="66" t="e">
        <f>VLOOKUP($A230,'S49'!$C:$BQ,59,0)</f>
        <v>#N/A</v>
      </c>
      <c r="BC230" s="66" t="e">
        <f>VLOOKUP($A230,'S49'!$C:$BQ,60,0)</f>
        <v>#N/A</v>
      </c>
      <c r="BD230" s="58" t="e">
        <f>VLOOKUP($A230,'S50'!$C:$BQ,32,0)</f>
        <v>#N/A</v>
      </c>
      <c r="BE230" s="58" t="e">
        <f>VLOOKUP($A230,'S50'!$C:$BQ,39,0)</f>
        <v>#N/A</v>
      </c>
      <c r="BF230" s="58" t="e">
        <f>VLOOKUP($A230,'S50'!$C:$BQ,40,0)</f>
        <v>#N/A</v>
      </c>
      <c r="BG230" s="58" t="e">
        <f>VLOOKUP($A230,'S50'!$C:$BQ,22,0)</f>
        <v>#N/A</v>
      </c>
      <c r="BH230" s="66" t="e">
        <f>VLOOKUP($A230,'S50'!$C:$BQ,29,0)</f>
        <v>#N/A</v>
      </c>
      <c r="BI230" s="66" t="e">
        <f>VLOOKUP($A230,'S50'!$C:$BQ,30,0)</f>
        <v>#N/A</v>
      </c>
      <c r="BJ230" s="66" t="e">
        <f>VLOOKUP($A230,'S50'!$C:$BQ,52,0)</f>
        <v>#N/A</v>
      </c>
      <c r="BK230" s="66" t="e">
        <f>VLOOKUP($A230,'S50'!$C:$BQ,59,0)</f>
        <v>#N/A</v>
      </c>
      <c r="BL230" s="66" t="e">
        <f>VLOOKUP($A230,'S50'!$C:$BQ,60,0)</f>
        <v>#N/A</v>
      </c>
    </row>
    <row r="231" spans="1:64" x14ac:dyDescent="0.2">
      <c r="A231" s="57" t="s">
        <v>302</v>
      </c>
      <c r="B231" s="58">
        <f>VLOOKUP($A231,'S0 remplacer avec S44'!$C:$BQ,32,0)</f>
        <v>119.8</v>
      </c>
      <c r="C231" s="58">
        <f>VLOOKUP($A231,'S0 remplacer avec S44'!$C:$BQ,39,0)</f>
        <v>24</v>
      </c>
      <c r="D231" s="58">
        <f>VLOOKUP($A231,'S0 remplacer avec S44'!$C:$BQ,40,0)</f>
        <v>53</v>
      </c>
      <c r="E231" s="58">
        <f>VLOOKUP($A231,'S0 remplacer avec S44'!$C:$BQ,22,0)</f>
        <v>1678.911515</v>
      </c>
      <c r="F231" s="66">
        <f>VLOOKUP($A231,'S0 remplacer avec S44'!$C:$BQ,29,0)</f>
        <v>0</v>
      </c>
      <c r="G231" s="66">
        <f>VLOOKUP($A231,'S0 remplacer avec S44'!$C:$BQ,30,0)</f>
        <v>0</v>
      </c>
      <c r="H231" s="66">
        <f>VLOOKUP($A231,'S0 remplacer avec S44'!$C:$BQ,52,0)</f>
        <v>72.599999999999994</v>
      </c>
      <c r="I231" s="66">
        <f>VLOOKUP($A231,'S0 remplacer avec S44'!$C:$BQ,59,0)</f>
        <v>1</v>
      </c>
      <c r="J231" s="66">
        <f>VLOOKUP($A231,'S0 remplacer avec S44'!$C:$BQ,60,0)</f>
        <v>15</v>
      </c>
      <c r="K231" s="58">
        <f>VLOOKUP($A231,'S45'!$C:$BQ,32,0)</f>
        <v>123.8</v>
      </c>
      <c r="L231" s="58">
        <f>VLOOKUP($A231,'S45'!$C:$BQ,39,0)</f>
        <v>20</v>
      </c>
      <c r="M231" s="58">
        <f>VLOOKUP($A231,'S45'!$C:$BQ,40,0)</f>
        <v>49</v>
      </c>
      <c r="N231" s="58">
        <f>VLOOKUP($A231,'S45'!$C:$BQ,22,0)</f>
        <v>1700.1726249999999</v>
      </c>
      <c r="O231" s="66">
        <f>VLOOKUP($A231,'S45'!$C:$BQ,29,0)</f>
        <v>0</v>
      </c>
      <c r="P231" s="66">
        <f>VLOOKUP($A231,'S45'!$C:$BQ,30,0)</f>
        <v>0</v>
      </c>
      <c r="Q231" s="66">
        <f>VLOOKUP($A231,'S45'!$C:$BQ,52,0)</f>
        <v>72.599999999999994</v>
      </c>
      <c r="R231" s="66">
        <f>VLOOKUP($A231,'S45'!$C:$BQ,59,0)</f>
        <v>1</v>
      </c>
      <c r="S231" s="66">
        <f>VLOOKUP($A231,'S45'!$C:$BQ,60,0)</f>
        <v>15</v>
      </c>
      <c r="T231" s="58">
        <f>VLOOKUP($A231,'S46'!$C:$BQ,32,0)</f>
        <v>123.3</v>
      </c>
      <c r="U231" s="58">
        <f>VLOOKUP($A231,'S46'!$C:$BQ,39,0)</f>
        <v>21</v>
      </c>
      <c r="V231" s="58">
        <f>VLOOKUP($A231,'S46'!$C:$BQ,40,0)</f>
        <v>49</v>
      </c>
      <c r="W231" s="58">
        <f>VLOOKUP($A231,'S46'!$C:$BQ,22,0)</f>
        <v>1703.2826250000001</v>
      </c>
      <c r="X231" s="66">
        <f>VLOOKUP($A231,'S46'!$C:$BQ,29,0)</f>
        <v>0</v>
      </c>
      <c r="Y231" s="66">
        <f>VLOOKUP($A231,'S46'!$C:$BQ,30,0)</f>
        <v>0</v>
      </c>
      <c r="Z231" s="66">
        <f>VLOOKUP($A231,'S46'!$C:$BQ,52,0)</f>
        <v>73.599999999999994</v>
      </c>
      <c r="AA231" s="66">
        <f>VLOOKUP($A231,'S46'!$C:$BQ,59,0)</f>
        <v>0</v>
      </c>
      <c r="AB231" s="66">
        <f>VLOOKUP($A231,'S46'!$C:$BQ,60,0)</f>
        <v>14</v>
      </c>
      <c r="AC231" s="58">
        <f>VLOOKUP($A231,'S47'!$C:$BQ,32,0)</f>
        <v>125.8</v>
      </c>
      <c r="AD231" s="58">
        <f>VLOOKUP($A231,'S47'!$C:$BQ,39,0)</f>
        <v>18</v>
      </c>
      <c r="AE231" s="58">
        <f>VLOOKUP($A231,'S47'!$C:$BQ,40,0)</f>
        <v>47</v>
      </c>
      <c r="AF231" s="58">
        <f>VLOOKUP($A231,'S47'!$C:$BQ,22,0)</f>
        <v>1767.1626650000001</v>
      </c>
      <c r="AG231" s="66">
        <f>VLOOKUP($A231,'S47'!$C:$BQ,29,0)</f>
        <v>0</v>
      </c>
      <c r="AH231" s="66">
        <f>VLOOKUP($A231,'S47'!$C:$BQ,30,0)</f>
        <v>0</v>
      </c>
      <c r="AI231" s="66">
        <f>VLOOKUP($A231,'S47'!$C:$BQ,52,0)</f>
        <v>76.599999999999994</v>
      </c>
      <c r="AJ231" s="66">
        <f>VLOOKUP($A231,'S47'!$C:$BQ,59,0)</f>
        <v>0</v>
      </c>
      <c r="AK231" s="66">
        <f>VLOOKUP($A231,'S47'!$C:$BQ,60,0)</f>
        <v>11</v>
      </c>
      <c r="AL231" s="58" t="e">
        <f>VLOOKUP($A231,'S48'!$C:$BQ,32,0)</f>
        <v>#N/A</v>
      </c>
      <c r="AM231" s="58" t="e">
        <f>VLOOKUP($A231,'S48'!$C:$BQ,39,0)</f>
        <v>#N/A</v>
      </c>
      <c r="AN231" s="58" t="e">
        <f>VLOOKUP($A231,'S48'!$C:$BQ,40,0)</f>
        <v>#N/A</v>
      </c>
      <c r="AO231" s="58" t="e">
        <f>VLOOKUP($A231,'S48'!$C:$BQ,22,0)</f>
        <v>#N/A</v>
      </c>
      <c r="AP231" s="66" t="e">
        <f>VLOOKUP($A231,'S48'!$C:$BQ,29,0)</f>
        <v>#N/A</v>
      </c>
      <c r="AQ231" s="66" t="e">
        <f>VLOOKUP($A231,'S48'!$C:$BQ,30,0)</f>
        <v>#N/A</v>
      </c>
      <c r="AR231" s="66" t="e">
        <f>VLOOKUP($A231,'S48'!$C:$BQ,52,0)</f>
        <v>#N/A</v>
      </c>
      <c r="AS231" s="66" t="e">
        <f>VLOOKUP($A231,'S48'!$C:$BQ,59,0)</f>
        <v>#N/A</v>
      </c>
      <c r="AT231" s="66" t="e">
        <f>VLOOKUP($A231,'S48'!$C:$BQ,60,0)</f>
        <v>#N/A</v>
      </c>
      <c r="AU231" s="58" t="e">
        <f>VLOOKUP($A231,'S49'!$C:$BQ,32,0)</f>
        <v>#N/A</v>
      </c>
      <c r="AV231" s="58" t="e">
        <f>VLOOKUP($A231,'S49'!$C:$BQ,39,0)</f>
        <v>#N/A</v>
      </c>
      <c r="AW231" s="58" t="e">
        <f>VLOOKUP($A231,'S49'!$C:$BQ,40,0)</f>
        <v>#N/A</v>
      </c>
      <c r="AX231" s="58" t="e">
        <f>VLOOKUP($A231,'S49'!$C:$BQ,22,0)</f>
        <v>#N/A</v>
      </c>
      <c r="AY231" s="66" t="e">
        <f>VLOOKUP($A231,'S49'!$C:$BQ,29,0)</f>
        <v>#N/A</v>
      </c>
      <c r="AZ231" s="66" t="e">
        <f>VLOOKUP($A231,'S49'!$C:$BQ,30,0)</f>
        <v>#N/A</v>
      </c>
      <c r="BA231" s="66" t="e">
        <f>VLOOKUP($A231,'S49'!$C:$BQ,52,0)</f>
        <v>#N/A</v>
      </c>
      <c r="BB231" s="66" t="e">
        <f>VLOOKUP($A231,'S49'!$C:$BQ,59,0)</f>
        <v>#N/A</v>
      </c>
      <c r="BC231" s="66" t="e">
        <f>VLOOKUP($A231,'S49'!$C:$BQ,60,0)</f>
        <v>#N/A</v>
      </c>
      <c r="BD231" s="58" t="e">
        <f>VLOOKUP($A231,'S50'!$C:$BQ,32,0)</f>
        <v>#N/A</v>
      </c>
      <c r="BE231" s="58" t="e">
        <f>VLOOKUP($A231,'S50'!$C:$BQ,39,0)</f>
        <v>#N/A</v>
      </c>
      <c r="BF231" s="58" t="e">
        <f>VLOOKUP($A231,'S50'!$C:$BQ,40,0)</f>
        <v>#N/A</v>
      </c>
      <c r="BG231" s="58" t="e">
        <f>VLOOKUP($A231,'S50'!$C:$BQ,22,0)</f>
        <v>#N/A</v>
      </c>
      <c r="BH231" s="66" t="e">
        <f>VLOOKUP($A231,'S50'!$C:$BQ,29,0)</f>
        <v>#N/A</v>
      </c>
      <c r="BI231" s="66" t="e">
        <f>VLOOKUP($A231,'S50'!$C:$BQ,30,0)</f>
        <v>#N/A</v>
      </c>
      <c r="BJ231" s="66" t="e">
        <f>VLOOKUP($A231,'S50'!$C:$BQ,52,0)</f>
        <v>#N/A</v>
      </c>
      <c r="BK231" s="66" t="e">
        <f>VLOOKUP($A231,'S50'!$C:$BQ,59,0)</f>
        <v>#N/A</v>
      </c>
      <c r="BL231" s="66" t="e">
        <f>VLOOKUP($A231,'S50'!$C:$BQ,60,0)</f>
        <v>#N/A</v>
      </c>
    </row>
    <row r="232" spans="1:64" x14ac:dyDescent="0.2">
      <c r="A232" s="57" t="s">
        <v>303</v>
      </c>
      <c r="B232" s="58">
        <f>VLOOKUP($A232,'S0 remplacer avec S44'!$C:$BQ,32,0)</f>
        <v>210</v>
      </c>
      <c r="C232" s="58">
        <f>VLOOKUP($A232,'S0 remplacer avec S44'!$C:$BQ,39,0)</f>
        <v>0</v>
      </c>
      <c r="D232" s="58">
        <f>VLOOKUP($A232,'S0 remplacer avec S44'!$C:$BQ,40,0)</f>
        <v>13</v>
      </c>
      <c r="E232" s="58">
        <f>VLOOKUP($A232,'S0 remplacer avec S44'!$C:$BQ,22,0)</f>
        <v>1879.09563</v>
      </c>
      <c r="F232" s="66">
        <f>VLOOKUP($A232,'S0 remplacer avec S44'!$C:$BQ,29,0)</f>
        <v>0</v>
      </c>
      <c r="G232" s="66">
        <f>VLOOKUP($A232,'S0 remplacer avec S44'!$C:$BQ,30,0)</f>
        <v>141</v>
      </c>
      <c r="H232" s="66">
        <f>VLOOKUP($A232,'S0 remplacer avec S44'!$C:$BQ,52,0)</f>
        <v>123.6</v>
      </c>
      <c r="I232" s="66">
        <f>VLOOKUP($A232,'S0 remplacer avec S44'!$C:$BQ,59,0)</f>
        <v>0</v>
      </c>
      <c r="J232" s="66">
        <f>VLOOKUP($A232,'S0 remplacer avec S44'!$C:$BQ,60,0)</f>
        <v>0</v>
      </c>
      <c r="K232" s="58">
        <f>VLOOKUP($A232,'S45'!$C:$BQ,32,0)</f>
        <v>215</v>
      </c>
      <c r="L232" s="58">
        <f>VLOOKUP($A232,'S45'!$C:$BQ,39,0)</f>
        <v>0</v>
      </c>
      <c r="M232" s="58">
        <f>VLOOKUP($A232,'S45'!$C:$BQ,40,0)</f>
        <v>8</v>
      </c>
      <c r="N232" s="58">
        <f>VLOOKUP($A232,'S45'!$C:$BQ,22,0)</f>
        <v>1937.27088</v>
      </c>
      <c r="O232" s="66">
        <f>VLOOKUP($A232,'S45'!$C:$BQ,29,0)</f>
        <v>0</v>
      </c>
      <c r="P232" s="66">
        <f>VLOOKUP($A232,'S45'!$C:$BQ,30,0)</f>
        <v>83</v>
      </c>
      <c r="Q232" s="66">
        <f>VLOOKUP($A232,'S45'!$C:$BQ,52,0)</f>
        <v>127.6</v>
      </c>
      <c r="R232" s="66">
        <f>VLOOKUP($A232,'S45'!$C:$BQ,59,0)</f>
        <v>0</v>
      </c>
      <c r="S232" s="66">
        <f>VLOOKUP($A232,'S45'!$C:$BQ,60,0)</f>
        <v>0</v>
      </c>
      <c r="T232" s="58">
        <f>VLOOKUP($A232,'S46'!$C:$BQ,32,0)</f>
        <v>218.5</v>
      </c>
      <c r="U232" s="58">
        <f>VLOOKUP($A232,'S46'!$C:$BQ,39,0)</f>
        <v>0</v>
      </c>
      <c r="V232" s="58">
        <f>VLOOKUP($A232,'S46'!$C:$BQ,40,0)</f>
        <v>4</v>
      </c>
      <c r="W232" s="58">
        <f>VLOOKUP($A232,'S46'!$C:$BQ,22,0)</f>
        <v>1941.42091</v>
      </c>
      <c r="X232" s="66">
        <f>VLOOKUP($A232,'S46'!$C:$BQ,29,0)</f>
        <v>0</v>
      </c>
      <c r="Y232" s="66">
        <f>VLOOKUP($A232,'S46'!$C:$BQ,30,0)</f>
        <v>79</v>
      </c>
      <c r="Z232" s="66">
        <f>VLOOKUP($A232,'S46'!$C:$BQ,52,0)</f>
        <v>128.6</v>
      </c>
      <c r="AA232" s="66">
        <f>VLOOKUP($A232,'S46'!$C:$BQ,59,0)</f>
        <v>0</v>
      </c>
      <c r="AB232" s="66">
        <f>VLOOKUP($A232,'S46'!$C:$BQ,60,0)</f>
        <v>0</v>
      </c>
      <c r="AC232" s="58">
        <f>VLOOKUP($A232,'S47'!$C:$BQ,32,0)</f>
        <v>228</v>
      </c>
      <c r="AD232" s="58">
        <f>VLOOKUP($A232,'S47'!$C:$BQ,39,0)</f>
        <v>0</v>
      </c>
      <c r="AE232" s="58">
        <f>VLOOKUP($A232,'S47'!$C:$BQ,40,0)</f>
        <v>0</v>
      </c>
      <c r="AF232" s="58">
        <f>VLOOKUP($A232,'S47'!$C:$BQ,22,0)</f>
        <v>1983.8688400000001</v>
      </c>
      <c r="AG232" s="66">
        <f>VLOOKUP($A232,'S47'!$C:$BQ,29,0)</f>
        <v>0</v>
      </c>
      <c r="AH232" s="66">
        <f>VLOOKUP($A232,'S47'!$C:$BQ,30,0)</f>
        <v>37</v>
      </c>
      <c r="AI232" s="66">
        <f>VLOOKUP($A232,'S47'!$C:$BQ,52,0)</f>
        <v>129.6</v>
      </c>
      <c r="AJ232" s="66">
        <f>VLOOKUP($A232,'S47'!$C:$BQ,59,0)</f>
        <v>0</v>
      </c>
      <c r="AK232" s="66">
        <f>VLOOKUP($A232,'S47'!$C:$BQ,60,0)</f>
        <v>0</v>
      </c>
      <c r="AL232" s="58" t="e">
        <f>VLOOKUP($A232,'S48'!$C:$BQ,32,0)</f>
        <v>#N/A</v>
      </c>
      <c r="AM232" s="58" t="e">
        <f>VLOOKUP($A232,'S48'!$C:$BQ,39,0)</f>
        <v>#N/A</v>
      </c>
      <c r="AN232" s="58" t="e">
        <f>VLOOKUP($A232,'S48'!$C:$BQ,40,0)</f>
        <v>#N/A</v>
      </c>
      <c r="AO232" s="58" t="e">
        <f>VLOOKUP($A232,'S48'!$C:$BQ,22,0)</f>
        <v>#N/A</v>
      </c>
      <c r="AP232" s="66" t="e">
        <f>VLOOKUP($A232,'S48'!$C:$BQ,29,0)</f>
        <v>#N/A</v>
      </c>
      <c r="AQ232" s="66" t="e">
        <f>VLOOKUP($A232,'S48'!$C:$BQ,30,0)</f>
        <v>#N/A</v>
      </c>
      <c r="AR232" s="66" t="e">
        <f>VLOOKUP($A232,'S48'!$C:$BQ,52,0)</f>
        <v>#N/A</v>
      </c>
      <c r="AS232" s="66" t="e">
        <f>VLOOKUP($A232,'S48'!$C:$BQ,59,0)</f>
        <v>#N/A</v>
      </c>
      <c r="AT232" s="66" t="e">
        <f>VLOOKUP($A232,'S48'!$C:$BQ,60,0)</f>
        <v>#N/A</v>
      </c>
      <c r="AU232" s="58" t="e">
        <f>VLOOKUP($A232,'S49'!$C:$BQ,32,0)</f>
        <v>#N/A</v>
      </c>
      <c r="AV232" s="58" t="e">
        <f>VLOOKUP($A232,'S49'!$C:$BQ,39,0)</f>
        <v>#N/A</v>
      </c>
      <c r="AW232" s="58" t="e">
        <f>VLOOKUP($A232,'S49'!$C:$BQ,40,0)</f>
        <v>#N/A</v>
      </c>
      <c r="AX232" s="58" t="e">
        <f>VLOOKUP($A232,'S49'!$C:$BQ,22,0)</f>
        <v>#N/A</v>
      </c>
      <c r="AY232" s="66" t="e">
        <f>VLOOKUP($A232,'S49'!$C:$BQ,29,0)</f>
        <v>#N/A</v>
      </c>
      <c r="AZ232" s="66" t="e">
        <f>VLOOKUP($A232,'S49'!$C:$BQ,30,0)</f>
        <v>#N/A</v>
      </c>
      <c r="BA232" s="66" t="e">
        <f>VLOOKUP($A232,'S49'!$C:$BQ,52,0)</f>
        <v>#N/A</v>
      </c>
      <c r="BB232" s="66" t="e">
        <f>VLOOKUP($A232,'S49'!$C:$BQ,59,0)</f>
        <v>#N/A</v>
      </c>
      <c r="BC232" s="66" t="e">
        <f>VLOOKUP($A232,'S49'!$C:$BQ,60,0)</f>
        <v>#N/A</v>
      </c>
      <c r="BD232" s="58" t="e">
        <f>VLOOKUP($A232,'S50'!$C:$BQ,32,0)</f>
        <v>#N/A</v>
      </c>
      <c r="BE232" s="58" t="e">
        <f>VLOOKUP($A232,'S50'!$C:$BQ,39,0)</f>
        <v>#N/A</v>
      </c>
      <c r="BF232" s="58" t="e">
        <f>VLOOKUP($A232,'S50'!$C:$BQ,40,0)</f>
        <v>#N/A</v>
      </c>
      <c r="BG232" s="58" t="e">
        <f>VLOOKUP($A232,'S50'!$C:$BQ,22,0)</f>
        <v>#N/A</v>
      </c>
      <c r="BH232" s="66" t="e">
        <f>VLOOKUP($A232,'S50'!$C:$BQ,29,0)</f>
        <v>#N/A</v>
      </c>
      <c r="BI232" s="66" t="e">
        <f>VLOOKUP($A232,'S50'!$C:$BQ,30,0)</f>
        <v>#N/A</v>
      </c>
      <c r="BJ232" s="66" t="e">
        <f>VLOOKUP($A232,'S50'!$C:$BQ,52,0)</f>
        <v>#N/A</v>
      </c>
      <c r="BK232" s="66" t="e">
        <f>VLOOKUP($A232,'S50'!$C:$BQ,59,0)</f>
        <v>#N/A</v>
      </c>
      <c r="BL232" s="66" t="e">
        <f>VLOOKUP($A232,'S50'!$C:$BQ,60,0)</f>
        <v>#N/A</v>
      </c>
    </row>
    <row r="233" spans="1:64" x14ac:dyDescent="0.2">
      <c r="A233" s="57" t="s">
        <v>304</v>
      </c>
      <c r="B233" s="58">
        <f>VLOOKUP($A233,'S0 remplacer avec S44'!$C:$BQ,32,0)</f>
        <v>138.30000000000001</v>
      </c>
      <c r="C233" s="58">
        <f>VLOOKUP($A233,'S0 remplacer avec S44'!$C:$BQ,39,0)</f>
        <v>67</v>
      </c>
      <c r="D233" s="58">
        <f>VLOOKUP($A233,'S0 remplacer avec S44'!$C:$BQ,40,0)</f>
        <v>108</v>
      </c>
      <c r="E233" s="58">
        <f>VLOOKUP($A233,'S0 remplacer avec S44'!$C:$BQ,22,0)</f>
        <v>1229.027525</v>
      </c>
      <c r="F233" s="66">
        <f>VLOOKUP($A233,'S0 remplacer avec S44'!$C:$BQ,29,0)</f>
        <v>631</v>
      </c>
      <c r="G233" s="66">
        <f>VLOOKUP($A233,'S0 remplacer avec S44'!$C:$BQ,30,0)</f>
        <v>1003</v>
      </c>
      <c r="H233" s="66">
        <f>VLOOKUP($A233,'S0 remplacer avec S44'!$C:$BQ,52,0)</f>
        <v>79</v>
      </c>
      <c r="I233" s="66">
        <f>VLOOKUP($A233,'S0 remplacer avec S44'!$C:$BQ,59,0)</f>
        <v>25</v>
      </c>
      <c r="J233" s="66">
        <f>VLOOKUP($A233,'S0 remplacer avec S44'!$C:$BQ,60,0)</f>
        <v>46</v>
      </c>
      <c r="K233" s="58">
        <f>VLOOKUP($A233,'S45'!$C:$BQ,32,0)</f>
        <v>140.30000000000001</v>
      </c>
      <c r="L233" s="58">
        <f>VLOOKUP($A233,'S45'!$C:$BQ,39,0)</f>
        <v>65</v>
      </c>
      <c r="M233" s="58">
        <f>VLOOKUP($A233,'S45'!$C:$BQ,40,0)</f>
        <v>106</v>
      </c>
      <c r="N233" s="58">
        <f>VLOOKUP($A233,'S45'!$C:$BQ,22,0)</f>
        <v>1261.249305</v>
      </c>
      <c r="O233" s="66">
        <f>VLOOKUP($A233,'S45'!$C:$BQ,29,0)</f>
        <v>599</v>
      </c>
      <c r="P233" s="66">
        <f>VLOOKUP($A233,'S45'!$C:$BQ,30,0)</f>
        <v>971</v>
      </c>
      <c r="Q233" s="66">
        <f>VLOOKUP($A233,'S45'!$C:$BQ,52,0)</f>
        <v>80</v>
      </c>
      <c r="R233" s="66">
        <f>VLOOKUP($A233,'S45'!$C:$BQ,59,0)</f>
        <v>24</v>
      </c>
      <c r="S233" s="66">
        <f>VLOOKUP($A233,'S45'!$C:$BQ,60,0)</f>
        <v>45</v>
      </c>
      <c r="T233" s="58">
        <f>VLOOKUP($A233,'S46'!$C:$BQ,32,0)</f>
        <v>140.30000000000001</v>
      </c>
      <c r="U233" s="58">
        <f>VLOOKUP($A233,'S46'!$C:$BQ,39,0)</f>
        <v>65</v>
      </c>
      <c r="V233" s="58">
        <f>VLOOKUP($A233,'S46'!$C:$BQ,40,0)</f>
        <v>106</v>
      </c>
      <c r="W233" s="58">
        <f>VLOOKUP($A233,'S46'!$C:$BQ,22,0)</f>
        <v>1261.8269250000001</v>
      </c>
      <c r="X233" s="66">
        <f>VLOOKUP($A233,'S46'!$C:$BQ,29,0)</f>
        <v>598</v>
      </c>
      <c r="Y233" s="66">
        <f>VLOOKUP($A233,'S46'!$C:$BQ,30,0)</f>
        <v>970</v>
      </c>
      <c r="Z233" s="66">
        <f>VLOOKUP($A233,'S46'!$C:$BQ,52,0)</f>
        <v>84</v>
      </c>
      <c r="AA233" s="66">
        <f>VLOOKUP($A233,'S46'!$C:$BQ,59,0)</f>
        <v>20</v>
      </c>
      <c r="AB233" s="66">
        <f>VLOOKUP($A233,'S46'!$C:$BQ,60,0)</f>
        <v>41</v>
      </c>
      <c r="AC233" s="58">
        <f>VLOOKUP($A233,'S47'!$C:$BQ,32,0)</f>
        <v>153.30000000000001</v>
      </c>
      <c r="AD233" s="58">
        <f>VLOOKUP($A233,'S47'!$C:$BQ,39,0)</f>
        <v>52</v>
      </c>
      <c r="AE233" s="58">
        <f>VLOOKUP($A233,'S47'!$C:$BQ,40,0)</f>
        <v>93</v>
      </c>
      <c r="AF233" s="58">
        <f>VLOOKUP($A233,'S47'!$C:$BQ,22,0)</f>
        <v>1318.7503850000001</v>
      </c>
      <c r="AG233" s="66">
        <f>VLOOKUP($A233,'S47'!$C:$BQ,29,0)</f>
        <v>541</v>
      </c>
      <c r="AH233" s="66">
        <f>VLOOKUP($A233,'S47'!$C:$BQ,30,0)</f>
        <v>913</v>
      </c>
      <c r="AI233" s="66">
        <f>VLOOKUP($A233,'S47'!$C:$BQ,52,0)</f>
        <v>86</v>
      </c>
      <c r="AJ233" s="66">
        <f>VLOOKUP($A233,'S47'!$C:$BQ,59,0)</f>
        <v>18</v>
      </c>
      <c r="AK233" s="66">
        <f>VLOOKUP($A233,'S47'!$C:$BQ,60,0)</f>
        <v>39</v>
      </c>
      <c r="AL233" s="58" t="e">
        <f>VLOOKUP($A233,'S48'!$C:$BQ,32,0)</f>
        <v>#N/A</v>
      </c>
      <c r="AM233" s="58" t="e">
        <f>VLOOKUP($A233,'S48'!$C:$BQ,39,0)</f>
        <v>#N/A</v>
      </c>
      <c r="AN233" s="58" t="e">
        <f>VLOOKUP($A233,'S48'!$C:$BQ,40,0)</f>
        <v>#N/A</v>
      </c>
      <c r="AO233" s="58" t="e">
        <f>VLOOKUP($A233,'S48'!$C:$BQ,22,0)</f>
        <v>#N/A</v>
      </c>
      <c r="AP233" s="66" t="e">
        <f>VLOOKUP($A233,'S48'!$C:$BQ,29,0)</f>
        <v>#N/A</v>
      </c>
      <c r="AQ233" s="66" t="e">
        <f>VLOOKUP($A233,'S48'!$C:$BQ,30,0)</f>
        <v>#N/A</v>
      </c>
      <c r="AR233" s="66" t="e">
        <f>VLOOKUP($A233,'S48'!$C:$BQ,52,0)</f>
        <v>#N/A</v>
      </c>
      <c r="AS233" s="66" t="e">
        <f>VLOOKUP($A233,'S48'!$C:$BQ,59,0)</f>
        <v>#N/A</v>
      </c>
      <c r="AT233" s="66" t="e">
        <f>VLOOKUP($A233,'S48'!$C:$BQ,60,0)</f>
        <v>#N/A</v>
      </c>
      <c r="AU233" s="58" t="e">
        <f>VLOOKUP($A233,'S49'!$C:$BQ,32,0)</f>
        <v>#N/A</v>
      </c>
      <c r="AV233" s="58" t="e">
        <f>VLOOKUP($A233,'S49'!$C:$BQ,39,0)</f>
        <v>#N/A</v>
      </c>
      <c r="AW233" s="58" t="e">
        <f>VLOOKUP($A233,'S49'!$C:$BQ,40,0)</f>
        <v>#N/A</v>
      </c>
      <c r="AX233" s="58" t="e">
        <f>VLOOKUP($A233,'S49'!$C:$BQ,22,0)</f>
        <v>#N/A</v>
      </c>
      <c r="AY233" s="66" t="e">
        <f>VLOOKUP($A233,'S49'!$C:$BQ,29,0)</f>
        <v>#N/A</v>
      </c>
      <c r="AZ233" s="66" t="e">
        <f>VLOOKUP($A233,'S49'!$C:$BQ,30,0)</f>
        <v>#N/A</v>
      </c>
      <c r="BA233" s="66" t="e">
        <f>VLOOKUP($A233,'S49'!$C:$BQ,52,0)</f>
        <v>#N/A</v>
      </c>
      <c r="BB233" s="66" t="e">
        <f>VLOOKUP($A233,'S49'!$C:$BQ,59,0)</f>
        <v>#N/A</v>
      </c>
      <c r="BC233" s="66" t="e">
        <f>VLOOKUP($A233,'S49'!$C:$BQ,60,0)</f>
        <v>#N/A</v>
      </c>
      <c r="BD233" s="58" t="e">
        <f>VLOOKUP($A233,'S50'!$C:$BQ,32,0)</f>
        <v>#N/A</v>
      </c>
      <c r="BE233" s="58" t="e">
        <f>VLOOKUP($A233,'S50'!$C:$BQ,39,0)</f>
        <v>#N/A</v>
      </c>
      <c r="BF233" s="58" t="e">
        <f>VLOOKUP($A233,'S50'!$C:$BQ,40,0)</f>
        <v>#N/A</v>
      </c>
      <c r="BG233" s="58" t="e">
        <f>VLOOKUP($A233,'S50'!$C:$BQ,22,0)</f>
        <v>#N/A</v>
      </c>
      <c r="BH233" s="66" t="e">
        <f>VLOOKUP($A233,'S50'!$C:$BQ,29,0)</f>
        <v>#N/A</v>
      </c>
      <c r="BI233" s="66" t="e">
        <f>VLOOKUP($A233,'S50'!$C:$BQ,30,0)</f>
        <v>#N/A</v>
      </c>
      <c r="BJ233" s="66" t="e">
        <f>VLOOKUP($A233,'S50'!$C:$BQ,52,0)</f>
        <v>#N/A</v>
      </c>
      <c r="BK233" s="66" t="e">
        <f>VLOOKUP($A233,'S50'!$C:$BQ,59,0)</f>
        <v>#N/A</v>
      </c>
      <c r="BL233" s="66" t="e">
        <f>VLOOKUP($A233,'S50'!$C:$BQ,60,0)</f>
        <v>#N/A</v>
      </c>
    </row>
    <row r="234" spans="1:64" x14ac:dyDescent="0.2">
      <c r="A234" s="57" t="s">
        <v>305</v>
      </c>
      <c r="B234" s="58">
        <f>VLOOKUP($A234,'S0 remplacer avec S44'!$C:$BQ,32,0)</f>
        <v>181.5</v>
      </c>
      <c r="C234" s="58">
        <f>VLOOKUP($A234,'S0 remplacer avec S44'!$C:$BQ,39,0)</f>
        <v>0</v>
      </c>
      <c r="D234" s="58">
        <f>VLOOKUP($A234,'S0 remplacer avec S44'!$C:$BQ,40,0)</f>
        <v>35</v>
      </c>
      <c r="E234" s="58">
        <f>VLOOKUP($A234,'S0 remplacer avec S44'!$C:$BQ,22,0)</f>
        <v>1640.8411599999999</v>
      </c>
      <c r="F234" s="66">
        <f>VLOOKUP($A234,'S0 remplacer avec S44'!$C:$BQ,29,0)</f>
        <v>0</v>
      </c>
      <c r="G234" s="66">
        <f>VLOOKUP($A234,'S0 remplacer avec S44'!$C:$BQ,30,0)</f>
        <v>323</v>
      </c>
      <c r="H234" s="66">
        <f>VLOOKUP($A234,'S0 remplacer avec S44'!$C:$BQ,52,0)</f>
        <v>131.6</v>
      </c>
      <c r="I234" s="66">
        <f>VLOOKUP($A234,'S0 remplacer avec S44'!$C:$BQ,59,0)</f>
        <v>0</v>
      </c>
      <c r="J234" s="66">
        <f>VLOOKUP($A234,'S0 remplacer avec S44'!$C:$BQ,60,0)</f>
        <v>0</v>
      </c>
      <c r="K234" s="58">
        <f>VLOOKUP($A234,'S45'!$C:$BQ,32,0)</f>
        <v>181.5</v>
      </c>
      <c r="L234" s="58">
        <f>VLOOKUP($A234,'S45'!$C:$BQ,39,0)</f>
        <v>0</v>
      </c>
      <c r="M234" s="58">
        <f>VLOOKUP($A234,'S45'!$C:$BQ,40,0)</f>
        <v>35</v>
      </c>
      <c r="N234" s="58">
        <f>VLOOKUP($A234,'S45'!$C:$BQ,22,0)</f>
        <v>1644.2448199999999</v>
      </c>
      <c r="O234" s="66">
        <f>VLOOKUP($A234,'S45'!$C:$BQ,29,0)</f>
        <v>0</v>
      </c>
      <c r="P234" s="66">
        <f>VLOOKUP($A234,'S45'!$C:$BQ,30,0)</f>
        <v>320</v>
      </c>
      <c r="Q234" s="66">
        <f>VLOOKUP($A234,'S45'!$C:$BQ,52,0)</f>
        <v>131.6</v>
      </c>
      <c r="R234" s="66">
        <f>VLOOKUP($A234,'S45'!$C:$BQ,59,0)</f>
        <v>0</v>
      </c>
      <c r="S234" s="66">
        <f>VLOOKUP($A234,'S45'!$C:$BQ,60,0)</f>
        <v>0</v>
      </c>
      <c r="T234" s="58">
        <f>VLOOKUP($A234,'S46'!$C:$BQ,32,0)</f>
        <v>181.5</v>
      </c>
      <c r="U234" s="58">
        <f>VLOOKUP($A234,'S46'!$C:$BQ,39,0)</f>
        <v>0</v>
      </c>
      <c r="V234" s="58">
        <f>VLOOKUP($A234,'S46'!$C:$BQ,40,0)</f>
        <v>35</v>
      </c>
      <c r="W234" s="58">
        <f>VLOOKUP($A234,'S46'!$C:$BQ,22,0)</f>
        <v>1652.8358499999999</v>
      </c>
      <c r="X234" s="66">
        <f>VLOOKUP($A234,'S46'!$C:$BQ,29,0)</f>
        <v>0</v>
      </c>
      <c r="Y234" s="66">
        <f>VLOOKUP($A234,'S46'!$C:$BQ,30,0)</f>
        <v>312</v>
      </c>
      <c r="Z234" s="66">
        <f>VLOOKUP($A234,'S46'!$C:$BQ,52,0)</f>
        <v>131.6</v>
      </c>
      <c r="AA234" s="66">
        <f>VLOOKUP($A234,'S46'!$C:$BQ,59,0)</f>
        <v>0</v>
      </c>
      <c r="AB234" s="66">
        <f>VLOOKUP($A234,'S46'!$C:$BQ,60,0)</f>
        <v>0</v>
      </c>
      <c r="AC234" s="58">
        <f>VLOOKUP($A234,'S47'!$C:$BQ,32,0)</f>
        <v>187</v>
      </c>
      <c r="AD234" s="58">
        <f>VLOOKUP($A234,'S47'!$C:$BQ,39,0)</f>
        <v>0</v>
      </c>
      <c r="AE234" s="58">
        <f>VLOOKUP($A234,'S47'!$C:$BQ,40,0)</f>
        <v>29</v>
      </c>
      <c r="AF234" s="58">
        <f>VLOOKUP($A234,'S47'!$C:$BQ,22,0)</f>
        <v>1698.5821100000001</v>
      </c>
      <c r="AG234" s="66">
        <f>VLOOKUP($A234,'S47'!$C:$BQ,29,0)</f>
        <v>0</v>
      </c>
      <c r="AH234" s="66">
        <f>VLOOKUP($A234,'S47'!$C:$BQ,30,0)</f>
        <v>266</v>
      </c>
      <c r="AI234" s="66">
        <f>VLOOKUP($A234,'S47'!$C:$BQ,52,0)</f>
        <v>132.6</v>
      </c>
      <c r="AJ234" s="66">
        <f>VLOOKUP($A234,'S47'!$C:$BQ,59,0)</f>
        <v>0</v>
      </c>
      <c r="AK234" s="66">
        <f>VLOOKUP($A234,'S47'!$C:$BQ,60,0)</f>
        <v>0</v>
      </c>
      <c r="AL234" s="58" t="e">
        <f>VLOOKUP($A234,'S48'!$C:$BQ,32,0)</f>
        <v>#N/A</v>
      </c>
      <c r="AM234" s="58" t="e">
        <f>VLOOKUP($A234,'S48'!$C:$BQ,39,0)</f>
        <v>#N/A</v>
      </c>
      <c r="AN234" s="58" t="e">
        <f>VLOOKUP($A234,'S48'!$C:$BQ,40,0)</f>
        <v>#N/A</v>
      </c>
      <c r="AO234" s="58" t="e">
        <f>VLOOKUP($A234,'S48'!$C:$BQ,22,0)</f>
        <v>#N/A</v>
      </c>
      <c r="AP234" s="66" t="e">
        <f>VLOOKUP($A234,'S48'!$C:$BQ,29,0)</f>
        <v>#N/A</v>
      </c>
      <c r="AQ234" s="66" t="e">
        <f>VLOOKUP($A234,'S48'!$C:$BQ,30,0)</f>
        <v>#N/A</v>
      </c>
      <c r="AR234" s="66" t="e">
        <f>VLOOKUP($A234,'S48'!$C:$BQ,52,0)</f>
        <v>#N/A</v>
      </c>
      <c r="AS234" s="66" t="e">
        <f>VLOOKUP($A234,'S48'!$C:$BQ,59,0)</f>
        <v>#N/A</v>
      </c>
      <c r="AT234" s="66" t="e">
        <f>VLOOKUP($A234,'S48'!$C:$BQ,60,0)</f>
        <v>#N/A</v>
      </c>
      <c r="AU234" s="58" t="e">
        <f>VLOOKUP($A234,'S49'!$C:$BQ,32,0)</f>
        <v>#N/A</v>
      </c>
      <c r="AV234" s="58" t="e">
        <f>VLOOKUP($A234,'S49'!$C:$BQ,39,0)</f>
        <v>#N/A</v>
      </c>
      <c r="AW234" s="58" t="e">
        <f>VLOOKUP($A234,'S49'!$C:$BQ,40,0)</f>
        <v>#N/A</v>
      </c>
      <c r="AX234" s="58" t="e">
        <f>VLOOKUP($A234,'S49'!$C:$BQ,22,0)</f>
        <v>#N/A</v>
      </c>
      <c r="AY234" s="66" t="e">
        <f>VLOOKUP($A234,'S49'!$C:$BQ,29,0)</f>
        <v>#N/A</v>
      </c>
      <c r="AZ234" s="66" t="e">
        <f>VLOOKUP($A234,'S49'!$C:$BQ,30,0)</f>
        <v>#N/A</v>
      </c>
      <c r="BA234" s="66" t="e">
        <f>VLOOKUP($A234,'S49'!$C:$BQ,52,0)</f>
        <v>#N/A</v>
      </c>
      <c r="BB234" s="66" t="e">
        <f>VLOOKUP($A234,'S49'!$C:$BQ,59,0)</f>
        <v>#N/A</v>
      </c>
      <c r="BC234" s="66" t="e">
        <f>VLOOKUP($A234,'S49'!$C:$BQ,60,0)</f>
        <v>#N/A</v>
      </c>
      <c r="BD234" s="58" t="e">
        <f>VLOOKUP($A234,'S50'!$C:$BQ,32,0)</f>
        <v>#N/A</v>
      </c>
      <c r="BE234" s="58" t="e">
        <f>VLOOKUP($A234,'S50'!$C:$BQ,39,0)</f>
        <v>#N/A</v>
      </c>
      <c r="BF234" s="58" t="e">
        <f>VLOOKUP($A234,'S50'!$C:$BQ,40,0)</f>
        <v>#N/A</v>
      </c>
      <c r="BG234" s="58" t="e">
        <f>VLOOKUP($A234,'S50'!$C:$BQ,22,0)</f>
        <v>#N/A</v>
      </c>
      <c r="BH234" s="66" t="e">
        <f>VLOOKUP($A234,'S50'!$C:$BQ,29,0)</f>
        <v>#N/A</v>
      </c>
      <c r="BI234" s="66" t="e">
        <f>VLOOKUP($A234,'S50'!$C:$BQ,30,0)</f>
        <v>#N/A</v>
      </c>
      <c r="BJ234" s="66" t="e">
        <f>VLOOKUP($A234,'S50'!$C:$BQ,52,0)</f>
        <v>#N/A</v>
      </c>
      <c r="BK234" s="66" t="e">
        <f>VLOOKUP($A234,'S50'!$C:$BQ,59,0)</f>
        <v>#N/A</v>
      </c>
      <c r="BL234" s="66" t="e">
        <f>VLOOKUP($A234,'S50'!$C:$BQ,60,0)</f>
        <v>#N/A</v>
      </c>
    </row>
    <row r="235" spans="1:64" x14ac:dyDescent="0.2">
      <c r="A235" s="57" t="s">
        <v>306</v>
      </c>
      <c r="B235" s="58">
        <f>VLOOKUP($A235,'S0 remplacer avec S44'!$C:$BQ,32,0)</f>
        <v>525.79999999999995</v>
      </c>
      <c r="C235" s="58">
        <f>VLOOKUP($A235,'S0 remplacer avec S44'!$C:$BQ,39,0)</f>
        <v>54</v>
      </c>
      <c r="D235" s="58">
        <f>VLOOKUP($A235,'S0 remplacer avec S44'!$C:$BQ,40,0)</f>
        <v>170</v>
      </c>
      <c r="E235" s="58">
        <f>VLOOKUP($A235,'S0 remplacer avec S44'!$C:$BQ,22,0)</f>
        <v>5144.4683949999999</v>
      </c>
      <c r="F235" s="66">
        <f>VLOOKUP($A235,'S0 remplacer avec S44'!$C:$BQ,29,0)</f>
        <v>128</v>
      </c>
      <c r="G235" s="66">
        <f>VLOOKUP($A235,'S0 remplacer avec S44'!$C:$BQ,30,0)</f>
        <v>1183</v>
      </c>
      <c r="H235" s="66">
        <f>VLOOKUP($A235,'S0 remplacer avec S44'!$C:$BQ,52,0)</f>
        <v>356</v>
      </c>
      <c r="I235" s="66">
        <f>VLOOKUP($A235,'S0 remplacer avec S44'!$C:$BQ,59,0)</f>
        <v>0</v>
      </c>
      <c r="J235" s="66">
        <f>VLOOKUP($A235,'S0 remplacer avec S44'!$C:$BQ,60,0)</f>
        <v>0</v>
      </c>
      <c r="K235" s="58">
        <f>VLOOKUP($A235,'S45'!$C:$BQ,32,0)</f>
        <v>550.29999999999995</v>
      </c>
      <c r="L235" s="58">
        <f>VLOOKUP($A235,'S45'!$C:$BQ,39,0)</f>
        <v>30</v>
      </c>
      <c r="M235" s="58">
        <f>VLOOKUP($A235,'S45'!$C:$BQ,40,0)</f>
        <v>146</v>
      </c>
      <c r="N235" s="58">
        <f>VLOOKUP($A235,'S45'!$C:$BQ,22,0)</f>
        <v>5286.7493850000001</v>
      </c>
      <c r="O235" s="66">
        <f>VLOOKUP($A235,'S45'!$C:$BQ,29,0)</f>
        <v>0</v>
      </c>
      <c r="P235" s="66">
        <f>VLOOKUP($A235,'S45'!$C:$BQ,30,0)</f>
        <v>1041</v>
      </c>
      <c r="Q235" s="66">
        <f>VLOOKUP($A235,'S45'!$C:$BQ,52,0)</f>
        <v>362</v>
      </c>
      <c r="R235" s="66">
        <f>VLOOKUP($A235,'S45'!$C:$BQ,59,0)</f>
        <v>0</v>
      </c>
      <c r="S235" s="66">
        <f>VLOOKUP($A235,'S45'!$C:$BQ,60,0)</f>
        <v>0</v>
      </c>
      <c r="T235" s="58">
        <f>VLOOKUP($A235,'S46'!$C:$BQ,32,0)</f>
        <v>551.79999999999995</v>
      </c>
      <c r="U235" s="58">
        <f>VLOOKUP($A235,'S46'!$C:$BQ,39,0)</f>
        <v>28</v>
      </c>
      <c r="V235" s="58">
        <f>VLOOKUP($A235,'S46'!$C:$BQ,40,0)</f>
        <v>144</v>
      </c>
      <c r="W235" s="58">
        <f>VLOOKUP($A235,'S46'!$C:$BQ,22,0)</f>
        <v>5320.7460350000001</v>
      </c>
      <c r="X235" s="66">
        <f>VLOOKUP($A235,'S46'!$C:$BQ,29,0)</f>
        <v>0</v>
      </c>
      <c r="Y235" s="66">
        <f>VLOOKUP($A235,'S46'!$C:$BQ,30,0)</f>
        <v>1007</v>
      </c>
      <c r="Z235" s="66">
        <f>VLOOKUP($A235,'S46'!$C:$BQ,52,0)</f>
        <v>363</v>
      </c>
      <c r="AA235" s="66">
        <f>VLOOKUP($A235,'S46'!$C:$BQ,59,0)</f>
        <v>0</v>
      </c>
      <c r="AB235" s="66">
        <f>VLOOKUP($A235,'S46'!$C:$BQ,60,0)</f>
        <v>0</v>
      </c>
      <c r="AC235" s="58">
        <f>VLOOKUP($A235,'S47'!$C:$BQ,32,0)</f>
        <v>575.29999999999995</v>
      </c>
      <c r="AD235" s="58">
        <f>VLOOKUP($A235,'S47'!$C:$BQ,39,0)</f>
        <v>5</v>
      </c>
      <c r="AE235" s="58">
        <f>VLOOKUP($A235,'S47'!$C:$BQ,40,0)</f>
        <v>121</v>
      </c>
      <c r="AF235" s="58">
        <f>VLOOKUP($A235,'S47'!$C:$BQ,22,0)</f>
        <v>5463.8707850000001</v>
      </c>
      <c r="AG235" s="66">
        <f>VLOOKUP($A235,'S47'!$C:$BQ,29,0)</f>
        <v>0</v>
      </c>
      <c r="AH235" s="66">
        <f>VLOOKUP($A235,'S47'!$C:$BQ,30,0)</f>
        <v>864</v>
      </c>
      <c r="AI235" s="66">
        <f>VLOOKUP($A235,'S47'!$C:$BQ,52,0)</f>
        <v>373</v>
      </c>
      <c r="AJ235" s="66">
        <f>VLOOKUP($A235,'S47'!$C:$BQ,59,0)</f>
        <v>0</v>
      </c>
      <c r="AK235" s="66">
        <f>VLOOKUP($A235,'S47'!$C:$BQ,60,0)</f>
        <v>0</v>
      </c>
      <c r="AL235" s="58" t="e">
        <f>VLOOKUP($A235,'S48'!$C:$BQ,32,0)</f>
        <v>#N/A</v>
      </c>
      <c r="AM235" s="58" t="e">
        <f>VLOOKUP($A235,'S48'!$C:$BQ,39,0)</f>
        <v>#N/A</v>
      </c>
      <c r="AN235" s="58" t="e">
        <f>VLOOKUP($A235,'S48'!$C:$BQ,40,0)</f>
        <v>#N/A</v>
      </c>
      <c r="AO235" s="58" t="e">
        <f>VLOOKUP($A235,'S48'!$C:$BQ,22,0)</f>
        <v>#N/A</v>
      </c>
      <c r="AP235" s="66" t="e">
        <f>VLOOKUP($A235,'S48'!$C:$BQ,29,0)</f>
        <v>#N/A</v>
      </c>
      <c r="AQ235" s="66" t="e">
        <f>VLOOKUP($A235,'S48'!$C:$BQ,30,0)</f>
        <v>#N/A</v>
      </c>
      <c r="AR235" s="66" t="e">
        <f>VLOOKUP($A235,'S48'!$C:$BQ,52,0)</f>
        <v>#N/A</v>
      </c>
      <c r="AS235" s="66" t="e">
        <f>VLOOKUP($A235,'S48'!$C:$BQ,59,0)</f>
        <v>#N/A</v>
      </c>
      <c r="AT235" s="66" t="e">
        <f>VLOOKUP($A235,'S48'!$C:$BQ,60,0)</f>
        <v>#N/A</v>
      </c>
      <c r="AU235" s="58" t="e">
        <f>VLOOKUP($A235,'S49'!$C:$BQ,32,0)</f>
        <v>#N/A</v>
      </c>
      <c r="AV235" s="58" t="e">
        <f>VLOOKUP($A235,'S49'!$C:$BQ,39,0)</f>
        <v>#N/A</v>
      </c>
      <c r="AW235" s="58" t="e">
        <f>VLOOKUP($A235,'S49'!$C:$BQ,40,0)</f>
        <v>#N/A</v>
      </c>
      <c r="AX235" s="58" t="e">
        <f>VLOOKUP($A235,'S49'!$C:$BQ,22,0)</f>
        <v>#N/A</v>
      </c>
      <c r="AY235" s="66" t="e">
        <f>VLOOKUP($A235,'S49'!$C:$BQ,29,0)</f>
        <v>#N/A</v>
      </c>
      <c r="AZ235" s="66" t="e">
        <f>VLOOKUP($A235,'S49'!$C:$BQ,30,0)</f>
        <v>#N/A</v>
      </c>
      <c r="BA235" s="66" t="e">
        <f>VLOOKUP($A235,'S49'!$C:$BQ,52,0)</f>
        <v>#N/A</v>
      </c>
      <c r="BB235" s="66" t="e">
        <f>VLOOKUP($A235,'S49'!$C:$BQ,59,0)</f>
        <v>#N/A</v>
      </c>
      <c r="BC235" s="66" t="e">
        <f>VLOOKUP($A235,'S49'!$C:$BQ,60,0)</f>
        <v>#N/A</v>
      </c>
      <c r="BD235" s="58" t="e">
        <f>VLOOKUP($A235,'S50'!$C:$BQ,32,0)</f>
        <v>#N/A</v>
      </c>
      <c r="BE235" s="58" t="e">
        <f>VLOOKUP($A235,'S50'!$C:$BQ,39,0)</f>
        <v>#N/A</v>
      </c>
      <c r="BF235" s="58" t="e">
        <f>VLOOKUP($A235,'S50'!$C:$BQ,40,0)</f>
        <v>#N/A</v>
      </c>
      <c r="BG235" s="58" t="e">
        <f>VLOOKUP($A235,'S50'!$C:$BQ,22,0)</f>
        <v>#N/A</v>
      </c>
      <c r="BH235" s="66" t="e">
        <f>VLOOKUP($A235,'S50'!$C:$BQ,29,0)</f>
        <v>#N/A</v>
      </c>
      <c r="BI235" s="66" t="e">
        <f>VLOOKUP($A235,'S50'!$C:$BQ,30,0)</f>
        <v>#N/A</v>
      </c>
      <c r="BJ235" s="66" t="e">
        <f>VLOOKUP($A235,'S50'!$C:$BQ,52,0)</f>
        <v>#N/A</v>
      </c>
      <c r="BK235" s="66" t="e">
        <f>VLOOKUP($A235,'S50'!$C:$BQ,59,0)</f>
        <v>#N/A</v>
      </c>
      <c r="BL235" s="66" t="e">
        <f>VLOOKUP($A235,'S50'!$C:$BQ,60,0)</f>
        <v>#N/A</v>
      </c>
    </row>
    <row r="236" spans="1:64" x14ac:dyDescent="0.2">
      <c r="A236" s="57" t="s">
        <v>307</v>
      </c>
      <c r="B236" s="58">
        <f>VLOOKUP($A236,'S0 remplacer avec S44'!$C:$BQ,32,0)</f>
        <v>85.7</v>
      </c>
      <c r="C236" s="58">
        <f>VLOOKUP($A236,'S0 remplacer avec S44'!$C:$BQ,39,0)</f>
        <v>72</v>
      </c>
      <c r="D236" s="58">
        <f>VLOOKUP($A236,'S0 remplacer avec S44'!$C:$BQ,40,0)</f>
        <v>103</v>
      </c>
      <c r="E236" s="58">
        <f>VLOOKUP($A236,'S0 remplacer avec S44'!$C:$BQ,22,0)</f>
        <v>1639.890635</v>
      </c>
      <c r="F236" s="66">
        <f>VLOOKUP($A236,'S0 remplacer avec S44'!$C:$BQ,29,0)</f>
        <v>0</v>
      </c>
      <c r="G236" s="66">
        <f>VLOOKUP($A236,'S0 remplacer avec S44'!$C:$BQ,30,0)</f>
        <v>76</v>
      </c>
      <c r="H236" s="66">
        <f>VLOOKUP($A236,'S0 remplacer avec S44'!$C:$BQ,52,0)</f>
        <v>87</v>
      </c>
      <c r="I236" s="66">
        <f>VLOOKUP($A236,'S0 remplacer avec S44'!$C:$BQ,59,0)</f>
        <v>0</v>
      </c>
      <c r="J236" s="66">
        <f>VLOOKUP($A236,'S0 remplacer avec S44'!$C:$BQ,60,0)</f>
        <v>9</v>
      </c>
      <c r="K236" s="58">
        <f>VLOOKUP($A236,'S45'!$C:$BQ,32,0)</f>
        <v>87.7</v>
      </c>
      <c r="L236" s="58">
        <f>VLOOKUP($A236,'S45'!$C:$BQ,39,0)</f>
        <v>70</v>
      </c>
      <c r="M236" s="58">
        <f>VLOOKUP($A236,'S45'!$C:$BQ,40,0)</f>
        <v>101</v>
      </c>
      <c r="N236" s="58">
        <f>VLOOKUP($A236,'S45'!$C:$BQ,22,0)</f>
        <v>1667.977535</v>
      </c>
      <c r="O236" s="66">
        <f>VLOOKUP($A236,'S45'!$C:$BQ,29,0)</f>
        <v>0</v>
      </c>
      <c r="P236" s="66">
        <f>VLOOKUP($A236,'S45'!$C:$BQ,30,0)</f>
        <v>48</v>
      </c>
      <c r="Q236" s="66">
        <f>VLOOKUP($A236,'S45'!$C:$BQ,52,0)</f>
        <v>87</v>
      </c>
      <c r="R236" s="66">
        <f>VLOOKUP($A236,'S45'!$C:$BQ,59,0)</f>
        <v>0</v>
      </c>
      <c r="S236" s="66">
        <f>VLOOKUP($A236,'S45'!$C:$BQ,60,0)</f>
        <v>9</v>
      </c>
      <c r="T236" s="58">
        <f>VLOOKUP($A236,'S46'!$C:$BQ,32,0)</f>
        <v>87.7</v>
      </c>
      <c r="U236" s="58">
        <f>VLOOKUP($A236,'S46'!$C:$BQ,39,0)</f>
        <v>70</v>
      </c>
      <c r="V236" s="58">
        <f>VLOOKUP($A236,'S46'!$C:$BQ,40,0)</f>
        <v>101</v>
      </c>
      <c r="W236" s="58">
        <f>VLOOKUP($A236,'S46'!$C:$BQ,22,0)</f>
        <v>1668.197535</v>
      </c>
      <c r="X236" s="66">
        <f>VLOOKUP($A236,'S46'!$C:$BQ,29,0)</f>
        <v>0</v>
      </c>
      <c r="Y236" s="66">
        <f>VLOOKUP($A236,'S46'!$C:$BQ,30,0)</f>
        <v>47</v>
      </c>
      <c r="Z236" s="66">
        <f>VLOOKUP($A236,'S46'!$C:$BQ,52,0)</f>
        <v>87</v>
      </c>
      <c r="AA236" s="66">
        <f>VLOOKUP($A236,'S46'!$C:$BQ,59,0)</f>
        <v>0</v>
      </c>
      <c r="AB236" s="66">
        <f>VLOOKUP($A236,'S46'!$C:$BQ,60,0)</f>
        <v>9</v>
      </c>
      <c r="AC236" s="58">
        <f>VLOOKUP($A236,'S47'!$C:$BQ,32,0)</f>
        <v>89.7</v>
      </c>
      <c r="AD236" s="58">
        <f>VLOOKUP($A236,'S47'!$C:$BQ,39,0)</f>
        <v>68</v>
      </c>
      <c r="AE236" s="58">
        <f>VLOOKUP($A236,'S47'!$C:$BQ,40,0)</f>
        <v>99</v>
      </c>
      <c r="AF236" s="58">
        <f>VLOOKUP($A236,'S47'!$C:$BQ,22,0)</f>
        <v>1684.6525349999999</v>
      </c>
      <c r="AG236" s="66">
        <f>VLOOKUP($A236,'S47'!$C:$BQ,29,0)</f>
        <v>0</v>
      </c>
      <c r="AH236" s="66">
        <f>VLOOKUP($A236,'S47'!$C:$BQ,30,0)</f>
        <v>31</v>
      </c>
      <c r="AI236" s="66">
        <f>VLOOKUP($A236,'S47'!$C:$BQ,52,0)</f>
        <v>88</v>
      </c>
      <c r="AJ236" s="66">
        <f>VLOOKUP($A236,'S47'!$C:$BQ,59,0)</f>
        <v>0</v>
      </c>
      <c r="AK236" s="66">
        <f>VLOOKUP($A236,'S47'!$C:$BQ,60,0)</f>
        <v>8</v>
      </c>
      <c r="AL236" s="58" t="e">
        <f>VLOOKUP($A236,'S48'!$C:$BQ,32,0)</f>
        <v>#N/A</v>
      </c>
      <c r="AM236" s="58" t="e">
        <f>VLOOKUP($A236,'S48'!$C:$BQ,39,0)</f>
        <v>#N/A</v>
      </c>
      <c r="AN236" s="58" t="e">
        <f>VLOOKUP($A236,'S48'!$C:$BQ,40,0)</f>
        <v>#N/A</v>
      </c>
      <c r="AO236" s="58" t="e">
        <f>VLOOKUP($A236,'S48'!$C:$BQ,22,0)</f>
        <v>#N/A</v>
      </c>
      <c r="AP236" s="66" t="e">
        <f>VLOOKUP($A236,'S48'!$C:$BQ,29,0)</f>
        <v>#N/A</v>
      </c>
      <c r="AQ236" s="66" t="e">
        <f>VLOOKUP($A236,'S48'!$C:$BQ,30,0)</f>
        <v>#N/A</v>
      </c>
      <c r="AR236" s="66" t="e">
        <f>VLOOKUP($A236,'S48'!$C:$BQ,52,0)</f>
        <v>#N/A</v>
      </c>
      <c r="AS236" s="66" t="e">
        <f>VLOOKUP($A236,'S48'!$C:$BQ,59,0)</f>
        <v>#N/A</v>
      </c>
      <c r="AT236" s="66" t="e">
        <f>VLOOKUP($A236,'S48'!$C:$BQ,60,0)</f>
        <v>#N/A</v>
      </c>
      <c r="AU236" s="58" t="e">
        <f>VLOOKUP($A236,'S49'!$C:$BQ,32,0)</f>
        <v>#N/A</v>
      </c>
      <c r="AV236" s="58" t="e">
        <f>VLOOKUP($A236,'S49'!$C:$BQ,39,0)</f>
        <v>#N/A</v>
      </c>
      <c r="AW236" s="58" t="e">
        <f>VLOOKUP($A236,'S49'!$C:$BQ,40,0)</f>
        <v>#N/A</v>
      </c>
      <c r="AX236" s="58" t="e">
        <f>VLOOKUP($A236,'S49'!$C:$BQ,22,0)</f>
        <v>#N/A</v>
      </c>
      <c r="AY236" s="66" t="e">
        <f>VLOOKUP($A236,'S49'!$C:$BQ,29,0)</f>
        <v>#N/A</v>
      </c>
      <c r="AZ236" s="66" t="e">
        <f>VLOOKUP($A236,'S49'!$C:$BQ,30,0)</f>
        <v>#N/A</v>
      </c>
      <c r="BA236" s="66" t="e">
        <f>VLOOKUP($A236,'S49'!$C:$BQ,52,0)</f>
        <v>#N/A</v>
      </c>
      <c r="BB236" s="66" t="e">
        <f>VLOOKUP($A236,'S49'!$C:$BQ,59,0)</f>
        <v>#N/A</v>
      </c>
      <c r="BC236" s="66" t="e">
        <f>VLOOKUP($A236,'S49'!$C:$BQ,60,0)</f>
        <v>#N/A</v>
      </c>
      <c r="BD236" s="58" t="e">
        <f>VLOOKUP($A236,'S50'!$C:$BQ,32,0)</f>
        <v>#N/A</v>
      </c>
      <c r="BE236" s="58" t="e">
        <f>VLOOKUP($A236,'S50'!$C:$BQ,39,0)</f>
        <v>#N/A</v>
      </c>
      <c r="BF236" s="58" t="e">
        <f>VLOOKUP($A236,'S50'!$C:$BQ,40,0)</f>
        <v>#N/A</v>
      </c>
      <c r="BG236" s="58" t="e">
        <f>VLOOKUP($A236,'S50'!$C:$BQ,22,0)</f>
        <v>#N/A</v>
      </c>
      <c r="BH236" s="66" t="e">
        <f>VLOOKUP($A236,'S50'!$C:$BQ,29,0)</f>
        <v>#N/A</v>
      </c>
      <c r="BI236" s="66" t="e">
        <f>VLOOKUP($A236,'S50'!$C:$BQ,30,0)</f>
        <v>#N/A</v>
      </c>
      <c r="BJ236" s="66" t="e">
        <f>VLOOKUP($A236,'S50'!$C:$BQ,52,0)</f>
        <v>#N/A</v>
      </c>
      <c r="BK236" s="66" t="e">
        <f>VLOOKUP($A236,'S50'!$C:$BQ,59,0)</f>
        <v>#N/A</v>
      </c>
      <c r="BL236" s="66" t="e">
        <f>VLOOKUP($A236,'S50'!$C:$BQ,60,0)</f>
        <v>#N/A</v>
      </c>
    </row>
    <row r="237" spans="1:64" x14ac:dyDescent="0.2">
      <c r="A237" s="57" t="s">
        <v>308</v>
      </c>
      <c r="B237" s="58">
        <f>VLOOKUP($A237,'S0 remplacer avec S44'!$C:$BQ,32,0)</f>
        <v>96.2</v>
      </c>
      <c r="C237" s="58">
        <f>VLOOKUP($A237,'S0 remplacer avec S44'!$C:$BQ,39,0)</f>
        <v>68</v>
      </c>
      <c r="D237" s="58">
        <f>VLOOKUP($A237,'S0 remplacer avec S44'!$C:$BQ,40,0)</f>
        <v>101</v>
      </c>
      <c r="E237" s="58">
        <f>VLOOKUP($A237,'S0 remplacer avec S44'!$C:$BQ,22,0)</f>
        <v>1076.60023</v>
      </c>
      <c r="F237" s="66">
        <f>VLOOKUP($A237,'S0 remplacer avec S44'!$C:$BQ,29,0)</f>
        <v>414</v>
      </c>
      <c r="G237" s="66">
        <f>VLOOKUP($A237,'S0 remplacer avec S44'!$C:$BQ,30,0)</f>
        <v>712</v>
      </c>
      <c r="H237" s="66">
        <f>VLOOKUP($A237,'S0 remplacer avec S44'!$C:$BQ,52,0)</f>
        <v>72.400000000000006</v>
      </c>
      <c r="I237" s="66">
        <f>VLOOKUP($A237,'S0 remplacer avec S44'!$C:$BQ,59,0)</f>
        <v>11</v>
      </c>
      <c r="J237" s="66">
        <f>VLOOKUP($A237,'S0 remplacer avec S44'!$C:$BQ,60,0)</f>
        <v>28</v>
      </c>
      <c r="K237" s="58">
        <f>VLOOKUP($A237,'S45'!$C:$BQ,32,0)</f>
        <v>96.2</v>
      </c>
      <c r="L237" s="58">
        <f>VLOOKUP($A237,'S45'!$C:$BQ,39,0)</f>
        <v>68</v>
      </c>
      <c r="M237" s="58">
        <f>VLOOKUP($A237,'S45'!$C:$BQ,40,0)</f>
        <v>101</v>
      </c>
      <c r="N237" s="58">
        <f>VLOOKUP($A237,'S45'!$C:$BQ,22,0)</f>
        <v>1076.60023</v>
      </c>
      <c r="O237" s="66">
        <f>VLOOKUP($A237,'S45'!$C:$BQ,29,0)</f>
        <v>414</v>
      </c>
      <c r="P237" s="66">
        <f>VLOOKUP($A237,'S45'!$C:$BQ,30,0)</f>
        <v>712</v>
      </c>
      <c r="Q237" s="66">
        <f>VLOOKUP($A237,'S45'!$C:$BQ,52,0)</f>
        <v>72.400000000000006</v>
      </c>
      <c r="R237" s="66">
        <f>VLOOKUP($A237,'S45'!$C:$BQ,59,0)</f>
        <v>11</v>
      </c>
      <c r="S237" s="66">
        <f>VLOOKUP($A237,'S45'!$C:$BQ,60,0)</f>
        <v>28</v>
      </c>
      <c r="T237" s="58">
        <f>VLOOKUP($A237,'S46'!$C:$BQ,32,0)</f>
        <v>96.2</v>
      </c>
      <c r="U237" s="58">
        <f>VLOOKUP($A237,'S46'!$C:$BQ,39,0)</f>
        <v>68</v>
      </c>
      <c r="V237" s="58">
        <f>VLOOKUP($A237,'S46'!$C:$BQ,40,0)</f>
        <v>101</v>
      </c>
      <c r="W237" s="58">
        <f>VLOOKUP($A237,'S46'!$C:$BQ,22,0)</f>
        <v>1076.60023</v>
      </c>
      <c r="X237" s="66">
        <f>VLOOKUP($A237,'S46'!$C:$BQ,29,0)</f>
        <v>414</v>
      </c>
      <c r="Y237" s="66">
        <f>VLOOKUP($A237,'S46'!$C:$BQ,30,0)</f>
        <v>712</v>
      </c>
      <c r="Z237" s="66">
        <f>VLOOKUP($A237,'S46'!$C:$BQ,52,0)</f>
        <v>72.400000000000006</v>
      </c>
      <c r="AA237" s="66">
        <f>VLOOKUP($A237,'S46'!$C:$BQ,59,0)</f>
        <v>11</v>
      </c>
      <c r="AB237" s="66">
        <f>VLOOKUP($A237,'S46'!$C:$BQ,60,0)</f>
        <v>28</v>
      </c>
      <c r="AC237" s="58">
        <f>VLOOKUP($A237,'S47'!$C:$BQ,32,0)</f>
        <v>96.2</v>
      </c>
      <c r="AD237" s="58">
        <f>VLOOKUP($A237,'S47'!$C:$BQ,39,0)</f>
        <v>68</v>
      </c>
      <c r="AE237" s="58">
        <f>VLOOKUP($A237,'S47'!$C:$BQ,40,0)</f>
        <v>101</v>
      </c>
      <c r="AF237" s="58">
        <f>VLOOKUP($A237,'S47'!$C:$BQ,22,0)</f>
        <v>1076.60023</v>
      </c>
      <c r="AG237" s="66">
        <f>VLOOKUP($A237,'S47'!$C:$BQ,29,0)</f>
        <v>414</v>
      </c>
      <c r="AH237" s="66">
        <f>VLOOKUP($A237,'S47'!$C:$BQ,30,0)</f>
        <v>712</v>
      </c>
      <c r="AI237" s="66">
        <f>VLOOKUP($A237,'S47'!$C:$BQ,52,0)</f>
        <v>72.400000000000006</v>
      </c>
      <c r="AJ237" s="66">
        <f>VLOOKUP($A237,'S47'!$C:$BQ,59,0)</f>
        <v>11</v>
      </c>
      <c r="AK237" s="66">
        <f>VLOOKUP($A237,'S47'!$C:$BQ,60,0)</f>
        <v>28</v>
      </c>
      <c r="AL237" s="58" t="e">
        <f>VLOOKUP($A237,'S48'!$C:$BQ,32,0)</f>
        <v>#N/A</v>
      </c>
      <c r="AM237" s="58" t="e">
        <f>VLOOKUP($A237,'S48'!$C:$BQ,39,0)</f>
        <v>#N/A</v>
      </c>
      <c r="AN237" s="58" t="e">
        <f>VLOOKUP($A237,'S48'!$C:$BQ,40,0)</f>
        <v>#N/A</v>
      </c>
      <c r="AO237" s="58" t="e">
        <f>VLOOKUP($A237,'S48'!$C:$BQ,22,0)</f>
        <v>#N/A</v>
      </c>
      <c r="AP237" s="66" t="e">
        <f>VLOOKUP($A237,'S48'!$C:$BQ,29,0)</f>
        <v>#N/A</v>
      </c>
      <c r="AQ237" s="66" t="e">
        <f>VLOOKUP($A237,'S48'!$C:$BQ,30,0)</f>
        <v>#N/A</v>
      </c>
      <c r="AR237" s="66" t="e">
        <f>VLOOKUP($A237,'S48'!$C:$BQ,52,0)</f>
        <v>#N/A</v>
      </c>
      <c r="AS237" s="66" t="e">
        <f>VLOOKUP($A237,'S48'!$C:$BQ,59,0)</f>
        <v>#N/A</v>
      </c>
      <c r="AT237" s="66" t="e">
        <f>VLOOKUP($A237,'S48'!$C:$BQ,60,0)</f>
        <v>#N/A</v>
      </c>
      <c r="AU237" s="58" t="e">
        <f>VLOOKUP($A237,'S49'!$C:$BQ,32,0)</f>
        <v>#N/A</v>
      </c>
      <c r="AV237" s="58" t="e">
        <f>VLOOKUP($A237,'S49'!$C:$BQ,39,0)</f>
        <v>#N/A</v>
      </c>
      <c r="AW237" s="58" t="e">
        <f>VLOOKUP($A237,'S49'!$C:$BQ,40,0)</f>
        <v>#N/A</v>
      </c>
      <c r="AX237" s="58" t="e">
        <f>VLOOKUP($A237,'S49'!$C:$BQ,22,0)</f>
        <v>#N/A</v>
      </c>
      <c r="AY237" s="66" t="e">
        <f>VLOOKUP($A237,'S49'!$C:$BQ,29,0)</f>
        <v>#N/A</v>
      </c>
      <c r="AZ237" s="66" t="e">
        <f>VLOOKUP($A237,'S49'!$C:$BQ,30,0)</f>
        <v>#N/A</v>
      </c>
      <c r="BA237" s="66" t="e">
        <f>VLOOKUP($A237,'S49'!$C:$BQ,52,0)</f>
        <v>#N/A</v>
      </c>
      <c r="BB237" s="66" t="e">
        <f>VLOOKUP($A237,'S49'!$C:$BQ,59,0)</f>
        <v>#N/A</v>
      </c>
      <c r="BC237" s="66" t="e">
        <f>VLOOKUP($A237,'S49'!$C:$BQ,60,0)</f>
        <v>#N/A</v>
      </c>
      <c r="BD237" s="58" t="e">
        <f>VLOOKUP($A237,'S50'!$C:$BQ,32,0)</f>
        <v>#N/A</v>
      </c>
      <c r="BE237" s="58" t="e">
        <f>VLOOKUP($A237,'S50'!$C:$BQ,39,0)</f>
        <v>#N/A</v>
      </c>
      <c r="BF237" s="58" t="e">
        <f>VLOOKUP($A237,'S50'!$C:$BQ,40,0)</f>
        <v>#N/A</v>
      </c>
      <c r="BG237" s="58" t="e">
        <f>VLOOKUP($A237,'S50'!$C:$BQ,22,0)</f>
        <v>#N/A</v>
      </c>
      <c r="BH237" s="66" t="e">
        <f>VLOOKUP($A237,'S50'!$C:$BQ,29,0)</f>
        <v>#N/A</v>
      </c>
      <c r="BI237" s="66" t="e">
        <f>VLOOKUP($A237,'S50'!$C:$BQ,30,0)</f>
        <v>#N/A</v>
      </c>
      <c r="BJ237" s="66" t="e">
        <f>VLOOKUP($A237,'S50'!$C:$BQ,52,0)</f>
        <v>#N/A</v>
      </c>
      <c r="BK237" s="66" t="e">
        <f>VLOOKUP($A237,'S50'!$C:$BQ,59,0)</f>
        <v>#N/A</v>
      </c>
      <c r="BL237" s="66" t="e">
        <f>VLOOKUP($A237,'S50'!$C:$BQ,60,0)</f>
        <v>#N/A</v>
      </c>
    </row>
    <row r="238" spans="1:64" x14ac:dyDescent="0.2">
      <c r="A238" s="57" t="s">
        <v>309</v>
      </c>
      <c r="B238" s="58">
        <f>VLOOKUP($A238,'S0 remplacer avec S44'!$C:$BQ,32,0)</f>
        <v>205.2</v>
      </c>
      <c r="C238" s="58">
        <f>VLOOKUP($A238,'S0 remplacer avec S44'!$C:$BQ,39,0)</f>
        <v>7</v>
      </c>
      <c r="D238" s="58">
        <f>VLOOKUP($A238,'S0 remplacer avec S44'!$C:$BQ,40,0)</f>
        <v>50</v>
      </c>
      <c r="E238" s="58">
        <f>VLOOKUP($A238,'S0 remplacer avec S44'!$C:$BQ,22,0)</f>
        <v>1718.711845</v>
      </c>
      <c r="F238" s="66">
        <f>VLOOKUP($A238,'S0 remplacer avec S44'!$C:$BQ,29,0)</f>
        <v>209</v>
      </c>
      <c r="G238" s="66">
        <f>VLOOKUP($A238,'S0 remplacer avec S44'!$C:$BQ,30,0)</f>
        <v>594</v>
      </c>
      <c r="H238" s="66">
        <f>VLOOKUP($A238,'S0 remplacer avec S44'!$C:$BQ,52,0)</f>
        <v>139</v>
      </c>
      <c r="I238" s="66">
        <f>VLOOKUP($A238,'S0 remplacer avec S44'!$C:$BQ,59,0)</f>
        <v>0</v>
      </c>
      <c r="J238" s="66">
        <f>VLOOKUP($A238,'S0 remplacer avec S44'!$C:$BQ,60,0)</f>
        <v>0</v>
      </c>
      <c r="K238" s="58">
        <f>VLOOKUP($A238,'S45'!$C:$BQ,32,0)</f>
        <v>205.7</v>
      </c>
      <c r="L238" s="58">
        <f>VLOOKUP($A238,'S45'!$C:$BQ,39,0)</f>
        <v>7</v>
      </c>
      <c r="M238" s="58">
        <f>VLOOKUP($A238,'S45'!$C:$BQ,40,0)</f>
        <v>49</v>
      </c>
      <c r="N238" s="58">
        <f>VLOOKUP($A238,'S45'!$C:$BQ,22,0)</f>
        <v>1745.763205</v>
      </c>
      <c r="O238" s="66">
        <f>VLOOKUP($A238,'S45'!$C:$BQ,29,0)</f>
        <v>182</v>
      </c>
      <c r="P238" s="66">
        <f>VLOOKUP($A238,'S45'!$C:$BQ,30,0)</f>
        <v>567</v>
      </c>
      <c r="Q238" s="66">
        <f>VLOOKUP($A238,'S45'!$C:$BQ,52,0)</f>
        <v>140</v>
      </c>
      <c r="R238" s="66">
        <f>VLOOKUP($A238,'S45'!$C:$BQ,59,0)</f>
        <v>0</v>
      </c>
      <c r="S238" s="66">
        <f>VLOOKUP($A238,'S45'!$C:$BQ,60,0)</f>
        <v>0</v>
      </c>
      <c r="T238" s="58">
        <f>VLOOKUP($A238,'S46'!$C:$BQ,32,0)</f>
        <v>207.7</v>
      </c>
      <c r="U238" s="58">
        <f>VLOOKUP($A238,'S46'!$C:$BQ,39,0)</f>
        <v>5</v>
      </c>
      <c r="V238" s="58">
        <f>VLOOKUP($A238,'S46'!$C:$BQ,40,0)</f>
        <v>47</v>
      </c>
      <c r="W238" s="58">
        <f>VLOOKUP($A238,'S46'!$C:$BQ,22,0)</f>
        <v>1748.8745449999999</v>
      </c>
      <c r="X238" s="66">
        <f>VLOOKUP($A238,'S46'!$C:$BQ,29,0)</f>
        <v>179</v>
      </c>
      <c r="Y238" s="66">
        <f>VLOOKUP($A238,'S46'!$C:$BQ,30,0)</f>
        <v>564</v>
      </c>
      <c r="Z238" s="66">
        <f>VLOOKUP($A238,'S46'!$C:$BQ,52,0)</f>
        <v>141</v>
      </c>
      <c r="AA238" s="66">
        <f>VLOOKUP($A238,'S46'!$C:$BQ,59,0)</f>
        <v>0</v>
      </c>
      <c r="AB238" s="66">
        <f>VLOOKUP($A238,'S46'!$C:$BQ,60,0)</f>
        <v>0</v>
      </c>
      <c r="AC238" s="58">
        <f>VLOOKUP($A238,'S47'!$C:$BQ,32,0)</f>
        <v>214.2</v>
      </c>
      <c r="AD238" s="58">
        <f>VLOOKUP($A238,'S47'!$C:$BQ,39,0)</f>
        <v>0</v>
      </c>
      <c r="AE238" s="58">
        <f>VLOOKUP($A238,'S47'!$C:$BQ,40,0)</f>
        <v>41</v>
      </c>
      <c r="AF238" s="58">
        <f>VLOOKUP($A238,'S47'!$C:$BQ,22,0)</f>
        <v>1797.674655</v>
      </c>
      <c r="AG238" s="66">
        <f>VLOOKUP($A238,'S47'!$C:$BQ,29,0)</f>
        <v>130</v>
      </c>
      <c r="AH238" s="66">
        <f>VLOOKUP($A238,'S47'!$C:$BQ,30,0)</f>
        <v>516</v>
      </c>
      <c r="AI238" s="66">
        <f>VLOOKUP($A238,'S47'!$C:$BQ,52,0)</f>
        <v>141</v>
      </c>
      <c r="AJ238" s="66">
        <f>VLOOKUP($A238,'S47'!$C:$BQ,59,0)</f>
        <v>0</v>
      </c>
      <c r="AK238" s="66">
        <f>VLOOKUP($A238,'S47'!$C:$BQ,60,0)</f>
        <v>0</v>
      </c>
      <c r="AL238" s="58" t="e">
        <f>VLOOKUP($A238,'S48'!$C:$BQ,32,0)</f>
        <v>#N/A</v>
      </c>
      <c r="AM238" s="58" t="e">
        <f>VLOOKUP($A238,'S48'!$C:$BQ,39,0)</f>
        <v>#N/A</v>
      </c>
      <c r="AN238" s="58" t="e">
        <f>VLOOKUP($A238,'S48'!$C:$BQ,40,0)</f>
        <v>#N/A</v>
      </c>
      <c r="AO238" s="58" t="e">
        <f>VLOOKUP($A238,'S48'!$C:$BQ,22,0)</f>
        <v>#N/A</v>
      </c>
      <c r="AP238" s="66" t="e">
        <f>VLOOKUP($A238,'S48'!$C:$BQ,29,0)</f>
        <v>#N/A</v>
      </c>
      <c r="AQ238" s="66" t="e">
        <f>VLOOKUP($A238,'S48'!$C:$BQ,30,0)</f>
        <v>#N/A</v>
      </c>
      <c r="AR238" s="66" t="e">
        <f>VLOOKUP($A238,'S48'!$C:$BQ,52,0)</f>
        <v>#N/A</v>
      </c>
      <c r="AS238" s="66" t="e">
        <f>VLOOKUP($A238,'S48'!$C:$BQ,59,0)</f>
        <v>#N/A</v>
      </c>
      <c r="AT238" s="66" t="e">
        <f>VLOOKUP($A238,'S48'!$C:$BQ,60,0)</f>
        <v>#N/A</v>
      </c>
      <c r="AU238" s="58" t="e">
        <f>VLOOKUP($A238,'S49'!$C:$BQ,32,0)</f>
        <v>#N/A</v>
      </c>
      <c r="AV238" s="58" t="e">
        <f>VLOOKUP($A238,'S49'!$C:$BQ,39,0)</f>
        <v>#N/A</v>
      </c>
      <c r="AW238" s="58" t="e">
        <f>VLOOKUP($A238,'S49'!$C:$BQ,40,0)</f>
        <v>#N/A</v>
      </c>
      <c r="AX238" s="58" t="e">
        <f>VLOOKUP($A238,'S49'!$C:$BQ,22,0)</f>
        <v>#N/A</v>
      </c>
      <c r="AY238" s="66" t="e">
        <f>VLOOKUP($A238,'S49'!$C:$BQ,29,0)</f>
        <v>#N/A</v>
      </c>
      <c r="AZ238" s="66" t="e">
        <f>VLOOKUP($A238,'S49'!$C:$BQ,30,0)</f>
        <v>#N/A</v>
      </c>
      <c r="BA238" s="66" t="e">
        <f>VLOOKUP($A238,'S49'!$C:$BQ,52,0)</f>
        <v>#N/A</v>
      </c>
      <c r="BB238" s="66" t="e">
        <f>VLOOKUP($A238,'S49'!$C:$BQ,59,0)</f>
        <v>#N/A</v>
      </c>
      <c r="BC238" s="66" t="e">
        <f>VLOOKUP($A238,'S49'!$C:$BQ,60,0)</f>
        <v>#N/A</v>
      </c>
      <c r="BD238" s="58" t="e">
        <f>VLOOKUP($A238,'S50'!$C:$BQ,32,0)</f>
        <v>#N/A</v>
      </c>
      <c r="BE238" s="58" t="e">
        <f>VLOOKUP($A238,'S50'!$C:$BQ,39,0)</f>
        <v>#N/A</v>
      </c>
      <c r="BF238" s="58" t="e">
        <f>VLOOKUP($A238,'S50'!$C:$BQ,40,0)</f>
        <v>#N/A</v>
      </c>
      <c r="BG238" s="58" t="e">
        <f>VLOOKUP($A238,'S50'!$C:$BQ,22,0)</f>
        <v>#N/A</v>
      </c>
      <c r="BH238" s="66" t="e">
        <f>VLOOKUP($A238,'S50'!$C:$BQ,29,0)</f>
        <v>#N/A</v>
      </c>
      <c r="BI238" s="66" t="e">
        <f>VLOOKUP($A238,'S50'!$C:$BQ,30,0)</f>
        <v>#N/A</v>
      </c>
      <c r="BJ238" s="66" t="e">
        <f>VLOOKUP($A238,'S50'!$C:$BQ,52,0)</f>
        <v>#N/A</v>
      </c>
      <c r="BK238" s="66" t="e">
        <f>VLOOKUP($A238,'S50'!$C:$BQ,59,0)</f>
        <v>#N/A</v>
      </c>
      <c r="BL238" s="66" t="e">
        <f>VLOOKUP($A238,'S50'!$C:$BQ,60,0)</f>
        <v>#N/A</v>
      </c>
    </row>
    <row r="239" spans="1:64" x14ac:dyDescent="0.2">
      <c r="A239" s="57" t="s">
        <v>310</v>
      </c>
      <c r="B239" s="58">
        <f>VLOOKUP($A239,'S0 remplacer avec S44'!$C:$BQ,32,0)</f>
        <v>150.69999999999999</v>
      </c>
      <c r="C239" s="58">
        <f>VLOOKUP($A239,'S0 remplacer avec S44'!$C:$BQ,39,0)</f>
        <v>0</v>
      </c>
      <c r="D239" s="58">
        <f>VLOOKUP($A239,'S0 remplacer avec S44'!$C:$BQ,40,0)</f>
        <v>25</v>
      </c>
      <c r="E239" s="58">
        <f>VLOOKUP($A239,'S0 remplacer avec S44'!$C:$BQ,22,0)</f>
        <v>1304.2176850000001</v>
      </c>
      <c r="F239" s="66">
        <f>VLOOKUP($A239,'S0 remplacer avec S44'!$C:$BQ,29,0)</f>
        <v>24</v>
      </c>
      <c r="G239" s="66">
        <f>VLOOKUP($A239,'S0 remplacer avec S44'!$C:$BQ,30,0)</f>
        <v>290</v>
      </c>
      <c r="H239" s="66">
        <f>VLOOKUP($A239,'S0 remplacer avec S44'!$C:$BQ,52,0)</f>
        <v>109.2</v>
      </c>
      <c r="I239" s="66">
        <f>VLOOKUP($A239,'S0 remplacer avec S44'!$C:$BQ,59,0)</f>
        <v>0</v>
      </c>
      <c r="J239" s="66">
        <f>VLOOKUP($A239,'S0 remplacer avec S44'!$C:$BQ,60,0)</f>
        <v>0</v>
      </c>
      <c r="K239" s="58">
        <f>VLOOKUP($A239,'S45'!$C:$BQ,32,0)</f>
        <v>156.19999999999999</v>
      </c>
      <c r="L239" s="58">
        <f>VLOOKUP($A239,'S45'!$C:$BQ,39,0)</f>
        <v>0</v>
      </c>
      <c r="M239" s="58">
        <f>VLOOKUP($A239,'S45'!$C:$BQ,40,0)</f>
        <v>20</v>
      </c>
      <c r="N239" s="58">
        <f>VLOOKUP($A239,'S45'!$C:$BQ,22,0)</f>
        <v>1311.5705350000001</v>
      </c>
      <c r="O239" s="66">
        <f>VLOOKUP($A239,'S45'!$C:$BQ,29,0)</f>
        <v>17</v>
      </c>
      <c r="P239" s="66">
        <f>VLOOKUP($A239,'S45'!$C:$BQ,30,0)</f>
        <v>283</v>
      </c>
      <c r="Q239" s="66">
        <f>VLOOKUP($A239,'S45'!$C:$BQ,52,0)</f>
        <v>111.2</v>
      </c>
      <c r="R239" s="66">
        <f>VLOOKUP($A239,'S45'!$C:$BQ,59,0)</f>
        <v>0</v>
      </c>
      <c r="S239" s="66">
        <f>VLOOKUP($A239,'S45'!$C:$BQ,60,0)</f>
        <v>0</v>
      </c>
      <c r="T239" s="58">
        <f>VLOOKUP($A239,'S46'!$C:$BQ,32,0)</f>
        <v>154.80000000000001</v>
      </c>
      <c r="U239" s="58">
        <f>VLOOKUP($A239,'S46'!$C:$BQ,39,0)</f>
        <v>0</v>
      </c>
      <c r="V239" s="58">
        <f>VLOOKUP($A239,'S46'!$C:$BQ,40,0)</f>
        <v>21</v>
      </c>
      <c r="W239" s="58">
        <f>VLOOKUP($A239,'S46'!$C:$BQ,22,0)</f>
        <v>1301.5187550000001</v>
      </c>
      <c r="X239" s="66">
        <f>VLOOKUP($A239,'S46'!$C:$BQ,29,0)</f>
        <v>27</v>
      </c>
      <c r="Y239" s="66">
        <f>VLOOKUP($A239,'S46'!$C:$BQ,30,0)</f>
        <v>293</v>
      </c>
      <c r="Z239" s="66">
        <f>VLOOKUP($A239,'S46'!$C:$BQ,52,0)</f>
        <v>111.2</v>
      </c>
      <c r="AA239" s="66">
        <f>VLOOKUP($A239,'S46'!$C:$BQ,59,0)</f>
        <v>0</v>
      </c>
      <c r="AB239" s="66">
        <f>VLOOKUP($A239,'S46'!$C:$BQ,60,0)</f>
        <v>0</v>
      </c>
      <c r="AC239" s="58">
        <f>VLOOKUP($A239,'S47'!$C:$BQ,32,0)</f>
        <v>158.30000000000001</v>
      </c>
      <c r="AD239" s="58">
        <f>VLOOKUP($A239,'S47'!$C:$BQ,39,0)</f>
        <v>0</v>
      </c>
      <c r="AE239" s="58">
        <f>VLOOKUP($A239,'S47'!$C:$BQ,40,0)</f>
        <v>17</v>
      </c>
      <c r="AF239" s="58">
        <f>VLOOKUP($A239,'S47'!$C:$BQ,22,0)</f>
        <v>1314.251565</v>
      </c>
      <c r="AG239" s="66">
        <f>VLOOKUP($A239,'S47'!$C:$BQ,29,0)</f>
        <v>14</v>
      </c>
      <c r="AH239" s="66">
        <f>VLOOKUP($A239,'S47'!$C:$BQ,30,0)</f>
        <v>280</v>
      </c>
      <c r="AI239" s="66">
        <f>VLOOKUP($A239,'S47'!$C:$BQ,52,0)</f>
        <v>111.2</v>
      </c>
      <c r="AJ239" s="66">
        <f>VLOOKUP($A239,'S47'!$C:$BQ,59,0)</f>
        <v>0</v>
      </c>
      <c r="AK239" s="66">
        <f>VLOOKUP($A239,'S47'!$C:$BQ,60,0)</f>
        <v>0</v>
      </c>
      <c r="AL239" s="58" t="e">
        <f>VLOOKUP($A239,'S48'!$C:$BQ,32,0)</f>
        <v>#N/A</v>
      </c>
      <c r="AM239" s="58" t="e">
        <f>VLOOKUP($A239,'S48'!$C:$BQ,39,0)</f>
        <v>#N/A</v>
      </c>
      <c r="AN239" s="58" t="e">
        <f>VLOOKUP($A239,'S48'!$C:$BQ,40,0)</f>
        <v>#N/A</v>
      </c>
      <c r="AO239" s="58" t="e">
        <f>VLOOKUP($A239,'S48'!$C:$BQ,22,0)</f>
        <v>#N/A</v>
      </c>
      <c r="AP239" s="66" t="e">
        <f>VLOOKUP($A239,'S48'!$C:$BQ,29,0)</f>
        <v>#N/A</v>
      </c>
      <c r="AQ239" s="66" t="e">
        <f>VLOOKUP($A239,'S48'!$C:$BQ,30,0)</f>
        <v>#N/A</v>
      </c>
      <c r="AR239" s="66" t="e">
        <f>VLOOKUP($A239,'S48'!$C:$BQ,52,0)</f>
        <v>#N/A</v>
      </c>
      <c r="AS239" s="66" t="e">
        <f>VLOOKUP($A239,'S48'!$C:$BQ,59,0)</f>
        <v>#N/A</v>
      </c>
      <c r="AT239" s="66" t="e">
        <f>VLOOKUP($A239,'S48'!$C:$BQ,60,0)</f>
        <v>#N/A</v>
      </c>
      <c r="AU239" s="58" t="e">
        <f>VLOOKUP($A239,'S49'!$C:$BQ,32,0)</f>
        <v>#N/A</v>
      </c>
      <c r="AV239" s="58" t="e">
        <f>VLOOKUP($A239,'S49'!$C:$BQ,39,0)</f>
        <v>#N/A</v>
      </c>
      <c r="AW239" s="58" t="e">
        <f>VLOOKUP($A239,'S49'!$C:$BQ,40,0)</f>
        <v>#N/A</v>
      </c>
      <c r="AX239" s="58" t="e">
        <f>VLOOKUP($A239,'S49'!$C:$BQ,22,0)</f>
        <v>#N/A</v>
      </c>
      <c r="AY239" s="66" t="e">
        <f>VLOOKUP($A239,'S49'!$C:$BQ,29,0)</f>
        <v>#N/A</v>
      </c>
      <c r="AZ239" s="66" t="e">
        <f>VLOOKUP($A239,'S49'!$C:$BQ,30,0)</f>
        <v>#N/A</v>
      </c>
      <c r="BA239" s="66" t="e">
        <f>VLOOKUP($A239,'S49'!$C:$BQ,52,0)</f>
        <v>#N/A</v>
      </c>
      <c r="BB239" s="66" t="e">
        <f>VLOOKUP($A239,'S49'!$C:$BQ,59,0)</f>
        <v>#N/A</v>
      </c>
      <c r="BC239" s="66" t="e">
        <f>VLOOKUP($A239,'S49'!$C:$BQ,60,0)</f>
        <v>#N/A</v>
      </c>
      <c r="BD239" s="58" t="e">
        <f>VLOOKUP($A239,'S50'!$C:$BQ,32,0)</f>
        <v>#N/A</v>
      </c>
      <c r="BE239" s="58" t="e">
        <f>VLOOKUP($A239,'S50'!$C:$BQ,39,0)</f>
        <v>#N/A</v>
      </c>
      <c r="BF239" s="58" t="e">
        <f>VLOOKUP($A239,'S50'!$C:$BQ,40,0)</f>
        <v>#N/A</v>
      </c>
      <c r="BG239" s="58" t="e">
        <f>VLOOKUP($A239,'S50'!$C:$BQ,22,0)</f>
        <v>#N/A</v>
      </c>
      <c r="BH239" s="66" t="e">
        <f>VLOOKUP($A239,'S50'!$C:$BQ,29,0)</f>
        <v>#N/A</v>
      </c>
      <c r="BI239" s="66" t="e">
        <f>VLOOKUP($A239,'S50'!$C:$BQ,30,0)</f>
        <v>#N/A</v>
      </c>
      <c r="BJ239" s="66" t="e">
        <f>VLOOKUP($A239,'S50'!$C:$BQ,52,0)</f>
        <v>#N/A</v>
      </c>
      <c r="BK239" s="66" t="e">
        <f>VLOOKUP($A239,'S50'!$C:$BQ,59,0)</f>
        <v>#N/A</v>
      </c>
      <c r="BL239" s="66" t="e">
        <f>VLOOKUP($A239,'S50'!$C:$BQ,60,0)</f>
        <v>#N/A</v>
      </c>
    </row>
    <row r="240" spans="1:64" x14ac:dyDescent="0.2">
      <c r="A240" s="57" t="s">
        <v>311</v>
      </c>
      <c r="B240" s="58">
        <f>VLOOKUP($A240,'S0 remplacer avec S44'!$C:$BQ,32,0)</f>
        <v>117.55</v>
      </c>
      <c r="C240" s="58">
        <f>VLOOKUP($A240,'S0 remplacer avec S44'!$C:$BQ,39,0)</f>
        <v>59</v>
      </c>
      <c r="D240" s="58">
        <f>VLOOKUP($A240,'S0 remplacer avec S44'!$C:$BQ,40,0)</f>
        <v>94</v>
      </c>
      <c r="E240" s="58">
        <f>VLOOKUP($A240,'S0 remplacer avec S44'!$C:$BQ,22,0)</f>
        <v>2007.08969</v>
      </c>
      <c r="F240" s="66">
        <f>VLOOKUP($A240,'S0 remplacer avec S44'!$C:$BQ,29,0)</f>
        <v>0</v>
      </c>
      <c r="G240" s="66">
        <f>VLOOKUP($A240,'S0 remplacer avec S44'!$C:$BQ,30,0)</f>
        <v>0</v>
      </c>
      <c r="H240" s="66">
        <f>VLOOKUP($A240,'S0 remplacer avec S44'!$C:$BQ,52,0)</f>
        <v>94.2</v>
      </c>
      <c r="I240" s="66">
        <f>VLOOKUP($A240,'S0 remplacer avec S44'!$C:$BQ,59,0)</f>
        <v>0</v>
      </c>
      <c r="J240" s="66">
        <f>VLOOKUP($A240,'S0 remplacer avec S44'!$C:$BQ,60,0)</f>
        <v>13</v>
      </c>
      <c r="K240" s="58">
        <f>VLOOKUP($A240,'S45'!$C:$BQ,32,0)</f>
        <v>117.55</v>
      </c>
      <c r="L240" s="58">
        <f>VLOOKUP($A240,'S45'!$C:$BQ,39,0)</f>
        <v>59</v>
      </c>
      <c r="M240" s="58">
        <f>VLOOKUP($A240,'S45'!$C:$BQ,40,0)</f>
        <v>94</v>
      </c>
      <c r="N240" s="58">
        <f>VLOOKUP($A240,'S45'!$C:$BQ,22,0)</f>
        <v>2011.78565</v>
      </c>
      <c r="O240" s="66">
        <f>VLOOKUP($A240,'S45'!$C:$BQ,29,0)</f>
        <v>0</v>
      </c>
      <c r="P240" s="66">
        <f>VLOOKUP($A240,'S45'!$C:$BQ,30,0)</f>
        <v>0</v>
      </c>
      <c r="Q240" s="66">
        <f>VLOOKUP($A240,'S45'!$C:$BQ,52,0)</f>
        <v>98.2</v>
      </c>
      <c r="R240" s="66">
        <f>VLOOKUP($A240,'S45'!$C:$BQ,59,0)</f>
        <v>0</v>
      </c>
      <c r="S240" s="66">
        <f>VLOOKUP($A240,'S45'!$C:$BQ,60,0)</f>
        <v>9</v>
      </c>
      <c r="T240" s="58">
        <f>VLOOKUP($A240,'S46'!$C:$BQ,32,0)</f>
        <v>117.55</v>
      </c>
      <c r="U240" s="58">
        <f>VLOOKUP($A240,'S46'!$C:$BQ,39,0)</f>
        <v>59</v>
      </c>
      <c r="V240" s="58">
        <f>VLOOKUP($A240,'S46'!$C:$BQ,40,0)</f>
        <v>94</v>
      </c>
      <c r="W240" s="58">
        <f>VLOOKUP($A240,'S46'!$C:$BQ,22,0)</f>
        <v>2012.3160700000001</v>
      </c>
      <c r="X240" s="66">
        <f>VLOOKUP($A240,'S46'!$C:$BQ,29,0)</f>
        <v>0</v>
      </c>
      <c r="Y240" s="66">
        <f>VLOOKUP($A240,'S46'!$C:$BQ,30,0)</f>
        <v>0</v>
      </c>
      <c r="Z240" s="66">
        <f>VLOOKUP($A240,'S46'!$C:$BQ,52,0)</f>
        <v>98.2</v>
      </c>
      <c r="AA240" s="66">
        <f>VLOOKUP($A240,'S46'!$C:$BQ,59,0)</f>
        <v>0</v>
      </c>
      <c r="AB240" s="66">
        <f>VLOOKUP($A240,'S46'!$C:$BQ,60,0)</f>
        <v>9</v>
      </c>
      <c r="AC240" s="58">
        <f>VLOOKUP($A240,'S47'!$C:$BQ,32,0)</f>
        <v>120.05</v>
      </c>
      <c r="AD240" s="58">
        <f>VLOOKUP($A240,'S47'!$C:$BQ,39,0)</f>
        <v>56</v>
      </c>
      <c r="AE240" s="58">
        <f>VLOOKUP($A240,'S47'!$C:$BQ,40,0)</f>
        <v>91</v>
      </c>
      <c r="AF240" s="58">
        <f>VLOOKUP($A240,'S47'!$C:$BQ,22,0)</f>
        <v>2051.7895400000002</v>
      </c>
      <c r="AG240" s="66">
        <f>VLOOKUP($A240,'S47'!$C:$BQ,29,0)</f>
        <v>0</v>
      </c>
      <c r="AH240" s="66">
        <f>VLOOKUP($A240,'S47'!$C:$BQ,30,0)</f>
        <v>0</v>
      </c>
      <c r="AI240" s="66">
        <f>VLOOKUP($A240,'S47'!$C:$BQ,52,0)</f>
        <v>101.2</v>
      </c>
      <c r="AJ240" s="66">
        <f>VLOOKUP($A240,'S47'!$C:$BQ,59,0)</f>
        <v>0</v>
      </c>
      <c r="AK240" s="66">
        <f>VLOOKUP($A240,'S47'!$C:$BQ,60,0)</f>
        <v>6</v>
      </c>
      <c r="AL240" s="58" t="e">
        <f>VLOOKUP($A240,'S48'!$C:$BQ,32,0)</f>
        <v>#N/A</v>
      </c>
      <c r="AM240" s="58" t="e">
        <f>VLOOKUP($A240,'S48'!$C:$BQ,39,0)</f>
        <v>#N/A</v>
      </c>
      <c r="AN240" s="58" t="e">
        <f>VLOOKUP($A240,'S48'!$C:$BQ,40,0)</f>
        <v>#N/A</v>
      </c>
      <c r="AO240" s="58" t="e">
        <f>VLOOKUP($A240,'S48'!$C:$BQ,22,0)</f>
        <v>#N/A</v>
      </c>
      <c r="AP240" s="66" t="e">
        <f>VLOOKUP($A240,'S48'!$C:$BQ,29,0)</f>
        <v>#N/A</v>
      </c>
      <c r="AQ240" s="66" t="e">
        <f>VLOOKUP($A240,'S48'!$C:$BQ,30,0)</f>
        <v>#N/A</v>
      </c>
      <c r="AR240" s="66" t="e">
        <f>VLOOKUP($A240,'S48'!$C:$BQ,52,0)</f>
        <v>#N/A</v>
      </c>
      <c r="AS240" s="66" t="e">
        <f>VLOOKUP($A240,'S48'!$C:$BQ,59,0)</f>
        <v>#N/A</v>
      </c>
      <c r="AT240" s="66" t="e">
        <f>VLOOKUP($A240,'S48'!$C:$BQ,60,0)</f>
        <v>#N/A</v>
      </c>
      <c r="AU240" s="58" t="e">
        <f>VLOOKUP($A240,'S49'!$C:$BQ,32,0)</f>
        <v>#N/A</v>
      </c>
      <c r="AV240" s="58" t="e">
        <f>VLOOKUP($A240,'S49'!$C:$BQ,39,0)</f>
        <v>#N/A</v>
      </c>
      <c r="AW240" s="58" t="e">
        <f>VLOOKUP($A240,'S49'!$C:$BQ,40,0)</f>
        <v>#N/A</v>
      </c>
      <c r="AX240" s="58" t="e">
        <f>VLOOKUP($A240,'S49'!$C:$BQ,22,0)</f>
        <v>#N/A</v>
      </c>
      <c r="AY240" s="66" t="e">
        <f>VLOOKUP($A240,'S49'!$C:$BQ,29,0)</f>
        <v>#N/A</v>
      </c>
      <c r="AZ240" s="66" t="e">
        <f>VLOOKUP($A240,'S49'!$C:$BQ,30,0)</f>
        <v>#N/A</v>
      </c>
      <c r="BA240" s="66" t="e">
        <f>VLOOKUP($A240,'S49'!$C:$BQ,52,0)</f>
        <v>#N/A</v>
      </c>
      <c r="BB240" s="66" t="e">
        <f>VLOOKUP($A240,'S49'!$C:$BQ,59,0)</f>
        <v>#N/A</v>
      </c>
      <c r="BC240" s="66" t="e">
        <f>VLOOKUP($A240,'S49'!$C:$BQ,60,0)</f>
        <v>#N/A</v>
      </c>
      <c r="BD240" s="58" t="e">
        <f>VLOOKUP($A240,'S50'!$C:$BQ,32,0)</f>
        <v>#N/A</v>
      </c>
      <c r="BE240" s="58" t="e">
        <f>VLOOKUP($A240,'S50'!$C:$BQ,39,0)</f>
        <v>#N/A</v>
      </c>
      <c r="BF240" s="58" t="e">
        <f>VLOOKUP($A240,'S50'!$C:$BQ,40,0)</f>
        <v>#N/A</v>
      </c>
      <c r="BG240" s="58" t="e">
        <f>VLOOKUP($A240,'S50'!$C:$BQ,22,0)</f>
        <v>#N/A</v>
      </c>
      <c r="BH240" s="66" t="e">
        <f>VLOOKUP($A240,'S50'!$C:$BQ,29,0)</f>
        <v>#N/A</v>
      </c>
      <c r="BI240" s="66" t="e">
        <f>VLOOKUP($A240,'S50'!$C:$BQ,30,0)</f>
        <v>#N/A</v>
      </c>
      <c r="BJ240" s="66" t="e">
        <f>VLOOKUP($A240,'S50'!$C:$BQ,52,0)</f>
        <v>#N/A</v>
      </c>
      <c r="BK240" s="66" t="e">
        <f>VLOOKUP($A240,'S50'!$C:$BQ,59,0)</f>
        <v>#N/A</v>
      </c>
      <c r="BL240" s="66" t="e">
        <f>VLOOKUP($A240,'S50'!$C:$BQ,60,0)</f>
        <v>#N/A</v>
      </c>
    </row>
    <row r="241" spans="1:64" x14ac:dyDescent="0.2">
      <c r="A241" s="57" t="s">
        <v>312</v>
      </c>
      <c r="B241" s="58">
        <f>VLOOKUP($A241,'S0 remplacer avec S44'!$C:$BQ,32,0)</f>
        <v>170.05</v>
      </c>
      <c r="C241" s="58">
        <f>VLOOKUP($A241,'S0 remplacer avec S44'!$C:$BQ,39,0)</f>
        <v>56</v>
      </c>
      <c r="D241" s="58">
        <f>VLOOKUP($A241,'S0 remplacer avec S44'!$C:$BQ,40,0)</f>
        <v>101</v>
      </c>
      <c r="E241" s="58">
        <f>VLOOKUP($A241,'S0 remplacer avec S44'!$C:$BQ,22,0)</f>
        <v>2013.4589000000001</v>
      </c>
      <c r="F241" s="66">
        <f>VLOOKUP($A241,'S0 remplacer avec S44'!$C:$BQ,29,0)</f>
        <v>37</v>
      </c>
      <c r="G241" s="66">
        <f>VLOOKUP($A241,'S0 remplacer avec S44'!$C:$BQ,30,0)</f>
        <v>448</v>
      </c>
      <c r="H241" s="66">
        <f>VLOOKUP($A241,'S0 remplacer avec S44'!$C:$BQ,52,0)</f>
        <v>117.8</v>
      </c>
      <c r="I241" s="66">
        <f>VLOOKUP($A241,'S0 remplacer avec S44'!$C:$BQ,59,0)</f>
        <v>0</v>
      </c>
      <c r="J241" s="66">
        <f>VLOOKUP($A241,'S0 remplacer avec S44'!$C:$BQ,60,0)</f>
        <v>20</v>
      </c>
      <c r="K241" s="58">
        <f>VLOOKUP($A241,'S45'!$C:$BQ,32,0)</f>
        <v>173.55</v>
      </c>
      <c r="L241" s="58">
        <f>VLOOKUP($A241,'S45'!$C:$BQ,39,0)</f>
        <v>52</v>
      </c>
      <c r="M241" s="58">
        <f>VLOOKUP($A241,'S45'!$C:$BQ,40,0)</f>
        <v>97</v>
      </c>
      <c r="N241" s="58">
        <f>VLOOKUP($A241,'S45'!$C:$BQ,22,0)</f>
        <v>2053.3313600000001</v>
      </c>
      <c r="O241" s="66">
        <f>VLOOKUP($A241,'S45'!$C:$BQ,29,0)</f>
        <v>0</v>
      </c>
      <c r="P241" s="66">
        <f>VLOOKUP($A241,'S45'!$C:$BQ,30,0)</f>
        <v>408</v>
      </c>
      <c r="Q241" s="66">
        <f>VLOOKUP($A241,'S45'!$C:$BQ,52,0)</f>
        <v>118.8</v>
      </c>
      <c r="R241" s="66">
        <f>VLOOKUP($A241,'S45'!$C:$BQ,59,0)</f>
        <v>0</v>
      </c>
      <c r="S241" s="66">
        <f>VLOOKUP($A241,'S45'!$C:$BQ,60,0)</f>
        <v>19</v>
      </c>
      <c r="T241" s="58">
        <f>VLOOKUP($A241,'S46'!$C:$BQ,32,0)</f>
        <v>173.05</v>
      </c>
      <c r="U241" s="58">
        <f>VLOOKUP($A241,'S46'!$C:$BQ,39,0)</f>
        <v>53</v>
      </c>
      <c r="V241" s="58">
        <f>VLOOKUP($A241,'S46'!$C:$BQ,40,0)</f>
        <v>98</v>
      </c>
      <c r="W241" s="58">
        <f>VLOOKUP($A241,'S46'!$C:$BQ,22,0)</f>
        <v>2053.9829800000002</v>
      </c>
      <c r="X241" s="66">
        <f>VLOOKUP($A241,'S46'!$C:$BQ,29,0)</f>
        <v>0</v>
      </c>
      <c r="Y241" s="66">
        <f>VLOOKUP($A241,'S46'!$C:$BQ,30,0)</f>
        <v>407</v>
      </c>
      <c r="Z241" s="66">
        <f>VLOOKUP($A241,'S46'!$C:$BQ,52,0)</f>
        <v>118.8</v>
      </c>
      <c r="AA241" s="66">
        <f>VLOOKUP($A241,'S46'!$C:$BQ,59,0)</f>
        <v>0</v>
      </c>
      <c r="AB241" s="66">
        <f>VLOOKUP($A241,'S46'!$C:$BQ,60,0)</f>
        <v>19</v>
      </c>
      <c r="AC241" s="58">
        <f>VLOOKUP($A241,'S47'!$C:$BQ,32,0)</f>
        <v>176.55</v>
      </c>
      <c r="AD241" s="58">
        <f>VLOOKUP($A241,'S47'!$C:$BQ,39,0)</f>
        <v>49</v>
      </c>
      <c r="AE241" s="58">
        <f>VLOOKUP($A241,'S47'!$C:$BQ,40,0)</f>
        <v>94</v>
      </c>
      <c r="AF241" s="58">
        <f>VLOOKUP($A241,'S47'!$C:$BQ,22,0)</f>
        <v>2133.9818300000002</v>
      </c>
      <c r="AG241" s="66">
        <f>VLOOKUP($A241,'S47'!$C:$BQ,29,0)</f>
        <v>0</v>
      </c>
      <c r="AH241" s="66">
        <f>VLOOKUP($A241,'S47'!$C:$BQ,30,0)</f>
        <v>327</v>
      </c>
      <c r="AI241" s="66">
        <f>VLOOKUP($A241,'S47'!$C:$BQ,52,0)</f>
        <v>119.8</v>
      </c>
      <c r="AJ241" s="66">
        <f>VLOOKUP($A241,'S47'!$C:$BQ,59,0)</f>
        <v>0</v>
      </c>
      <c r="AK241" s="66">
        <f>VLOOKUP($A241,'S47'!$C:$BQ,60,0)</f>
        <v>18</v>
      </c>
      <c r="AL241" s="58" t="e">
        <f>VLOOKUP($A241,'S48'!$C:$BQ,32,0)</f>
        <v>#N/A</v>
      </c>
      <c r="AM241" s="58" t="e">
        <f>VLOOKUP($A241,'S48'!$C:$BQ,39,0)</f>
        <v>#N/A</v>
      </c>
      <c r="AN241" s="58" t="e">
        <f>VLOOKUP($A241,'S48'!$C:$BQ,40,0)</f>
        <v>#N/A</v>
      </c>
      <c r="AO241" s="58" t="e">
        <f>VLOOKUP($A241,'S48'!$C:$BQ,22,0)</f>
        <v>#N/A</v>
      </c>
      <c r="AP241" s="66" t="e">
        <f>VLOOKUP($A241,'S48'!$C:$BQ,29,0)</f>
        <v>#N/A</v>
      </c>
      <c r="AQ241" s="66" t="e">
        <f>VLOOKUP($A241,'S48'!$C:$BQ,30,0)</f>
        <v>#N/A</v>
      </c>
      <c r="AR241" s="66" t="e">
        <f>VLOOKUP($A241,'S48'!$C:$BQ,52,0)</f>
        <v>#N/A</v>
      </c>
      <c r="AS241" s="66" t="e">
        <f>VLOOKUP($A241,'S48'!$C:$BQ,59,0)</f>
        <v>#N/A</v>
      </c>
      <c r="AT241" s="66" t="e">
        <f>VLOOKUP($A241,'S48'!$C:$BQ,60,0)</f>
        <v>#N/A</v>
      </c>
      <c r="AU241" s="58" t="e">
        <f>VLOOKUP($A241,'S49'!$C:$BQ,32,0)</f>
        <v>#N/A</v>
      </c>
      <c r="AV241" s="58" t="e">
        <f>VLOOKUP($A241,'S49'!$C:$BQ,39,0)</f>
        <v>#N/A</v>
      </c>
      <c r="AW241" s="58" t="e">
        <f>VLOOKUP($A241,'S49'!$C:$BQ,40,0)</f>
        <v>#N/A</v>
      </c>
      <c r="AX241" s="58" t="e">
        <f>VLOOKUP($A241,'S49'!$C:$BQ,22,0)</f>
        <v>#N/A</v>
      </c>
      <c r="AY241" s="66" t="e">
        <f>VLOOKUP($A241,'S49'!$C:$BQ,29,0)</f>
        <v>#N/A</v>
      </c>
      <c r="AZ241" s="66" t="e">
        <f>VLOOKUP($A241,'S49'!$C:$BQ,30,0)</f>
        <v>#N/A</v>
      </c>
      <c r="BA241" s="66" t="e">
        <f>VLOOKUP($A241,'S49'!$C:$BQ,52,0)</f>
        <v>#N/A</v>
      </c>
      <c r="BB241" s="66" t="e">
        <f>VLOOKUP($A241,'S49'!$C:$BQ,59,0)</f>
        <v>#N/A</v>
      </c>
      <c r="BC241" s="66" t="e">
        <f>VLOOKUP($A241,'S49'!$C:$BQ,60,0)</f>
        <v>#N/A</v>
      </c>
      <c r="BD241" s="58" t="e">
        <f>VLOOKUP($A241,'S50'!$C:$BQ,32,0)</f>
        <v>#N/A</v>
      </c>
      <c r="BE241" s="58" t="e">
        <f>VLOOKUP($A241,'S50'!$C:$BQ,39,0)</f>
        <v>#N/A</v>
      </c>
      <c r="BF241" s="58" t="e">
        <f>VLOOKUP($A241,'S50'!$C:$BQ,40,0)</f>
        <v>#N/A</v>
      </c>
      <c r="BG241" s="58" t="e">
        <f>VLOOKUP($A241,'S50'!$C:$BQ,22,0)</f>
        <v>#N/A</v>
      </c>
      <c r="BH241" s="66" t="e">
        <f>VLOOKUP($A241,'S50'!$C:$BQ,29,0)</f>
        <v>#N/A</v>
      </c>
      <c r="BI241" s="66" t="e">
        <f>VLOOKUP($A241,'S50'!$C:$BQ,30,0)</f>
        <v>#N/A</v>
      </c>
      <c r="BJ241" s="66" t="e">
        <f>VLOOKUP($A241,'S50'!$C:$BQ,52,0)</f>
        <v>#N/A</v>
      </c>
      <c r="BK241" s="66" t="e">
        <f>VLOOKUP($A241,'S50'!$C:$BQ,59,0)</f>
        <v>#N/A</v>
      </c>
      <c r="BL241" s="66" t="e">
        <f>VLOOKUP($A241,'S50'!$C:$BQ,60,0)</f>
        <v>#N/A</v>
      </c>
    </row>
    <row r="242" spans="1:64" x14ac:dyDescent="0.2">
      <c r="A242" s="57" t="s">
        <v>313</v>
      </c>
      <c r="B242" s="58">
        <f>VLOOKUP($A242,'S0 remplacer avec S44'!$C:$BQ,32,0)</f>
        <v>84.6</v>
      </c>
      <c r="C242" s="58">
        <f>VLOOKUP($A242,'S0 remplacer avec S44'!$C:$BQ,39,0)</f>
        <v>110</v>
      </c>
      <c r="D242" s="58">
        <f>VLOOKUP($A242,'S0 remplacer avec S44'!$C:$BQ,40,0)</f>
        <v>149</v>
      </c>
      <c r="E242" s="58">
        <f>VLOOKUP($A242,'S0 remplacer avec S44'!$C:$BQ,22,0)</f>
        <v>1091.3798200000001</v>
      </c>
      <c r="F242" s="66">
        <f>VLOOKUP($A242,'S0 remplacer avec S44'!$C:$BQ,29,0)</f>
        <v>674</v>
      </c>
      <c r="G242" s="66">
        <f>VLOOKUP($A242,'S0 remplacer avec S44'!$C:$BQ,30,0)</f>
        <v>1027</v>
      </c>
      <c r="H242" s="66">
        <f>VLOOKUP($A242,'S0 remplacer avec S44'!$C:$BQ,52,0)</f>
        <v>92.4</v>
      </c>
      <c r="I242" s="66">
        <f>VLOOKUP($A242,'S0 remplacer avec S44'!$C:$BQ,59,0)</f>
        <v>7</v>
      </c>
      <c r="J242" s="66">
        <f>VLOOKUP($A242,'S0 remplacer avec S44'!$C:$BQ,60,0)</f>
        <v>26</v>
      </c>
      <c r="K242" s="58">
        <f>VLOOKUP($A242,'S45'!$C:$BQ,32,0)</f>
        <v>82.6</v>
      </c>
      <c r="L242" s="58">
        <f>VLOOKUP($A242,'S45'!$C:$BQ,39,0)</f>
        <v>112</v>
      </c>
      <c r="M242" s="58">
        <f>VLOOKUP($A242,'S45'!$C:$BQ,40,0)</f>
        <v>151</v>
      </c>
      <c r="N242" s="58">
        <f>VLOOKUP($A242,'S45'!$C:$BQ,22,0)</f>
        <v>1093.5487700000001</v>
      </c>
      <c r="O242" s="66">
        <f>VLOOKUP($A242,'S45'!$C:$BQ,29,0)</f>
        <v>672</v>
      </c>
      <c r="P242" s="66">
        <f>VLOOKUP($A242,'S45'!$C:$BQ,30,0)</f>
        <v>1025</v>
      </c>
      <c r="Q242" s="66">
        <f>VLOOKUP($A242,'S45'!$C:$BQ,52,0)</f>
        <v>94.4</v>
      </c>
      <c r="R242" s="66">
        <f>VLOOKUP($A242,'S45'!$C:$BQ,59,0)</f>
        <v>5</v>
      </c>
      <c r="S242" s="66">
        <f>VLOOKUP($A242,'S45'!$C:$BQ,60,0)</f>
        <v>24</v>
      </c>
      <c r="T242" s="58">
        <f>VLOOKUP($A242,'S46'!$C:$BQ,32,0)</f>
        <v>82.6</v>
      </c>
      <c r="U242" s="58">
        <f>VLOOKUP($A242,'S46'!$C:$BQ,39,0)</f>
        <v>112</v>
      </c>
      <c r="V242" s="58">
        <f>VLOOKUP($A242,'S46'!$C:$BQ,40,0)</f>
        <v>151</v>
      </c>
      <c r="W242" s="58">
        <f>VLOOKUP($A242,'S46'!$C:$BQ,22,0)</f>
        <v>1095.18487</v>
      </c>
      <c r="X242" s="66">
        <f>VLOOKUP($A242,'S46'!$C:$BQ,29,0)</f>
        <v>670</v>
      </c>
      <c r="Y242" s="66">
        <f>VLOOKUP($A242,'S46'!$C:$BQ,30,0)</f>
        <v>1023</v>
      </c>
      <c r="Z242" s="66">
        <f>VLOOKUP($A242,'S46'!$C:$BQ,52,0)</f>
        <v>94.4</v>
      </c>
      <c r="AA242" s="66">
        <f>VLOOKUP($A242,'S46'!$C:$BQ,59,0)</f>
        <v>5</v>
      </c>
      <c r="AB242" s="66">
        <f>VLOOKUP($A242,'S46'!$C:$BQ,60,0)</f>
        <v>24</v>
      </c>
      <c r="AC242" s="58">
        <f>VLOOKUP($A242,'S47'!$C:$BQ,32,0)</f>
        <v>84.1</v>
      </c>
      <c r="AD242" s="58">
        <f>VLOOKUP($A242,'S47'!$C:$BQ,39,0)</f>
        <v>110</v>
      </c>
      <c r="AE242" s="58">
        <f>VLOOKUP($A242,'S47'!$C:$BQ,40,0)</f>
        <v>149</v>
      </c>
      <c r="AF242" s="58">
        <f>VLOOKUP($A242,'S47'!$C:$BQ,22,0)</f>
        <v>1118.6918700000001</v>
      </c>
      <c r="AG242" s="66">
        <f>VLOOKUP($A242,'S47'!$C:$BQ,29,0)</f>
        <v>647</v>
      </c>
      <c r="AH242" s="66">
        <f>VLOOKUP($A242,'S47'!$C:$BQ,30,0)</f>
        <v>1000</v>
      </c>
      <c r="AI242" s="66">
        <f>VLOOKUP($A242,'S47'!$C:$BQ,52,0)</f>
        <v>95.4</v>
      </c>
      <c r="AJ242" s="66">
        <f>VLOOKUP($A242,'S47'!$C:$BQ,59,0)</f>
        <v>4</v>
      </c>
      <c r="AK242" s="66">
        <f>VLOOKUP($A242,'S47'!$C:$BQ,60,0)</f>
        <v>23</v>
      </c>
      <c r="AL242" s="58" t="e">
        <f>VLOOKUP($A242,'S48'!$C:$BQ,32,0)</f>
        <v>#N/A</v>
      </c>
      <c r="AM242" s="58" t="e">
        <f>VLOOKUP($A242,'S48'!$C:$BQ,39,0)</f>
        <v>#N/A</v>
      </c>
      <c r="AN242" s="58" t="e">
        <f>VLOOKUP($A242,'S48'!$C:$BQ,40,0)</f>
        <v>#N/A</v>
      </c>
      <c r="AO242" s="58" t="e">
        <f>VLOOKUP($A242,'S48'!$C:$BQ,22,0)</f>
        <v>#N/A</v>
      </c>
      <c r="AP242" s="66" t="e">
        <f>VLOOKUP($A242,'S48'!$C:$BQ,29,0)</f>
        <v>#N/A</v>
      </c>
      <c r="AQ242" s="66" t="e">
        <f>VLOOKUP($A242,'S48'!$C:$BQ,30,0)</f>
        <v>#N/A</v>
      </c>
      <c r="AR242" s="66" t="e">
        <f>VLOOKUP($A242,'S48'!$C:$BQ,52,0)</f>
        <v>#N/A</v>
      </c>
      <c r="AS242" s="66" t="e">
        <f>VLOOKUP($A242,'S48'!$C:$BQ,59,0)</f>
        <v>#N/A</v>
      </c>
      <c r="AT242" s="66" t="e">
        <f>VLOOKUP($A242,'S48'!$C:$BQ,60,0)</f>
        <v>#N/A</v>
      </c>
      <c r="AU242" s="58" t="e">
        <f>VLOOKUP($A242,'S49'!$C:$BQ,32,0)</f>
        <v>#N/A</v>
      </c>
      <c r="AV242" s="58" t="e">
        <f>VLOOKUP($A242,'S49'!$C:$BQ,39,0)</f>
        <v>#N/A</v>
      </c>
      <c r="AW242" s="58" t="e">
        <f>VLOOKUP($A242,'S49'!$C:$BQ,40,0)</f>
        <v>#N/A</v>
      </c>
      <c r="AX242" s="58" t="e">
        <f>VLOOKUP($A242,'S49'!$C:$BQ,22,0)</f>
        <v>#N/A</v>
      </c>
      <c r="AY242" s="66" t="e">
        <f>VLOOKUP($A242,'S49'!$C:$BQ,29,0)</f>
        <v>#N/A</v>
      </c>
      <c r="AZ242" s="66" t="e">
        <f>VLOOKUP($A242,'S49'!$C:$BQ,30,0)</f>
        <v>#N/A</v>
      </c>
      <c r="BA242" s="66" t="e">
        <f>VLOOKUP($A242,'S49'!$C:$BQ,52,0)</f>
        <v>#N/A</v>
      </c>
      <c r="BB242" s="66" t="e">
        <f>VLOOKUP($A242,'S49'!$C:$BQ,59,0)</f>
        <v>#N/A</v>
      </c>
      <c r="BC242" s="66" t="e">
        <f>VLOOKUP($A242,'S49'!$C:$BQ,60,0)</f>
        <v>#N/A</v>
      </c>
      <c r="BD242" s="58" t="e">
        <f>VLOOKUP($A242,'S50'!$C:$BQ,32,0)</f>
        <v>#N/A</v>
      </c>
      <c r="BE242" s="58" t="e">
        <f>VLOOKUP($A242,'S50'!$C:$BQ,39,0)</f>
        <v>#N/A</v>
      </c>
      <c r="BF242" s="58" t="e">
        <f>VLOOKUP($A242,'S50'!$C:$BQ,40,0)</f>
        <v>#N/A</v>
      </c>
      <c r="BG242" s="58" t="e">
        <f>VLOOKUP($A242,'S50'!$C:$BQ,22,0)</f>
        <v>#N/A</v>
      </c>
      <c r="BH242" s="66" t="e">
        <f>VLOOKUP($A242,'S50'!$C:$BQ,29,0)</f>
        <v>#N/A</v>
      </c>
      <c r="BI242" s="66" t="e">
        <f>VLOOKUP($A242,'S50'!$C:$BQ,30,0)</f>
        <v>#N/A</v>
      </c>
      <c r="BJ242" s="66" t="e">
        <f>VLOOKUP($A242,'S50'!$C:$BQ,52,0)</f>
        <v>#N/A</v>
      </c>
      <c r="BK242" s="66" t="e">
        <f>VLOOKUP($A242,'S50'!$C:$BQ,59,0)</f>
        <v>#N/A</v>
      </c>
      <c r="BL242" s="66" t="e">
        <f>VLOOKUP($A242,'S50'!$C:$BQ,60,0)</f>
        <v>#N/A</v>
      </c>
    </row>
    <row r="243" spans="1:64" x14ac:dyDescent="0.2">
      <c r="A243" s="57" t="s">
        <v>314</v>
      </c>
      <c r="B243" s="58">
        <f>VLOOKUP($A243,'S0 remplacer avec S44'!$C:$BQ,32,0)</f>
        <v>319.25</v>
      </c>
      <c r="C243" s="58">
        <f>VLOOKUP($A243,'S0 remplacer avec S44'!$C:$BQ,39,0)</f>
        <v>60</v>
      </c>
      <c r="D243" s="58">
        <f>VLOOKUP($A243,'S0 remplacer avec S44'!$C:$BQ,40,0)</f>
        <v>136</v>
      </c>
      <c r="E243" s="58">
        <f>VLOOKUP($A243,'S0 remplacer avec S44'!$C:$BQ,22,0)</f>
        <v>3495.6385449999998</v>
      </c>
      <c r="F243" s="66">
        <f>VLOOKUP($A243,'S0 remplacer avec S44'!$C:$BQ,29,0)</f>
        <v>0</v>
      </c>
      <c r="G243" s="66">
        <f>VLOOKUP($A243,'S0 remplacer avec S44'!$C:$BQ,30,0)</f>
        <v>639</v>
      </c>
      <c r="H243" s="66">
        <f>VLOOKUP($A243,'S0 remplacer avec S44'!$C:$BQ,52,0)</f>
        <v>215.2</v>
      </c>
      <c r="I243" s="66">
        <f>VLOOKUP($A243,'S0 remplacer avec S44'!$C:$BQ,59,0)</f>
        <v>0</v>
      </c>
      <c r="J243" s="66">
        <f>VLOOKUP($A243,'S0 remplacer avec S44'!$C:$BQ,60,0)</f>
        <v>16</v>
      </c>
      <c r="K243" s="58">
        <f>VLOOKUP($A243,'S45'!$C:$BQ,32,0)</f>
        <v>326.75</v>
      </c>
      <c r="L243" s="58">
        <f>VLOOKUP($A243,'S45'!$C:$BQ,39,0)</f>
        <v>53</v>
      </c>
      <c r="M243" s="58">
        <f>VLOOKUP($A243,'S45'!$C:$BQ,40,0)</f>
        <v>128</v>
      </c>
      <c r="N243" s="58">
        <f>VLOOKUP($A243,'S45'!$C:$BQ,22,0)</f>
        <v>3540.284095</v>
      </c>
      <c r="O243" s="66">
        <f>VLOOKUP($A243,'S45'!$C:$BQ,29,0)</f>
        <v>0</v>
      </c>
      <c r="P243" s="66">
        <f>VLOOKUP($A243,'S45'!$C:$BQ,30,0)</f>
        <v>594</v>
      </c>
      <c r="Q243" s="66">
        <f>VLOOKUP($A243,'S45'!$C:$BQ,52,0)</f>
        <v>220.2</v>
      </c>
      <c r="R243" s="66">
        <f>VLOOKUP($A243,'S45'!$C:$BQ,59,0)</f>
        <v>0</v>
      </c>
      <c r="S243" s="66">
        <f>VLOOKUP($A243,'S45'!$C:$BQ,60,0)</f>
        <v>11</v>
      </c>
      <c r="T243" s="58">
        <f>VLOOKUP($A243,'S46'!$C:$BQ,32,0)</f>
        <v>328.75</v>
      </c>
      <c r="U243" s="58">
        <f>VLOOKUP($A243,'S46'!$C:$BQ,39,0)</f>
        <v>51</v>
      </c>
      <c r="V243" s="58">
        <f>VLOOKUP($A243,'S46'!$C:$BQ,40,0)</f>
        <v>126</v>
      </c>
      <c r="W243" s="58">
        <f>VLOOKUP($A243,'S46'!$C:$BQ,22,0)</f>
        <v>3544.4366150000001</v>
      </c>
      <c r="X243" s="66">
        <f>VLOOKUP($A243,'S46'!$C:$BQ,29,0)</f>
        <v>0</v>
      </c>
      <c r="Y243" s="66">
        <f>VLOOKUP($A243,'S46'!$C:$BQ,30,0)</f>
        <v>590</v>
      </c>
      <c r="Z243" s="66">
        <f>VLOOKUP($A243,'S46'!$C:$BQ,52,0)</f>
        <v>221.2</v>
      </c>
      <c r="AA243" s="66">
        <f>VLOOKUP($A243,'S46'!$C:$BQ,59,0)</f>
        <v>0</v>
      </c>
      <c r="AB243" s="66">
        <f>VLOOKUP($A243,'S46'!$C:$BQ,60,0)</f>
        <v>10</v>
      </c>
      <c r="AC243" s="58">
        <f>VLOOKUP($A243,'S47'!$C:$BQ,32,0)</f>
        <v>340.25</v>
      </c>
      <c r="AD243" s="58">
        <f>VLOOKUP($A243,'S47'!$C:$BQ,39,0)</f>
        <v>39</v>
      </c>
      <c r="AE243" s="58">
        <f>VLOOKUP($A243,'S47'!$C:$BQ,40,0)</f>
        <v>115</v>
      </c>
      <c r="AF243" s="58">
        <f>VLOOKUP($A243,'S47'!$C:$BQ,22,0)</f>
        <v>3667.6442950000001</v>
      </c>
      <c r="AG243" s="66">
        <f>VLOOKUP($A243,'S47'!$C:$BQ,29,0)</f>
        <v>0</v>
      </c>
      <c r="AH243" s="66">
        <f>VLOOKUP($A243,'S47'!$C:$BQ,30,0)</f>
        <v>467</v>
      </c>
      <c r="AI243" s="66">
        <f>VLOOKUP($A243,'S47'!$C:$BQ,52,0)</f>
        <v>228.2</v>
      </c>
      <c r="AJ243" s="66">
        <f>VLOOKUP($A243,'S47'!$C:$BQ,59,0)</f>
        <v>0</v>
      </c>
      <c r="AK243" s="66">
        <f>VLOOKUP($A243,'S47'!$C:$BQ,60,0)</f>
        <v>3</v>
      </c>
      <c r="AL243" s="58" t="e">
        <f>VLOOKUP($A243,'S48'!$C:$BQ,32,0)</f>
        <v>#N/A</v>
      </c>
      <c r="AM243" s="58" t="e">
        <f>VLOOKUP($A243,'S48'!$C:$BQ,39,0)</f>
        <v>#N/A</v>
      </c>
      <c r="AN243" s="58" t="e">
        <f>VLOOKUP($A243,'S48'!$C:$BQ,40,0)</f>
        <v>#N/A</v>
      </c>
      <c r="AO243" s="58" t="e">
        <f>VLOOKUP($A243,'S48'!$C:$BQ,22,0)</f>
        <v>#N/A</v>
      </c>
      <c r="AP243" s="66" t="e">
        <f>VLOOKUP($A243,'S48'!$C:$BQ,29,0)</f>
        <v>#N/A</v>
      </c>
      <c r="AQ243" s="66" t="e">
        <f>VLOOKUP($A243,'S48'!$C:$BQ,30,0)</f>
        <v>#N/A</v>
      </c>
      <c r="AR243" s="66" t="e">
        <f>VLOOKUP($A243,'S48'!$C:$BQ,52,0)</f>
        <v>#N/A</v>
      </c>
      <c r="AS243" s="66" t="e">
        <f>VLOOKUP($A243,'S48'!$C:$BQ,59,0)</f>
        <v>#N/A</v>
      </c>
      <c r="AT243" s="66" t="e">
        <f>VLOOKUP($A243,'S48'!$C:$BQ,60,0)</f>
        <v>#N/A</v>
      </c>
      <c r="AU243" s="58" t="e">
        <f>VLOOKUP($A243,'S49'!$C:$BQ,32,0)</f>
        <v>#N/A</v>
      </c>
      <c r="AV243" s="58" t="e">
        <f>VLOOKUP($A243,'S49'!$C:$BQ,39,0)</f>
        <v>#N/A</v>
      </c>
      <c r="AW243" s="58" t="e">
        <f>VLOOKUP($A243,'S49'!$C:$BQ,40,0)</f>
        <v>#N/A</v>
      </c>
      <c r="AX243" s="58" t="e">
        <f>VLOOKUP($A243,'S49'!$C:$BQ,22,0)</f>
        <v>#N/A</v>
      </c>
      <c r="AY243" s="66" t="e">
        <f>VLOOKUP($A243,'S49'!$C:$BQ,29,0)</f>
        <v>#N/A</v>
      </c>
      <c r="AZ243" s="66" t="e">
        <f>VLOOKUP($A243,'S49'!$C:$BQ,30,0)</f>
        <v>#N/A</v>
      </c>
      <c r="BA243" s="66" t="e">
        <f>VLOOKUP($A243,'S49'!$C:$BQ,52,0)</f>
        <v>#N/A</v>
      </c>
      <c r="BB243" s="66" t="e">
        <f>VLOOKUP($A243,'S49'!$C:$BQ,59,0)</f>
        <v>#N/A</v>
      </c>
      <c r="BC243" s="66" t="e">
        <f>VLOOKUP($A243,'S49'!$C:$BQ,60,0)</f>
        <v>#N/A</v>
      </c>
      <c r="BD243" s="58" t="e">
        <f>VLOOKUP($A243,'S50'!$C:$BQ,32,0)</f>
        <v>#N/A</v>
      </c>
      <c r="BE243" s="58" t="e">
        <f>VLOOKUP($A243,'S50'!$C:$BQ,39,0)</f>
        <v>#N/A</v>
      </c>
      <c r="BF243" s="58" t="e">
        <f>VLOOKUP($A243,'S50'!$C:$BQ,40,0)</f>
        <v>#N/A</v>
      </c>
      <c r="BG243" s="58" t="e">
        <f>VLOOKUP($A243,'S50'!$C:$BQ,22,0)</f>
        <v>#N/A</v>
      </c>
      <c r="BH243" s="66" t="e">
        <f>VLOOKUP($A243,'S50'!$C:$BQ,29,0)</f>
        <v>#N/A</v>
      </c>
      <c r="BI243" s="66" t="e">
        <f>VLOOKUP($A243,'S50'!$C:$BQ,30,0)</f>
        <v>#N/A</v>
      </c>
      <c r="BJ243" s="66" t="e">
        <f>VLOOKUP($A243,'S50'!$C:$BQ,52,0)</f>
        <v>#N/A</v>
      </c>
      <c r="BK243" s="66" t="e">
        <f>VLOOKUP($A243,'S50'!$C:$BQ,59,0)</f>
        <v>#N/A</v>
      </c>
      <c r="BL243" s="66" t="e">
        <f>VLOOKUP($A243,'S50'!$C:$BQ,60,0)</f>
        <v>#N/A</v>
      </c>
    </row>
    <row r="244" spans="1:64" x14ac:dyDescent="0.2">
      <c r="A244" s="57" t="s">
        <v>315</v>
      </c>
      <c r="B244" s="58">
        <f>VLOOKUP($A244,'S0 remplacer avec S44'!$C:$BQ,32,0)</f>
        <v>279.89999999999998</v>
      </c>
      <c r="C244" s="58">
        <f>VLOOKUP($A244,'S0 remplacer avec S44'!$C:$BQ,39,0)</f>
        <v>260</v>
      </c>
      <c r="D244" s="58">
        <f>VLOOKUP($A244,'S0 remplacer avec S44'!$C:$BQ,40,0)</f>
        <v>367</v>
      </c>
      <c r="E244" s="58">
        <f>VLOOKUP($A244,'S0 remplacer avec S44'!$C:$BQ,22,0)</f>
        <v>4687.2063950000002</v>
      </c>
      <c r="F244" s="66">
        <f>VLOOKUP($A244,'S0 remplacer avec S44'!$C:$BQ,29,0)</f>
        <v>216</v>
      </c>
      <c r="G244" s="66">
        <f>VLOOKUP($A244,'S0 remplacer avec S44'!$C:$BQ,30,0)</f>
        <v>1197</v>
      </c>
      <c r="H244" s="66">
        <f>VLOOKUP($A244,'S0 remplacer avec S44'!$C:$BQ,52,0)</f>
        <v>245.6</v>
      </c>
      <c r="I244" s="66">
        <f>VLOOKUP($A244,'S0 remplacer avec S44'!$C:$BQ,59,0)</f>
        <v>29</v>
      </c>
      <c r="J244" s="66">
        <f>VLOOKUP($A244,'S0 remplacer avec S44'!$C:$BQ,60,0)</f>
        <v>83</v>
      </c>
      <c r="K244" s="58">
        <f>VLOOKUP($A244,'S45'!$C:$BQ,32,0)</f>
        <v>281.39999999999998</v>
      </c>
      <c r="L244" s="58">
        <f>VLOOKUP($A244,'S45'!$C:$BQ,39,0)</f>
        <v>258</v>
      </c>
      <c r="M244" s="58">
        <f>VLOOKUP($A244,'S45'!$C:$BQ,40,0)</f>
        <v>366</v>
      </c>
      <c r="N244" s="58">
        <f>VLOOKUP($A244,'S45'!$C:$BQ,22,0)</f>
        <v>4750.6509349999997</v>
      </c>
      <c r="O244" s="66">
        <f>VLOOKUP($A244,'S45'!$C:$BQ,29,0)</f>
        <v>153</v>
      </c>
      <c r="P244" s="66">
        <f>VLOOKUP($A244,'S45'!$C:$BQ,30,0)</f>
        <v>1133</v>
      </c>
      <c r="Q244" s="66">
        <f>VLOOKUP($A244,'S45'!$C:$BQ,52,0)</f>
        <v>246.6</v>
      </c>
      <c r="R244" s="66">
        <f>VLOOKUP($A244,'S45'!$C:$BQ,59,0)</f>
        <v>28</v>
      </c>
      <c r="S244" s="66">
        <f>VLOOKUP($A244,'S45'!$C:$BQ,60,0)</f>
        <v>82</v>
      </c>
      <c r="T244" s="58">
        <f>VLOOKUP($A244,'S46'!$C:$BQ,32,0)</f>
        <v>281.89999999999998</v>
      </c>
      <c r="U244" s="58">
        <f>VLOOKUP($A244,'S46'!$C:$BQ,39,0)</f>
        <v>258</v>
      </c>
      <c r="V244" s="58">
        <f>VLOOKUP($A244,'S46'!$C:$BQ,40,0)</f>
        <v>365</v>
      </c>
      <c r="W244" s="58">
        <f>VLOOKUP($A244,'S46'!$C:$BQ,22,0)</f>
        <v>4778.2725549999996</v>
      </c>
      <c r="X244" s="66">
        <f>VLOOKUP($A244,'S46'!$C:$BQ,29,0)</f>
        <v>125</v>
      </c>
      <c r="Y244" s="66">
        <f>VLOOKUP($A244,'S46'!$C:$BQ,30,0)</f>
        <v>1105</v>
      </c>
      <c r="Z244" s="66">
        <f>VLOOKUP($A244,'S46'!$C:$BQ,52,0)</f>
        <v>252.6</v>
      </c>
      <c r="AA244" s="66">
        <f>VLOOKUP($A244,'S46'!$C:$BQ,59,0)</f>
        <v>22</v>
      </c>
      <c r="AB244" s="66">
        <f>VLOOKUP($A244,'S46'!$C:$BQ,60,0)</f>
        <v>76</v>
      </c>
      <c r="AC244" s="58">
        <f>VLOOKUP($A244,'S47'!$C:$BQ,32,0)</f>
        <v>287.89999999999998</v>
      </c>
      <c r="AD244" s="58">
        <f>VLOOKUP($A244,'S47'!$C:$BQ,39,0)</f>
        <v>252</v>
      </c>
      <c r="AE244" s="58">
        <f>VLOOKUP($A244,'S47'!$C:$BQ,40,0)</f>
        <v>359</v>
      </c>
      <c r="AF244" s="58">
        <f>VLOOKUP($A244,'S47'!$C:$BQ,22,0)</f>
        <v>4798.9388049999998</v>
      </c>
      <c r="AG244" s="66">
        <f>VLOOKUP($A244,'S47'!$C:$BQ,29,0)</f>
        <v>104</v>
      </c>
      <c r="AH244" s="66">
        <f>VLOOKUP($A244,'S47'!$C:$BQ,30,0)</f>
        <v>1085</v>
      </c>
      <c r="AI244" s="66">
        <f>VLOOKUP($A244,'S47'!$C:$BQ,52,0)</f>
        <v>259.60000000000002</v>
      </c>
      <c r="AJ244" s="66">
        <f>VLOOKUP($A244,'S47'!$C:$BQ,59,0)</f>
        <v>15</v>
      </c>
      <c r="AK244" s="66">
        <f>VLOOKUP($A244,'S47'!$C:$BQ,60,0)</f>
        <v>69</v>
      </c>
      <c r="AL244" s="58" t="e">
        <f>VLOOKUP($A244,'S48'!$C:$BQ,32,0)</f>
        <v>#N/A</v>
      </c>
      <c r="AM244" s="58" t="e">
        <f>VLOOKUP($A244,'S48'!$C:$BQ,39,0)</f>
        <v>#N/A</v>
      </c>
      <c r="AN244" s="58" t="e">
        <f>VLOOKUP($A244,'S48'!$C:$BQ,40,0)</f>
        <v>#N/A</v>
      </c>
      <c r="AO244" s="58" t="e">
        <f>VLOOKUP($A244,'S48'!$C:$BQ,22,0)</f>
        <v>#N/A</v>
      </c>
      <c r="AP244" s="66" t="e">
        <f>VLOOKUP($A244,'S48'!$C:$BQ,29,0)</f>
        <v>#N/A</v>
      </c>
      <c r="AQ244" s="66" t="e">
        <f>VLOOKUP($A244,'S48'!$C:$BQ,30,0)</f>
        <v>#N/A</v>
      </c>
      <c r="AR244" s="66" t="e">
        <f>VLOOKUP($A244,'S48'!$C:$BQ,52,0)</f>
        <v>#N/A</v>
      </c>
      <c r="AS244" s="66" t="e">
        <f>VLOOKUP($A244,'S48'!$C:$BQ,59,0)</f>
        <v>#N/A</v>
      </c>
      <c r="AT244" s="66" t="e">
        <f>VLOOKUP($A244,'S48'!$C:$BQ,60,0)</f>
        <v>#N/A</v>
      </c>
      <c r="AU244" s="58" t="e">
        <f>VLOOKUP($A244,'S49'!$C:$BQ,32,0)</f>
        <v>#N/A</v>
      </c>
      <c r="AV244" s="58" t="e">
        <f>VLOOKUP($A244,'S49'!$C:$BQ,39,0)</f>
        <v>#N/A</v>
      </c>
      <c r="AW244" s="58" t="e">
        <f>VLOOKUP($A244,'S49'!$C:$BQ,40,0)</f>
        <v>#N/A</v>
      </c>
      <c r="AX244" s="58" t="e">
        <f>VLOOKUP($A244,'S49'!$C:$BQ,22,0)</f>
        <v>#N/A</v>
      </c>
      <c r="AY244" s="66" t="e">
        <f>VLOOKUP($A244,'S49'!$C:$BQ,29,0)</f>
        <v>#N/A</v>
      </c>
      <c r="AZ244" s="66" t="e">
        <f>VLOOKUP($A244,'S49'!$C:$BQ,30,0)</f>
        <v>#N/A</v>
      </c>
      <c r="BA244" s="66" t="e">
        <f>VLOOKUP($A244,'S49'!$C:$BQ,52,0)</f>
        <v>#N/A</v>
      </c>
      <c r="BB244" s="66" t="e">
        <f>VLOOKUP($A244,'S49'!$C:$BQ,59,0)</f>
        <v>#N/A</v>
      </c>
      <c r="BC244" s="66" t="e">
        <f>VLOOKUP($A244,'S49'!$C:$BQ,60,0)</f>
        <v>#N/A</v>
      </c>
      <c r="BD244" s="58" t="e">
        <f>VLOOKUP($A244,'S50'!$C:$BQ,32,0)</f>
        <v>#N/A</v>
      </c>
      <c r="BE244" s="58" t="e">
        <f>VLOOKUP($A244,'S50'!$C:$BQ,39,0)</f>
        <v>#N/A</v>
      </c>
      <c r="BF244" s="58" t="e">
        <f>VLOOKUP($A244,'S50'!$C:$BQ,40,0)</f>
        <v>#N/A</v>
      </c>
      <c r="BG244" s="58" t="e">
        <f>VLOOKUP($A244,'S50'!$C:$BQ,22,0)</f>
        <v>#N/A</v>
      </c>
      <c r="BH244" s="66" t="e">
        <f>VLOOKUP($A244,'S50'!$C:$BQ,29,0)</f>
        <v>#N/A</v>
      </c>
      <c r="BI244" s="66" t="e">
        <f>VLOOKUP($A244,'S50'!$C:$BQ,30,0)</f>
        <v>#N/A</v>
      </c>
      <c r="BJ244" s="66" t="e">
        <f>VLOOKUP($A244,'S50'!$C:$BQ,52,0)</f>
        <v>#N/A</v>
      </c>
      <c r="BK244" s="66" t="e">
        <f>VLOOKUP($A244,'S50'!$C:$BQ,59,0)</f>
        <v>#N/A</v>
      </c>
      <c r="BL244" s="66" t="e">
        <f>VLOOKUP($A244,'S50'!$C:$BQ,60,0)</f>
        <v>#N/A</v>
      </c>
    </row>
    <row r="245" spans="1:64" x14ac:dyDescent="0.2">
      <c r="A245" s="57" t="s">
        <v>316</v>
      </c>
      <c r="B245" s="58">
        <f>VLOOKUP($A245,'S0 remplacer avec S44'!$C:$BQ,32,0)</f>
        <v>311.8</v>
      </c>
      <c r="C245" s="58">
        <f>VLOOKUP($A245,'S0 remplacer avec S44'!$C:$BQ,39,0)</f>
        <v>172</v>
      </c>
      <c r="D245" s="58">
        <f>VLOOKUP($A245,'S0 remplacer avec S44'!$C:$BQ,40,0)</f>
        <v>268</v>
      </c>
      <c r="E245" s="58">
        <f>VLOOKUP($A245,'S0 remplacer avec S44'!$C:$BQ,22,0)</f>
        <v>3412.0310599999998</v>
      </c>
      <c r="F245" s="66">
        <f>VLOOKUP($A245,'S0 remplacer avec S44'!$C:$BQ,29,0)</f>
        <v>980</v>
      </c>
      <c r="G245" s="66">
        <f>VLOOKUP($A245,'S0 remplacer avec S44'!$C:$BQ,30,0)</f>
        <v>1858</v>
      </c>
      <c r="H245" s="66">
        <f>VLOOKUP($A245,'S0 remplacer avec S44'!$C:$BQ,52,0)</f>
        <v>186.2</v>
      </c>
      <c r="I245" s="66">
        <f>VLOOKUP($A245,'S0 remplacer avec S44'!$C:$BQ,59,0)</f>
        <v>60</v>
      </c>
      <c r="J245" s="66">
        <f>VLOOKUP($A245,'S0 remplacer avec S44'!$C:$BQ,60,0)</f>
        <v>109</v>
      </c>
      <c r="K245" s="58">
        <f>VLOOKUP($A245,'S45'!$C:$BQ,32,0)</f>
        <v>316.8</v>
      </c>
      <c r="L245" s="58">
        <f>VLOOKUP($A245,'S45'!$C:$BQ,39,0)</f>
        <v>167</v>
      </c>
      <c r="M245" s="58">
        <f>VLOOKUP($A245,'S45'!$C:$BQ,40,0)</f>
        <v>263</v>
      </c>
      <c r="N245" s="58">
        <f>VLOOKUP($A245,'S45'!$C:$BQ,22,0)</f>
        <v>3473.5426699999998</v>
      </c>
      <c r="O245" s="66">
        <f>VLOOKUP($A245,'S45'!$C:$BQ,29,0)</f>
        <v>918</v>
      </c>
      <c r="P245" s="66">
        <f>VLOOKUP($A245,'S45'!$C:$BQ,30,0)</f>
        <v>1797</v>
      </c>
      <c r="Q245" s="66">
        <f>VLOOKUP($A245,'S45'!$C:$BQ,52,0)</f>
        <v>185.2</v>
      </c>
      <c r="R245" s="66">
        <f>VLOOKUP($A245,'S45'!$C:$BQ,59,0)</f>
        <v>61</v>
      </c>
      <c r="S245" s="66">
        <f>VLOOKUP($A245,'S45'!$C:$BQ,60,0)</f>
        <v>110</v>
      </c>
      <c r="T245" s="58">
        <f>VLOOKUP($A245,'S46'!$C:$BQ,32,0)</f>
        <v>317.3</v>
      </c>
      <c r="U245" s="58">
        <f>VLOOKUP($A245,'S46'!$C:$BQ,39,0)</f>
        <v>166</v>
      </c>
      <c r="V245" s="58">
        <f>VLOOKUP($A245,'S46'!$C:$BQ,40,0)</f>
        <v>263</v>
      </c>
      <c r="W245" s="58">
        <f>VLOOKUP($A245,'S46'!$C:$BQ,22,0)</f>
        <v>3472.87968</v>
      </c>
      <c r="X245" s="66">
        <f>VLOOKUP($A245,'S46'!$C:$BQ,29,0)</f>
        <v>919</v>
      </c>
      <c r="Y245" s="66">
        <f>VLOOKUP($A245,'S46'!$C:$BQ,30,0)</f>
        <v>1797</v>
      </c>
      <c r="Z245" s="66">
        <f>VLOOKUP($A245,'S46'!$C:$BQ,52,0)</f>
        <v>188.2</v>
      </c>
      <c r="AA245" s="66">
        <f>VLOOKUP($A245,'S46'!$C:$BQ,59,0)</f>
        <v>58</v>
      </c>
      <c r="AB245" s="66">
        <f>VLOOKUP($A245,'S46'!$C:$BQ,60,0)</f>
        <v>107</v>
      </c>
      <c r="AC245" s="58">
        <f>VLOOKUP($A245,'S47'!$C:$BQ,32,0)</f>
        <v>322.3</v>
      </c>
      <c r="AD245" s="58">
        <f>VLOOKUP($A245,'S47'!$C:$BQ,39,0)</f>
        <v>161</v>
      </c>
      <c r="AE245" s="58">
        <f>VLOOKUP($A245,'S47'!$C:$BQ,40,0)</f>
        <v>258</v>
      </c>
      <c r="AF245" s="58">
        <f>VLOOKUP($A245,'S47'!$C:$BQ,22,0)</f>
        <v>3499.0842699999998</v>
      </c>
      <c r="AG245" s="66">
        <f>VLOOKUP($A245,'S47'!$C:$BQ,29,0)</f>
        <v>893</v>
      </c>
      <c r="AH245" s="66">
        <f>VLOOKUP($A245,'S47'!$C:$BQ,30,0)</f>
        <v>1771</v>
      </c>
      <c r="AI245" s="66">
        <f>VLOOKUP($A245,'S47'!$C:$BQ,52,0)</f>
        <v>190.2</v>
      </c>
      <c r="AJ245" s="66">
        <f>VLOOKUP($A245,'S47'!$C:$BQ,59,0)</f>
        <v>56</v>
      </c>
      <c r="AK245" s="66">
        <f>VLOOKUP($A245,'S47'!$C:$BQ,60,0)</f>
        <v>105</v>
      </c>
      <c r="AL245" s="58" t="e">
        <f>VLOOKUP($A245,'S48'!$C:$BQ,32,0)</f>
        <v>#N/A</v>
      </c>
      <c r="AM245" s="58" t="e">
        <f>VLOOKUP($A245,'S48'!$C:$BQ,39,0)</f>
        <v>#N/A</v>
      </c>
      <c r="AN245" s="58" t="e">
        <f>VLOOKUP($A245,'S48'!$C:$BQ,40,0)</f>
        <v>#N/A</v>
      </c>
      <c r="AO245" s="58" t="e">
        <f>VLOOKUP($A245,'S48'!$C:$BQ,22,0)</f>
        <v>#N/A</v>
      </c>
      <c r="AP245" s="66" t="e">
        <f>VLOOKUP($A245,'S48'!$C:$BQ,29,0)</f>
        <v>#N/A</v>
      </c>
      <c r="AQ245" s="66" t="e">
        <f>VLOOKUP($A245,'S48'!$C:$BQ,30,0)</f>
        <v>#N/A</v>
      </c>
      <c r="AR245" s="66" t="e">
        <f>VLOOKUP($A245,'S48'!$C:$BQ,52,0)</f>
        <v>#N/A</v>
      </c>
      <c r="AS245" s="66" t="e">
        <f>VLOOKUP($A245,'S48'!$C:$BQ,59,0)</f>
        <v>#N/A</v>
      </c>
      <c r="AT245" s="66" t="e">
        <f>VLOOKUP($A245,'S48'!$C:$BQ,60,0)</f>
        <v>#N/A</v>
      </c>
      <c r="AU245" s="58" t="e">
        <f>VLOOKUP($A245,'S49'!$C:$BQ,32,0)</f>
        <v>#N/A</v>
      </c>
      <c r="AV245" s="58" t="e">
        <f>VLOOKUP($A245,'S49'!$C:$BQ,39,0)</f>
        <v>#N/A</v>
      </c>
      <c r="AW245" s="58" t="e">
        <f>VLOOKUP($A245,'S49'!$C:$BQ,40,0)</f>
        <v>#N/A</v>
      </c>
      <c r="AX245" s="58" t="e">
        <f>VLOOKUP($A245,'S49'!$C:$BQ,22,0)</f>
        <v>#N/A</v>
      </c>
      <c r="AY245" s="66" t="e">
        <f>VLOOKUP($A245,'S49'!$C:$BQ,29,0)</f>
        <v>#N/A</v>
      </c>
      <c r="AZ245" s="66" t="e">
        <f>VLOOKUP($A245,'S49'!$C:$BQ,30,0)</f>
        <v>#N/A</v>
      </c>
      <c r="BA245" s="66" t="e">
        <f>VLOOKUP($A245,'S49'!$C:$BQ,52,0)</f>
        <v>#N/A</v>
      </c>
      <c r="BB245" s="66" t="e">
        <f>VLOOKUP($A245,'S49'!$C:$BQ,59,0)</f>
        <v>#N/A</v>
      </c>
      <c r="BC245" s="66" t="e">
        <f>VLOOKUP($A245,'S49'!$C:$BQ,60,0)</f>
        <v>#N/A</v>
      </c>
      <c r="BD245" s="58" t="e">
        <f>VLOOKUP($A245,'S50'!$C:$BQ,32,0)</f>
        <v>#N/A</v>
      </c>
      <c r="BE245" s="58" t="e">
        <f>VLOOKUP($A245,'S50'!$C:$BQ,39,0)</f>
        <v>#N/A</v>
      </c>
      <c r="BF245" s="58" t="e">
        <f>VLOOKUP($A245,'S50'!$C:$BQ,40,0)</f>
        <v>#N/A</v>
      </c>
      <c r="BG245" s="58" t="e">
        <f>VLOOKUP($A245,'S50'!$C:$BQ,22,0)</f>
        <v>#N/A</v>
      </c>
      <c r="BH245" s="66" t="e">
        <f>VLOOKUP($A245,'S50'!$C:$BQ,29,0)</f>
        <v>#N/A</v>
      </c>
      <c r="BI245" s="66" t="e">
        <f>VLOOKUP($A245,'S50'!$C:$BQ,30,0)</f>
        <v>#N/A</v>
      </c>
      <c r="BJ245" s="66" t="e">
        <f>VLOOKUP($A245,'S50'!$C:$BQ,52,0)</f>
        <v>#N/A</v>
      </c>
      <c r="BK245" s="66" t="e">
        <f>VLOOKUP($A245,'S50'!$C:$BQ,59,0)</f>
        <v>#N/A</v>
      </c>
      <c r="BL245" s="66" t="e">
        <f>VLOOKUP($A245,'S50'!$C:$BQ,60,0)</f>
        <v>#N/A</v>
      </c>
    </row>
    <row r="246" spans="1:64" x14ac:dyDescent="0.2">
      <c r="A246" s="57" t="s">
        <v>317</v>
      </c>
      <c r="B246" s="58">
        <f>VLOOKUP($A246,'S0 remplacer avec S44'!$C:$BQ,32,0)</f>
        <v>145.69999999999999</v>
      </c>
      <c r="C246" s="58">
        <f>VLOOKUP($A246,'S0 remplacer avec S44'!$C:$BQ,39,0)</f>
        <v>118</v>
      </c>
      <c r="D246" s="58">
        <f>VLOOKUP($A246,'S0 remplacer avec S44'!$C:$BQ,40,0)</f>
        <v>170</v>
      </c>
      <c r="E246" s="58">
        <f>VLOOKUP($A246,'S0 remplacer avec S44'!$C:$BQ,22,0)</f>
        <v>2254.0992249999999</v>
      </c>
      <c r="F246" s="66">
        <f>VLOOKUP($A246,'S0 remplacer avec S44'!$C:$BQ,29,0)</f>
        <v>138</v>
      </c>
      <c r="G246" s="66">
        <f>VLOOKUP($A246,'S0 remplacer avec S44'!$C:$BQ,30,0)</f>
        <v>617</v>
      </c>
      <c r="H246" s="66">
        <f>VLOOKUP($A246,'S0 remplacer avec S44'!$C:$BQ,52,0)</f>
        <v>126.4</v>
      </c>
      <c r="I246" s="66">
        <f>VLOOKUP($A246,'S0 remplacer avec S44'!$C:$BQ,59,0)</f>
        <v>8</v>
      </c>
      <c r="J246" s="66">
        <f>VLOOKUP($A246,'S0 remplacer avec S44'!$C:$BQ,60,0)</f>
        <v>34</v>
      </c>
      <c r="K246" s="58">
        <f>VLOOKUP($A246,'S45'!$C:$BQ,32,0)</f>
        <v>148.69999999999999</v>
      </c>
      <c r="L246" s="58">
        <f>VLOOKUP($A246,'S45'!$C:$BQ,39,0)</f>
        <v>115</v>
      </c>
      <c r="M246" s="58">
        <f>VLOOKUP($A246,'S45'!$C:$BQ,40,0)</f>
        <v>167</v>
      </c>
      <c r="N246" s="58">
        <f>VLOOKUP($A246,'S45'!$C:$BQ,22,0)</f>
        <v>2326.9833149999999</v>
      </c>
      <c r="O246" s="66">
        <f>VLOOKUP($A246,'S45'!$C:$BQ,29,0)</f>
        <v>65</v>
      </c>
      <c r="P246" s="66">
        <f>VLOOKUP($A246,'S45'!$C:$BQ,30,0)</f>
        <v>544</v>
      </c>
      <c r="Q246" s="66">
        <f>VLOOKUP($A246,'S45'!$C:$BQ,52,0)</f>
        <v>127.4</v>
      </c>
      <c r="R246" s="66">
        <f>VLOOKUP($A246,'S45'!$C:$BQ,59,0)</f>
        <v>7</v>
      </c>
      <c r="S246" s="66">
        <f>VLOOKUP($A246,'S45'!$C:$BQ,60,0)</f>
        <v>33</v>
      </c>
      <c r="T246" s="58">
        <f>VLOOKUP($A246,'S46'!$C:$BQ,32,0)</f>
        <v>150.69999999999999</v>
      </c>
      <c r="U246" s="58">
        <f>VLOOKUP($A246,'S46'!$C:$BQ,39,0)</f>
        <v>113</v>
      </c>
      <c r="V246" s="58">
        <f>VLOOKUP($A246,'S46'!$C:$BQ,40,0)</f>
        <v>165</v>
      </c>
      <c r="W246" s="58">
        <f>VLOOKUP($A246,'S46'!$C:$BQ,22,0)</f>
        <v>2331.4804749999998</v>
      </c>
      <c r="X246" s="66">
        <f>VLOOKUP($A246,'S46'!$C:$BQ,29,0)</f>
        <v>61</v>
      </c>
      <c r="Y246" s="66">
        <f>VLOOKUP($A246,'S46'!$C:$BQ,30,0)</f>
        <v>539</v>
      </c>
      <c r="Z246" s="66">
        <f>VLOOKUP($A246,'S46'!$C:$BQ,52,0)</f>
        <v>131.4</v>
      </c>
      <c r="AA246" s="66">
        <f>VLOOKUP($A246,'S46'!$C:$BQ,59,0)</f>
        <v>3</v>
      </c>
      <c r="AB246" s="66">
        <f>VLOOKUP($A246,'S46'!$C:$BQ,60,0)</f>
        <v>29</v>
      </c>
      <c r="AC246" s="58">
        <f>VLOOKUP($A246,'S47'!$C:$BQ,32,0)</f>
        <v>154.19999999999999</v>
      </c>
      <c r="AD246" s="58">
        <f>VLOOKUP($A246,'S47'!$C:$BQ,39,0)</f>
        <v>109</v>
      </c>
      <c r="AE246" s="58">
        <f>VLOOKUP($A246,'S47'!$C:$BQ,40,0)</f>
        <v>162</v>
      </c>
      <c r="AF246" s="58">
        <f>VLOOKUP($A246,'S47'!$C:$BQ,22,0)</f>
        <v>2316.8428450000001</v>
      </c>
      <c r="AG246" s="66">
        <f>VLOOKUP($A246,'S47'!$C:$BQ,29,0)</f>
        <v>76</v>
      </c>
      <c r="AH246" s="66">
        <f>VLOOKUP($A246,'S47'!$C:$BQ,30,0)</f>
        <v>554</v>
      </c>
      <c r="AI246" s="66">
        <f>VLOOKUP($A246,'S47'!$C:$BQ,52,0)</f>
        <v>132.4</v>
      </c>
      <c r="AJ246" s="66">
        <f>VLOOKUP($A246,'S47'!$C:$BQ,59,0)</f>
        <v>2</v>
      </c>
      <c r="AK246" s="66">
        <f>VLOOKUP($A246,'S47'!$C:$BQ,60,0)</f>
        <v>28</v>
      </c>
      <c r="AL246" s="58" t="e">
        <f>VLOOKUP($A246,'S48'!$C:$BQ,32,0)</f>
        <v>#N/A</v>
      </c>
      <c r="AM246" s="58" t="e">
        <f>VLOOKUP($A246,'S48'!$C:$BQ,39,0)</f>
        <v>#N/A</v>
      </c>
      <c r="AN246" s="58" t="e">
        <f>VLOOKUP($A246,'S48'!$C:$BQ,40,0)</f>
        <v>#N/A</v>
      </c>
      <c r="AO246" s="58" t="e">
        <f>VLOOKUP($A246,'S48'!$C:$BQ,22,0)</f>
        <v>#N/A</v>
      </c>
      <c r="AP246" s="66" t="e">
        <f>VLOOKUP($A246,'S48'!$C:$BQ,29,0)</f>
        <v>#N/A</v>
      </c>
      <c r="AQ246" s="66" t="e">
        <f>VLOOKUP($A246,'S48'!$C:$BQ,30,0)</f>
        <v>#N/A</v>
      </c>
      <c r="AR246" s="66" t="e">
        <f>VLOOKUP($A246,'S48'!$C:$BQ,52,0)</f>
        <v>#N/A</v>
      </c>
      <c r="AS246" s="66" t="e">
        <f>VLOOKUP($A246,'S48'!$C:$BQ,59,0)</f>
        <v>#N/A</v>
      </c>
      <c r="AT246" s="66" t="e">
        <f>VLOOKUP($A246,'S48'!$C:$BQ,60,0)</f>
        <v>#N/A</v>
      </c>
      <c r="AU246" s="58" t="e">
        <f>VLOOKUP($A246,'S49'!$C:$BQ,32,0)</f>
        <v>#N/A</v>
      </c>
      <c r="AV246" s="58" t="e">
        <f>VLOOKUP($A246,'S49'!$C:$BQ,39,0)</f>
        <v>#N/A</v>
      </c>
      <c r="AW246" s="58" t="e">
        <f>VLOOKUP($A246,'S49'!$C:$BQ,40,0)</f>
        <v>#N/A</v>
      </c>
      <c r="AX246" s="58" t="e">
        <f>VLOOKUP($A246,'S49'!$C:$BQ,22,0)</f>
        <v>#N/A</v>
      </c>
      <c r="AY246" s="66" t="e">
        <f>VLOOKUP($A246,'S49'!$C:$BQ,29,0)</f>
        <v>#N/A</v>
      </c>
      <c r="AZ246" s="66" t="e">
        <f>VLOOKUP($A246,'S49'!$C:$BQ,30,0)</f>
        <v>#N/A</v>
      </c>
      <c r="BA246" s="66" t="e">
        <f>VLOOKUP($A246,'S49'!$C:$BQ,52,0)</f>
        <v>#N/A</v>
      </c>
      <c r="BB246" s="66" t="e">
        <f>VLOOKUP($A246,'S49'!$C:$BQ,59,0)</f>
        <v>#N/A</v>
      </c>
      <c r="BC246" s="66" t="e">
        <f>VLOOKUP($A246,'S49'!$C:$BQ,60,0)</f>
        <v>#N/A</v>
      </c>
      <c r="BD246" s="58" t="e">
        <f>VLOOKUP($A246,'S50'!$C:$BQ,32,0)</f>
        <v>#N/A</v>
      </c>
      <c r="BE246" s="58" t="e">
        <f>VLOOKUP($A246,'S50'!$C:$BQ,39,0)</f>
        <v>#N/A</v>
      </c>
      <c r="BF246" s="58" t="e">
        <f>VLOOKUP($A246,'S50'!$C:$BQ,40,0)</f>
        <v>#N/A</v>
      </c>
      <c r="BG246" s="58" t="e">
        <f>VLOOKUP($A246,'S50'!$C:$BQ,22,0)</f>
        <v>#N/A</v>
      </c>
      <c r="BH246" s="66" t="e">
        <f>VLOOKUP($A246,'S50'!$C:$BQ,29,0)</f>
        <v>#N/A</v>
      </c>
      <c r="BI246" s="66" t="e">
        <f>VLOOKUP($A246,'S50'!$C:$BQ,30,0)</f>
        <v>#N/A</v>
      </c>
      <c r="BJ246" s="66" t="e">
        <f>VLOOKUP($A246,'S50'!$C:$BQ,52,0)</f>
        <v>#N/A</v>
      </c>
      <c r="BK246" s="66" t="e">
        <f>VLOOKUP($A246,'S50'!$C:$BQ,59,0)</f>
        <v>#N/A</v>
      </c>
      <c r="BL246" s="66" t="e">
        <f>VLOOKUP($A246,'S50'!$C:$BQ,60,0)</f>
        <v>#N/A</v>
      </c>
    </row>
    <row r="247" spans="1:64" x14ac:dyDescent="0.2">
      <c r="A247" s="57" t="s">
        <v>319</v>
      </c>
      <c r="B247" s="58">
        <f>VLOOKUP($A247,'S0 remplacer avec S44'!$C:$BQ,32,0)</f>
        <v>220.55</v>
      </c>
      <c r="C247" s="58">
        <f>VLOOKUP($A247,'S0 remplacer avec S44'!$C:$BQ,39,0)</f>
        <v>0</v>
      </c>
      <c r="D247" s="58">
        <f>VLOOKUP($A247,'S0 remplacer avec S44'!$C:$BQ,40,0)</f>
        <v>0</v>
      </c>
      <c r="E247" s="58">
        <f>VLOOKUP($A247,'S0 remplacer avec S44'!$C:$BQ,22,0)</f>
        <v>1677.2307450000001</v>
      </c>
      <c r="F247" s="66">
        <f>VLOOKUP($A247,'S0 remplacer avec S44'!$C:$BQ,29,0)</f>
        <v>0</v>
      </c>
      <c r="G247" s="66">
        <f>VLOOKUP($A247,'S0 remplacer avec S44'!$C:$BQ,30,0)</f>
        <v>79</v>
      </c>
      <c r="H247" s="66">
        <f>VLOOKUP($A247,'S0 remplacer avec S44'!$C:$BQ,52,0)</f>
        <v>97.6</v>
      </c>
      <c r="I247" s="66">
        <f>VLOOKUP($A247,'S0 remplacer avec S44'!$C:$BQ,59,0)</f>
        <v>0</v>
      </c>
      <c r="J247" s="66">
        <f>VLOOKUP($A247,'S0 remplacer avec S44'!$C:$BQ,60,0)</f>
        <v>1</v>
      </c>
      <c r="K247" s="58">
        <f>VLOOKUP($A247,'S45'!$C:$BQ,32,0)</f>
        <v>224.05</v>
      </c>
      <c r="L247" s="58">
        <f>VLOOKUP($A247,'S45'!$C:$BQ,39,0)</f>
        <v>0</v>
      </c>
      <c r="M247" s="58">
        <f>VLOOKUP($A247,'S45'!$C:$BQ,40,0)</f>
        <v>0</v>
      </c>
      <c r="N247" s="58">
        <f>VLOOKUP($A247,'S45'!$C:$BQ,22,0)</f>
        <v>1679.8045549999999</v>
      </c>
      <c r="O247" s="66">
        <f>VLOOKUP($A247,'S45'!$C:$BQ,29,0)</f>
        <v>0</v>
      </c>
      <c r="P247" s="66">
        <f>VLOOKUP($A247,'S45'!$C:$BQ,30,0)</f>
        <v>76</v>
      </c>
      <c r="Q247" s="66">
        <f>VLOOKUP($A247,'S45'!$C:$BQ,52,0)</f>
        <v>99.6</v>
      </c>
      <c r="R247" s="66">
        <f>VLOOKUP($A247,'S45'!$C:$BQ,59,0)</f>
        <v>0</v>
      </c>
      <c r="S247" s="66">
        <f>VLOOKUP($A247,'S45'!$C:$BQ,60,0)</f>
        <v>0</v>
      </c>
      <c r="T247" s="58">
        <f>VLOOKUP($A247,'S46'!$C:$BQ,32,0)</f>
        <v>223.55</v>
      </c>
      <c r="U247" s="58">
        <f>VLOOKUP($A247,'S46'!$C:$BQ,39,0)</f>
        <v>0</v>
      </c>
      <c r="V247" s="58">
        <f>VLOOKUP($A247,'S46'!$C:$BQ,40,0)</f>
        <v>0</v>
      </c>
      <c r="W247" s="58">
        <f>VLOOKUP($A247,'S46'!$C:$BQ,22,0)</f>
        <v>1687.9969550000001</v>
      </c>
      <c r="X247" s="66">
        <f>VLOOKUP($A247,'S46'!$C:$BQ,29,0)</f>
        <v>0</v>
      </c>
      <c r="Y247" s="66">
        <f>VLOOKUP($A247,'S46'!$C:$BQ,30,0)</f>
        <v>68</v>
      </c>
      <c r="Z247" s="66">
        <f>VLOOKUP($A247,'S46'!$C:$BQ,52,0)</f>
        <v>99.6</v>
      </c>
      <c r="AA247" s="66">
        <f>VLOOKUP($A247,'S46'!$C:$BQ,59,0)</f>
        <v>0</v>
      </c>
      <c r="AB247" s="66">
        <f>VLOOKUP($A247,'S46'!$C:$BQ,60,0)</f>
        <v>0</v>
      </c>
      <c r="AC247" s="58">
        <f>VLOOKUP($A247,'S47'!$C:$BQ,32,0)</f>
        <v>232.55</v>
      </c>
      <c r="AD247" s="58">
        <f>VLOOKUP($A247,'S47'!$C:$BQ,39,0)</f>
        <v>0</v>
      </c>
      <c r="AE247" s="58">
        <f>VLOOKUP($A247,'S47'!$C:$BQ,40,0)</f>
        <v>0</v>
      </c>
      <c r="AF247" s="58">
        <f>VLOOKUP($A247,'S47'!$C:$BQ,22,0)</f>
        <v>1735.8881449999999</v>
      </c>
      <c r="AG247" s="66">
        <f>VLOOKUP($A247,'S47'!$C:$BQ,29,0)</f>
        <v>0</v>
      </c>
      <c r="AH247" s="66">
        <f>VLOOKUP($A247,'S47'!$C:$BQ,30,0)</f>
        <v>20</v>
      </c>
      <c r="AI247" s="66">
        <f>VLOOKUP($A247,'S47'!$C:$BQ,52,0)</f>
        <v>102.6</v>
      </c>
      <c r="AJ247" s="66">
        <f>VLOOKUP($A247,'S47'!$C:$BQ,59,0)</f>
        <v>0</v>
      </c>
      <c r="AK247" s="66">
        <f>VLOOKUP($A247,'S47'!$C:$BQ,60,0)</f>
        <v>0</v>
      </c>
      <c r="AL247" s="58" t="e">
        <f>VLOOKUP($A247,'S48'!$C:$BQ,32,0)</f>
        <v>#N/A</v>
      </c>
      <c r="AM247" s="58" t="e">
        <f>VLOOKUP($A247,'S48'!$C:$BQ,39,0)</f>
        <v>#N/A</v>
      </c>
      <c r="AN247" s="58" t="e">
        <f>VLOOKUP($A247,'S48'!$C:$BQ,40,0)</f>
        <v>#N/A</v>
      </c>
      <c r="AO247" s="58" t="e">
        <f>VLOOKUP($A247,'S48'!$C:$BQ,22,0)</f>
        <v>#N/A</v>
      </c>
      <c r="AP247" s="66" t="e">
        <f>VLOOKUP($A247,'S48'!$C:$BQ,29,0)</f>
        <v>#N/A</v>
      </c>
      <c r="AQ247" s="66" t="e">
        <f>VLOOKUP($A247,'S48'!$C:$BQ,30,0)</f>
        <v>#N/A</v>
      </c>
      <c r="AR247" s="66" t="e">
        <f>VLOOKUP($A247,'S48'!$C:$BQ,52,0)</f>
        <v>#N/A</v>
      </c>
      <c r="AS247" s="66" t="e">
        <f>VLOOKUP($A247,'S48'!$C:$BQ,59,0)</f>
        <v>#N/A</v>
      </c>
      <c r="AT247" s="66" t="e">
        <f>VLOOKUP($A247,'S48'!$C:$BQ,60,0)</f>
        <v>#N/A</v>
      </c>
      <c r="AU247" s="58" t="e">
        <f>VLOOKUP($A247,'S49'!$C:$BQ,32,0)</f>
        <v>#N/A</v>
      </c>
      <c r="AV247" s="58" t="e">
        <f>VLOOKUP($A247,'S49'!$C:$BQ,39,0)</f>
        <v>#N/A</v>
      </c>
      <c r="AW247" s="58" t="e">
        <f>VLOOKUP($A247,'S49'!$C:$BQ,40,0)</f>
        <v>#N/A</v>
      </c>
      <c r="AX247" s="58" t="e">
        <f>VLOOKUP($A247,'S49'!$C:$BQ,22,0)</f>
        <v>#N/A</v>
      </c>
      <c r="AY247" s="66" t="e">
        <f>VLOOKUP($A247,'S49'!$C:$BQ,29,0)</f>
        <v>#N/A</v>
      </c>
      <c r="AZ247" s="66" t="e">
        <f>VLOOKUP($A247,'S49'!$C:$BQ,30,0)</f>
        <v>#N/A</v>
      </c>
      <c r="BA247" s="66" t="e">
        <f>VLOOKUP($A247,'S49'!$C:$BQ,52,0)</f>
        <v>#N/A</v>
      </c>
      <c r="BB247" s="66" t="e">
        <f>VLOOKUP($A247,'S49'!$C:$BQ,59,0)</f>
        <v>#N/A</v>
      </c>
      <c r="BC247" s="66" t="e">
        <f>VLOOKUP($A247,'S49'!$C:$BQ,60,0)</f>
        <v>#N/A</v>
      </c>
      <c r="BD247" s="58" t="e">
        <f>VLOOKUP($A247,'S50'!$C:$BQ,32,0)</f>
        <v>#N/A</v>
      </c>
      <c r="BE247" s="58" t="e">
        <f>VLOOKUP($A247,'S50'!$C:$BQ,39,0)</f>
        <v>#N/A</v>
      </c>
      <c r="BF247" s="58" t="e">
        <f>VLOOKUP($A247,'S50'!$C:$BQ,40,0)</f>
        <v>#N/A</v>
      </c>
      <c r="BG247" s="58" t="e">
        <f>VLOOKUP($A247,'S50'!$C:$BQ,22,0)</f>
        <v>#N/A</v>
      </c>
      <c r="BH247" s="66" t="e">
        <f>VLOOKUP($A247,'S50'!$C:$BQ,29,0)</f>
        <v>#N/A</v>
      </c>
      <c r="BI247" s="66" t="e">
        <f>VLOOKUP($A247,'S50'!$C:$BQ,30,0)</f>
        <v>#N/A</v>
      </c>
      <c r="BJ247" s="66" t="e">
        <f>VLOOKUP($A247,'S50'!$C:$BQ,52,0)</f>
        <v>#N/A</v>
      </c>
      <c r="BK247" s="66" t="e">
        <f>VLOOKUP($A247,'S50'!$C:$BQ,59,0)</f>
        <v>#N/A</v>
      </c>
      <c r="BL247" s="66" t="e">
        <f>VLOOKUP($A247,'S50'!$C:$BQ,60,0)</f>
        <v>#N/A</v>
      </c>
    </row>
    <row r="248" spans="1:64" x14ac:dyDescent="0.2">
      <c r="A248" s="57" t="s">
        <v>320</v>
      </c>
      <c r="B248" s="58">
        <f>VLOOKUP($A248,'S0 remplacer avec S44'!$C:$BQ,32,0)</f>
        <v>60.3</v>
      </c>
      <c r="C248" s="58">
        <f>VLOOKUP($A248,'S0 remplacer avec S44'!$C:$BQ,39,0)</f>
        <v>82</v>
      </c>
      <c r="D248" s="58">
        <f>VLOOKUP($A248,'S0 remplacer avec S44'!$C:$BQ,40,0)</f>
        <v>110</v>
      </c>
      <c r="E248" s="58">
        <f>VLOOKUP($A248,'S0 remplacer avec S44'!$C:$BQ,22,0)</f>
        <v>1086.08935</v>
      </c>
      <c r="F248" s="66">
        <f>VLOOKUP($A248,'S0 remplacer avec S44'!$C:$BQ,29,0)</f>
        <v>205</v>
      </c>
      <c r="G248" s="66">
        <f>VLOOKUP($A248,'S0 remplacer avec S44'!$C:$BQ,30,0)</f>
        <v>463</v>
      </c>
      <c r="H248" s="66">
        <f>VLOOKUP($A248,'S0 remplacer avec S44'!$C:$BQ,52,0)</f>
        <v>61.6</v>
      </c>
      <c r="I248" s="66">
        <f>VLOOKUP($A248,'S0 remplacer avec S44'!$C:$BQ,59,0)</f>
        <v>11</v>
      </c>
      <c r="J248" s="66">
        <f>VLOOKUP($A248,'S0 remplacer avec S44'!$C:$BQ,60,0)</f>
        <v>25</v>
      </c>
      <c r="K248" s="58">
        <f>VLOOKUP($A248,'S45'!$C:$BQ,32,0)</f>
        <v>63.3</v>
      </c>
      <c r="L248" s="58">
        <f>VLOOKUP($A248,'S45'!$C:$BQ,39,0)</f>
        <v>79</v>
      </c>
      <c r="M248" s="58">
        <f>VLOOKUP($A248,'S45'!$C:$BQ,40,0)</f>
        <v>107</v>
      </c>
      <c r="N248" s="58">
        <f>VLOOKUP($A248,'S45'!$C:$BQ,22,0)</f>
        <v>1100.9779599999999</v>
      </c>
      <c r="O248" s="66">
        <f>VLOOKUP($A248,'S45'!$C:$BQ,29,0)</f>
        <v>190</v>
      </c>
      <c r="P248" s="66">
        <f>VLOOKUP($A248,'S45'!$C:$BQ,30,0)</f>
        <v>448</v>
      </c>
      <c r="Q248" s="66">
        <f>VLOOKUP($A248,'S45'!$C:$BQ,52,0)</f>
        <v>61.6</v>
      </c>
      <c r="R248" s="66">
        <f>VLOOKUP($A248,'S45'!$C:$BQ,59,0)</f>
        <v>11</v>
      </c>
      <c r="S248" s="66">
        <f>VLOOKUP($A248,'S45'!$C:$BQ,60,0)</f>
        <v>25</v>
      </c>
      <c r="T248" s="58">
        <f>VLOOKUP($A248,'S46'!$C:$BQ,32,0)</f>
        <v>63.8</v>
      </c>
      <c r="U248" s="58">
        <f>VLOOKUP($A248,'S46'!$C:$BQ,39,0)</f>
        <v>79</v>
      </c>
      <c r="V248" s="58">
        <f>VLOOKUP($A248,'S46'!$C:$BQ,40,0)</f>
        <v>107</v>
      </c>
      <c r="W248" s="58">
        <f>VLOOKUP($A248,'S46'!$C:$BQ,22,0)</f>
        <v>1188.0812599999999</v>
      </c>
      <c r="X248" s="66">
        <f>VLOOKUP($A248,'S46'!$C:$BQ,29,0)</f>
        <v>103</v>
      </c>
      <c r="Y248" s="66">
        <f>VLOOKUP($A248,'S46'!$C:$BQ,30,0)</f>
        <v>361</v>
      </c>
      <c r="Z248" s="66">
        <f>VLOOKUP($A248,'S46'!$C:$BQ,52,0)</f>
        <v>61.6</v>
      </c>
      <c r="AA248" s="66">
        <f>VLOOKUP($A248,'S46'!$C:$BQ,59,0)</f>
        <v>11</v>
      </c>
      <c r="AB248" s="66">
        <f>VLOOKUP($A248,'S46'!$C:$BQ,60,0)</f>
        <v>25</v>
      </c>
      <c r="AC248" s="58">
        <f>VLOOKUP($A248,'S47'!$C:$BQ,32,0)</f>
        <v>65.8</v>
      </c>
      <c r="AD248" s="58">
        <f>VLOOKUP($A248,'S47'!$C:$BQ,39,0)</f>
        <v>77</v>
      </c>
      <c r="AE248" s="58">
        <f>VLOOKUP($A248,'S47'!$C:$BQ,40,0)</f>
        <v>105</v>
      </c>
      <c r="AF248" s="58">
        <f>VLOOKUP($A248,'S47'!$C:$BQ,22,0)</f>
        <v>1261.6990000000001</v>
      </c>
      <c r="AG248" s="66">
        <f>VLOOKUP($A248,'S47'!$C:$BQ,29,0)</f>
        <v>29</v>
      </c>
      <c r="AH248" s="66">
        <f>VLOOKUP($A248,'S47'!$C:$BQ,30,0)</f>
        <v>287</v>
      </c>
      <c r="AI248" s="66">
        <f>VLOOKUP($A248,'S47'!$C:$BQ,52,0)</f>
        <v>63.6</v>
      </c>
      <c r="AJ248" s="66">
        <f>VLOOKUP($A248,'S47'!$C:$BQ,59,0)</f>
        <v>9</v>
      </c>
      <c r="AK248" s="66">
        <f>VLOOKUP($A248,'S47'!$C:$BQ,60,0)</f>
        <v>23</v>
      </c>
      <c r="AL248" s="58" t="e">
        <f>VLOOKUP($A248,'S48'!$C:$BQ,32,0)</f>
        <v>#N/A</v>
      </c>
      <c r="AM248" s="58" t="e">
        <f>VLOOKUP($A248,'S48'!$C:$BQ,39,0)</f>
        <v>#N/A</v>
      </c>
      <c r="AN248" s="58" t="e">
        <f>VLOOKUP($A248,'S48'!$C:$BQ,40,0)</f>
        <v>#N/A</v>
      </c>
      <c r="AO248" s="58" t="e">
        <f>VLOOKUP($A248,'S48'!$C:$BQ,22,0)</f>
        <v>#N/A</v>
      </c>
      <c r="AP248" s="66" t="e">
        <f>VLOOKUP($A248,'S48'!$C:$BQ,29,0)</f>
        <v>#N/A</v>
      </c>
      <c r="AQ248" s="66" t="e">
        <f>VLOOKUP($A248,'S48'!$C:$BQ,30,0)</f>
        <v>#N/A</v>
      </c>
      <c r="AR248" s="66" t="e">
        <f>VLOOKUP($A248,'S48'!$C:$BQ,52,0)</f>
        <v>#N/A</v>
      </c>
      <c r="AS248" s="66" t="e">
        <f>VLOOKUP($A248,'S48'!$C:$BQ,59,0)</f>
        <v>#N/A</v>
      </c>
      <c r="AT248" s="66" t="e">
        <f>VLOOKUP($A248,'S48'!$C:$BQ,60,0)</f>
        <v>#N/A</v>
      </c>
      <c r="AU248" s="58" t="e">
        <f>VLOOKUP($A248,'S49'!$C:$BQ,32,0)</f>
        <v>#N/A</v>
      </c>
      <c r="AV248" s="58" t="e">
        <f>VLOOKUP($A248,'S49'!$C:$BQ,39,0)</f>
        <v>#N/A</v>
      </c>
      <c r="AW248" s="58" t="e">
        <f>VLOOKUP($A248,'S49'!$C:$BQ,40,0)</f>
        <v>#N/A</v>
      </c>
      <c r="AX248" s="58" t="e">
        <f>VLOOKUP($A248,'S49'!$C:$BQ,22,0)</f>
        <v>#N/A</v>
      </c>
      <c r="AY248" s="66" t="e">
        <f>VLOOKUP($A248,'S49'!$C:$BQ,29,0)</f>
        <v>#N/A</v>
      </c>
      <c r="AZ248" s="66" t="e">
        <f>VLOOKUP($A248,'S49'!$C:$BQ,30,0)</f>
        <v>#N/A</v>
      </c>
      <c r="BA248" s="66" t="e">
        <f>VLOOKUP($A248,'S49'!$C:$BQ,52,0)</f>
        <v>#N/A</v>
      </c>
      <c r="BB248" s="66" t="e">
        <f>VLOOKUP($A248,'S49'!$C:$BQ,59,0)</f>
        <v>#N/A</v>
      </c>
      <c r="BC248" s="66" t="e">
        <f>VLOOKUP($A248,'S49'!$C:$BQ,60,0)</f>
        <v>#N/A</v>
      </c>
      <c r="BD248" s="58" t="e">
        <f>VLOOKUP($A248,'S50'!$C:$BQ,32,0)</f>
        <v>#N/A</v>
      </c>
      <c r="BE248" s="58" t="e">
        <f>VLOOKUP($A248,'S50'!$C:$BQ,39,0)</f>
        <v>#N/A</v>
      </c>
      <c r="BF248" s="58" t="e">
        <f>VLOOKUP($A248,'S50'!$C:$BQ,40,0)</f>
        <v>#N/A</v>
      </c>
      <c r="BG248" s="58" t="e">
        <f>VLOOKUP($A248,'S50'!$C:$BQ,22,0)</f>
        <v>#N/A</v>
      </c>
      <c r="BH248" s="66" t="e">
        <f>VLOOKUP($A248,'S50'!$C:$BQ,29,0)</f>
        <v>#N/A</v>
      </c>
      <c r="BI248" s="66" t="e">
        <f>VLOOKUP($A248,'S50'!$C:$BQ,30,0)</f>
        <v>#N/A</v>
      </c>
      <c r="BJ248" s="66" t="e">
        <f>VLOOKUP($A248,'S50'!$C:$BQ,52,0)</f>
        <v>#N/A</v>
      </c>
      <c r="BK248" s="66" t="e">
        <f>VLOOKUP($A248,'S50'!$C:$BQ,59,0)</f>
        <v>#N/A</v>
      </c>
      <c r="BL248" s="66" t="e">
        <f>VLOOKUP($A248,'S50'!$C:$BQ,60,0)</f>
        <v>#N/A</v>
      </c>
    </row>
    <row r="249" spans="1:64" x14ac:dyDescent="0.2">
      <c r="A249" s="57" t="s">
        <v>321</v>
      </c>
      <c r="B249" s="58">
        <f>VLOOKUP($A249,'S0 remplacer avec S44'!$C:$BQ,32,0)</f>
        <v>107.05</v>
      </c>
      <c r="C249" s="58">
        <f>VLOOKUP($A249,'S0 remplacer avec S44'!$C:$BQ,39,0)</f>
        <v>72</v>
      </c>
      <c r="D249" s="58">
        <f>VLOOKUP($A249,'S0 remplacer avec S44'!$C:$BQ,40,0)</f>
        <v>108</v>
      </c>
      <c r="E249" s="58">
        <f>VLOOKUP($A249,'S0 remplacer avec S44'!$C:$BQ,22,0)</f>
        <v>906.45474999999999</v>
      </c>
      <c r="F249" s="66">
        <f>VLOOKUP($A249,'S0 remplacer avec S44'!$C:$BQ,29,0)</f>
        <v>721</v>
      </c>
      <c r="G249" s="66">
        <f>VLOOKUP($A249,'S0 remplacer avec S44'!$C:$BQ,30,0)</f>
        <v>1047</v>
      </c>
      <c r="H249" s="66">
        <f>VLOOKUP($A249,'S0 remplacer avec S44'!$C:$BQ,52,0)</f>
        <v>53.4</v>
      </c>
      <c r="I249" s="66">
        <f>VLOOKUP($A249,'S0 remplacer avec S44'!$C:$BQ,59,0)</f>
        <v>38</v>
      </c>
      <c r="J249" s="66">
        <f>VLOOKUP($A249,'S0 remplacer avec S44'!$C:$BQ,60,0)</f>
        <v>56</v>
      </c>
      <c r="K249" s="58">
        <f>VLOOKUP($A249,'S45'!$C:$BQ,32,0)</f>
        <v>110.8</v>
      </c>
      <c r="L249" s="58">
        <f>VLOOKUP($A249,'S45'!$C:$BQ,39,0)</f>
        <v>69</v>
      </c>
      <c r="M249" s="58">
        <f>VLOOKUP($A249,'S45'!$C:$BQ,40,0)</f>
        <v>104</v>
      </c>
      <c r="N249" s="58">
        <f>VLOOKUP($A249,'S45'!$C:$BQ,22,0)</f>
        <v>907.42178000000001</v>
      </c>
      <c r="O249" s="66">
        <f>VLOOKUP($A249,'S45'!$C:$BQ,29,0)</f>
        <v>720</v>
      </c>
      <c r="P249" s="66">
        <f>VLOOKUP($A249,'S45'!$C:$BQ,30,0)</f>
        <v>1046</v>
      </c>
      <c r="Q249" s="66">
        <f>VLOOKUP($A249,'S45'!$C:$BQ,52,0)</f>
        <v>53.4</v>
      </c>
      <c r="R249" s="66">
        <f>VLOOKUP($A249,'S45'!$C:$BQ,59,0)</f>
        <v>38</v>
      </c>
      <c r="S249" s="66">
        <f>VLOOKUP($A249,'S45'!$C:$BQ,60,0)</f>
        <v>56</v>
      </c>
      <c r="T249" s="58">
        <f>VLOOKUP($A249,'S46'!$C:$BQ,32,0)</f>
        <v>110.3</v>
      </c>
      <c r="U249" s="58">
        <f>VLOOKUP($A249,'S46'!$C:$BQ,39,0)</f>
        <v>69</v>
      </c>
      <c r="V249" s="58">
        <f>VLOOKUP($A249,'S46'!$C:$BQ,40,0)</f>
        <v>105</v>
      </c>
      <c r="W249" s="58">
        <f>VLOOKUP($A249,'S46'!$C:$BQ,22,0)</f>
        <v>909.82177999999999</v>
      </c>
      <c r="X249" s="66">
        <f>VLOOKUP($A249,'S46'!$C:$BQ,29,0)</f>
        <v>718</v>
      </c>
      <c r="Y249" s="66">
        <f>VLOOKUP($A249,'S46'!$C:$BQ,30,0)</f>
        <v>1043</v>
      </c>
      <c r="Z249" s="66">
        <f>VLOOKUP($A249,'S46'!$C:$BQ,52,0)</f>
        <v>54.4</v>
      </c>
      <c r="AA249" s="66">
        <f>VLOOKUP($A249,'S46'!$C:$BQ,59,0)</f>
        <v>37</v>
      </c>
      <c r="AB249" s="66">
        <f>VLOOKUP($A249,'S46'!$C:$BQ,60,0)</f>
        <v>55</v>
      </c>
      <c r="AC249" s="58">
        <f>VLOOKUP($A249,'S47'!$C:$BQ,32,0)</f>
        <v>116.8</v>
      </c>
      <c r="AD249" s="58">
        <f>VLOOKUP($A249,'S47'!$C:$BQ,39,0)</f>
        <v>63</v>
      </c>
      <c r="AE249" s="58">
        <f>VLOOKUP($A249,'S47'!$C:$BQ,40,0)</f>
        <v>98</v>
      </c>
      <c r="AF249" s="58">
        <f>VLOOKUP($A249,'S47'!$C:$BQ,22,0)</f>
        <v>910.53312000000005</v>
      </c>
      <c r="AG249" s="66">
        <f>VLOOKUP($A249,'S47'!$C:$BQ,29,0)</f>
        <v>717</v>
      </c>
      <c r="AH249" s="66">
        <f>VLOOKUP($A249,'S47'!$C:$BQ,30,0)</f>
        <v>1042</v>
      </c>
      <c r="AI249" s="66">
        <f>VLOOKUP($A249,'S47'!$C:$BQ,52,0)</f>
        <v>53.4</v>
      </c>
      <c r="AJ249" s="66">
        <f>VLOOKUP($A249,'S47'!$C:$BQ,59,0)</f>
        <v>38</v>
      </c>
      <c r="AK249" s="66">
        <f>VLOOKUP($A249,'S47'!$C:$BQ,60,0)</f>
        <v>56</v>
      </c>
      <c r="AL249" s="58" t="e">
        <f>VLOOKUP($A249,'S48'!$C:$BQ,32,0)</f>
        <v>#N/A</v>
      </c>
      <c r="AM249" s="58" t="e">
        <f>VLOOKUP($A249,'S48'!$C:$BQ,39,0)</f>
        <v>#N/A</v>
      </c>
      <c r="AN249" s="58" t="e">
        <f>VLOOKUP($A249,'S48'!$C:$BQ,40,0)</f>
        <v>#N/A</v>
      </c>
      <c r="AO249" s="58" t="e">
        <f>VLOOKUP($A249,'S48'!$C:$BQ,22,0)</f>
        <v>#N/A</v>
      </c>
      <c r="AP249" s="66" t="e">
        <f>VLOOKUP($A249,'S48'!$C:$BQ,29,0)</f>
        <v>#N/A</v>
      </c>
      <c r="AQ249" s="66" t="e">
        <f>VLOOKUP($A249,'S48'!$C:$BQ,30,0)</f>
        <v>#N/A</v>
      </c>
      <c r="AR249" s="66" t="e">
        <f>VLOOKUP($A249,'S48'!$C:$BQ,52,0)</f>
        <v>#N/A</v>
      </c>
      <c r="AS249" s="66" t="e">
        <f>VLOOKUP($A249,'S48'!$C:$BQ,59,0)</f>
        <v>#N/A</v>
      </c>
      <c r="AT249" s="66" t="e">
        <f>VLOOKUP($A249,'S48'!$C:$BQ,60,0)</f>
        <v>#N/A</v>
      </c>
      <c r="AU249" s="58" t="e">
        <f>VLOOKUP($A249,'S49'!$C:$BQ,32,0)</f>
        <v>#N/A</v>
      </c>
      <c r="AV249" s="58" t="e">
        <f>VLOOKUP($A249,'S49'!$C:$BQ,39,0)</f>
        <v>#N/A</v>
      </c>
      <c r="AW249" s="58" t="e">
        <f>VLOOKUP($A249,'S49'!$C:$BQ,40,0)</f>
        <v>#N/A</v>
      </c>
      <c r="AX249" s="58" t="e">
        <f>VLOOKUP($A249,'S49'!$C:$BQ,22,0)</f>
        <v>#N/A</v>
      </c>
      <c r="AY249" s="66" t="e">
        <f>VLOOKUP($A249,'S49'!$C:$BQ,29,0)</f>
        <v>#N/A</v>
      </c>
      <c r="AZ249" s="66" t="e">
        <f>VLOOKUP($A249,'S49'!$C:$BQ,30,0)</f>
        <v>#N/A</v>
      </c>
      <c r="BA249" s="66" t="e">
        <f>VLOOKUP($A249,'S49'!$C:$BQ,52,0)</f>
        <v>#N/A</v>
      </c>
      <c r="BB249" s="66" t="e">
        <f>VLOOKUP($A249,'S49'!$C:$BQ,59,0)</f>
        <v>#N/A</v>
      </c>
      <c r="BC249" s="66" t="e">
        <f>VLOOKUP($A249,'S49'!$C:$BQ,60,0)</f>
        <v>#N/A</v>
      </c>
      <c r="BD249" s="58" t="e">
        <f>VLOOKUP($A249,'S50'!$C:$BQ,32,0)</f>
        <v>#N/A</v>
      </c>
      <c r="BE249" s="58" t="e">
        <f>VLOOKUP($A249,'S50'!$C:$BQ,39,0)</f>
        <v>#N/A</v>
      </c>
      <c r="BF249" s="58" t="e">
        <f>VLOOKUP($A249,'S50'!$C:$BQ,40,0)</f>
        <v>#N/A</v>
      </c>
      <c r="BG249" s="58" t="e">
        <f>VLOOKUP($A249,'S50'!$C:$BQ,22,0)</f>
        <v>#N/A</v>
      </c>
      <c r="BH249" s="66" t="e">
        <f>VLOOKUP($A249,'S50'!$C:$BQ,29,0)</f>
        <v>#N/A</v>
      </c>
      <c r="BI249" s="66" t="e">
        <f>VLOOKUP($A249,'S50'!$C:$BQ,30,0)</f>
        <v>#N/A</v>
      </c>
      <c r="BJ249" s="66" t="e">
        <f>VLOOKUP($A249,'S50'!$C:$BQ,52,0)</f>
        <v>#N/A</v>
      </c>
      <c r="BK249" s="66" t="e">
        <f>VLOOKUP($A249,'S50'!$C:$BQ,59,0)</f>
        <v>#N/A</v>
      </c>
      <c r="BL249" s="66" t="e">
        <f>VLOOKUP($A249,'S50'!$C:$BQ,60,0)</f>
        <v>#N/A</v>
      </c>
    </row>
    <row r="250" spans="1:64" x14ac:dyDescent="0.2">
      <c r="A250" s="57" t="s">
        <v>322</v>
      </c>
      <c r="B250" s="58">
        <f>VLOOKUP($A250,'S0 remplacer avec S44'!$C:$BQ,32,0)</f>
        <v>154.9</v>
      </c>
      <c r="C250" s="58">
        <f>VLOOKUP($A250,'S0 remplacer avec S44'!$C:$BQ,39,0)</f>
        <v>9</v>
      </c>
      <c r="D250" s="58">
        <f>VLOOKUP($A250,'S0 remplacer avec S44'!$C:$BQ,40,0)</f>
        <v>42</v>
      </c>
      <c r="E250" s="58">
        <f>VLOOKUP($A250,'S0 remplacer avec S44'!$C:$BQ,22,0)</f>
        <v>1959.1198750000001</v>
      </c>
      <c r="F250" s="66">
        <f>VLOOKUP($A250,'S0 remplacer avec S44'!$C:$BQ,29,0)</f>
        <v>0</v>
      </c>
      <c r="G250" s="66">
        <f>VLOOKUP($A250,'S0 remplacer avec S44'!$C:$BQ,30,0)</f>
        <v>0</v>
      </c>
      <c r="H250" s="66">
        <f>VLOOKUP($A250,'S0 remplacer avec S44'!$C:$BQ,52,0)</f>
        <v>86.8</v>
      </c>
      <c r="I250" s="66">
        <f>VLOOKUP($A250,'S0 remplacer avec S44'!$C:$BQ,59,0)</f>
        <v>0</v>
      </c>
      <c r="J250" s="66">
        <f>VLOOKUP($A250,'S0 remplacer avec S44'!$C:$BQ,60,0)</f>
        <v>13</v>
      </c>
      <c r="K250" s="58">
        <f>VLOOKUP($A250,'S45'!$C:$BQ,32,0)</f>
        <v>157.9</v>
      </c>
      <c r="L250" s="58">
        <f>VLOOKUP($A250,'S45'!$C:$BQ,39,0)</f>
        <v>6</v>
      </c>
      <c r="M250" s="58">
        <f>VLOOKUP($A250,'S45'!$C:$BQ,40,0)</f>
        <v>39</v>
      </c>
      <c r="N250" s="58">
        <f>VLOOKUP($A250,'S45'!$C:$BQ,22,0)</f>
        <v>1981.6294949999999</v>
      </c>
      <c r="O250" s="66">
        <f>VLOOKUP($A250,'S45'!$C:$BQ,29,0)</f>
        <v>0</v>
      </c>
      <c r="P250" s="66">
        <f>VLOOKUP($A250,'S45'!$C:$BQ,30,0)</f>
        <v>0</v>
      </c>
      <c r="Q250" s="66">
        <f>VLOOKUP($A250,'S45'!$C:$BQ,52,0)</f>
        <v>86.8</v>
      </c>
      <c r="R250" s="66">
        <f>VLOOKUP($A250,'S45'!$C:$BQ,59,0)</f>
        <v>0</v>
      </c>
      <c r="S250" s="66">
        <f>VLOOKUP($A250,'S45'!$C:$BQ,60,0)</f>
        <v>13</v>
      </c>
      <c r="T250" s="58">
        <f>VLOOKUP($A250,'S46'!$C:$BQ,32,0)</f>
        <v>158.9</v>
      </c>
      <c r="U250" s="58">
        <f>VLOOKUP($A250,'S46'!$C:$BQ,39,0)</f>
        <v>5</v>
      </c>
      <c r="V250" s="58">
        <f>VLOOKUP($A250,'S46'!$C:$BQ,40,0)</f>
        <v>38</v>
      </c>
      <c r="W250" s="58">
        <f>VLOOKUP($A250,'S46'!$C:$BQ,22,0)</f>
        <v>1985.717245</v>
      </c>
      <c r="X250" s="66">
        <f>VLOOKUP($A250,'S46'!$C:$BQ,29,0)</f>
        <v>0</v>
      </c>
      <c r="Y250" s="66">
        <f>VLOOKUP($A250,'S46'!$C:$BQ,30,0)</f>
        <v>0</v>
      </c>
      <c r="Z250" s="66">
        <f>VLOOKUP($A250,'S46'!$C:$BQ,52,0)</f>
        <v>86.8</v>
      </c>
      <c r="AA250" s="66">
        <f>VLOOKUP($A250,'S46'!$C:$BQ,59,0)</f>
        <v>0</v>
      </c>
      <c r="AB250" s="66">
        <f>VLOOKUP($A250,'S46'!$C:$BQ,60,0)</f>
        <v>13</v>
      </c>
      <c r="AC250" s="58">
        <f>VLOOKUP($A250,'S47'!$C:$BQ,32,0)</f>
        <v>164.4</v>
      </c>
      <c r="AD250" s="58">
        <f>VLOOKUP($A250,'S47'!$C:$BQ,39,0)</f>
        <v>0</v>
      </c>
      <c r="AE250" s="58">
        <f>VLOOKUP($A250,'S47'!$C:$BQ,40,0)</f>
        <v>33</v>
      </c>
      <c r="AF250" s="58">
        <f>VLOOKUP($A250,'S47'!$C:$BQ,22,0)</f>
        <v>1993.5757149999999</v>
      </c>
      <c r="AG250" s="66">
        <f>VLOOKUP($A250,'S47'!$C:$BQ,29,0)</f>
        <v>0</v>
      </c>
      <c r="AH250" s="66">
        <f>VLOOKUP($A250,'S47'!$C:$BQ,30,0)</f>
        <v>0</v>
      </c>
      <c r="AI250" s="66">
        <f>VLOOKUP($A250,'S47'!$C:$BQ,52,0)</f>
        <v>87.8</v>
      </c>
      <c r="AJ250" s="66">
        <f>VLOOKUP($A250,'S47'!$C:$BQ,59,0)</f>
        <v>0</v>
      </c>
      <c r="AK250" s="66">
        <f>VLOOKUP($A250,'S47'!$C:$BQ,60,0)</f>
        <v>12</v>
      </c>
      <c r="AL250" s="58" t="e">
        <f>VLOOKUP($A250,'S48'!$C:$BQ,32,0)</f>
        <v>#N/A</v>
      </c>
      <c r="AM250" s="58" t="e">
        <f>VLOOKUP($A250,'S48'!$C:$BQ,39,0)</f>
        <v>#N/A</v>
      </c>
      <c r="AN250" s="58" t="e">
        <f>VLOOKUP($A250,'S48'!$C:$BQ,40,0)</f>
        <v>#N/A</v>
      </c>
      <c r="AO250" s="58" t="e">
        <f>VLOOKUP($A250,'S48'!$C:$BQ,22,0)</f>
        <v>#N/A</v>
      </c>
      <c r="AP250" s="66" t="e">
        <f>VLOOKUP($A250,'S48'!$C:$BQ,29,0)</f>
        <v>#N/A</v>
      </c>
      <c r="AQ250" s="66" t="e">
        <f>VLOOKUP($A250,'S48'!$C:$BQ,30,0)</f>
        <v>#N/A</v>
      </c>
      <c r="AR250" s="66" t="e">
        <f>VLOOKUP($A250,'S48'!$C:$BQ,52,0)</f>
        <v>#N/A</v>
      </c>
      <c r="AS250" s="66" t="e">
        <f>VLOOKUP($A250,'S48'!$C:$BQ,59,0)</f>
        <v>#N/A</v>
      </c>
      <c r="AT250" s="66" t="e">
        <f>VLOOKUP($A250,'S48'!$C:$BQ,60,0)</f>
        <v>#N/A</v>
      </c>
      <c r="AU250" s="58" t="e">
        <f>VLOOKUP($A250,'S49'!$C:$BQ,32,0)</f>
        <v>#N/A</v>
      </c>
      <c r="AV250" s="58" t="e">
        <f>VLOOKUP($A250,'S49'!$C:$BQ,39,0)</f>
        <v>#N/A</v>
      </c>
      <c r="AW250" s="58" t="e">
        <f>VLOOKUP($A250,'S49'!$C:$BQ,40,0)</f>
        <v>#N/A</v>
      </c>
      <c r="AX250" s="58" t="e">
        <f>VLOOKUP($A250,'S49'!$C:$BQ,22,0)</f>
        <v>#N/A</v>
      </c>
      <c r="AY250" s="66" t="e">
        <f>VLOOKUP($A250,'S49'!$C:$BQ,29,0)</f>
        <v>#N/A</v>
      </c>
      <c r="AZ250" s="66" t="e">
        <f>VLOOKUP($A250,'S49'!$C:$BQ,30,0)</f>
        <v>#N/A</v>
      </c>
      <c r="BA250" s="66" t="e">
        <f>VLOOKUP($A250,'S49'!$C:$BQ,52,0)</f>
        <v>#N/A</v>
      </c>
      <c r="BB250" s="66" t="e">
        <f>VLOOKUP($A250,'S49'!$C:$BQ,59,0)</f>
        <v>#N/A</v>
      </c>
      <c r="BC250" s="66" t="e">
        <f>VLOOKUP($A250,'S49'!$C:$BQ,60,0)</f>
        <v>#N/A</v>
      </c>
      <c r="BD250" s="58" t="e">
        <f>VLOOKUP($A250,'S50'!$C:$BQ,32,0)</f>
        <v>#N/A</v>
      </c>
      <c r="BE250" s="58" t="e">
        <f>VLOOKUP($A250,'S50'!$C:$BQ,39,0)</f>
        <v>#N/A</v>
      </c>
      <c r="BF250" s="58" t="e">
        <f>VLOOKUP($A250,'S50'!$C:$BQ,40,0)</f>
        <v>#N/A</v>
      </c>
      <c r="BG250" s="58" t="e">
        <f>VLOOKUP($A250,'S50'!$C:$BQ,22,0)</f>
        <v>#N/A</v>
      </c>
      <c r="BH250" s="66" t="e">
        <f>VLOOKUP($A250,'S50'!$C:$BQ,29,0)</f>
        <v>#N/A</v>
      </c>
      <c r="BI250" s="66" t="e">
        <f>VLOOKUP($A250,'S50'!$C:$BQ,30,0)</f>
        <v>#N/A</v>
      </c>
      <c r="BJ250" s="66" t="e">
        <f>VLOOKUP($A250,'S50'!$C:$BQ,52,0)</f>
        <v>#N/A</v>
      </c>
      <c r="BK250" s="66" t="e">
        <f>VLOOKUP($A250,'S50'!$C:$BQ,59,0)</f>
        <v>#N/A</v>
      </c>
      <c r="BL250" s="66" t="e">
        <f>VLOOKUP($A250,'S50'!$C:$BQ,60,0)</f>
        <v>#N/A</v>
      </c>
    </row>
    <row r="251" spans="1:64" x14ac:dyDescent="0.2">
      <c r="A251" s="57" t="s">
        <v>323</v>
      </c>
      <c r="B251" s="58">
        <f>VLOOKUP($A251,'S0 remplacer avec S44'!$C:$BQ,32,0)</f>
        <v>118.25</v>
      </c>
      <c r="C251" s="58">
        <f>VLOOKUP($A251,'S0 remplacer avec S44'!$C:$BQ,39,0)</f>
        <v>98</v>
      </c>
      <c r="D251" s="58">
        <f>VLOOKUP($A251,'S0 remplacer avec S44'!$C:$BQ,40,0)</f>
        <v>141</v>
      </c>
      <c r="E251" s="58">
        <f>VLOOKUP($A251,'S0 remplacer avec S44'!$C:$BQ,22,0)</f>
        <v>2392.0116149999999</v>
      </c>
      <c r="F251" s="66">
        <f>VLOOKUP($A251,'S0 remplacer avec S44'!$C:$BQ,29,0)</f>
        <v>0</v>
      </c>
      <c r="G251" s="66">
        <f>VLOOKUP($A251,'S0 remplacer avec S44'!$C:$BQ,30,0)</f>
        <v>0</v>
      </c>
      <c r="H251" s="66">
        <f>VLOOKUP($A251,'S0 remplacer avec S44'!$C:$BQ,52,0)</f>
        <v>144.6</v>
      </c>
      <c r="I251" s="66">
        <f>VLOOKUP($A251,'S0 remplacer avec S44'!$C:$BQ,59,0)</f>
        <v>0</v>
      </c>
      <c r="J251" s="66">
        <f>VLOOKUP($A251,'S0 remplacer avec S44'!$C:$BQ,60,0)</f>
        <v>0</v>
      </c>
      <c r="K251" s="58">
        <f>VLOOKUP($A251,'S45'!$C:$BQ,32,0)</f>
        <v>120.25</v>
      </c>
      <c r="L251" s="58">
        <f>VLOOKUP($A251,'S45'!$C:$BQ,39,0)</f>
        <v>96</v>
      </c>
      <c r="M251" s="58">
        <f>VLOOKUP($A251,'S45'!$C:$BQ,40,0)</f>
        <v>139</v>
      </c>
      <c r="N251" s="58">
        <f>VLOOKUP($A251,'S45'!$C:$BQ,22,0)</f>
        <v>2449.4453050000002</v>
      </c>
      <c r="O251" s="66">
        <f>VLOOKUP($A251,'S45'!$C:$BQ,29,0)</f>
        <v>0</v>
      </c>
      <c r="P251" s="66">
        <f>VLOOKUP($A251,'S45'!$C:$BQ,30,0)</f>
        <v>0</v>
      </c>
      <c r="Q251" s="66">
        <f>VLOOKUP($A251,'S45'!$C:$BQ,52,0)</f>
        <v>147.6</v>
      </c>
      <c r="R251" s="66">
        <f>VLOOKUP($A251,'S45'!$C:$BQ,59,0)</f>
        <v>0</v>
      </c>
      <c r="S251" s="66">
        <f>VLOOKUP($A251,'S45'!$C:$BQ,60,0)</f>
        <v>0</v>
      </c>
      <c r="T251" s="58">
        <f>VLOOKUP($A251,'S46'!$C:$BQ,32,0)</f>
        <v>120.25</v>
      </c>
      <c r="U251" s="58">
        <f>VLOOKUP($A251,'S46'!$C:$BQ,39,0)</f>
        <v>96</v>
      </c>
      <c r="V251" s="58">
        <f>VLOOKUP($A251,'S46'!$C:$BQ,40,0)</f>
        <v>139</v>
      </c>
      <c r="W251" s="58">
        <f>VLOOKUP($A251,'S46'!$C:$BQ,22,0)</f>
        <v>2460.007865</v>
      </c>
      <c r="X251" s="66">
        <f>VLOOKUP($A251,'S46'!$C:$BQ,29,0)</f>
        <v>0</v>
      </c>
      <c r="Y251" s="66">
        <f>VLOOKUP($A251,'S46'!$C:$BQ,30,0)</f>
        <v>0</v>
      </c>
      <c r="Z251" s="66">
        <f>VLOOKUP($A251,'S46'!$C:$BQ,52,0)</f>
        <v>149.6</v>
      </c>
      <c r="AA251" s="66">
        <f>VLOOKUP($A251,'S46'!$C:$BQ,59,0)</f>
        <v>0</v>
      </c>
      <c r="AB251" s="66">
        <f>VLOOKUP($A251,'S46'!$C:$BQ,60,0)</f>
        <v>0</v>
      </c>
      <c r="AC251" s="58">
        <f>VLOOKUP($A251,'S47'!$C:$BQ,32,0)</f>
        <v>123.25</v>
      </c>
      <c r="AD251" s="58">
        <f>VLOOKUP($A251,'S47'!$C:$BQ,39,0)</f>
        <v>93</v>
      </c>
      <c r="AE251" s="58">
        <f>VLOOKUP($A251,'S47'!$C:$BQ,40,0)</f>
        <v>136</v>
      </c>
      <c r="AF251" s="58">
        <f>VLOOKUP($A251,'S47'!$C:$BQ,22,0)</f>
        <v>2463.3458249999999</v>
      </c>
      <c r="AG251" s="66">
        <f>VLOOKUP($A251,'S47'!$C:$BQ,29,0)</f>
        <v>0</v>
      </c>
      <c r="AH251" s="66">
        <f>VLOOKUP($A251,'S47'!$C:$BQ,30,0)</f>
        <v>0</v>
      </c>
      <c r="AI251" s="66">
        <f>VLOOKUP($A251,'S47'!$C:$BQ,52,0)</f>
        <v>150.6</v>
      </c>
      <c r="AJ251" s="66">
        <f>VLOOKUP($A251,'S47'!$C:$BQ,59,0)</f>
        <v>0</v>
      </c>
      <c r="AK251" s="66">
        <f>VLOOKUP($A251,'S47'!$C:$BQ,60,0)</f>
        <v>0</v>
      </c>
      <c r="AL251" s="58" t="e">
        <f>VLOOKUP($A251,'S48'!$C:$BQ,32,0)</f>
        <v>#N/A</v>
      </c>
      <c r="AM251" s="58" t="e">
        <f>VLOOKUP($A251,'S48'!$C:$BQ,39,0)</f>
        <v>#N/A</v>
      </c>
      <c r="AN251" s="58" t="e">
        <f>VLOOKUP($A251,'S48'!$C:$BQ,40,0)</f>
        <v>#N/A</v>
      </c>
      <c r="AO251" s="58" t="e">
        <f>VLOOKUP($A251,'S48'!$C:$BQ,22,0)</f>
        <v>#N/A</v>
      </c>
      <c r="AP251" s="66" t="e">
        <f>VLOOKUP($A251,'S48'!$C:$BQ,29,0)</f>
        <v>#N/A</v>
      </c>
      <c r="AQ251" s="66" t="e">
        <f>VLOOKUP($A251,'S48'!$C:$BQ,30,0)</f>
        <v>#N/A</v>
      </c>
      <c r="AR251" s="66" t="e">
        <f>VLOOKUP($A251,'S48'!$C:$BQ,52,0)</f>
        <v>#N/A</v>
      </c>
      <c r="AS251" s="66" t="e">
        <f>VLOOKUP($A251,'S48'!$C:$BQ,59,0)</f>
        <v>#N/A</v>
      </c>
      <c r="AT251" s="66" t="e">
        <f>VLOOKUP($A251,'S48'!$C:$BQ,60,0)</f>
        <v>#N/A</v>
      </c>
      <c r="AU251" s="58" t="e">
        <f>VLOOKUP($A251,'S49'!$C:$BQ,32,0)</f>
        <v>#N/A</v>
      </c>
      <c r="AV251" s="58" t="e">
        <f>VLOOKUP($A251,'S49'!$C:$BQ,39,0)</f>
        <v>#N/A</v>
      </c>
      <c r="AW251" s="58" t="e">
        <f>VLOOKUP($A251,'S49'!$C:$BQ,40,0)</f>
        <v>#N/A</v>
      </c>
      <c r="AX251" s="58" t="e">
        <f>VLOOKUP($A251,'S49'!$C:$BQ,22,0)</f>
        <v>#N/A</v>
      </c>
      <c r="AY251" s="66" t="e">
        <f>VLOOKUP($A251,'S49'!$C:$BQ,29,0)</f>
        <v>#N/A</v>
      </c>
      <c r="AZ251" s="66" t="e">
        <f>VLOOKUP($A251,'S49'!$C:$BQ,30,0)</f>
        <v>#N/A</v>
      </c>
      <c r="BA251" s="66" t="e">
        <f>VLOOKUP($A251,'S49'!$C:$BQ,52,0)</f>
        <v>#N/A</v>
      </c>
      <c r="BB251" s="66" t="e">
        <f>VLOOKUP($A251,'S49'!$C:$BQ,59,0)</f>
        <v>#N/A</v>
      </c>
      <c r="BC251" s="66" t="e">
        <f>VLOOKUP($A251,'S49'!$C:$BQ,60,0)</f>
        <v>#N/A</v>
      </c>
      <c r="BD251" s="58" t="e">
        <f>VLOOKUP($A251,'S50'!$C:$BQ,32,0)</f>
        <v>#N/A</v>
      </c>
      <c r="BE251" s="58" t="e">
        <f>VLOOKUP($A251,'S50'!$C:$BQ,39,0)</f>
        <v>#N/A</v>
      </c>
      <c r="BF251" s="58" t="e">
        <f>VLOOKUP($A251,'S50'!$C:$BQ,40,0)</f>
        <v>#N/A</v>
      </c>
      <c r="BG251" s="58" t="e">
        <f>VLOOKUP($A251,'S50'!$C:$BQ,22,0)</f>
        <v>#N/A</v>
      </c>
      <c r="BH251" s="66" t="e">
        <f>VLOOKUP($A251,'S50'!$C:$BQ,29,0)</f>
        <v>#N/A</v>
      </c>
      <c r="BI251" s="66" t="e">
        <f>VLOOKUP($A251,'S50'!$C:$BQ,30,0)</f>
        <v>#N/A</v>
      </c>
      <c r="BJ251" s="66" t="e">
        <f>VLOOKUP($A251,'S50'!$C:$BQ,52,0)</f>
        <v>#N/A</v>
      </c>
      <c r="BK251" s="66" t="e">
        <f>VLOOKUP($A251,'S50'!$C:$BQ,59,0)</f>
        <v>#N/A</v>
      </c>
      <c r="BL251" s="66" t="e">
        <f>VLOOKUP($A251,'S50'!$C:$BQ,60,0)</f>
        <v>#N/A</v>
      </c>
    </row>
    <row r="252" spans="1:64" x14ac:dyDescent="0.2">
      <c r="A252" s="57" t="s">
        <v>324</v>
      </c>
      <c r="B252" s="58">
        <f>VLOOKUP($A252,'S0 remplacer avec S44'!$C:$BQ,32,0)</f>
        <v>192.8</v>
      </c>
      <c r="C252" s="58">
        <f>VLOOKUP($A252,'S0 remplacer avec S44'!$C:$BQ,39,0)</f>
        <v>0</v>
      </c>
      <c r="D252" s="58">
        <f>VLOOKUP($A252,'S0 remplacer avec S44'!$C:$BQ,40,0)</f>
        <v>7</v>
      </c>
      <c r="E252" s="58">
        <f>VLOOKUP($A252,'S0 remplacer avec S44'!$C:$BQ,22,0)</f>
        <v>1962.0951299999999</v>
      </c>
      <c r="F252" s="66">
        <f>VLOOKUP($A252,'S0 remplacer avec S44'!$C:$BQ,29,0)</f>
        <v>0</v>
      </c>
      <c r="G252" s="66">
        <f>VLOOKUP($A252,'S0 remplacer avec S44'!$C:$BQ,30,0)</f>
        <v>0</v>
      </c>
      <c r="H252" s="66">
        <f>VLOOKUP($A252,'S0 remplacer avec S44'!$C:$BQ,52,0)</f>
        <v>168.8</v>
      </c>
      <c r="I252" s="66">
        <f>VLOOKUP($A252,'S0 remplacer avec S44'!$C:$BQ,59,0)</f>
        <v>0</v>
      </c>
      <c r="J252" s="66">
        <f>VLOOKUP($A252,'S0 remplacer avec S44'!$C:$BQ,60,0)</f>
        <v>0</v>
      </c>
      <c r="K252" s="58">
        <f>VLOOKUP($A252,'S45'!$C:$BQ,32,0)</f>
        <v>199.8</v>
      </c>
      <c r="L252" s="58">
        <f>VLOOKUP($A252,'S45'!$C:$BQ,39,0)</f>
        <v>0</v>
      </c>
      <c r="M252" s="58">
        <f>VLOOKUP($A252,'S45'!$C:$BQ,40,0)</f>
        <v>0</v>
      </c>
      <c r="N252" s="58">
        <f>VLOOKUP($A252,'S45'!$C:$BQ,22,0)</f>
        <v>2014.3644300000001</v>
      </c>
      <c r="O252" s="66">
        <f>VLOOKUP($A252,'S45'!$C:$BQ,29,0)</f>
        <v>0</v>
      </c>
      <c r="P252" s="66">
        <f>VLOOKUP($A252,'S45'!$C:$BQ,30,0)</f>
        <v>0</v>
      </c>
      <c r="Q252" s="66">
        <f>VLOOKUP($A252,'S45'!$C:$BQ,52,0)</f>
        <v>169.8</v>
      </c>
      <c r="R252" s="66">
        <f>VLOOKUP($A252,'S45'!$C:$BQ,59,0)</f>
        <v>0</v>
      </c>
      <c r="S252" s="66">
        <f>VLOOKUP($A252,'S45'!$C:$BQ,60,0)</f>
        <v>0</v>
      </c>
      <c r="T252" s="58">
        <f>VLOOKUP($A252,'S46'!$C:$BQ,32,0)</f>
        <v>199.3</v>
      </c>
      <c r="U252" s="58">
        <f>VLOOKUP($A252,'S46'!$C:$BQ,39,0)</f>
        <v>0</v>
      </c>
      <c r="V252" s="58">
        <f>VLOOKUP($A252,'S46'!$C:$BQ,40,0)</f>
        <v>1</v>
      </c>
      <c r="W252" s="58">
        <f>VLOOKUP($A252,'S46'!$C:$BQ,22,0)</f>
        <v>2016.01143</v>
      </c>
      <c r="X252" s="66">
        <f>VLOOKUP($A252,'S46'!$C:$BQ,29,0)</f>
        <v>0</v>
      </c>
      <c r="Y252" s="66">
        <f>VLOOKUP($A252,'S46'!$C:$BQ,30,0)</f>
        <v>0</v>
      </c>
      <c r="Z252" s="66">
        <f>VLOOKUP($A252,'S46'!$C:$BQ,52,0)</f>
        <v>169.8</v>
      </c>
      <c r="AA252" s="66">
        <f>VLOOKUP($A252,'S46'!$C:$BQ,59,0)</f>
        <v>0</v>
      </c>
      <c r="AB252" s="66">
        <f>VLOOKUP($A252,'S46'!$C:$BQ,60,0)</f>
        <v>0</v>
      </c>
      <c r="AC252" s="58">
        <f>VLOOKUP($A252,'S47'!$C:$BQ,32,0)</f>
        <v>207.3</v>
      </c>
      <c r="AD252" s="58">
        <f>VLOOKUP($A252,'S47'!$C:$BQ,39,0)</f>
        <v>0</v>
      </c>
      <c r="AE252" s="58">
        <f>VLOOKUP($A252,'S47'!$C:$BQ,40,0)</f>
        <v>0</v>
      </c>
      <c r="AF252" s="58">
        <f>VLOOKUP($A252,'S47'!$C:$BQ,22,0)</f>
        <v>2047.00441</v>
      </c>
      <c r="AG252" s="66">
        <f>VLOOKUP($A252,'S47'!$C:$BQ,29,0)</f>
        <v>0</v>
      </c>
      <c r="AH252" s="66">
        <f>VLOOKUP($A252,'S47'!$C:$BQ,30,0)</f>
        <v>0</v>
      </c>
      <c r="AI252" s="66">
        <f>VLOOKUP($A252,'S47'!$C:$BQ,52,0)</f>
        <v>175.8</v>
      </c>
      <c r="AJ252" s="66">
        <f>VLOOKUP($A252,'S47'!$C:$BQ,59,0)</f>
        <v>0</v>
      </c>
      <c r="AK252" s="66">
        <f>VLOOKUP($A252,'S47'!$C:$BQ,60,0)</f>
        <v>0</v>
      </c>
      <c r="AL252" s="58" t="e">
        <f>VLOOKUP($A252,'S48'!$C:$BQ,32,0)</f>
        <v>#N/A</v>
      </c>
      <c r="AM252" s="58" t="e">
        <f>VLOOKUP($A252,'S48'!$C:$BQ,39,0)</f>
        <v>#N/A</v>
      </c>
      <c r="AN252" s="58" t="e">
        <f>VLOOKUP($A252,'S48'!$C:$BQ,40,0)</f>
        <v>#N/A</v>
      </c>
      <c r="AO252" s="58" t="e">
        <f>VLOOKUP($A252,'S48'!$C:$BQ,22,0)</f>
        <v>#N/A</v>
      </c>
      <c r="AP252" s="66" t="e">
        <f>VLOOKUP($A252,'S48'!$C:$BQ,29,0)</f>
        <v>#N/A</v>
      </c>
      <c r="AQ252" s="66" t="e">
        <f>VLOOKUP($A252,'S48'!$C:$BQ,30,0)</f>
        <v>#N/A</v>
      </c>
      <c r="AR252" s="66" t="e">
        <f>VLOOKUP($A252,'S48'!$C:$BQ,52,0)</f>
        <v>#N/A</v>
      </c>
      <c r="AS252" s="66" t="e">
        <f>VLOOKUP($A252,'S48'!$C:$BQ,59,0)</f>
        <v>#N/A</v>
      </c>
      <c r="AT252" s="66" t="e">
        <f>VLOOKUP($A252,'S48'!$C:$BQ,60,0)</f>
        <v>#N/A</v>
      </c>
      <c r="AU252" s="58" t="e">
        <f>VLOOKUP($A252,'S49'!$C:$BQ,32,0)</f>
        <v>#N/A</v>
      </c>
      <c r="AV252" s="58" t="e">
        <f>VLOOKUP($A252,'S49'!$C:$BQ,39,0)</f>
        <v>#N/A</v>
      </c>
      <c r="AW252" s="58" t="e">
        <f>VLOOKUP($A252,'S49'!$C:$BQ,40,0)</f>
        <v>#N/A</v>
      </c>
      <c r="AX252" s="58" t="e">
        <f>VLOOKUP($A252,'S49'!$C:$BQ,22,0)</f>
        <v>#N/A</v>
      </c>
      <c r="AY252" s="66" t="e">
        <f>VLOOKUP($A252,'S49'!$C:$BQ,29,0)</f>
        <v>#N/A</v>
      </c>
      <c r="AZ252" s="66" t="e">
        <f>VLOOKUP($A252,'S49'!$C:$BQ,30,0)</f>
        <v>#N/A</v>
      </c>
      <c r="BA252" s="66" t="e">
        <f>VLOOKUP($A252,'S49'!$C:$BQ,52,0)</f>
        <v>#N/A</v>
      </c>
      <c r="BB252" s="66" t="e">
        <f>VLOOKUP($A252,'S49'!$C:$BQ,59,0)</f>
        <v>#N/A</v>
      </c>
      <c r="BC252" s="66" t="e">
        <f>VLOOKUP($A252,'S49'!$C:$BQ,60,0)</f>
        <v>#N/A</v>
      </c>
      <c r="BD252" s="58" t="e">
        <f>VLOOKUP($A252,'S50'!$C:$BQ,32,0)</f>
        <v>#N/A</v>
      </c>
      <c r="BE252" s="58" t="e">
        <f>VLOOKUP($A252,'S50'!$C:$BQ,39,0)</f>
        <v>#N/A</v>
      </c>
      <c r="BF252" s="58" t="e">
        <f>VLOOKUP($A252,'S50'!$C:$BQ,40,0)</f>
        <v>#N/A</v>
      </c>
      <c r="BG252" s="58" t="e">
        <f>VLOOKUP($A252,'S50'!$C:$BQ,22,0)</f>
        <v>#N/A</v>
      </c>
      <c r="BH252" s="66" t="e">
        <f>VLOOKUP($A252,'S50'!$C:$BQ,29,0)</f>
        <v>#N/A</v>
      </c>
      <c r="BI252" s="66" t="e">
        <f>VLOOKUP($A252,'S50'!$C:$BQ,30,0)</f>
        <v>#N/A</v>
      </c>
      <c r="BJ252" s="66" t="e">
        <f>VLOOKUP($A252,'S50'!$C:$BQ,52,0)</f>
        <v>#N/A</v>
      </c>
      <c r="BK252" s="66" t="e">
        <f>VLOOKUP($A252,'S50'!$C:$BQ,59,0)</f>
        <v>#N/A</v>
      </c>
      <c r="BL252" s="66" t="e">
        <f>VLOOKUP($A252,'S50'!$C:$BQ,60,0)</f>
        <v>#N/A</v>
      </c>
    </row>
    <row r="253" spans="1:64" x14ac:dyDescent="0.2">
      <c r="A253" s="57" t="s">
        <v>325</v>
      </c>
      <c r="B253" s="58">
        <f>VLOOKUP($A253,'S0 remplacer avec S44'!$C:$BQ,32,0)</f>
        <v>114.25</v>
      </c>
      <c r="C253" s="58">
        <f>VLOOKUP($A253,'S0 remplacer avec S44'!$C:$BQ,39,0)</f>
        <v>78</v>
      </c>
      <c r="D253" s="58">
        <f>VLOOKUP($A253,'S0 remplacer avec S44'!$C:$BQ,40,0)</f>
        <v>117</v>
      </c>
      <c r="E253" s="58">
        <f>VLOOKUP($A253,'S0 remplacer avec S44'!$C:$BQ,22,0)</f>
        <v>1874.3177499999999</v>
      </c>
      <c r="F253" s="66">
        <f>VLOOKUP($A253,'S0 remplacer avec S44'!$C:$BQ,29,0)</f>
        <v>0</v>
      </c>
      <c r="G253" s="66">
        <f>VLOOKUP($A253,'S0 remplacer avec S44'!$C:$BQ,30,0)</f>
        <v>223</v>
      </c>
      <c r="H253" s="66">
        <f>VLOOKUP($A253,'S0 remplacer avec S44'!$C:$BQ,52,0)</f>
        <v>97.4</v>
      </c>
      <c r="I253" s="66">
        <f>VLOOKUP($A253,'S0 remplacer avec S44'!$C:$BQ,59,0)</f>
        <v>1</v>
      </c>
      <c r="J253" s="66">
        <f>VLOOKUP($A253,'S0 remplacer avec S44'!$C:$BQ,60,0)</f>
        <v>20</v>
      </c>
      <c r="K253" s="58">
        <f>VLOOKUP($A253,'S45'!$C:$BQ,32,0)</f>
        <v>117.75</v>
      </c>
      <c r="L253" s="58">
        <f>VLOOKUP($A253,'S45'!$C:$BQ,39,0)</f>
        <v>75</v>
      </c>
      <c r="M253" s="58">
        <f>VLOOKUP($A253,'S45'!$C:$BQ,40,0)</f>
        <v>113</v>
      </c>
      <c r="N253" s="58">
        <f>VLOOKUP($A253,'S45'!$C:$BQ,22,0)</f>
        <v>1893.91904</v>
      </c>
      <c r="O253" s="66">
        <f>VLOOKUP($A253,'S45'!$C:$BQ,29,0)</f>
        <v>0</v>
      </c>
      <c r="P253" s="66">
        <f>VLOOKUP($A253,'S45'!$C:$BQ,30,0)</f>
        <v>204</v>
      </c>
      <c r="Q253" s="66">
        <f>VLOOKUP($A253,'S45'!$C:$BQ,52,0)</f>
        <v>97.4</v>
      </c>
      <c r="R253" s="66">
        <f>VLOOKUP($A253,'S45'!$C:$BQ,59,0)</f>
        <v>1</v>
      </c>
      <c r="S253" s="66">
        <f>VLOOKUP($A253,'S45'!$C:$BQ,60,0)</f>
        <v>20</v>
      </c>
      <c r="T253" s="58">
        <f>VLOOKUP($A253,'S46'!$C:$BQ,32,0)</f>
        <v>120.75</v>
      </c>
      <c r="U253" s="58">
        <f>VLOOKUP($A253,'S46'!$C:$BQ,39,0)</f>
        <v>72</v>
      </c>
      <c r="V253" s="58">
        <f>VLOOKUP($A253,'S46'!$C:$BQ,40,0)</f>
        <v>110</v>
      </c>
      <c r="W253" s="58">
        <f>VLOOKUP($A253,'S46'!$C:$BQ,22,0)</f>
        <v>1895.6180400000001</v>
      </c>
      <c r="X253" s="66">
        <f>VLOOKUP($A253,'S46'!$C:$BQ,29,0)</f>
        <v>0</v>
      </c>
      <c r="Y253" s="66">
        <f>VLOOKUP($A253,'S46'!$C:$BQ,30,0)</f>
        <v>202</v>
      </c>
      <c r="Z253" s="66">
        <f>VLOOKUP($A253,'S46'!$C:$BQ,52,0)</f>
        <v>98.4</v>
      </c>
      <c r="AA253" s="66">
        <f>VLOOKUP($A253,'S46'!$C:$BQ,59,0)</f>
        <v>0</v>
      </c>
      <c r="AB253" s="66">
        <f>VLOOKUP($A253,'S46'!$C:$BQ,60,0)</f>
        <v>19</v>
      </c>
      <c r="AC253" s="58">
        <f>VLOOKUP($A253,'S47'!$C:$BQ,32,0)</f>
        <v>121.75</v>
      </c>
      <c r="AD253" s="58">
        <f>VLOOKUP($A253,'S47'!$C:$BQ,39,0)</f>
        <v>71</v>
      </c>
      <c r="AE253" s="58">
        <f>VLOOKUP($A253,'S47'!$C:$BQ,40,0)</f>
        <v>109</v>
      </c>
      <c r="AF253" s="58">
        <f>VLOOKUP($A253,'S47'!$C:$BQ,22,0)</f>
        <v>1929.5554099999999</v>
      </c>
      <c r="AG253" s="66">
        <f>VLOOKUP($A253,'S47'!$C:$BQ,29,0)</f>
        <v>0</v>
      </c>
      <c r="AH253" s="66">
        <f>VLOOKUP($A253,'S47'!$C:$BQ,30,0)</f>
        <v>168</v>
      </c>
      <c r="AI253" s="66">
        <f>VLOOKUP($A253,'S47'!$C:$BQ,52,0)</f>
        <v>100.4</v>
      </c>
      <c r="AJ253" s="66">
        <f>VLOOKUP($A253,'S47'!$C:$BQ,59,0)</f>
        <v>0</v>
      </c>
      <c r="AK253" s="66">
        <f>VLOOKUP($A253,'S47'!$C:$BQ,60,0)</f>
        <v>17</v>
      </c>
      <c r="AL253" s="58" t="e">
        <f>VLOOKUP($A253,'S48'!$C:$BQ,32,0)</f>
        <v>#N/A</v>
      </c>
      <c r="AM253" s="58" t="e">
        <f>VLOOKUP($A253,'S48'!$C:$BQ,39,0)</f>
        <v>#N/A</v>
      </c>
      <c r="AN253" s="58" t="e">
        <f>VLOOKUP($A253,'S48'!$C:$BQ,40,0)</f>
        <v>#N/A</v>
      </c>
      <c r="AO253" s="58" t="e">
        <f>VLOOKUP($A253,'S48'!$C:$BQ,22,0)</f>
        <v>#N/A</v>
      </c>
      <c r="AP253" s="66" t="e">
        <f>VLOOKUP($A253,'S48'!$C:$BQ,29,0)</f>
        <v>#N/A</v>
      </c>
      <c r="AQ253" s="66" t="e">
        <f>VLOOKUP($A253,'S48'!$C:$BQ,30,0)</f>
        <v>#N/A</v>
      </c>
      <c r="AR253" s="66" t="e">
        <f>VLOOKUP($A253,'S48'!$C:$BQ,52,0)</f>
        <v>#N/A</v>
      </c>
      <c r="AS253" s="66" t="e">
        <f>VLOOKUP($A253,'S48'!$C:$BQ,59,0)</f>
        <v>#N/A</v>
      </c>
      <c r="AT253" s="66" t="e">
        <f>VLOOKUP($A253,'S48'!$C:$BQ,60,0)</f>
        <v>#N/A</v>
      </c>
      <c r="AU253" s="58" t="e">
        <f>VLOOKUP($A253,'S49'!$C:$BQ,32,0)</f>
        <v>#N/A</v>
      </c>
      <c r="AV253" s="58" t="e">
        <f>VLOOKUP($A253,'S49'!$C:$BQ,39,0)</f>
        <v>#N/A</v>
      </c>
      <c r="AW253" s="58" t="e">
        <f>VLOOKUP($A253,'S49'!$C:$BQ,40,0)</f>
        <v>#N/A</v>
      </c>
      <c r="AX253" s="58" t="e">
        <f>VLOOKUP($A253,'S49'!$C:$BQ,22,0)</f>
        <v>#N/A</v>
      </c>
      <c r="AY253" s="66" t="e">
        <f>VLOOKUP($A253,'S49'!$C:$BQ,29,0)</f>
        <v>#N/A</v>
      </c>
      <c r="AZ253" s="66" t="e">
        <f>VLOOKUP($A253,'S49'!$C:$BQ,30,0)</f>
        <v>#N/A</v>
      </c>
      <c r="BA253" s="66" t="e">
        <f>VLOOKUP($A253,'S49'!$C:$BQ,52,0)</f>
        <v>#N/A</v>
      </c>
      <c r="BB253" s="66" t="e">
        <f>VLOOKUP($A253,'S49'!$C:$BQ,59,0)</f>
        <v>#N/A</v>
      </c>
      <c r="BC253" s="66" t="e">
        <f>VLOOKUP($A253,'S49'!$C:$BQ,60,0)</f>
        <v>#N/A</v>
      </c>
      <c r="BD253" s="58" t="e">
        <f>VLOOKUP($A253,'S50'!$C:$BQ,32,0)</f>
        <v>#N/A</v>
      </c>
      <c r="BE253" s="58" t="e">
        <f>VLOOKUP($A253,'S50'!$C:$BQ,39,0)</f>
        <v>#N/A</v>
      </c>
      <c r="BF253" s="58" t="e">
        <f>VLOOKUP($A253,'S50'!$C:$BQ,40,0)</f>
        <v>#N/A</v>
      </c>
      <c r="BG253" s="58" t="e">
        <f>VLOOKUP($A253,'S50'!$C:$BQ,22,0)</f>
        <v>#N/A</v>
      </c>
      <c r="BH253" s="66" t="e">
        <f>VLOOKUP($A253,'S50'!$C:$BQ,29,0)</f>
        <v>#N/A</v>
      </c>
      <c r="BI253" s="66" t="e">
        <f>VLOOKUP($A253,'S50'!$C:$BQ,30,0)</f>
        <v>#N/A</v>
      </c>
      <c r="BJ253" s="66" t="e">
        <f>VLOOKUP($A253,'S50'!$C:$BQ,52,0)</f>
        <v>#N/A</v>
      </c>
      <c r="BK253" s="66" t="e">
        <f>VLOOKUP($A253,'S50'!$C:$BQ,59,0)</f>
        <v>#N/A</v>
      </c>
      <c r="BL253" s="66" t="e">
        <f>VLOOKUP($A253,'S50'!$C:$BQ,60,0)</f>
        <v>#N/A</v>
      </c>
    </row>
    <row r="254" spans="1:64" x14ac:dyDescent="0.2">
      <c r="A254" s="57" t="s">
        <v>326</v>
      </c>
      <c r="B254" s="58">
        <f>VLOOKUP($A254,'S0 remplacer avec S44'!$C:$BQ,32,0)</f>
        <v>156.25</v>
      </c>
      <c r="C254" s="58">
        <f>VLOOKUP($A254,'S0 remplacer avec S44'!$C:$BQ,39,0)</f>
        <v>24</v>
      </c>
      <c r="D254" s="58">
        <f>VLOOKUP($A254,'S0 remplacer avec S44'!$C:$BQ,40,0)</f>
        <v>60</v>
      </c>
      <c r="E254" s="58">
        <f>VLOOKUP($A254,'S0 remplacer avec S44'!$C:$BQ,22,0)</f>
        <v>1820.2441100000001</v>
      </c>
      <c r="F254" s="66">
        <f>VLOOKUP($A254,'S0 remplacer avec S44'!$C:$BQ,29,0)</f>
        <v>0</v>
      </c>
      <c r="G254" s="66">
        <f>VLOOKUP($A254,'S0 remplacer avec S44'!$C:$BQ,30,0)</f>
        <v>139</v>
      </c>
      <c r="H254" s="66">
        <f>VLOOKUP($A254,'S0 remplacer avec S44'!$C:$BQ,52,0)</f>
        <v>108</v>
      </c>
      <c r="I254" s="66">
        <f>VLOOKUP($A254,'S0 remplacer avec S44'!$C:$BQ,59,0)</f>
        <v>0</v>
      </c>
      <c r="J254" s="66">
        <f>VLOOKUP($A254,'S0 remplacer avec S44'!$C:$BQ,60,0)</f>
        <v>2</v>
      </c>
      <c r="K254" s="58">
        <f>VLOOKUP($A254,'S45'!$C:$BQ,32,0)</f>
        <v>162.75</v>
      </c>
      <c r="L254" s="58">
        <f>VLOOKUP($A254,'S45'!$C:$BQ,39,0)</f>
        <v>17</v>
      </c>
      <c r="M254" s="58">
        <f>VLOOKUP($A254,'S45'!$C:$BQ,40,0)</f>
        <v>53</v>
      </c>
      <c r="N254" s="58">
        <f>VLOOKUP($A254,'S45'!$C:$BQ,22,0)</f>
        <v>1879.9676400000001</v>
      </c>
      <c r="O254" s="66">
        <f>VLOOKUP($A254,'S45'!$C:$BQ,29,0)</f>
        <v>0</v>
      </c>
      <c r="P254" s="66">
        <f>VLOOKUP($A254,'S45'!$C:$BQ,30,0)</f>
        <v>80</v>
      </c>
      <c r="Q254" s="66">
        <f>VLOOKUP($A254,'S45'!$C:$BQ,52,0)</f>
        <v>112</v>
      </c>
      <c r="R254" s="66">
        <f>VLOOKUP($A254,'S45'!$C:$BQ,59,0)</f>
        <v>0</v>
      </c>
      <c r="S254" s="66">
        <f>VLOOKUP($A254,'S45'!$C:$BQ,60,0)</f>
        <v>0</v>
      </c>
      <c r="T254" s="58">
        <f>VLOOKUP($A254,'S46'!$C:$BQ,32,0)</f>
        <v>164.25</v>
      </c>
      <c r="U254" s="58">
        <f>VLOOKUP($A254,'S46'!$C:$BQ,39,0)</f>
        <v>16</v>
      </c>
      <c r="V254" s="58">
        <f>VLOOKUP($A254,'S46'!$C:$BQ,40,0)</f>
        <v>52</v>
      </c>
      <c r="W254" s="58">
        <f>VLOOKUP($A254,'S46'!$C:$BQ,22,0)</f>
        <v>1880.67527</v>
      </c>
      <c r="X254" s="66">
        <f>VLOOKUP($A254,'S46'!$C:$BQ,29,0)</f>
        <v>0</v>
      </c>
      <c r="Y254" s="66">
        <f>VLOOKUP($A254,'S46'!$C:$BQ,30,0)</f>
        <v>79</v>
      </c>
      <c r="Z254" s="66">
        <f>VLOOKUP($A254,'S46'!$C:$BQ,52,0)</f>
        <v>113</v>
      </c>
      <c r="AA254" s="66">
        <f>VLOOKUP($A254,'S46'!$C:$BQ,59,0)</f>
        <v>0</v>
      </c>
      <c r="AB254" s="66">
        <f>VLOOKUP($A254,'S46'!$C:$BQ,60,0)</f>
        <v>0</v>
      </c>
      <c r="AC254" s="58">
        <f>VLOOKUP($A254,'S47'!$C:$BQ,32,0)</f>
        <v>176.25</v>
      </c>
      <c r="AD254" s="58">
        <f>VLOOKUP($A254,'S47'!$C:$BQ,39,0)</f>
        <v>4</v>
      </c>
      <c r="AE254" s="58">
        <f>VLOOKUP($A254,'S47'!$C:$BQ,40,0)</f>
        <v>40</v>
      </c>
      <c r="AF254" s="58">
        <f>VLOOKUP($A254,'S47'!$C:$BQ,22,0)</f>
        <v>1934.5632700000001</v>
      </c>
      <c r="AG254" s="66">
        <f>VLOOKUP($A254,'S47'!$C:$BQ,29,0)</f>
        <v>0</v>
      </c>
      <c r="AH254" s="66">
        <f>VLOOKUP($A254,'S47'!$C:$BQ,30,0)</f>
        <v>25</v>
      </c>
      <c r="AI254" s="66">
        <f>VLOOKUP($A254,'S47'!$C:$BQ,52,0)</f>
        <v>114</v>
      </c>
      <c r="AJ254" s="66">
        <f>VLOOKUP($A254,'S47'!$C:$BQ,59,0)</f>
        <v>0</v>
      </c>
      <c r="AK254" s="66">
        <f>VLOOKUP($A254,'S47'!$C:$BQ,60,0)</f>
        <v>0</v>
      </c>
      <c r="AL254" s="58" t="e">
        <f>VLOOKUP($A254,'S48'!$C:$BQ,32,0)</f>
        <v>#N/A</v>
      </c>
      <c r="AM254" s="58" t="e">
        <f>VLOOKUP($A254,'S48'!$C:$BQ,39,0)</f>
        <v>#N/A</v>
      </c>
      <c r="AN254" s="58" t="e">
        <f>VLOOKUP($A254,'S48'!$C:$BQ,40,0)</f>
        <v>#N/A</v>
      </c>
      <c r="AO254" s="58" t="e">
        <f>VLOOKUP($A254,'S48'!$C:$BQ,22,0)</f>
        <v>#N/A</v>
      </c>
      <c r="AP254" s="66" t="e">
        <f>VLOOKUP($A254,'S48'!$C:$BQ,29,0)</f>
        <v>#N/A</v>
      </c>
      <c r="AQ254" s="66" t="e">
        <f>VLOOKUP($A254,'S48'!$C:$BQ,30,0)</f>
        <v>#N/A</v>
      </c>
      <c r="AR254" s="66" t="e">
        <f>VLOOKUP($A254,'S48'!$C:$BQ,52,0)</f>
        <v>#N/A</v>
      </c>
      <c r="AS254" s="66" t="e">
        <f>VLOOKUP($A254,'S48'!$C:$BQ,59,0)</f>
        <v>#N/A</v>
      </c>
      <c r="AT254" s="66" t="e">
        <f>VLOOKUP($A254,'S48'!$C:$BQ,60,0)</f>
        <v>#N/A</v>
      </c>
      <c r="AU254" s="58" t="e">
        <f>VLOOKUP($A254,'S49'!$C:$BQ,32,0)</f>
        <v>#N/A</v>
      </c>
      <c r="AV254" s="58" t="e">
        <f>VLOOKUP($A254,'S49'!$C:$BQ,39,0)</f>
        <v>#N/A</v>
      </c>
      <c r="AW254" s="58" t="e">
        <f>VLOOKUP($A254,'S49'!$C:$BQ,40,0)</f>
        <v>#N/A</v>
      </c>
      <c r="AX254" s="58" t="e">
        <f>VLOOKUP($A254,'S49'!$C:$BQ,22,0)</f>
        <v>#N/A</v>
      </c>
      <c r="AY254" s="66" t="e">
        <f>VLOOKUP($A254,'S49'!$C:$BQ,29,0)</f>
        <v>#N/A</v>
      </c>
      <c r="AZ254" s="66" t="e">
        <f>VLOOKUP($A254,'S49'!$C:$BQ,30,0)</f>
        <v>#N/A</v>
      </c>
      <c r="BA254" s="66" t="e">
        <f>VLOOKUP($A254,'S49'!$C:$BQ,52,0)</f>
        <v>#N/A</v>
      </c>
      <c r="BB254" s="66" t="e">
        <f>VLOOKUP($A254,'S49'!$C:$BQ,59,0)</f>
        <v>#N/A</v>
      </c>
      <c r="BC254" s="66" t="e">
        <f>VLOOKUP($A254,'S49'!$C:$BQ,60,0)</f>
        <v>#N/A</v>
      </c>
      <c r="BD254" s="58" t="e">
        <f>VLOOKUP($A254,'S50'!$C:$BQ,32,0)</f>
        <v>#N/A</v>
      </c>
      <c r="BE254" s="58" t="e">
        <f>VLOOKUP($A254,'S50'!$C:$BQ,39,0)</f>
        <v>#N/A</v>
      </c>
      <c r="BF254" s="58" t="e">
        <f>VLOOKUP($A254,'S50'!$C:$BQ,40,0)</f>
        <v>#N/A</v>
      </c>
      <c r="BG254" s="58" t="e">
        <f>VLOOKUP($A254,'S50'!$C:$BQ,22,0)</f>
        <v>#N/A</v>
      </c>
      <c r="BH254" s="66" t="e">
        <f>VLOOKUP($A254,'S50'!$C:$BQ,29,0)</f>
        <v>#N/A</v>
      </c>
      <c r="BI254" s="66" t="e">
        <f>VLOOKUP($A254,'S50'!$C:$BQ,30,0)</f>
        <v>#N/A</v>
      </c>
      <c r="BJ254" s="66" t="e">
        <f>VLOOKUP($A254,'S50'!$C:$BQ,52,0)</f>
        <v>#N/A</v>
      </c>
      <c r="BK254" s="66" t="e">
        <f>VLOOKUP($A254,'S50'!$C:$BQ,59,0)</f>
        <v>#N/A</v>
      </c>
      <c r="BL254" s="66" t="e">
        <f>VLOOKUP($A254,'S50'!$C:$BQ,60,0)</f>
        <v>#N/A</v>
      </c>
    </row>
    <row r="255" spans="1:64" x14ac:dyDescent="0.2">
      <c r="A255" s="57" t="s">
        <v>327</v>
      </c>
      <c r="B255" s="58">
        <f>VLOOKUP($A255,'S0 remplacer avec S44'!$C:$BQ,32,0)</f>
        <v>415.3</v>
      </c>
      <c r="C255" s="58">
        <f>VLOOKUP($A255,'S0 remplacer avec S44'!$C:$BQ,39,0)</f>
        <v>80</v>
      </c>
      <c r="D255" s="58">
        <f>VLOOKUP($A255,'S0 remplacer avec S44'!$C:$BQ,40,0)</f>
        <v>179</v>
      </c>
      <c r="E255" s="58">
        <f>VLOOKUP($A255,'S0 remplacer avec S44'!$C:$BQ,22,0)</f>
        <v>4756.6229499999999</v>
      </c>
      <c r="F255" s="66">
        <f>VLOOKUP($A255,'S0 remplacer avec S44'!$C:$BQ,29,0)</f>
        <v>0</v>
      </c>
      <c r="G255" s="66">
        <f>VLOOKUP($A255,'S0 remplacer avec S44'!$C:$BQ,30,0)</f>
        <v>644</v>
      </c>
      <c r="H255" s="66">
        <f>VLOOKUP($A255,'S0 remplacer avec S44'!$C:$BQ,52,0)</f>
        <v>250.2</v>
      </c>
      <c r="I255" s="66">
        <f>VLOOKUP($A255,'S0 remplacer avec S44'!$C:$BQ,59,0)</f>
        <v>2</v>
      </c>
      <c r="J255" s="66">
        <f>VLOOKUP($A255,'S0 remplacer avec S44'!$C:$BQ,60,0)</f>
        <v>52</v>
      </c>
      <c r="K255" s="58">
        <f>VLOOKUP($A255,'S45'!$C:$BQ,32,0)</f>
        <v>416.3</v>
      </c>
      <c r="L255" s="58">
        <f>VLOOKUP($A255,'S45'!$C:$BQ,39,0)</f>
        <v>79</v>
      </c>
      <c r="M255" s="58">
        <f>VLOOKUP($A255,'S45'!$C:$BQ,40,0)</f>
        <v>178</v>
      </c>
      <c r="N255" s="58">
        <f>VLOOKUP($A255,'S45'!$C:$BQ,22,0)</f>
        <v>4831.8079799999996</v>
      </c>
      <c r="O255" s="66">
        <f>VLOOKUP($A255,'S45'!$C:$BQ,29,0)</f>
        <v>0</v>
      </c>
      <c r="P255" s="66">
        <f>VLOOKUP($A255,'S45'!$C:$BQ,30,0)</f>
        <v>569</v>
      </c>
      <c r="Q255" s="66">
        <f>VLOOKUP($A255,'S45'!$C:$BQ,52,0)</f>
        <v>254.2</v>
      </c>
      <c r="R255" s="66">
        <f>VLOOKUP($A255,'S45'!$C:$BQ,59,0)</f>
        <v>0</v>
      </c>
      <c r="S255" s="66">
        <f>VLOOKUP($A255,'S45'!$C:$BQ,60,0)</f>
        <v>48</v>
      </c>
      <c r="T255" s="58">
        <f>VLOOKUP($A255,'S46'!$C:$BQ,32,0)</f>
        <v>420.3</v>
      </c>
      <c r="U255" s="58">
        <f>VLOOKUP($A255,'S46'!$C:$BQ,39,0)</f>
        <v>75</v>
      </c>
      <c r="V255" s="58">
        <f>VLOOKUP($A255,'S46'!$C:$BQ,40,0)</f>
        <v>174</v>
      </c>
      <c r="W255" s="58">
        <f>VLOOKUP($A255,'S46'!$C:$BQ,22,0)</f>
        <v>4828.6669899999997</v>
      </c>
      <c r="X255" s="66">
        <f>VLOOKUP($A255,'S46'!$C:$BQ,29,0)</f>
        <v>0</v>
      </c>
      <c r="Y255" s="66">
        <f>VLOOKUP($A255,'S46'!$C:$BQ,30,0)</f>
        <v>572</v>
      </c>
      <c r="Z255" s="66">
        <f>VLOOKUP($A255,'S46'!$C:$BQ,52,0)</f>
        <v>258.2</v>
      </c>
      <c r="AA255" s="66">
        <f>VLOOKUP($A255,'S46'!$C:$BQ,59,0)</f>
        <v>0</v>
      </c>
      <c r="AB255" s="66">
        <f>VLOOKUP($A255,'S46'!$C:$BQ,60,0)</f>
        <v>44</v>
      </c>
      <c r="AC255" s="58">
        <f>VLOOKUP($A255,'S47'!$C:$BQ,32,0)</f>
        <v>427.8</v>
      </c>
      <c r="AD255" s="58">
        <f>VLOOKUP($A255,'S47'!$C:$BQ,39,0)</f>
        <v>67</v>
      </c>
      <c r="AE255" s="58">
        <f>VLOOKUP($A255,'S47'!$C:$BQ,40,0)</f>
        <v>166</v>
      </c>
      <c r="AF255" s="58">
        <f>VLOOKUP($A255,'S47'!$C:$BQ,22,0)</f>
        <v>4838.8231299999998</v>
      </c>
      <c r="AG255" s="66">
        <f>VLOOKUP($A255,'S47'!$C:$BQ,29,0)</f>
        <v>0</v>
      </c>
      <c r="AH255" s="66">
        <f>VLOOKUP($A255,'S47'!$C:$BQ,30,0)</f>
        <v>562</v>
      </c>
      <c r="AI255" s="66">
        <f>VLOOKUP($A255,'S47'!$C:$BQ,52,0)</f>
        <v>261.2</v>
      </c>
      <c r="AJ255" s="66">
        <f>VLOOKUP($A255,'S47'!$C:$BQ,59,0)</f>
        <v>0</v>
      </c>
      <c r="AK255" s="66">
        <f>VLOOKUP($A255,'S47'!$C:$BQ,60,0)</f>
        <v>41</v>
      </c>
      <c r="AL255" s="58" t="e">
        <f>VLOOKUP($A255,'S48'!$C:$BQ,32,0)</f>
        <v>#N/A</v>
      </c>
      <c r="AM255" s="58" t="e">
        <f>VLOOKUP($A255,'S48'!$C:$BQ,39,0)</f>
        <v>#N/A</v>
      </c>
      <c r="AN255" s="58" t="e">
        <f>VLOOKUP($A255,'S48'!$C:$BQ,40,0)</f>
        <v>#N/A</v>
      </c>
      <c r="AO255" s="58" t="e">
        <f>VLOOKUP($A255,'S48'!$C:$BQ,22,0)</f>
        <v>#N/A</v>
      </c>
      <c r="AP255" s="66" t="e">
        <f>VLOOKUP($A255,'S48'!$C:$BQ,29,0)</f>
        <v>#N/A</v>
      </c>
      <c r="AQ255" s="66" t="e">
        <f>VLOOKUP($A255,'S48'!$C:$BQ,30,0)</f>
        <v>#N/A</v>
      </c>
      <c r="AR255" s="66" t="e">
        <f>VLOOKUP($A255,'S48'!$C:$BQ,52,0)</f>
        <v>#N/A</v>
      </c>
      <c r="AS255" s="66" t="e">
        <f>VLOOKUP($A255,'S48'!$C:$BQ,59,0)</f>
        <v>#N/A</v>
      </c>
      <c r="AT255" s="66" t="e">
        <f>VLOOKUP($A255,'S48'!$C:$BQ,60,0)</f>
        <v>#N/A</v>
      </c>
      <c r="AU255" s="58" t="e">
        <f>VLOOKUP($A255,'S49'!$C:$BQ,32,0)</f>
        <v>#N/A</v>
      </c>
      <c r="AV255" s="58" t="e">
        <f>VLOOKUP($A255,'S49'!$C:$BQ,39,0)</f>
        <v>#N/A</v>
      </c>
      <c r="AW255" s="58" t="e">
        <f>VLOOKUP($A255,'S49'!$C:$BQ,40,0)</f>
        <v>#N/A</v>
      </c>
      <c r="AX255" s="58" t="e">
        <f>VLOOKUP($A255,'S49'!$C:$BQ,22,0)</f>
        <v>#N/A</v>
      </c>
      <c r="AY255" s="66" t="e">
        <f>VLOOKUP($A255,'S49'!$C:$BQ,29,0)</f>
        <v>#N/A</v>
      </c>
      <c r="AZ255" s="66" t="e">
        <f>VLOOKUP($A255,'S49'!$C:$BQ,30,0)</f>
        <v>#N/A</v>
      </c>
      <c r="BA255" s="66" t="e">
        <f>VLOOKUP($A255,'S49'!$C:$BQ,52,0)</f>
        <v>#N/A</v>
      </c>
      <c r="BB255" s="66" t="e">
        <f>VLOOKUP($A255,'S49'!$C:$BQ,59,0)</f>
        <v>#N/A</v>
      </c>
      <c r="BC255" s="66" t="e">
        <f>VLOOKUP($A255,'S49'!$C:$BQ,60,0)</f>
        <v>#N/A</v>
      </c>
      <c r="BD255" s="58" t="e">
        <f>VLOOKUP($A255,'S50'!$C:$BQ,32,0)</f>
        <v>#N/A</v>
      </c>
      <c r="BE255" s="58" t="e">
        <f>VLOOKUP($A255,'S50'!$C:$BQ,39,0)</f>
        <v>#N/A</v>
      </c>
      <c r="BF255" s="58" t="e">
        <f>VLOOKUP($A255,'S50'!$C:$BQ,40,0)</f>
        <v>#N/A</v>
      </c>
      <c r="BG255" s="58" t="e">
        <f>VLOOKUP($A255,'S50'!$C:$BQ,22,0)</f>
        <v>#N/A</v>
      </c>
      <c r="BH255" s="66" t="e">
        <f>VLOOKUP($A255,'S50'!$C:$BQ,29,0)</f>
        <v>#N/A</v>
      </c>
      <c r="BI255" s="66" t="e">
        <f>VLOOKUP($A255,'S50'!$C:$BQ,30,0)</f>
        <v>#N/A</v>
      </c>
      <c r="BJ255" s="66" t="e">
        <f>VLOOKUP($A255,'S50'!$C:$BQ,52,0)</f>
        <v>#N/A</v>
      </c>
      <c r="BK255" s="66" t="e">
        <f>VLOOKUP($A255,'S50'!$C:$BQ,59,0)</f>
        <v>#N/A</v>
      </c>
      <c r="BL255" s="66" t="e">
        <f>VLOOKUP($A255,'S50'!$C:$BQ,60,0)</f>
        <v>#N/A</v>
      </c>
    </row>
    <row r="256" spans="1:64" x14ac:dyDescent="0.2">
      <c r="A256" s="57" t="s">
        <v>328</v>
      </c>
      <c r="B256" s="58">
        <f>VLOOKUP($A256,'S0 remplacer avec S44'!$C:$BQ,32,0)</f>
        <v>404.45</v>
      </c>
      <c r="C256" s="58">
        <f>VLOOKUP($A256,'S0 remplacer avec S44'!$C:$BQ,39,0)</f>
        <v>157</v>
      </c>
      <c r="D256" s="58">
        <f>VLOOKUP($A256,'S0 remplacer avec S44'!$C:$BQ,40,0)</f>
        <v>270</v>
      </c>
      <c r="E256" s="58">
        <f>VLOOKUP($A256,'S0 remplacer avec S44'!$C:$BQ,22,0)</f>
        <v>3567.6172350000002</v>
      </c>
      <c r="F256" s="66">
        <f>VLOOKUP($A256,'S0 remplacer avec S44'!$C:$BQ,29,0)</f>
        <v>1538</v>
      </c>
      <c r="G256" s="66">
        <f>VLOOKUP($A256,'S0 remplacer avec S44'!$C:$BQ,30,0)</f>
        <v>2559</v>
      </c>
      <c r="H256" s="66">
        <f>VLOOKUP($A256,'S0 remplacer avec S44'!$C:$BQ,52,0)</f>
        <v>267.2</v>
      </c>
      <c r="I256" s="66">
        <f>VLOOKUP($A256,'S0 remplacer avec S44'!$C:$BQ,59,0)</f>
        <v>18</v>
      </c>
      <c r="J256" s="66">
        <f>VLOOKUP($A256,'S0 remplacer avec S44'!$C:$BQ,60,0)</f>
        <v>75</v>
      </c>
      <c r="K256" s="58">
        <f>VLOOKUP($A256,'S45'!$C:$BQ,32,0)</f>
        <v>413.95</v>
      </c>
      <c r="L256" s="58">
        <f>VLOOKUP($A256,'S45'!$C:$BQ,39,0)</f>
        <v>148</v>
      </c>
      <c r="M256" s="58">
        <f>VLOOKUP($A256,'S45'!$C:$BQ,40,0)</f>
        <v>260</v>
      </c>
      <c r="N256" s="58">
        <f>VLOOKUP($A256,'S45'!$C:$BQ,22,0)</f>
        <v>3622.8774749999998</v>
      </c>
      <c r="O256" s="66">
        <f>VLOOKUP($A256,'S45'!$C:$BQ,29,0)</f>
        <v>1483</v>
      </c>
      <c r="P256" s="66">
        <f>VLOOKUP($A256,'S45'!$C:$BQ,30,0)</f>
        <v>2504</v>
      </c>
      <c r="Q256" s="66">
        <f>VLOOKUP($A256,'S45'!$C:$BQ,52,0)</f>
        <v>271.2</v>
      </c>
      <c r="R256" s="66">
        <f>VLOOKUP($A256,'S45'!$C:$BQ,59,0)</f>
        <v>14</v>
      </c>
      <c r="S256" s="66">
        <f>VLOOKUP($A256,'S45'!$C:$BQ,60,0)</f>
        <v>71</v>
      </c>
      <c r="T256" s="58">
        <f>VLOOKUP($A256,'S46'!$C:$BQ,32,0)</f>
        <v>413.45</v>
      </c>
      <c r="U256" s="58">
        <f>VLOOKUP($A256,'S46'!$C:$BQ,39,0)</f>
        <v>148</v>
      </c>
      <c r="V256" s="58">
        <f>VLOOKUP($A256,'S46'!$C:$BQ,40,0)</f>
        <v>261</v>
      </c>
      <c r="W256" s="58">
        <f>VLOOKUP($A256,'S46'!$C:$BQ,22,0)</f>
        <v>3632.368375</v>
      </c>
      <c r="X256" s="66">
        <f>VLOOKUP($A256,'S46'!$C:$BQ,29,0)</f>
        <v>1474</v>
      </c>
      <c r="Y256" s="66">
        <f>VLOOKUP($A256,'S46'!$C:$BQ,30,0)</f>
        <v>2495</v>
      </c>
      <c r="Z256" s="66">
        <f>VLOOKUP($A256,'S46'!$C:$BQ,52,0)</f>
        <v>271.2</v>
      </c>
      <c r="AA256" s="66">
        <f>VLOOKUP($A256,'S46'!$C:$BQ,59,0)</f>
        <v>14</v>
      </c>
      <c r="AB256" s="66">
        <f>VLOOKUP($A256,'S46'!$C:$BQ,60,0)</f>
        <v>71</v>
      </c>
      <c r="AC256" s="58">
        <f>VLOOKUP($A256,'S47'!$C:$BQ,32,0)</f>
        <v>424.95</v>
      </c>
      <c r="AD256" s="58">
        <f>VLOOKUP($A256,'S47'!$C:$BQ,39,0)</f>
        <v>137</v>
      </c>
      <c r="AE256" s="58">
        <f>VLOOKUP($A256,'S47'!$C:$BQ,40,0)</f>
        <v>249</v>
      </c>
      <c r="AF256" s="58">
        <f>VLOOKUP($A256,'S47'!$C:$BQ,22,0)</f>
        <v>3744.1683950000001</v>
      </c>
      <c r="AG256" s="66">
        <f>VLOOKUP($A256,'S47'!$C:$BQ,29,0)</f>
        <v>1362</v>
      </c>
      <c r="AH256" s="66">
        <f>VLOOKUP($A256,'S47'!$C:$BQ,30,0)</f>
        <v>2383</v>
      </c>
      <c r="AI256" s="66">
        <f>VLOOKUP($A256,'S47'!$C:$BQ,52,0)</f>
        <v>274.2</v>
      </c>
      <c r="AJ256" s="66">
        <f>VLOOKUP($A256,'S47'!$C:$BQ,59,0)</f>
        <v>11</v>
      </c>
      <c r="AK256" s="66">
        <f>VLOOKUP($A256,'S47'!$C:$BQ,60,0)</f>
        <v>68</v>
      </c>
      <c r="AL256" s="58" t="e">
        <f>VLOOKUP($A256,'S48'!$C:$BQ,32,0)</f>
        <v>#N/A</v>
      </c>
      <c r="AM256" s="58" t="e">
        <f>VLOOKUP($A256,'S48'!$C:$BQ,39,0)</f>
        <v>#N/A</v>
      </c>
      <c r="AN256" s="58" t="e">
        <f>VLOOKUP($A256,'S48'!$C:$BQ,40,0)</f>
        <v>#N/A</v>
      </c>
      <c r="AO256" s="58" t="e">
        <f>VLOOKUP($A256,'S48'!$C:$BQ,22,0)</f>
        <v>#N/A</v>
      </c>
      <c r="AP256" s="66" t="e">
        <f>VLOOKUP($A256,'S48'!$C:$BQ,29,0)</f>
        <v>#N/A</v>
      </c>
      <c r="AQ256" s="66" t="e">
        <f>VLOOKUP($A256,'S48'!$C:$BQ,30,0)</f>
        <v>#N/A</v>
      </c>
      <c r="AR256" s="66" t="e">
        <f>VLOOKUP($A256,'S48'!$C:$BQ,52,0)</f>
        <v>#N/A</v>
      </c>
      <c r="AS256" s="66" t="e">
        <f>VLOOKUP($A256,'S48'!$C:$BQ,59,0)</f>
        <v>#N/A</v>
      </c>
      <c r="AT256" s="66" t="e">
        <f>VLOOKUP($A256,'S48'!$C:$BQ,60,0)</f>
        <v>#N/A</v>
      </c>
      <c r="AU256" s="58" t="e">
        <f>VLOOKUP($A256,'S49'!$C:$BQ,32,0)</f>
        <v>#N/A</v>
      </c>
      <c r="AV256" s="58" t="e">
        <f>VLOOKUP($A256,'S49'!$C:$BQ,39,0)</f>
        <v>#N/A</v>
      </c>
      <c r="AW256" s="58" t="e">
        <f>VLOOKUP($A256,'S49'!$C:$BQ,40,0)</f>
        <v>#N/A</v>
      </c>
      <c r="AX256" s="58" t="e">
        <f>VLOOKUP($A256,'S49'!$C:$BQ,22,0)</f>
        <v>#N/A</v>
      </c>
      <c r="AY256" s="66" t="e">
        <f>VLOOKUP($A256,'S49'!$C:$BQ,29,0)</f>
        <v>#N/A</v>
      </c>
      <c r="AZ256" s="66" t="e">
        <f>VLOOKUP($A256,'S49'!$C:$BQ,30,0)</f>
        <v>#N/A</v>
      </c>
      <c r="BA256" s="66" t="e">
        <f>VLOOKUP($A256,'S49'!$C:$BQ,52,0)</f>
        <v>#N/A</v>
      </c>
      <c r="BB256" s="66" t="e">
        <f>VLOOKUP($A256,'S49'!$C:$BQ,59,0)</f>
        <v>#N/A</v>
      </c>
      <c r="BC256" s="66" t="e">
        <f>VLOOKUP($A256,'S49'!$C:$BQ,60,0)</f>
        <v>#N/A</v>
      </c>
      <c r="BD256" s="58" t="e">
        <f>VLOOKUP($A256,'S50'!$C:$BQ,32,0)</f>
        <v>#N/A</v>
      </c>
      <c r="BE256" s="58" t="e">
        <f>VLOOKUP($A256,'S50'!$C:$BQ,39,0)</f>
        <v>#N/A</v>
      </c>
      <c r="BF256" s="58" t="e">
        <f>VLOOKUP($A256,'S50'!$C:$BQ,40,0)</f>
        <v>#N/A</v>
      </c>
      <c r="BG256" s="58" t="e">
        <f>VLOOKUP($A256,'S50'!$C:$BQ,22,0)</f>
        <v>#N/A</v>
      </c>
      <c r="BH256" s="66" t="e">
        <f>VLOOKUP($A256,'S50'!$C:$BQ,29,0)</f>
        <v>#N/A</v>
      </c>
      <c r="BI256" s="66" t="e">
        <f>VLOOKUP($A256,'S50'!$C:$BQ,30,0)</f>
        <v>#N/A</v>
      </c>
      <c r="BJ256" s="66" t="e">
        <f>VLOOKUP($A256,'S50'!$C:$BQ,52,0)</f>
        <v>#N/A</v>
      </c>
      <c r="BK256" s="66" t="e">
        <f>VLOOKUP($A256,'S50'!$C:$BQ,59,0)</f>
        <v>#N/A</v>
      </c>
      <c r="BL256" s="66" t="e">
        <f>VLOOKUP($A256,'S50'!$C:$BQ,60,0)</f>
        <v>#N/A</v>
      </c>
    </row>
    <row r="257" spans="1:64" x14ac:dyDescent="0.2">
      <c r="A257" s="57" t="s">
        <v>329</v>
      </c>
      <c r="B257" s="58">
        <f>VLOOKUP($A257,'S0 remplacer avec S44'!$C:$BQ,32,0)</f>
        <v>230.55</v>
      </c>
      <c r="C257" s="58">
        <f>VLOOKUP($A257,'S0 remplacer avec S44'!$C:$BQ,39,0)</f>
        <v>5</v>
      </c>
      <c r="D257" s="58">
        <f>VLOOKUP($A257,'S0 remplacer avec S44'!$C:$BQ,40,0)</f>
        <v>51</v>
      </c>
      <c r="E257" s="58">
        <f>VLOOKUP($A257,'S0 remplacer avec S44'!$C:$BQ,22,0)</f>
        <v>2821.0601550000001</v>
      </c>
      <c r="F257" s="66">
        <f>VLOOKUP($A257,'S0 remplacer avec S44'!$C:$BQ,29,0)</f>
        <v>0</v>
      </c>
      <c r="G257" s="66">
        <f>VLOOKUP($A257,'S0 remplacer avec S44'!$C:$BQ,30,0)</f>
        <v>0</v>
      </c>
      <c r="H257" s="66">
        <f>VLOOKUP($A257,'S0 remplacer avec S44'!$C:$BQ,52,0)</f>
        <v>153.80000000000001</v>
      </c>
      <c r="I257" s="66">
        <f>VLOOKUP($A257,'S0 remplacer avec S44'!$C:$BQ,59,0)</f>
        <v>0</v>
      </c>
      <c r="J257" s="66">
        <f>VLOOKUP($A257,'S0 remplacer avec S44'!$C:$BQ,60,0)</f>
        <v>0</v>
      </c>
      <c r="K257" s="58">
        <f>VLOOKUP($A257,'S45'!$C:$BQ,32,0)</f>
        <v>237.05</v>
      </c>
      <c r="L257" s="58">
        <f>VLOOKUP($A257,'S45'!$C:$BQ,39,0)</f>
        <v>0</v>
      </c>
      <c r="M257" s="58">
        <f>VLOOKUP($A257,'S45'!$C:$BQ,40,0)</f>
        <v>45</v>
      </c>
      <c r="N257" s="58">
        <f>VLOOKUP($A257,'S45'!$C:$BQ,22,0)</f>
        <v>2855.3015350000001</v>
      </c>
      <c r="O257" s="66">
        <f>VLOOKUP($A257,'S45'!$C:$BQ,29,0)</f>
        <v>0</v>
      </c>
      <c r="P257" s="66">
        <f>VLOOKUP($A257,'S45'!$C:$BQ,30,0)</f>
        <v>0</v>
      </c>
      <c r="Q257" s="66">
        <f>VLOOKUP($A257,'S45'!$C:$BQ,52,0)</f>
        <v>153.80000000000001</v>
      </c>
      <c r="R257" s="66">
        <f>VLOOKUP($A257,'S45'!$C:$BQ,59,0)</f>
        <v>0</v>
      </c>
      <c r="S257" s="66">
        <f>VLOOKUP($A257,'S45'!$C:$BQ,60,0)</f>
        <v>0</v>
      </c>
      <c r="T257" s="58">
        <f>VLOOKUP($A257,'S46'!$C:$BQ,32,0)</f>
        <v>238.05</v>
      </c>
      <c r="U257" s="58">
        <f>VLOOKUP($A257,'S46'!$C:$BQ,39,0)</f>
        <v>0</v>
      </c>
      <c r="V257" s="58">
        <f>VLOOKUP($A257,'S46'!$C:$BQ,40,0)</f>
        <v>44</v>
      </c>
      <c r="W257" s="58">
        <f>VLOOKUP($A257,'S46'!$C:$BQ,22,0)</f>
        <v>2866.6980549999998</v>
      </c>
      <c r="X257" s="66">
        <f>VLOOKUP($A257,'S46'!$C:$BQ,29,0)</f>
        <v>0</v>
      </c>
      <c r="Y257" s="66">
        <f>VLOOKUP($A257,'S46'!$C:$BQ,30,0)</f>
        <v>0</v>
      </c>
      <c r="Z257" s="66">
        <f>VLOOKUP($A257,'S46'!$C:$BQ,52,0)</f>
        <v>154.80000000000001</v>
      </c>
      <c r="AA257" s="66">
        <f>VLOOKUP($A257,'S46'!$C:$BQ,59,0)</f>
        <v>0</v>
      </c>
      <c r="AB257" s="66">
        <f>VLOOKUP($A257,'S46'!$C:$BQ,60,0)</f>
        <v>0</v>
      </c>
      <c r="AC257" s="58">
        <f>VLOOKUP($A257,'S47'!$C:$BQ,32,0)</f>
        <v>239.55</v>
      </c>
      <c r="AD257" s="58">
        <f>VLOOKUP($A257,'S47'!$C:$BQ,39,0)</f>
        <v>0</v>
      </c>
      <c r="AE257" s="58">
        <f>VLOOKUP($A257,'S47'!$C:$BQ,40,0)</f>
        <v>42</v>
      </c>
      <c r="AF257" s="58">
        <f>VLOOKUP($A257,'S47'!$C:$BQ,22,0)</f>
        <v>2869.381515</v>
      </c>
      <c r="AG257" s="66">
        <f>VLOOKUP($A257,'S47'!$C:$BQ,29,0)</f>
        <v>0</v>
      </c>
      <c r="AH257" s="66">
        <f>VLOOKUP($A257,'S47'!$C:$BQ,30,0)</f>
        <v>0</v>
      </c>
      <c r="AI257" s="66">
        <f>VLOOKUP($A257,'S47'!$C:$BQ,52,0)</f>
        <v>155.80000000000001</v>
      </c>
      <c r="AJ257" s="66">
        <f>VLOOKUP($A257,'S47'!$C:$BQ,59,0)</f>
        <v>0</v>
      </c>
      <c r="AK257" s="66">
        <f>VLOOKUP($A257,'S47'!$C:$BQ,60,0)</f>
        <v>0</v>
      </c>
      <c r="AL257" s="58" t="e">
        <f>VLOOKUP($A257,'S48'!$C:$BQ,32,0)</f>
        <v>#N/A</v>
      </c>
      <c r="AM257" s="58" t="e">
        <f>VLOOKUP($A257,'S48'!$C:$BQ,39,0)</f>
        <v>#N/A</v>
      </c>
      <c r="AN257" s="58" t="e">
        <f>VLOOKUP($A257,'S48'!$C:$BQ,40,0)</f>
        <v>#N/A</v>
      </c>
      <c r="AO257" s="58" t="e">
        <f>VLOOKUP($A257,'S48'!$C:$BQ,22,0)</f>
        <v>#N/A</v>
      </c>
      <c r="AP257" s="66" t="e">
        <f>VLOOKUP($A257,'S48'!$C:$BQ,29,0)</f>
        <v>#N/A</v>
      </c>
      <c r="AQ257" s="66" t="e">
        <f>VLOOKUP($A257,'S48'!$C:$BQ,30,0)</f>
        <v>#N/A</v>
      </c>
      <c r="AR257" s="66" t="e">
        <f>VLOOKUP($A257,'S48'!$C:$BQ,52,0)</f>
        <v>#N/A</v>
      </c>
      <c r="AS257" s="66" t="e">
        <f>VLOOKUP($A257,'S48'!$C:$BQ,59,0)</f>
        <v>#N/A</v>
      </c>
      <c r="AT257" s="66" t="e">
        <f>VLOOKUP($A257,'S48'!$C:$BQ,60,0)</f>
        <v>#N/A</v>
      </c>
      <c r="AU257" s="58" t="e">
        <f>VLOOKUP($A257,'S49'!$C:$BQ,32,0)</f>
        <v>#N/A</v>
      </c>
      <c r="AV257" s="58" t="e">
        <f>VLOOKUP($A257,'S49'!$C:$BQ,39,0)</f>
        <v>#N/A</v>
      </c>
      <c r="AW257" s="58" t="e">
        <f>VLOOKUP($A257,'S49'!$C:$BQ,40,0)</f>
        <v>#N/A</v>
      </c>
      <c r="AX257" s="58" t="e">
        <f>VLOOKUP($A257,'S49'!$C:$BQ,22,0)</f>
        <v>#N/A</v>
      </c>
      <c r="AY257" s="66" t="e">
        <f>VLOOKUP($A257,'S49'!$C:$BQ,29,0)</f>
        <v>#N/A</v>
      </c>
      <c r="AZ257" s="66" t="e">
        <f>VLOOKUP($A257,'S49'!$C:$BQ,30,0)</f>
        <v>#N/A</v>
      </c>
      <c r="BA257" s="66" t="e">
        <f>VLOOKUP($A257,'S49'!$C:$BQ,52,0)</f>
        <v>#N/A</v>
      </c>
      <c r="BB257" s="66" t="e">
        <f>VLOOKUP($A257,'S49'!$C:$BQ,59,0)</f>
        <v>#N/A</v>
      </c>
      <c r="BC257" s="66" t="e">
        <f>VLOOKUP($A257,'S49'!$C:$BQ,60,0)</f>
        <v>#N/A</v>
      </c>
      <c r="BD257" s="58" t="e">
        <f>VLOOKUP($A257,'S50'!$C:$BQ,32,0)</f>
        <v>#N/A</v>
      </c>
      <c r="BE257" s="58" t="e">
        <f>VLOOKUP($A257,'S50'!$C:$BQ,39,0)</f>
        <v>#N/A</v>
      </c>
      <c r="BF257" s="58" t="e">
        <f>VLOOKUP($A257,'S50'!$C:$BQ,40,0)</f>
        <v>#N/A</v>
      </c>
      <c r="BG257" s="58" t="e">
        <f>VLOOKUP($A257,'S50'!$C:$BQ,22,0)</f>
        <v>#N/A</v>
      </c>
      <c r="BH257" s="66" t="e">
        <f>VLOOKUP($A257,'S50'!$C:$BQ,29,0)</f>
        <v>#N/A</v>
      </c>
      <c r="BI257" s="66" t="e">
        <f>VLOOKUP($A257,'S50'!$C:$BQ,30,0)</f>
        <v>#N/A</v>
      </c>
      <c r="BJ257" s="66" t="e">
        <f>VLOOKUP($A257,'S50'!$C:$BQ,52,0)</f>
        <v>#N/A</v>
      </c>
      <c r="BK257" s="66" t="e">
        <f>VLOOKUP($A257,'S50'!$C:$BQ,59,0)</f>
        <v>#N/A</v>
      </c>
      <c r="BL257" s="66" t="e">
        <f>VLOOKUP($A257,'S50'!$C:$BQ,60,0)</f>
        <v>#N/A</v>
      </c>
    </row>
    <row r="258" spans="1:64" x14ac:dyDescent="0.2">
      <c r="A258" s="57" t="s">
        <v>330</v>
      </c>
      <c r="B258" s="58">
        <f>VLOOKUP($A258,'S0 remplacer avec S44'!$C:$BQ,32,0)</f>
        <v>147.6</v>
      </c>
      <c r="C258" s="58">
        <f>VLOOKUP($A258,'S0 remplacer avec S44'!$C:$BQ,39,0)</f>
        <v>10</v>
      </c>
      <c r="D258" s="58">
        <f>VLOOKUP($A258,'S0 remplacer avec S44'!$C:$BQ,40,0)</f>
        <v>41</v>
      </c>
      <c r="E258" s="58">
        <f>VLOOKUP($A258,'S0 remplacer avec S44'!$C:$BQ,22,0)</f>
        <v>1308.4677750000001</v>
      </c>
      <c r="F258" s="66">
        <f>VLOOKUP($A258,'S0 remplacer avec S44'!$C:$BQ,29,0)</f>
        <v>117</v>
      </c>
      <c r="G258" s="66">
        <f>VLOOKUP($A258,'S0 remplacer avec S44'!$C:$BQ,30,0)</f>
        <v>402</v>
      </c>
      <c r="H258" s="66">
        <f>VLOOKUP($A258,'S0 remplacer avec S44'!$C:$BQ,52,0)</f>
        <v>90.6</v>
      </c>
      <c r="I258" s="66">
        <f>VLOOKUP($A258,'S0 remplacer avec S44'!$C:$BQ,59,0)</f>
        <v>0</v>
      </c>
      <c r="J258" s="66">
        <f>VLOOKUP($A258,'S0 remplacer avec S44'!$C:$BQ,60,0)</f>
        <v>5</v>
      </c>
      <c r="K258" s="58">
        <f>VLOOKUP($A258,'S45'!$C:$BQ,32,0)</f>
        <v>159.6</v>
      </c>
      <c r="L258" s="58">
        <f>VLOOKUP($A258,'S45'!$C:$BQ,39,0)</f>
        <v>0</v>
      </c>
      <c r="M258" s="58">
        <f>VLOOKUP($A258,'S45'!$C:$BQ,40,0)</f>
        <v>29</v>
      </c>
      <c r="N258" s="58">
        <f>VLOOKUP($A258,'S45'!$C:$BQ,22,0)</f>
        <v>1340.597765</v>
      </c>
      <c r="O258" s="66">
        <f>VLOOKUP($A258,'S45'!$C:$BQ,29,0)</f>
        <v>85</v>
      </c>
      <c r="P258" s="66">
        <f>VLOOKUP($A258,'S45'!$C:$BQ,30,0)</f>
        <v>370</v>
      </c>
      <c r="Q258" s="66">
        <f>VLOOKUP($A258,'S45'!$C:$BQ,52,0)</f>
        <v>90.6</v>
      </c>
      <c r="R258" s="66">
        <f>VLOOKUP($A258,'S45'!$C:$BQ,59,0)</f>
        <v>0</v>
      </c>
      <c r="S258" s="66">
        <f>VLOOKUP($A258,'S45'!$C:$BQ,60,0)</f>
        <v>5</v>
      </c>
      <c r="T258" s="58">
        <f>VLOOKUP($A258,'S46'!$C:$BQ,32,0)</f>
        <v>159.6</v>
      </c>
      <c r="U258" s="58">
        <f>VLOOKUP($A258,'S46'!$C:$BQ,39,0)</f>
        <v>0</v>
      </c>
      <c r="V258" s="58">
        <f>VLOOKUP($A258,'S46'!$C:$BQ,40,0)</f>
        <v>29</v>
      </c>
      <c r="W258" s="58">
        <f>VLOOKUP($A258,'S46'!$C:$BQ,22,0)</f>
        <v>1341.867765</v>
      </c>
      <c r="X258" s="66">
        <f>VLOOKUP($A258,'S46'!$C:$BQ,29,0)</f>
        <v>84</v>
      </c>
      <c r="Y258" s="66">
        <f>VLOOKUP($A258,'S46'!$C:$BQ,30,0)</f>
        <v>369</v>
      </c>
      <c r="Z258" s="66">
        <f>VLOOKUP($A258,'S46'!$C:$BQ,52,0)</f>
        <v>91.6</v>
      </c>
      <c r="AA258" s="66">
        <f>VLOOKUP($A258,'S46'!$C:$BQ,59,0)</f>
        <v>0</v>
      </c>
      <c r="AB258" s="66">
        <f>VLOOKUP($A258,'S46'!$C:$BQ,60,0)</f>
        <v>4</v>
      </c>
      <c r="AC258" s="58">
        <f>VLOOKUP($A258,'S47'!$C:$BQ,32,0)</f>
        <v>161.6</v>
      </c>
      <c r="AD258" s="58">
        <f>VLOOKUP($A258,'S47'!$C:$BQ,39,0)</f>
        <v>0</v>
      </c>
      <c r="AE258" s="58">
        <f>VLOOKUP($A258,'S47'!$C:$BQ,40,0)</f>
        <v>27</v>
      </c>
      <c r="AF258" s="58">
        <f>VLOOKUP($A258,'S47'!$C:$BQ,22,0)</f>
        <v>1366.229765</v>
      </c>
      <c r="AG258" s="66">
        <f>VLOOKUP($A258,'S47'!$C:$BQ,29,0)</f>
        <v>60</v>
      </c>
      <c r="AH258" s="66">
        <f>VLOOKUP($A258,'S47'!$C:$BQ,30,0)</f>
        <v>345</v>
      </c>
      <c r="AI258" s="66">
        <f>VLOOKUP($A258,'S47'!$C:$BQ,52,0)</f>
        <v>93.6</v>
      </c>
      <c r="AJ258" s="66">
        <f>VLOOKUP($A258,'S47'!$C:$BQ,59,0)</f>
        <v>0</v>
      </c>
      <c r="AK258" s="66">
        <f>VLOOKUP($A258,'S47'!$C:$BQ,60,0)</f>
        <v>2</v>
      </c>
      <c r="AL258" s="58" t="e">
        <f>VLOOKUP($A258,'S48'!$C:$BQ,32,0)</f>
        <v>#N/A</v>
      </c>
      <c r="AM258" s="58" t="e">
        <f>VLOOKUP($A258,'S48'!$C:$BQ,39,0)</f>
        <v>#N/A</v>
      </c>
      <c r="AN258" s="58" t="e">
        <f>VLOOKUP($A258,'S48'!$C:$BQ,40,0)</f>
        <v>#N/A</v>
      </c>
      <c r="AO258" s="58" t="e">
        <f>VLOOKUP($A258,'S48'!$C:$BQ,22,0)</f>
        <v>#N/A</v>
      </c>
      <c r="AP258" s="66" t="e">
        <f>VLOOKUP($A258,'S48'!$C:$BQ,29,0)</f>
        <v>#N/A</v>
      </c>
      <c r="AQ258" s="66" t="e">
        <f>VLOOKUP($A258,'S48'!$C:$BQ,30,0)</f>
        <v>#N/A</v>
      </c>
      <c r="AR258" s="66" t="e">
        <f>VLOOKUP($A258,'S48'!$C:$BQ,52,0)</f>
        <v>#N/A</v>
      </c>
      <c r="AS258" s="66" t="e">
        <f>VLOOKUP($A258,'S48'!$C:$BQ,59,0)</f>
        <v>#N/A</v>
      </c>
      <c r="AT258" s="66" t="e">
        <f>VLOOKUP($A258,'S48'!$C:$BQ,60,0)</f>
        <v>#N/A</v>
      </c>
      <c r="AU258" s="58" t="e">
        <f>VLOOKUP($A258,'S49'!$C:$BQ,32,0)</f>
        <v>#N/A</v>
      </c>
      <c r="AV258" s="58" t="e">
        <f>VLOOKUP($A258,'S49'!$C:$BQ,39,0)</f>
        <v>#N/A</v>
      </c>
      <c r="AW258" s="58" t="e">
        <f>VLOOKUP($A258,'S49'!$C:$BQ,40,0)</f>
        <v>#N/A</v>
      </c>
      <c r="AX258" s="58" t="e">
        <f>VLOOKUP($A258,'S49'!$C:$BQ,22,0)</f>
        <v>#N/A</v>
      </c>
      <c r="AY258" s="66" t="e">
        <f>VLOOKUP($A258,'S49'!$C:$BQ,29,0)</f>
        <v>#N/A</v>
      </c>
      <c r="AZ258" s="66" t="e">
        <f>VLOOKUP($A258,'S49'!$C:$BQ,30,0)</f>
        <v>#N/A</v>
      </c>
      <c r="BA258" s="66" t="e">
        <f>VLOOKUP($A258,'S49'!$C:$BQ,52,0)</f>
        <v>#N/A</v>
      </c>
      <c r="BB258" s="66" t="e">
        <f>VLOOKUP($A258,'S49'!$C:$BQ,59,0)</f>
        <v>#N/A</v>
      </c>
      <c r="BC258" s="66" t="e">
        <f>VLOOKUP($A258,'S49'!$C:$BQ,60,0)</f>
        <v>#N/A</v>
      </c>
      <c r="BD258" s="58" t="e">
        <f>VLOOKUP($A258,'S50'!$C:$BQ,32,0)</f>
        <v>#N/A</v>
      </c>
      <c r="BE258" s="58" t="e">
        <f>VLOOKUP($A258,'S50'!$C:$BQ,39,0)</f>
        <v>#N/A</v>
      </c>
      <c r="BF258" s="58" t="e">
        <f>VLOOKUP($A258,'S50'!$C:$BQ,40,0)</f>
        <v>#N/A</v>
      </c>
      <c r="BG258" s="58" t="e">
        <f>VLOOKUP($A258,'S50'!$C:$BQ,22,0)</f>
        <v>#N/A</v>
      </c>
      <c r="BH258" s="66" t="e">
        <f>VLOOKUP($A258,'S50'!$C:$BQ,29,0)</f>
        <v>#N/A</v>
      </c>
      <c r="BI258" s="66" t="e">
        <f>VLOOKUP($A258,'S50'!$C:$BQ,30,0)</f>
        <v>#N/A</v>
      </c>
      <c r="BJ258" s="66" t="e">
        <f>VLOOKUP($A258,'S50'!$C:$BQ,52,0)</f>
        <v>#N/A</v>
      </c>
      <c r="BK258" s="66" t="e">
        <f>VLOOKUP($A258,'S50'!$C:$BQ,59,0)</f>
        <v>#N/A</v>
      </c>
      <c r="BL258" s="66" t="e">
        <f>VLOOKUP($A258,'S50'!$C:$BQ,60,0)</f>
        <v>#N/A</v>
      </c>
    </row>
    <row r="259" spans="1:64" x14ac:dyDescent="0.2">
      <c r="A259" s="57" t="s">
        <v>331</v>
      </c>
      <c r="B259" s="58">
        <f>VLOOKUP($A259,'S0 remplacer avec S44'!$C:$BQ,32,0)</f>
        <v>269.45</v>
      </c>
      <c r="C259" s="58">
        <f>VLOOKUP($A259,'S0 remplacer avec S44'!$C:$BQ,39,0)</f>
        <v>0</v>
      </c>
      <c r="D259" s="58">
        <f>VLOOKUP($A259,'S0 remplacer avec S44'!$C:$BQ,40,0)</f>
        <v>0</v>
      </c>
      <c r="E259" s="58">
        <f>VLOOKUP($A259,'S0 remplacer avec S44'!$C:$BQ,22,0)</f>
        <v>1911.418365</v>
      </c>
      <c r="F259" s="66">
        <f>VLOOKUP($A259,'S0 remplacer avec S44'!$C:$BQ,29,0)</f>
        <v>0</v>
      </c>
      <c r="G259" s="66">
        <f>VLOOKUP($A259,'S0 remplacer avec S44'!$C:$BQ,30,0)</f>
        <v>0</v>
      </c>
      <c r="H259" s="66">
        <f>VLOOKUP($A259,'S0 remplacer avec S44'!$C:$BQ,52,0)</f>
        <v>167.8</v>
      </c>
      <c r="I259" s="66">
        <f>VLOOKUP($A259,'S0 remplacer avec S44'!$C:$BQ,59,0)</f>
        <v>0</v>
      </c>
      <c r="J259" s="66">
        <f>VLOOKUP($A259,'S0 remplacer avec S44'!$C:$BQ,60,0)</f>
        <v>0</v>
      </c>
      <c r="K259" s="58">
        <f>VLOOKUP($A259,'S45'!$C:$BQ,32,0)</f>
        <v>275.95</v>
      </c>
      <c r="L259" s="58">
        <f>VLOOKUP($A259,'S45'!$C:$BQ,39,0)</f>
        <v>0</v>
      </c>
      <c r="M259" s="58">
        <f>VLOOKUP($A259,'S45'!$C:$BQ,40,0)</f>
        <v>0</v>
      </c>
      <c r="N259" s="58">
        <f>VLOOKUP($A259,'S45'!$C:$BQ,22,0)</f>
        <v>1961.8183650000001</v>
      </c>
      <c r="O259" s="66">
        <f>VLOOKUP($A259,'S45'!$C:$BQ,29,0)</f>
        <v>0</v>
      </c>
      <c r="P259" s="66">
        <f>VLOOKUP($A259,'S45'!$C:$BQ,30,0)</f>
        <v>0</v>
      </c>
      <c r="Q259" s="66">
        <f>VLOOKUP($A259,'S45'!$C:$BQ,52,0)</f>
        <v>172.8</v>
      </c>
      <c r="R259" s="66">
        <f>VLOOKUP($A259,'S45'!$C:$BQ,59,0)</f>
        <v>0</v>
      </c>
      <c r="S259" s="66">
        <f>VLOOKUP($A259,'S45'!$C:$BQ,60,0)</f>
        <v>0</v>
      </c>
      <c r="T259" s="58">
        <f>VLOOKUP($A259,'S46'!$C:$BQ,32,0)</f>
        <v>276.95</v>
      </c>
      <c r="U259" s="58">
        <f>VLOOKUP($A259,'S46'!$C:$BQ,39,0)</f>
        <v>0</v>
      </c>
      <c r="V259" s="58">
        <f>VLOOKUP($A259,'S46'!$C:$BQ,40,0)</f>
        <v>0</v>
      </c>
      <c r="W259" s="58">
        <f>VLOOKUP($A259,'S46'!$C:$BQ,22,0)</f>
        <v>1927.890795</v>
      </c>
      <c r="X259" s="66">
        <f>VLOOKUP($A259,'S46'!$C:$BQ,29,0)</f>
        <v>0</v>
      </c>
      <c r="Y259" s="66">
        <f>VLOOKUP($A259,'S46'!$C:$BQ,30,0)</f>
        <v>0</v>
      </c>
      <c r="Z259" s="66">
        <f>VLOOKUP($A259,'S46'!$C:$BQ,52,0)</f>
        <v>173.8</v>
      </c>
      <c r="AA259" s="66">
        <f>VLOOKUP($A259,'S46'!$C:$BQ,59,0)</f>
        <v>0</v>
      </c>
      <c r="AB259" s="66">
        <f>VLOOKUP($A259,'S46'!$C:$BQ,60,0)</f>
        <v>0</v>
      </c>
      <c r="AC259" s="58">
        <f>VLOOKUP($A259,'S47'!$C:$BQ,32,0)</f>
        <v>289.45</v>
      </c>
      <c r="AD259" s="58">
        <f>VLOOKUP($A259,'S47'!$C:$BQ,39,0)</f>
        <v>0</v>
      </c>
      <c r="AE259" s="58">
        <f>VLOOKUP($A259,'S47'!$C:$BQ,40,0)</f>
        <v>0</v>
      </c>
      <c r="AF259" s="58">
        <f>VLOOKUP($A259,'S47'!$C:$BQ,22,0)</f>
        <v>1994.7981050000001</v>
      </c>
      <c r="AG259" s="66">
        <f>VLOOKUP($A259,'S47'!$C:$BQ,29,0)</f>
        <v>0</v>
      </c>
      <c r="AH259" s="66">
        <f>VLOOKUP($A259,'S47'!$C:$BQ,30,0)</f>
        <v>0</v>
      </c>
      <c r="AI259" s="66">
        <f>VLOOKUP($A259,'S47'!$C:$BQ,52,0)</f>
        <v>175.8</v>
      </c>
      <c r="AJ259" s="66">
        <f>VLOOKUP($A259,'S47'!$C:$BQ,59,0)</f>
        <v>0</v>
      </c>
      <c r="AK259" s="66">
        <f>VLOOKUP($A259,'S47'!$C:$BQ,60,0)</f>
        <v>0</v>
      </c>
      <c r="AL259" s="58" t="e">
        <f>VLOOKUP($A259,'S48'!$C:$BQ,32,0)</f>
        <v>#N/A</v>
      </c>
      <c r="AM259" s="58" t="e">
        <f>VLOOKUP($A259,'S48'!$C:$BQ,39,0)</f>
        <v>#N/A</v>
      </c>
      <c r="AN259" s="58" t="e">
        <f>VLOOKUP($A259,'S48'!$C:$BQ,40,0)</f>
        <v>#N/A</v>
      </c>
      <c r="AO259" s="58" t="e">
        <f>VLOOKUP($A259,'S48'!$C:$BQ,22,0)</f>
        <v>#N/A</v>
      </c>
      <c r="AP259" s="66" t="e">
        <f>VLOOKUP($A259,'S48'!$C:$BQ,29,0)</f>
        <v>#N/A</v>
      </c>
      <c r="AQ259" s="66" t="e">
        <f>VLOOKUP($A259,'S48'!$C:$BQ,30,0)</f>
        <v>#N/A</v>
      </c>
      <c r="AR259" s="66" t="e">
        <f>VLOOKUP($A259,'S48'!$C:$BQ,52,0)</f>
        <v>#N/A</v>
      </c>
      <c r="AS259" s="66" t="e">
        <f>VLOOKUP($A259,'S48'!$C:$BQ,59,0)</f>
        <v>#N/A</v>
      </c>
      <c r="AT259" s="66" t="e">
        <f>VLOOKUP($A259,'S48'!$C:$BQ,60,0)</f>
        <v>#N/A</v>
      </c>
      <c r="AU259" s="58" t="e">
        <f>VLOOKUP($A259,'S49'!$C:$BQ,32,0)</f>
        <v>#N/A</v>
      </c>
      <c r="AV259" s="58" t="e">
        <f>VLOOKUP($A259,'S49'!$C:$BQ,39,0)</f>
        <v>#N/A</v>
      </c>
      <c r="AW259" s="58" t="e">
        <f>VLOOKUP($A259,'S49'!$C:$BQ,40,0)</f>
        <v>#N/A</v>
      </c>
      <c r="AX259" s="58" t="e">
        <f>VLOOKUP($A259,'S49'!$C:$BQ,22,0)</f>
        <v>#N/A</v>
      </c>
      <c r="AY259" s="66" t="e">
        <f>VLOOKUP($A259,'S49'!$C:$BQ,29,0)</f>
        <v>#N/A</v>
      </c>
      <c r="AZ259" s="66" t="e">
        <f>VLOOKUP($A259,'S49'!$C:$BQ,30,0)</f>
        <v>#N/A</v>
      </c>
      <c r="BA259" s="66" t="e">
        <f>VLOOKUP($A259,'S49'!$C:$BQ,52,0)</f>
        <v>#N/A</v>
      </c>
      <c r="BB259" s="66" t="e">
        <f>VLOOKUP($A259,'S49'!$C:$BQ,59,0)</f>
        <v>#N/A</v>
      </c>
      <c r="BC259" s="66" t="e">
        <f>VLOOKUP($A259,'S49'!$C:$BQ,60,0)</f>
        <v>#N/A</v>
      </c>
      <c r="BD259" s="58" t="e">
        <f>VLOOKUP($A259,'S50'!$C:$BQ,32,0)</f>
        <v>#N/A</v>
      </c>
      <c r="BE259" s="58" t="e">
        <f>VLOOKUP($A259,'S50'!$C:$BQ,39,0)</f>
        <v>#N/A</v>
      </c>
      <c r="BF259" s="58" t="e">
        <f>VLOOKUP($A259,'S50'!$C:$BQ,40,0)</f>
        <v>#N/A</v>
      </c>
      <c r="BG259" s="58" t="e">
        <f>VLOOKUP($A259,'S50'!$C:$BQ,22,0)</f>
        <v>#N/A</v>
      </c>
      <c r="BH259" s="66" t="e">
        <f>VLOOKUP($A259,'S50'!$C:$BQ,29,0)</f>
        <v>#N/A</v>
      </c>
      <c r="BI259" s="66" t="e">
        <f>VLOOKUP($A259,'S50'!$C:$BQ,30,0)</f>
        <v>#N/A</v>
      </c>
      <c r="BJ259" s="66" t="e">
        <f>VLOOKUP($A259,'S50'!$C:$BQ,52,0)</f>
        <v>#N/A</v>
      </c>
      <c r="BK259" s="66" t="e">
        <f>VLOOKUP($A259,'S50'!$C:$BQ,59,0)</f>
        <v>#N/A</v>
      </c>
      <c r="BL259" s="66" t="e">
        <f>VLOOKUP($A259,'S50'!$C:$BQ,60,0)</f>
        <v>#N/A</v>
      </c>
    </row>
    <row r="260" spans="1:64" x14ac:dyDescent="0.2">
      <c r="A260" s="57" t="s">
        <v>332</v>
      </c>
      <c r="B260" s="58">
        <f>VLOOKUP($A260,'S0 remplacer avec S44'!$C:$BQ,32,0)</f>
        <v>115.95</v>
      </c>
      <c r="C260" s="58">
        <f>VLOOKUP($A260,'S0 remplacer avec S44'!$C:$BQ,39,0)</f>
        <v>45</v>
      </c>
      <c r="D260" s="58">
        <f>VLOOKUP($A260,'S0 remplacer avec S44'!$C:$BQ,40,0)</f>
        <v>77</v>
      </c>
      <c r="E260" s="58">
        <f>VLOOKUP($A260,'S0 remplacer avec S44'!$C:$BQ,22,0)</f>
        <v>1334.525445</v>
      </c>
      <c r="F260" s="66">
        <f>VLOOKUP($A260,'S0 remplacer avec S44'!$C:$BQ,29,0)</f>
        <v>125</v>
      </c>
      <c r="G260" s="66">
        <f>VLOOKUP($A260,'S0 remplacer avec S44'!$C:$BQ,30,0)</f>
        <v>417</v>
      </c>
      <c r="H260" s="66">
        <f>VLOOKUP($A260,'S0 remplacer avec S44'!$C:$BQ,52,0)</f>
        <v>88.6</v>
      </c>
      <c r="I260" s="66">
        <f>VLOOKUP($A260,'S0 remplacer avec S44'!$C:$BQ,59,0)</f>
        <v>0</v>
      </c>
      <c r="J260" s="66">
        <f>VLOOKUP($A260,'S0 remplacer avec S44'!$C:$BQ,60,0)</f>
        <v>10</v>
      </c>
      <c r="K260" s="58">
        <f>VLOOKUP($A260,'S45'!$C:$BQ,32,0)</f>
        <v>122.45</v>
      </c>
      <c r="L260" s="58">
        <f>VLOOKUP($A260,'S45'!$C:$BQ,39,0)</f>
        <v>38</v>
      </c>
      <c r="M260" s="58">
        <f>VLOOKUP($A260,'S45'!$C:$BQ,40,0)</f>
        <v>71</v>
      </c>
      <c r="N260" s="58">
        <f>VLOOKUP($A260,'S45'!$C:$BQ,22,0)</f>
        <v>1336.977995</v>
      </c>
      <c r="O260" s="66">
        <f>VLOOKUP($A260,'S45'!$C:$BQ,29,0)</f>
        <v>122</v>
      </c>
      <c r="P260" s="66">
        <f>VLOOKUP($A260,'S45'!$C:$BQ,30,0)</f>
        <v>414</v>
      </c>
      <c r="Q260" s="66">
        <f>VLOOKUP($A260,'S45'!$C:$BQ,52,0)</f>
        <v>88.6</v>
      </c>
      <c r="R260" s="66">
        <f>VLOOKUP($A260,'S45'!$C:$BQ,59,0)</f>
        <v>0</v>
      </c>
      <c r="S260" s="66">
        <f>VLOOKUP($A260,'S45'!$C:$BQ,60,0)</f>
        <v>10</v>
      </c>
      <c r="T260" s="58">
        <f>VLOOKUP($A260,'S46'!$C:$BQ,32,0)</f>
        <v>123.45</v>
      </c>
      <c r="U260" s="58">
        <f>VLOOKUP($A260,'S46'!$C:$BQ,39,0)</f>
        <v>37</v>
      </c>
      <c r="V260" s="58">
        <f>VLOOKUP($A260,'S46'!$C:$BQ,40,0)</f>
        <v>70</v>
      </c>
      <c r="W260" s="58">
        <f>VLOOKUP($A260,'S46'!$C:$BQ,22,0)</f>
        <v>1337.447995</v>
      </c>
      <c r="X260" s="66">
        <f>VLOOKUP($A260,'S46'!$C:$BQ,29,0)</f>
        <v>122</v>
      </c>
      <c r="Y260" s="66">
        <f>VLOOKUP($A260,'S46'!$C:$BQ,30,0)</f>
        <v>414</v>
      </c>
      <c r="Z260" s="66">
        <f>VLOOKUP($A260,'S46'!$C:$BQ,52,0)</f>
        <v>91.6</v>
      </c>
      <c r="AA260" s="66">
        <f>VLOOKUP($A260,'S46'!$C:$BQ,59,0)</f>
        <v>0</v>
      </c>
      <c r="AB260" s="66">
        <f>VLOOKUP($A260,'S46'!$C:$BQ,60,0)</f>
        <v>7</v>
      </c>
      <c r="AC260" s="58">
        <f>VLOOKUP($A260,'S47'!$C:$BQ,32,0)</f>
        <v>123.95</v>
      </c>
      <c r="AD260" s="58">
        <f>VLOOKUP($A260,'S47'!$C:$BQ,39,0)</f>
        <v>37</v>
      </c>
      <c r="AE260" s="58">
        <f>VLOOKUP($A260,'S47'!$C:$BQ,40,0)</f>
        <v>69</v>
      </c>
      <c r="AF260" s="58">
        <f>VLOOKUP($A260,'S47'!$C:$BQ,22,0)</f>
        <v>1325.947995</v>
      </c>
      <c r="AG260" s="66">
        <f>VLOOKUP($A260,'S47'!$C:$BQ,29,0)</f>
        <v>133</v>
      </c>
      <c r="AH260" s="66">
        <f>VLOOKUP($A260,'S47'!$C:$BQ,30,0)</f>
        <v>425</v>
      </c>
      <c r="AI260" s="66">
        <f>VLOOKUP($A260,'S47'!$C:$BQ,52,0)</f>
        <v>92.6</v>
      </c>
      <c r="AJ260" s="66">
        <f>VLOOKUP($A260,'S47'!$C:$BQ,59,0)</f>
        <v>0</v>
      </c>
      <c r="AK260" s="66">
        <f>VLOOKUP($A260,'S47'!$C:$BQ,60,0)</f>
        <v>6</v>
      </c>
      <c r="AL260" s="58" t="e">
        <f>VLOOKUP($A260,'S48'!$C:$BQ,32,0)</f>
        <v>#N/A</v>
      </c>
      <c r="AM260" s="58" t="e">
        <f>VLOOKUP($A260,'S48'!$C:$BQ,39,0)</f>
        <v>#N/A</v>
      </c>
      <c r="AN260" s="58" t="e">
        <f>VLOOKUP($A260,'S48'!$C:$BQ,40,0)</f>
        <v>#N/A</v>
      </c>
      <c r="AO260" s="58" t="e">
        <f>VLOOKUP($A260,'S48'!$C:$BQ,22,0)</f>
        <v>#N/A</v>
      </c>
      <c r="AP260" s="66" t="e">
        <f>VLOOKUP($A260,'S48'!$C:$BQ,29,0)</f>
        <v>#N/A</v>
      </c>
      <c r="AQ260" s="66" t="e">
        <f>VLOOKUP($A260,'S48'!$C:$BQ,30,0)</f>
        <v>#N/A</v>
      </c>
      <c r="AR260" s="66" t="e">
        <f>VLOOKUP($A260,'S48'!$C:$BQ,52,0)</f>
        <v>#N/A</v>
      </c>
      <c r="AS260" s="66" t="e">
        <f>VLOOKUP($A260,'S48'!$C:$BQ,59,0)</f>
        <v>#N/A</v>
      </c>
      <c r="AT260" s="66" t="e">
        <f>VLOOKUP($A260,'S48'!$C:$BQ,60,0)</f>
        <v>#N/A</v>
      </c>
      <c r="AU260" s="58" t="e">
        <f>VLOOKUP($A260,'S49'!$C:$BQ,32,0)</f>
        <v>#N/A</v>
      </c>
      <c r="AV260" s="58" t="e">
        <f>VLOOKUP($A260,'S49'!$C:$BQ,39,0)</f>
        <v>#N/A</v>
      </c>
      <c r="AW260" s="58" t="e">
        <f>VLOOKUP($A260,'S49'!$C:$BQ,40,0)</f>
        <v>#N/A</v>
      </c>
      <c r="AX260" s="58" t="e">
        <f>VLOOKUP($A260,'S49'!$C:$BQ,22,0)</f>
        <v>#N/A</v>
      </c>
      <c r="AY260" s="66" t="e">
        <f>VLOOKUP($A260,'S49'!$C:$BQ,29,0)</f>
        <v>#N/A</v>
      </c>
      <c r="AZ260" s="66" t="e">
        <f>VLOOKUP($A260,'S49'!$C:$BQ,30,0)</f>
        <v>#N/A</v>
      </c>
      <c r="BA260" s="66" t="e">
        <f>VLOOKUP($A260,'S49'!$C:$BQ,52,0)</f>
        <v>#N/A</v>
      </c>
      <c r="BB260" s="66" t="e">
        <f>VLOOKUP($A260,'S49'!$C:$BQ,59,0)</f>
        <v>#N/A</v>
      </c>
      <c r="BC260" s="66" t="e">
        <f>VLOOKUP($A260,'S49'!$C:$BQ,60,0)</f>
        <v>#N/A</v>
      </c>
      <c r="BD260" s="58" t="e">
        <f>VLOOKUP($A260,'S50'!$C:$BQ,32,0)</f>
        <v>#N/A</v>
      </c>
      <c r="BE260" s="58" t="e">
        <f>VLOOKUP($A260,'S50'!$C:$BQ,39,0)</f>
        <v>#N/A</v>
      </c>
      <c r="BF260" s="58" t="e">
        <f>VLOOKUP($A260,'S50'!$C:$BQ,40,0)</f>
        <v>#N/A</v>
      </c>
      <c r="BG260" s="58" t="e">
        <f>VLOOKUP($A260,'S50'!$C:$BQ,22,0)</f>
        <v>#N/A</v>
      </c>
      <c r="BH260" s="66" t="e">
        <f>VLOOKUP($A260,'S50'!$C:$BQ,29,0)</f>
        <v>#N/A</v>
      </c>
      <c r="BI260" s="66" t="e">
        <f>VLOOKUP($A260,'S50'!$C:$BQ,30,0)</f>
        <v>#N/A</v>
      </c>
      <c r="BJ260" s="66" t="e">
        <f>VLOOKUP($A260,'S50'!$C:$BQ,52,0)</f>
        <v>#N/A</v>
      </c>
      <c r="BK260" s="66" t="e">
        <f>VLOOKUP($A260,'S50'!$C:$BQ,59,0)</f>
        <v>#N/A</v>
      </c>
      <c r="BL260" s="66" t="e">
        <f>VLOOKUP($A260,'S50'!$C:$BQ,60,0)</f>
        <v>#N/A</v>
      </c>
    </row>
    <row r="261" spans="1:64" x14ac:dyDescent="0.2">
      <c r="A261" s="57" t="s">
        <v>333</v>
      </c>
      <c r="B261" s="58">
        <f>VLOOKUP($A261,'S0 remplacer avec S44'!$C:$BQ,32,0)</f>
        <v>68.349999999999994</v>
      </c>
      <c r="C261" s="58">
        <f>VLOOKUP($A261,'S0 remplacer avec S44'!$C:$BQ,39,0)</f>
        <v>78</v>
      </c>
      <c r="D261" s="58">
        <f>VLOOKUP($A261,'S0 remplacer avec S44'!$C:$BQ,40,0)</f>
        <v>107</v>
      </c>
      <c r="E261" s="58">
        <f>VLOOKUP($A261,'S0 remplacer avec S44'!$C:$BQ,22,0)</f>
        <v>1445.844525</v>
      </c>
      <c r="F261" s="66">
        <f>VLOOKUP($A261,'S0 remplacer avec S44'!$C:$BQ,29,0)</f>
        <v>0</v>
      </c>
      <c r="G261" s="66">
        <f>VLOOKUP($A261,'S0 remplacer avec S44'!$C:$BQ,30,0)</f>
        <v>147</v>
      </c>
      <c r="H261" s="66">
        <f>VLOOKUP($A261,'S0 remplacer avec S44'!$C:$BQ,52,0)</f>
        <v>61</v>
      </c>
      <c r="I261" s="66">
        <f>VLOOKUP($A261,'S0 remplacer avec S44'!$C:$BQ,59,0)</f>
        <v>14</v>
      </c>
      <c r="J261" s="66">
        <f>VLOOKUP($A261,'S0 remplacer avec S44'!$C:$BQ,60,0)</f>
        <v>28</v>
      </c>
      <c r="K261" s="58">
        <f>VLOOKUP($A261,'S45'!$C:$BQ,32,0)</f>
        <v>69.349999999999994</v>
      </c>
      <c r="L261" s="58">
        <f>VLOOKUP($A261,'S45'!$C:$BQ,39,0)</f>
        <v>77</v>
      </c>
      <c r="M261" s="58">
        <f>VLOOKUP($A261,'S45'!$C:$BQ,40,0)</f>
        <v>106</v>
      </c>
      <c r="N261" s="58">
        <f>VLOOKUP($A261,'S45'!$C:$BQ,22,0)</f>
        <v>1449.6372449999999</v>
      </c>
      <c r="O261" s="66">
        <f>VLOOKUP($A261,'S45'!$C:$BQ,29,0)</f>
        <v>0</v>
      </c>
      <c r="P261" s="66">
        <f>VLOOKUP($A261,'S45'!$C:$BQ,30,0)</f>
        <v>143</v>
      </c>
      <c r="Q261" s="66">
        <f>VLOOKUP($A261,'S45'!$C:$BQ,52,0)</f>
        <v>62</v>
      </c>
      <c r="R261" s="66">
        <f>VLOOKUP($A261,'S45'!$C:$BQ,59,0)</f>
        <v>13</v>
      </c>
      <c r="S261" s="66">
        <f>VLOOKUP($A261,'S45'!$C:$BQ,60,0)</f>
        <v>27</v>
      </c>
      <c r="T261" s="58">
        <f>VLOOKUP($A261,'S46'!$C:$BQ,32,0)</f>
        <v>68.849999999999994</v>
      </c>
      <c r="U261" s="58">
        <f>VLOOKUP($A261,'S46'!$C:$BQ,39,0)</f>
        <v>78</v>
      </c>
      <c r="V261" s="58">
        <f>VLOOKUP($A261,'S46'!$C:$BQ,40,0)</f>
        <v>107</v>
      </c>
      <c r="W261" s="58">
        <f>VLOOKUP($A261,'S46'!$C:$BQ,22,0)</f>
        <v>1475.8856049999999</v>
      </c>
      <c r="X261" s="66">
        <f>VLOOKUP($A261,'S46'!$C:$BQ,29,0)</f>
        <v>0</v>
      </c>
      <c r="Y261" s="66">
        <f>VLOOKUP($A261,'S46'!$C:$BQ,30,0)</f>
        <v>117</v>
      </c>
      <c r="Z261" s="66">
        <f>VLOOKUP($A261,'S46'!$C:$BQ,52,0)</f>
        <v>63</v>
      </c>
      <c r="AA261" s="66">
        <f>VLOOKUP($A261,'S46'!$C:$BQ,59,0)</f>
        <v>12</v>
      </c>
      <c r="AB261" s="66">
        <f>VLOOKUP($A261,'S46'!$C:$BQ,60,0)</f>
        <v>26</v>
      </c>
      <c r="AC261" s="58">
        <f>VLOOKUP($A261,'S47'!$C:$BQ,32,0)</f>
        <v>68.349999999999994</v>
      </c>
      <c r="AD261" s="58">
        <f>VLOOKUP($A261,'S47'!$C:$BQ,39,0)</f>
        <v>78</v>
      </c>
      <c r="AE261" s="58">
        <f>VLOOKUP($A261,'S47'!$C:$BQ,40,0)</f>
        <v>107</v>
      </c>
      <c r="AF261" s="58">
        <f>VLOOKUP($A261,'S47'!$C:$BQ,22,0)</f>
        <v>1479.6974949999999</v>
      </c>
      <c r="AG261" s="66">
        <f>VLOOKUP($A261,'S47'!$C:$BQ,29,0)</f>
        <v>0</v>
      </c>
      <c r="AH261" s="66">
        <f>VLOOKUP($A261,'S47'!$C:$BQ,30,0)</f>
        <v>113</v>
      </c>
      <c r="AI261" s="66">
        <f>VLOOKUP($A261,'S47'!$C:$BQ,52,0)</f>
        <v>63</v>
      </c>
      <c r="AJ261" s="66">
        <f>VLOOKUP($A261,'S47'!$C:$BQ,59,0)</f>
        <v>12</v>
      </c>
      <c r="AK261" s="66">
        <f>VLOOKUP($A261,'S47'!$C:$BQ,60,0)</f>
        <v>26</v>
      </c>
      <c r="AL261" s="58" t="e">
        <f>VLOOKUP($A261,'S48'!$C:$BQ,32,0)</f>
        <v>#N/A</v>
      </c>
      <c r="AM261" s="58" t="e">
        <f>VLOOKUP($A261,'S48'!$C:$BQ,39,0)</f>
        <v>#N/A</v>
      </c>
      <c r="AN261" s="58" t="e">
        <f>VLOOKUP($A261,'S48'!$C:$BQ,40,0)</f>
        <v>#N/A</v>
      </c>
      <c r="AO261" s="58" t="e">
        <f>VLOOKUP($A261,'S48'!$C:$BQ,22,0)</f>
        <v>#N/A</v>
      </c>
      <c r="AP261" s="66" t="e">
        <f>VLOOKUP($A261,'S48'!$C:$BQ,29,0)</f>
        <v>#N/A</v>
      </c>
      <c r="AQ261" s="66" t="e">
        <f>VLOOKUP($A261,'S48'!$C:$BQ,30,0)</f>
        <v>#N/A</v>
      </c>
      <c r="AR261" s="66" t="e">
        <f>VLOOKUP($A261,'S48'!$C:$BQ,52,0)</f>
        <v>#N/A</v>
      </c>
      <c r="AS261" s="66" t="e">
        <f>VLOOKUP($A261,'S48'!$C:$BQ,59,0)</f>
        <v>#N/A</v>
      </c>
      <c r="AT261" s="66" t="e">
        <f>VLOOKUP($A261,'S48'!$C:$BQ,60,0)</f>
        <v>#N/A</v>
      </c>
      <c r="AU261" s="58" t="e">
        <f>VLOOKUP($A261,'S49'!$C:$BQ,32,0)</f>
        <v>#N/A</v>
      </c>
      <c r="AV261" s="58" t="e">
        <f>VLOOKUP($A261,'S49'!$C:$BQ,39,0)</f>
        <v>#N/A</v>
      </c>
      <c r="AW261" s="58" t="e">
        <f>VLOOKUP($A261,'S49'!$C:$BQ,40,0)</f>
        <v>#N/A</v>
      </c>
      <c r="AX261" s="58" t="e">
        <f>VLOOKUP($A261,'S49'!$C:$BQ,22,0)</f>
        <v>#N/A</v>
      </c>
      <c r="AY261" s="66" t="e">
        <f>VLOOKUP($A261,'S49'!$C:$BQ,29,0)</f>
        <v>#N/A</v>
      </c>
      <c r="AZ261" s="66" t="e">
        <f>VLOOKUP($A261,'S49'!$C:$BQ,30,0)</f>
        <v>#N/A</v>
      </c>
      <c r="BA261" s="66" t="e">
        <f>VLOOKUP($A261,'S49'!$C:$BQ,52,0)</f>
        <v>#N/A</v>
      </c>
      <c r="BB261" s="66" t="e">
        <f>VLOOKUP($A261,'S49'!$C:$BQ,59,0)</f>
        <v>#N/A</v>
      </c>
      <c r="BC261" s="66" t="e">
        <f>VLOOKUP($A261,'S49'!$C:$BQ,60,0)</f>
        <v>#N/A</v>
      </c>
      <c r="BD261" s="58" t="e">
        <f>VLOOKUP($A261,'S50'!$C:$BQ,32,0)</f>
        <v>#N/A</v>
      </c>
      <c r="BE261" s="58" t="e">
        <f>VLOOKUP($A261,'S50'!$C:$BQ,39,0)</f>
        <v>#N/A</v>
      </c>
      <c r="BF261" s="58" t="e">
        <f>VLOOKUP($A261,'S50'!$C:$BQ,40,0)</f>
        <v>#N/A</v>
      </c>
      <c r="BG261" s="58" t="e">
        <f>VLOOKUP($A261,'S50'!$C:$BQ,22,0)</f>
        <v>#N/A</v>
      </c>
      <c r="BH261" s="66" t="e">
        <f>VLOOKUP($A261,'S50'!$C:$BQ,29,0)</f>
        <v>#N/A</v>
      </c>
      <c r="BI261" s="66" t="e">
        <f>VLOOKUP($A261,'S50'!$C:$BQ,30,0)</f>
        <v>#N/A</v>
      </c>
      <c r="BJ261" s="66" t="e">
        <f>VLOOKUP($A261,'S50'!$C:$BQ,52,0)</f>
        <v>#N/A</v>
      </c>
      <c r="BK261" s="66" t="e">
        <f>VLOOKUP($A261,'S50'!$C:$BQ,59,0)</f>
        <v>#N/A</v>
      </c>
      <c r="BL261" s="66" t="e">
        <f>VLOOKUP($A261,'S50'!$C:$BQ,60,0)</f>
        <v>#N/A</v>
      </c>
    </row>
    <row r="262" spans="1:64" x14ac:dyDescent="0.2">
      <c r="A262" s="57" t="s">
        <v>334</v>
      </c>
      <c r="B262" s="58">
        <f>VLOOKUP($A262,'S0 remplacer avec S44'!$C:$BQ,32,0)</f>
        <v>489.75</v>
      </c>
      <c r="C262" s="58">
        <f>VLOOKUP($A262,'S0 remplacer avec S44'!$C:$BQ,39,0)</f>
        <v>60</v>
      </c>
      <c r="D262" s="58">
        <f>VLOOKUP($A262,'S0 remplacer avec S44'!$C:$BQ,40,0)</f>
        <v>170</v>
      </c>
      <c r="E262" s="58">
        <f>VLOOKUP($A262,'S0 remplacer avec S44'!$C:$BQ,22,0)</f>
        <v>3451.98261</v>
      </c>
      <c r="F262" s="66">
        <f>VLOOKUP($A262,'S0 remplacer avec S44'!$C:$BQ,29,0)</f>
        <v>1548</v>
      </c>
      <c r="G262" s="66">
        <f>VLOOKUP($A262,'S0 remplacer avec S44'!$C:$BQ,30,0)</f>
        <v>2547</v>
      </c>
      <c r="H262" s="66">
        <f>VLOOKUP($A262,'S0 remplacer avec S44'!$C:$BQ,52,0)</f>
        <v>267</v>
      </c>
      <c r="I262" s="66">
        <f>VLOOKUP($A262,'S0 remplacer avec S44'!$C:$BQ,59,0)</f>
        <v>13</v>
      </c>
      <c r="J262" s="66">
        <f>VLOOKUP($A262,'S0 remplacer avec S44'!$C:$BQ,60,0)</f>
        <v>69</v>
      </c>
      <c r="K262" s="58">
        <f>VLOOKUP($A262,'S45'!$C:$BQ,32,0)</f>
        <v>493.75</v>
      </c>
      <c r="L262" s="58">
        <f>VLOOKUP($A262,'S45'!$C:$BQ,39,0)</f>
        <v>56</v>
      </c>
      <c r="M262" s="58">
        <f>VLOOKUP($A262,'S45'!$C:$BQ,40,0)</f>
        <v>166</v>
      </c>
      <c r="N262" s="58">
        <f>VLOOKUP($A262,'S45'!$C:$BQ,22,0)</f>
        <v>3499.9886000000001</v>
      </c>
      <c r="O262" s="66">
        <f>VLOOKUP($A262,'S45'!$C:$BQ,29,0)</f>
        <v>1500</v>
      </c>
      <c r="P262" s="66">
        <f>VLOOKUP($A262,'S45'!$C:$BQ,30,0)</f>
        <v>2499</v>
      </c>
      <c r="Q262" s="66">
        <f>VLOOKUP($A262,'S45'!$C:$BQ,52,0)</f>
        <v>273</v>
      </c>
      <c r="R262" s="66">
        <f>VLOOKUP($A262,'S45'!$C:$BQ,59,0)</f>
        <v>7</v>
      </c>
      <c r="S262" s="66">
        <f>VLOOKUP($A262,'S45'!$C:$BQ,60,0)</f>
        <v>63</v>
      </c>
      <c r="T262" s="58">
        <f>VLOOKUP($A262,'S46'!$C:$BQ,32,0)</f>
        <v>493.25</v>
      </c>
      <c r="U262" s="58">
        <f>VLOOKUP($A262,'S46'!$C:$BQ,39,0)</f>
        <v>57</v>
      </c>
      <c r="V262" s="58">
        <f>VLOOKUP($A262,'S46'!$C:$BQ,40,0)</f>
        <v>167</v>
      </c>
      <c r="W262" s="58">
        <f>VLOOKUP($A262,'S46'!$C:$BQ,22,0)</f>
        <v>3624.8172800000002</v>
      </c>
      <c r="X262" s="66">
        <f>VLOOKUP($A262,'S46'!$C:$BQ,29,0)</f>
        <v>1375</v>
      </c>
      <c r="Y262" s="66">
        <f>VLOOKUP($A262,'S46'!$C:$BQ,30,0)</f>
        <v>2374</v>
      </c>
      <c r="Z262" s="66">
        <f>VLOOKUP($A262,'S46'!$C:$BQ,52,0)</f>
        <v>278</v>
      </c>
      <c r="AA262" s="66">
        <f>VLOOKUP($A262,'S46'!$C:$BQ,59,0)</f>
        <v>2</v>
      </c>
      <c r="AB262" s="66">
        <f>VLOOKUP($A262,'S46'!$C:$BQ,60,0)</f>
        <v>58</v>
      </c>
      <c r="AC262" s="58">
        <f>VLOOKUP($A262,'S47'!$C:$BQ,32,0)</f>
        <v>490.75</v>
      </c>
      <c r="AD262" s="58">
        <f>VLOOKUP($A262,'S47'!$C:$BQ,39,0)</f>
        <v>59</v>
      </c>
      <c r="AE262" s="58">
        <f>VLOOKUP($A262,'S47'!$C:$BQ,40,0)</f>
        <v>169</v>
      </c>
      <c r="AF262" s="58">
        <f>VLOOKUP($A262,'S47'!$C:$BQ,22,0)</f>
        <v>3673.2817100000002</v>
      </c>
      <c r="AG262" s="66">
        <f>VLOOKUP($A262,'S47'!$C:$BQ,29,0)</f>
        <v>1326</v>
      </c>
      <c r="AH262" s="66">
        <f>VLOOKUP($A262,'S47'!$C:$BQ,30,0)</f>
        <v>2326</v>
      </c>
      <c r="AI262" s="66">
        <f>VLOOKUP($A262,'S47'!$C:$BQ,52,0)</f>
        <v>284</v>
      </c>
      <c r="AJ262" s="66">
        <f>VLOOKUP($A262,'S47'!$C:$BQ,59,0)</f>
        <v>0</v>
      </c>
      <c r="AK262" s="66">
        <f>VLOOKUP($A262,'S47'!$C:$BQ,60,0)</f>
        <v>52</v>
      </c>
      <c r="AL262" s="58" t="e">
        <f>VLOOKUP($A262,'S48'!$C:$BQ,32,0)</f>
        <v>#N/A</v>
      </c>
      <c r="AM262" s="58" t="e">
        <f>VLOOKUP($A262,'S48'!$C:$BQ,39,0)</f>
        <v>#N/A</v>
      </c>
      <c r="AN262" s="58" t="e">
        <f>VLOOKUP($A262,'S48'!$C:$BQ,40,0)</f>
        <v>#N/A</v>
      </c>
      <c r="AO262" s="58" t="e">
        <f>VLOOKUP($A262,'S48'!$C:$BQ,22,0)</f>
        <v>#N/A</v>
      </c>
      <c r="AP262" s="66" t="e">
        <f>VLOOKUP($A262,'S48'!$C:$BQ,29,0)</f>
        <v>#N/A</v>
      </c>
      <c r="AQ262" s="66" t="e">
        <f>VLOOKUP($A262,'S48'!$C:$BQ,30,0)</f>
        <v>#N/A</v>
      </c>
      <c r="AR262" s="66" t="e">
        <f>VLOOKUP($A262,'S48'!$C:$BQ,52,0)</f>
        <v>#N/A</v>
      </c>
      <c r="AS262" s="66" t="e">
        <f>VLOOKUP($A262,'S48'!$C:$BQ,59,0)</f>
        <v>#N/A</v>
      </c>
      <c r="AT262" s="66" t="e">
        <f>VLOOKUP($A262,'S48'!$C:$BQ,60,0)</f>
        <v>#N/A</v>
      </c>
      <c r="AU262" s="58" t="e">
        <f>VLOOKUP($A262,'S49'!$C:$BQ,32,0)</f>
        <v>#N/A</v>
      </c>
      <c r="AV262" s="58" t="e">
        <f>VLOOKUP($A262,'S49'!$C:$BQ,39,0)</f>
        <v>#N/A</v>
      </c>
      <c r="AW262" s="58" t="e">
        <f>VLOOKUP($A262,'S49'!$C:$BQ,40,0)</f>
        <v>#N/A</v>
      </c>
      <c r="AX262" s="58" t="e">
        <f>VLOOKUP($A262,'S49'!$C:$BQ,22,0)</f>
        <v>#N/A</v>
      </c>
      <c r="AY262" s="66" t="e">
        <f>VLOOKUP($A262,'S49'!$C:$BQ,29,0)</f>
        <v>#N/A</v>
      </c>
      <c r="AZ262" s="66" t="e">
        <f>VLOOKUP($A262,'S49'!$C:$BQ,30,0)</f>
        <v>#N/A</v>
      </c>
      <c r="BA262" s="66" t="e">
        <f>VLOOKUP($A262,'S49'!$C:$BQ,52,0)</f>
        <v>#N/A</v>
      </c>
      <c r="BB262" s="66" t="e">
        <f>VLOOKUP($A262,'S49'!$C:$BQ,59,0)</f>
        <v>#N/A</v>
      </c>
      <c r="BC262" s="66" t="e">
        <f>VLOOKUP($A262,'S49'!$C:$BQ,60,0)</f>
        <v>#N/A</v>
      </c>
      <c r="BD262" s="58" t="e">
        <f>VLOOKUP($A262,'S50'!$C:$BQ,32,0)</f>
        <v>#N/A</v>
      </c>
      <c r="BE262" s="58" t="e">
        <f>VLOOKUP($A262,'S50'!$C:$BQ,39,0)</f>
        <v>#N/A</v>
      </c>
      <c r="BF262" s="58" t="e">
        <f>VLOOKUP($A262,'S50'!$C:$BQ,40,0)</f>
        <v>#N/A</v>
      </c>
      <c r="BG262" s="58" t="e">
        <f>VLOOKUP($A262,'S50'!$C:$BQ,22,0)</f>
        <v>#N/A</v>
      </c>
      <c r="BH262" s="66" t="e">
        <f>VLOOKUP($A262,'S50'!$C:$BQ,29,0)</f>
        <v>#N/A</v>
      </c>
      <c r="BI262" s="66" t="e">
        <f>VLOOKUP($A262,'S50'!$C:$BQ,30,0)</f>
        <v>#N/A</v>
      </c>
      <c r="BJ262" s="66" t="e">
        <f>VLOOKUP($A262,'S50'!$C:$BQ,52,0)</f>
        <v>#N/A</v>
      </c>
      <c r="BK262" s="66" t="e">
        <f>VLOOKUP($A262,'S50'!$C:$BQ,59,0)</f>
        <v>#N/A</v>
      </c>
      <c r="BL262" s="66" t="e">
        <f>VLOOKUP($A262,'S50'!$C:$BQ,60,0)</f>
        <v>#N/A</v>
      </c>
    </row>
    <row r="263" spans="1:64" x14ac:dyDescent="0.2">
      <c r="A263" s="57" t="s">
        <v>335</v>
      </c>
      <c r="B263" s="58">
        <f>VLOOKUP($A263,'S0 remplacer avec S44'!$C:$BQ,32,0)</f>
        <v>159.5</v>
      </c>
      <c r="C263" s="58">
        <f>VLOOKUP($A263,'S0 remplacer avec S44'!$C:$BQ,39,0)</f>
        <v>0</v>
      </c>
      <c r="D263" s="58">
        <f>VLOOKUP($A263,'S0 remplacer avec S44'!$C:$BQ,40,0)</f>
        <v>0</v>
      </c>
      <c r="E263" s="58">
        <f>VLOOKUP($A263,'S0 remplacer avec S44'!$C:$BQ,22,0)</f>
        <v>1773.9150950000001</v>
      </c>
      <c r="F263" s="66">
        <f>VLOOKUP($A263,'S0 remplacer avec S44'!$C:$BQ,29,0)</f>
        <v>0</v>
      </c>
      <c r="G263" s="66">
        <f>VLOOKUP($A263,'S0 remplacer avec S44'!$C:$BQ,30,0)</f>
        <v>0</v>
      </c>
      <c r="H263" s="66">
        <f>VLOOKUP($A263,'S0 remplacer avec S44'!$C:$BQ,52,0)</f>
        <v>101.8</v>
      </c>
      <c r="I263" s="66">
        <f>VLOOKUP($A263,'S0 remplacer avec S44'!$C:$BQ,59,0)</f>
        <v>0</v>
      </c>
      <c r="J263" s="66">
        <f>VLOOKUP($A263,'S0 remplacer avec S44'!$C:$BQ,60,0)</f>
        <v>0</v>
      </c>
      <c r="K263" s="58">
        <f>VLOOKUP($A263,'S45'!$C:$BQ,32,0)</f>
        <v>163.5</v>
      </c>
      <c r="L263" s="58">
        <f>VLOOKUP($A263,'S45'!$C:$BQ,39,0)</f>
        <v>0</v>
      </c>
      <c r="M263" s="58">
        <f>VLOOKUP($A263,'S45'!$C:$BQ,40,0)</f>
        <v>0</v>
      </c>
      <c r="N263" s="58">
        <f>VLOOKUP($A263,'S45'!$C:$BQ,22,0)</f>
        <v>1774.436095</v>
      </c>
      <c r="O263" s="66">
        <f>VLOOKUP($A263,'S45'!$C:$BQ,29,0)</f>
        <v>0</v>
      </c>
      <c r="P263" s="66">
        <f>VLOOKUP($A263,'S45'!$C:$BQ,30,0)</f>
        <v>0</v>
      </c>
      <c r="Q263" s="66">
        <f>VLOOKUP($A263,'S45'!$C:$BQ,52,0)</f>
        <v>102.8</v>
      </c>
      <c r="R263" s="66">
        <f>VLOOKUP($A263,'S45'!$C:$BQ,59,0)</f>
        <v>0</v>
      </c>
      <c r="S263" s="66">
        <f>VLOOKUP($A263,'S45'!$C:$BQ,60,0)</f>
        <v>0</v>
      </c>
      <c r="T263" s="58">
        <f>VLOOKUP($A263,'S46'!$C:$BQ,32,0)</f>
        <v>165</v>
      </c>
      <c r="U263" s="58">
        <f>VLOOKUP($A263,'S46'!$C:$BQ,39,0)</f>
        <v>0</v>
      </c>
      <c r="V263" s="58">
        <f>VLOOKUP($A263,'S46'!$C:$BQ,40,0)</f>
        <v>0</v>
      </c>
      <c r="W263" s="58">
        <f>VLOOKUP($A263,'S46'!$C:$BQ,22,0)</f>
        <v>1775.426105</v>
      </c>
      <c r="X263" s="66">
        <f>VLOOKUP($A263,'S46'!$C:$BQ,29,0)</f>
        <v>0</v>
      </c>
      <c r="Y263" s="66">
        <f>VLOOKUP($A263,'S46'!$C:$BQ,30,0)</f>
        <v>0</v>
      </c>
      <c r="Z263" s="66">
        <f>VLOOKUP($A263,'S46'!$C:$BQ,52,0)</f>
        <v>103.8</v>
      </c>
      <c r="AA263" s="66">
        <f>VLOOKUP($A263,'S46'!$C:$BQ,59,0)</f>
        <v>0</v>
      </c>
      <c r="AB263" s="66">
        <f>VLOOKUP($A263,'S46'!$C:$BQ,60,0)</f>
        <v>0</v>
      </c>
      <c r="AC263" s="58">
        <f>VLOOKUP($A263,'S47'!$C:$BQ,32,0)</f>
        <v>161.19999999999999</v>
      </c>
      <c r="AD263" s="58">
        <f>VLOOKUP($A263,'S47'!$C:$BQ,39,0)</f>
        <v>0</v>
      </c>
      <c r="AE263" s="58">
        <f>VLOOKUP($A263,'S47'!$C:$BQ,40,0)</f>
        <v>0</v>
      </c>
      <c r="AF263" s="58">
        <f>VLOOKUP($A263,'S47'!$C:$BQ,22,0)</f>
        <v>1777.197635</v>
      </c>
      <c r="AG263" s="66">
        <f>VLOOKUP($A263,'S47'!$C:$BQ,29,0)</f>
        <v>0</v>
      </c>
      <c r="AH263" s="66">
        <f>VLOOKUP($A263,'S47'!$C:$BQ,30,0)</f>
        <v>0</v>
      </c>
      <c r="AI263" s="66">
        <f>VLOOKUP($A263,'S47'!$C:$BQ,52,0)</f>
        <v>103.8</v>
      </c>
      <c r="AJ263" s="66">
        <f>VLOOKUP($A263,'S47'!$C:$BQ,59,0)</f>
        <v>0</v>
      </c>
      <c r="AK263" s="66">
        <f>VLOOKUP($A263,'S47'!$C:$BQ,60,0)</f>
        <v>0</v>
      </c>
      <c r="AL263" s="58" t="e">
        <f>VLOOKUP($A263,'S48'!$C:$BQ,32,0)</f>
        <v>#N/A</v>
      </c>
      <c r="AM263" s="58" t="e">
        <f>VLOOKUP($A263,'S48'!$C:$BQ,39,0)</f>
        <v>#N/A</v>
      </c>
      <c r="AN263" s="58" t="e">
        <f>VLOOKUP($A263,'S48'!$C:$BQ,40,0)</f>
        <v>#N/A</v>
      </c>
      <c r="AO263" s="58" t="e">
        <f>VLOOKUP($A263,'S48'!$C:$BQ,22,0)</f>
        <v>#N/A</v>
      </c>
      <c r="AP263" s="66" t="e">
        <f>VLOOKUP($A263,'S48'!$C:$BQ,29,0)</f>
        <v>#N/A</v>
      </c>
      <c r="AQ263" s="66" t="e">
        <f>VLOOKUP($A263,'S48'!$C:$BQ,30,0)</f>
        <v>#N/A</v>
      </c>
      <c r="AR263" s="66" t="e">
        <f>VLOOKUP($A263,'S48'!$C:$BQ,52,0)</f>
        <v>#N/A</v>
      </c>
      <c r="AS263" s="66" t="e">
        <f>VLOOKUP($A263,'S48'!$C:$BQ,59,0)</f>
        <v>#N/A</v>
      </c>
      <c r="AT263" s="66" t="e">
        <f>VLOOKUP($A263,'S48'!$C:$BQ,60,0)</f>
        <v>#N/A</v>
      </c>
      <c r="AU263" s="58" t="e">
        <f>VLOOKUP($A263,'S49'!$C:$BQ,32,0)</f>
        <v>#N/A</v>
      </c>
      <c r="AV263" s="58" t="e">
        <f>VLOOKUP($A263,'S49'!$C:$BQ,39,0)</f>
        <v>#N/A</v>
      </c>
      <c r="AW263" s="58" t="e">
        <f>VLOOKUP($A263,'S49'!$C:$BQ,40,0)</f>
        <v>#N/A</v>
      </c>
      <c r="AX263" s="58" t="e">
        <f>VLOOKUP($A263,'S49'!$C:$BQ,22,0)</f>
        <v>#N/A</v>
      </c>
      <c r="AY263" s="66" t="e">
        <f>VLOOKUP($A263,'S49'!$C:$BQ,29,0)</f>
        <v>#N/A</v>
      </c>
      <c r="AZ263" s="66" t="e">
        <f>VLOOKUP($A263,'S49'!$C:$BQ,30,0)</f>
        <v>#N/A</v>
      </c>
      <c r="BA263" s="66" t="e">
        <f>VLOOKUP($A263,'S49'!$C:$BQ,52,0)</f>
        <v>#N/A</v>
      </c>
      <c r="BB263" s="66" t="e">
        <f>VLOOKUP($A263,'S49'!$C:$BQ,59,0)</f>
        <v>#N/A</v>
      </c>
      <c r="BC263" s="66" t="e">
        <f>VLOOKUP($A263,'S49'!$C:$BQ,60,0)</f>
        <v>#N/A</v>
      </c>
      <c r="BD263" s="58" t="e">
        <f>VLOOKUP($A263,'S50'!$C:$BQ,32,0)</f>
        <v>#N/A</v>
      </c>
      <c r="BE263" s="58" t="e">
        <f>VLOOKUP($A263,'S50'!$C:$BQ,39,0)</f>
        <v>#N/A</v>
      </c>
      <c r="BF263" s="58" t="e">
        <f>VLOOKUP($A263,'S50'!$C:$BQ,40,0)</f>
        <v>#N/A</v>
      </c>
      <c r="BG263" s="58" t="e">
        <f>VLOOKUP($A263,'S50'!$C:$BQ,22,0)</f>
        <v>#N/A</v>
      </c>
      <c r="BH263" s="66" t="e">
        <f>VLOOKUP($A263,'S50'!$C:$BQ,29,0)</f>
        <v>#N/A</v>
      </c>
      <c r="BI263" s="66" t="e">
        <f>VLOOKUP($A263,'S50'!$C:$BQ,30,0)</f>
        <v>#N/A</v>
      </c>
      <c r="BJ263" s="66" t="e">
        <f>VLOOKUP($A263,'S50'!$C:$BQ,52,0)</f>
        <v>#N/A</v>
      </c>
      <c r="BK263" s="66" t="e">
        <f>VLOOKUP($A263,'S50'!$C:$BQ,59,0)</f>
        <v>#N/A</v>
      </c>
      <c r="BL263" s="66" t="e">
        <f>VLOOKUP($A263,'S50'!$C:$BQ,60,0)</f>
        <v>#N/A</v>
      </c>
    </row>
    <row r="264" spans="1:64" x14ac:dyDescent="0.2">
      <c r="A264" s="57" t="s">
        <v>336</v>
      </c>
      <c r="B264" s="58">
        <f>VLOOKUP($A264,'S0 remplacer avec S44'!$C:$BQ,32,0)</f>
        <v>13.8</v>
      </c>
      <c r="C264" s="58">
        <f>VLOOKUP($A264,'S0 remplacer avec S44'!$C:$BQ,39,0)</f>
        <v>91</v>
      </c>
      <c r="D264" s="58">
        <f>VLOOKUP($A264,'S0 remplacer avec S44'!$C:$BQ,40,0)</f>
        <v>112</v>
      </c>
      <c r="E264" s="58">
        <f>VLOOKUP($A264,'S0 remplacer avec S44'!$C:$BQ,22,0)</f>
        <v>186.24148</v>
      </c>
      <c r="F264" s="66">
        <f>VLOOKUP($A264,'S0 remplacer avec S44'!$C:$BQ,29,0)</f>
        <v>765</v>
      </c>
      <c r="G264" s="66">
        <f>VLOOKUP($A264,'S0 remplacer avec S44'!$C:$BQ,30,0)</f>
        <v>955</v>
      </c>
      <c r="H264" s="66">
        <f>VLOOKUP($A264,'S0 remplacer avec S44'!$C:$BQ,52,0)</f>
        <v>1</v>
      </c>
      <c r="I264" s="66">
        <f>VLOOKUP($A264,'S0 remplacer avec S44'!$C:$BQ,59,0)</f>
        <v>53</v>
      </c>
      <c r="J264" s="66">
        <f>VLOOKUP($A264,'S0 remplacer avec S44'!$C:$BQ,60,0)</f>
        <v>63</v>
      </c>
      <c r="K264" s="58">
        <f>VLOOKUP($A264,'S45'!$C:$BQ,32,0)</f>
        <v>13.8</v>
      </c>
      <c r="L264" s="58">
        <f>VLOOKUP($A264,'S45'!$C:$BQ,39,0)</f>
        <v>91</v>
      </c>
      <c r="M264" s="58">
        <f>VLOOKUP($A264,'S45'!$C:$BQ,40,0)</f>
        <v>112</v>
      </c>
      <c r="N264" s="58">
        <f>VLOOKUP($A264,'S45'!$C:$BQ,22,0)</f>
        <v>186.24148</v>
      </c>
      <c r="O264" s="66">
        <f>VLOOKUP($A264,'S45'!$C:$BQ,29,0)</f>
        <v>765</v>
      </c>
      <c r="P264" s="66">
        <f>VLOOKUP($A264,'S45'!$C:$BQ,30,0)</f>
        <v>955</v>
      </c>
      <c r="Q264" s="66">
        <f>VLOOKUP($A264,'S45'!$C:$BQ,52,0)</f>
        <v>1</v>
      </c>
      <c r="R264" s="66">
        <f>VLOOKUP($A264,'S45'!$C:$BQ,59,0)</f>
        <v>53</v>
      </c>
      <c r="S264" s="66">
        <f>VLOOKUP($A264,'S45'!$C:$BQ,60,0)</f>
        <v>63</v>
      </c>
      <c r="T264" s="58">
        <f>VLOOKUP($A264,'S46'!$C:$BQ,32,0)</f>
        <v>13.8</v>
      </c>
      <c r="U264" s="58">
        <f>VLOOKUP($A264,'S46'!$C:$BQ,39,0)</f>
        <v>91</v>
      </c>
      <c r="V264" s="58">
        <f>VLOOKUP($A264,'S46'!$C:$BQ,40,0)</f>
        <v>112</v>
      </c>
      <c r="W264" s="58">
        <f>VLOOKUP($A264,'S46'!$C:$BQ,22,0)</f>
        <v>186.24148</v>
      </c>
      <c r="X264" s="66">
        <f>VLOOKUP($A264,'S46'!$C:$BQ,29,0)</f>
        <v>765</v>
      </c>
      <c r="Y264" s="66">
        <f>VLOOKUP($A264,'S46'!$C:$BQ,30,0)</f>
        <v>955</v>
      </c>
      <c r="Z264" s="66">
        <f>VLOOKUP($A264,'S46'!$C:$BQ,52,0)</f>
        <v>1</v>
      </c>
      <c r="AA264" s="66">
        <f>VLOOKUP($A264,'S46'!$C:$BQ,59,0)</f>
        <v>53</v>
      </c>
      <c r="AB264" s="66">
        <f>VLOOKUP($A264,'S46'!$C:$BQ,60,0)</f>
        <v>63</v>
      </c>
      <c r="AC264" s="58">
        <f>VLOOKUP($A264,'S47'!$C:$BQ,32,0)</f>
        <v>13.8</v>
      </c>
      <c r="AD264" s="58">
        <f>VLOOKUP($A264,'S47'!$C:$BQ,39,0)</f>
        <v>91</v>
      </c>
      <c r="AE264" s="58">
        <f>VLOOKUP($A264,'S47'!$C:$BQ,40,0)</f>
        <v>112</v>
      </c>
      <c r="AF264" s="58">
        <f>VLOOKUP($A264,'S47'!$C:$BQ,22,0)</f>
        <v>186.24148</v>
      </c>
      <c r="AG264" s="66">
        <f>VLOOKUP($A264,'S47'!$C:$BQ,29,0)</f>
        <v>765</v>
      </c>
      <c r="AH264" s="66">
        <f>VLOOKUP($A264,'S47'!$C:$BQ,30,0)</f>
        <v>955</v>
      </c>
      <c r="AI264" s="66">
        <f>VLOOKUP($A264,'S47'!$C:$BQ,52,0)</f>
        <v>1</v>
      </c>
      <c r="AJ264" s="66">
        <f>VLOOKUP($A264,'S47'!$C:$BQ,59,0)</f>
        <v>53</v>
      </c>
      <c r="AK264" s="66">
        <f>VLOOKUP($A264,'S47'!$C:$BQ,60,0)</f>
        <v>63</v>
      </c>
      <c r="AL264" s="58" t="e">
        <f>VLOOKUP($A264,'S48'!$C:$BQ,32,0)</f>
        <v>#N/A</v>
      </c>
      <c r="AM264" s="58" t="e">
        <f>VLOOKUP($A264,'S48'!$C:$BQ,39,0)</f>
        <v>#N/A</v>
      </c>
      <c r="AN264" s="58" t="e">
        <f>VLOOKUP($A264,'S48'!$C:$BQ,40,0)</f>
        <v>#N/A</v>
      </c>
      <c r="AO264" s="58" t="e">
        <f>VLOOKUP($A264,'S48'!$C:$BQ,22,0)</f>
        <v>#N/A</v>
      </c>
      <c r="AP264" s="66" t="e">
        <f>VLOOKUP($A264,'S48'!$C:$BQ,29,0)</f>
        <v>#N/A</v>
      </c>
      <c r="AQ264" s="66" t="e">
        <f>VLOOKUP($A264,'S48'!$C:$BQ,30,0)</f>
        <v>#N/A</v>
      </c>
      <c r="AR264" s="66" t="e">
        <f>VLOOKUP($A264,'S48'!$C:$BQ,52,0)</f>
        <v>#N/A</v>
      </c>
      <c r="AS264" s="66" t="e">
        <f>VLOOKUP($A264,'S48'!$C:$BQ,59,0)</f>
        <v>#N/A</v>
      </c>
      <c r="AT264" s="66" t="e">
        <f>VLOOKUP($A264,'S48'!$C:$BQ,60,0)</f>
        <v>#N/A</v>
      </c>
      <c r="AU264" s="58" t="e">
        <f>VLOOKUP($A264,'S49'!$C:$BQ,32,0)</f>
        <v>#N/A</v>
      </c>
      <c r="AV264" s="58" t="e">
        <f>VLOOKUP($A264,'S49'!$C:$BQ,39,0)</f>
        <v>#N/A</v>
      </c>
      <c r="AW264" s="58" t="e">
        <f>VLOOKUP($A264,'S49'!$C:$BQ,40,0)</f>
        <v>#N/A</v>
      </c>
      <c r="AX264" s="58" t="e">
        <f>VLOOKUP($A264,'S49'!$C:$BQ,22,0)</f>
        <v>#N/A</v>
      </c>
      <c r="AY264" s="66" t="e">
        <f>VLOOKUP($A264,'S49'!$C:$BQ,29,0)</f>
        <v>#N/A</v>
      </c>
      <c r="AZ264" s="66" t="e">
        <f>VLOOKUP($A264,'S49'!$C:$BQ,30,0)</f>
        <v>#N/A</v>
      </c>
      <c r="BA264" s="66" t="e">
        <f>VLOOKUP($A264,'S49'!$C:$BQ,52,0)</f>
        <v>#N/A</v>
      </c>
      <c r="BB264" s="66" t="e">
        <f>VLOOKUP($A264,'S49'!$C:$BQ,59,0)</f>
        <v>#N/A</v>
      </c>
      <c r="BC264" s="66" t="e">
        <f>VLOOKUP($A264,'S49'!$C:$BQ,60,0)</f>
        <v>#N/A</v>
      </c>
      <c r="BD264" s="58" t="e">
        <f>VLOOKUP($A264,'S50'!$C:$BQ,32,0)</f>
        <v>#N/A</v>
      </c>
      <c r="BE264" s="58" t="e">
        <f>VLOOKUP($A264,'S50'!$C:$BQ,39,0)</f>
        <v>#N/A</v>
      </c>
      <c r="BF264" s="58" t="e">
        <f>VLOOKUP($A264,'S50'!$C:$BQ,40,0)</f>
        <v>#N/A</v>
      </c>
      <c r="BG264" s="58" t="e">
        <f>VLOOKUP($A264,'S50'!$C:$BQ,22,0)</f>
        <v>#N/A</v>
      </c>
      <c r="BH264" s="66" t="e">
        <f>VLOOKUP($A264,'S50'!$C:$BQ,29,0)</f>
        <v>#N/A</v>
      </c>
      <c r="BI264" s="66" t="e">
        <f>VLOOKUP($A264,'S50'!$C:$BQ,30,0)</f>
        <v>#N/A</v>
      </c>
      <c r="BJ264" s="66" t="e">
        <f>VLOOKUP($A264,'S50'!$C:$BQ,52,0)</f>
        <v>#N/A</v>
      </c>
      <c r="BK264" s="66" t="e">
        <f>VLOOKUP($A264,'S50'!$C:$BQ,59,0)</f>
        <v>#N/A</v>
      </c>
      <c r="BL264" s="66" t="e">
        <f>VLOOKUP($A264,'S50'!$C:$BQ,60,0)</f>
        <v>#N/A</v>
      </c>
    </row>
    <row r="265" spans="1:64" x14ac:dyDescent="0.2">
      <c r="A265" s="57" t="s">
        <v>337</v>
      </c>
      <c r="B265" s="58">
        <f>VLOOKUP($A265,'S0 remplacer avec S44'!$C:$BQ,32,0)</f>
        <v>155.69999999999999</v>
      </c>
      <c r="C265" s="58">
        <f>VLOOKUP($A265,'S0 remplacer avec S44'!$C:$BQ,39,0)</f>
        <v>0</v>
      </c>
      <c r="D265" s="58">
        <f>VLOOKUP($A265,'S0 remplacer avec S44'!$C:$BQ,40,0)</f>
        <v>0</v>
      </c>
      <c r="E265" s="58">
        <f>VLOOKUP($A265,'S0 remplacer avec S44'!$C:$BQ,22,0)</f>
        <v>1369.4345249999999</v>
      </c>
      <c r="F265" s="66">
        <f>VLOOKUP($A265,'S0 remplacer avec S44'!$C:$BQ,29,0)</f>
        <v>0</v>
      </c>
      <c r="G265" s="66">
        <f>VLOOKUP($A265,'S0 remplacer avec S44'!$C:$BQ,30,0)</f>
        <v>0</v>
      </c>
      <c r="H265" s="66">
        <f>VLOOKUP($A265,'S0 remplacer avec S44'!$C:$BQ,52,0)</f>
        <v>129</v>
      </c>
      <c r="I265" s="66">
        <f>VLOOKUP($A265,'S0 remplacer avec S44'!$C:$BQ,59,0)</f>
        <v>0</v>
      </c>
      <c r="J265" s="66">
        <f>VLOOKUP($A265,'S0 remplacer avec S44'!$C:$BQ,60,0)</f>
        <v>0</v>
      </c>
      <c r="K265" s="58">
        <f>VLOOKUP($A265,'S45'!$C:$BQ,32,0)</f>
        <v>165.2</v>
      </c>
      <c r="L265" s="58">
        <f>VLOOKUP($A265,'S45'!$C:$BQ,39,0)</f>
        <v>0</v>
      </c>
      <c r="M265" s="58">
        <f>VLOOKUP($A265,'S45'!$C:$BQ,40,0)</f>
        <v>0</v>
      </c>
      <c r="N265" s="58">
        <f>VLOOKUP($A265,'S45'!$C:$BQ,22,0)</f>
        <v>1389.3376450000001</v>
      </c>
      <c r="O265" s="66">
        <f>VLOOKUP($A265,'S45'!$C:$BQ,29,0)</f>
        <v>0</v>
      </c>
      <c r="P265" s="66">
        <f>VLOOKUP($A265,'S45'!$C:$BQ,30,0)</f>
        <v>0</v>
      </c>
      <c r="Q265" s="66">
        <f>VLOOKUP($A265,'S45'!$C:$BQ,52,0)</f>
        <v>130</v>
      </c>
      <c r="R265" s="66">
        <f>VLOOKUP($A265,'S45'!$C:$BQ,59,0)</f>
        <v>0</v>
      </c>
      <c r="S265" s="66">
        <f>VLOOKUP($A265,'S45'!$C:$BQ,60,0)</f>
        <v>0</v>
      </c>
      <c r="T265" s="58">
        <f>VLOOKUP($A265,'S46'!$C:$BQ,32,0)</f>
        <v>167.2</v>
      </c>
      <c r="U265" s="58">
        <f>VLOOKUP($A265,'S46'!$C:$BQ,39,0)</f>
        <v>0</v>
      </c>
      <c r="V265" s="58">
        <f>VLOOKUP($A265,'S46'!$C:$BQ,40,0)</f>
        <v>0</v>
      </c>
      <c r="W265" s="58">
        <f>VLOOKUP($A265,'S46'!$C:$BQ,22,0)</f>
        <v>1393.3266249999999</v>
      </c>
      <c r="X265" s="66">
        <f>VLOOKUP($A265,'S46'!$C:$BQ,29,0)</f>
        <v>0</v>
      </c>
      <c r="Y265" s="66">
        <f>VLOOKUP($A265,'S46'!$C:$BQ,30,0)</f>
        <v>0</v>
      </c>
      <c r="Z265" s="66">
        <f>VLOOKUP($A265,'S46'!$C:$BQ,52,0)</f>
        <v>130</v>
      </c>
      <c r="AA265" s="66">
        <f>VLOOKUP($A265,'S46'!$C:$BQ,59,0)</f>
        <v>0</v>
      </c>
      <c r="AB265" s="66">
        <f>VLOOKUP($A265,'S46'!$C:$BQ,60,0)</f>
        <v>0</v>
      </c>
      <c r="AC265" s="58">
        <f>VLOOKUP($A265,'S47'!$C:$BQ,32,0)</f>
        <v>167.7</v>
      </c>
      <c r="AD265" s="58">
        <f>VLOOKUP($A265,'S47'!$C:$BQ,39,0)</f>
        <v>0</v>
      </c>
      <c r="AE265" s="58">
        <f>VLOOKUP($A265,'S47'!$C:$BQ,40,0)</f>
        <v>0</v>
      </c>
      <c r="AF265" s="58">
        <f>VLOOKUP($A265,'S47'!$C:$BQ,22,0)</f>
        <v>1426.083005</v>
      </c>
      <c r="AG265" s="66">
        <f>VLOOKUP($A265,'S47'!$C:$BQ,29,0)</f>
        <v>0</v>
      </c>
      <c r="AH265" s="66">
        <f>VLOOKUP($A265,'S47'!$C:$BQ,30,0)</f>
        <v>0</v>
      </c>
      <c r="AI265" s="66">
        <f>VLOOKUP($A265,'S47'!$C:$BQ,52,0)</f>
        <v>130</v>
      </c>
      <c r="AJ265" s="66">
        <f>VLOOKUP($A265,'S47'!$C:$BQ,59,0)</f>
        <v>0</v>
      </c>
      <c r="AK265" s="66">
        <f>VLOOKUP($A265,'S47'!$C:$BQ,60,0)</f>
        <v>0</v>
      </c>
      <c r="AL265" s="58" t="e">
        <f>VLOOKUP($A265,'S48'!$C:$BQ,32,0)</f>
        <v>#N/A</v>
      </c>
      <c r="AM265" s="58" t="e">
        <f>VLOOKUP($A265,'S48'!$C:$BQ,39,0)</f>
        <v>#N/A</v>
      </c>
      <c r="AN265" s="58" t="e">
        <f>VLOOKUP($A265,'S48'!$C:$BQ,40,0)</f>
        <v>#N/A</v>
      </c>
      <c r="AO265" s="58" t="e">
        <f>VLOOKUP($A265,'S48'!$C:$BQ,22,0)</f>
        <v>#N/A</v>
      </c>
      <c r="AP265" s="66" t="e">
        <f>VLOOKUP($A265,'S48'!$C:$BQ,29,0)</f>
        <v>#N/A</v>
      </c>
      <c r="AQ265" s="66" t="e">
        <f>VLOOKUP($A265,'S48'!$C:$BQ,30,0)</f>
        <v>#N/A</v>
      </c>
      <c r="AR265" s="66" t="e">
        <f>VLOOKUP($A265,'S48'!$C:$BQ,52,0)</f>
        <v>#N/A</v>
      </c>
      <c r="AS265" s="66" t="e">
        <f>VLOOKUP($A265,'S48'!$C:$BQ,59,0)</f>
        <v>#N/A</v>
      </c>
      <c r="AT265" s="66" t="e">
        <f>VLOOKUP($A265,'S48'!$C:$BQ,60,0)</f>
        <v>#N/A</v>
      </c>
      <c r="AU265" s="58" t="e">
        <f>VLOOKUP($A265,'S49'!$C:$BQ,32,0)</f>
        <v>#N/A</v>
      </c>
      <c r="AV265" s="58" t="e">
        <f>VLOOKUP($A265,'S49'!$C:$BQ,39,0)</f>
        <v>#N/A</v>
      </c>
      <c r="AW265" s="58" t="e">
        <f>VLOOKUP($A265,'S49'!$C:$BQ,40,0)</f>
        <v>#N/A</v>
      </c>
      <c r="AX265" s="58" t="e">
        <f>VLOOKUP($A265,'S49'!$C:$BQ,22,0)</f>
        <v>#N/A</v>
      </c>
      <c r="AY265" s="66" t="e">
        <f>VLOOKUP($A265,'S49'!$C:$BQ,29,0)</f>
        <v>#N/A</v>
      </c>
      <c r="AZ265" s="66" t="e">
        <f>VLOOKUP($A265,'S49'!$C:$BQ,30,0)</f>
        <v>#N/A</v>
      </c>
      <c r="BA265" s="66" t="e">
        <f>VLOOKUP($A265,'S49'!$C:$BQ,52,0)</f>
        <v>#N/A</v>
      </c>
      <c r="BB265" s="66" t="e">
        <f>VLOOKUP($A265,'S49'!$C:$BQ,59,0)</f>
        <v>#N/A</v>
      </c>
      <c r="BC265" s="66" t="e">
        <f>VLOOKUP($A265,'S49'!$C:$BQ,60,0)</f>
        <v>#N/A</v>
      </c>
      <c r="BD265" s="58" t="e">
        <f>VLOOKUP($A265,'S50'!$C:$BQ,32,0)</f>
        <v>#N/A</v>
      </c>
      <c r="BE265" s="58" t="e">
        <f>VLOOKUP($A265,'S50'!$C:$BQ,39,0)</f>
        <v>#N/A</v>
      </c>
      <c r="BF265" s="58" t="e">
        <f>VLOOKUP($A265,'S50'!$C:$BQ,40,0)</f>
        <v>#N/A</v>
      </c>
      <c r="BG265" s="58" t="e">
        <f>VLOOKUP($A265,'S50'!$C:$BQ,22,0)</f>
        <v>#N/A</v>
      </c>
      <c r="BH265" s="66" t="e">
        <f>VLOOKUP($A265,'S50'!$C:$BQ,29,0)</f>
        <v>#N/A</v>
      </c>
      <c r="BI265" s="66" t="e">
        <f>VLOOKUP($A265,'S50'!$C:$BQ,30,0)</f>
        <v>#N/A</v>
      </c>
      <c r="BJ265" s="66" t="e">
        <f>VLOOKUP($A265,'S50'!$C:$BQ,52,0)</f>
        <v>#N/A</v>
      </c>
      <c r="BK265" s="66" t="e">
        <f>VLOOKUP($A265,'S50'!$C:$BQ,59,0)</f>
        <v>#N/A</v>
      </c>
      <c r="BL265" s="66" t="e">
        <f>VLOOKUP($A265,'S50'!$C:$BQ,60,0)</f>
        <v>#N/A</v>
      </c>
    </row>
    <row r="266" spans="1:64" x14ac:dyDescent="0.2">
      <c r="A266" s="57" t="s">
        <v>338</v>
      </c>
      <c r="B266" s="58">
        <f>VLOOKUP($A266,'S0 remplacer avec S44'!$C:$BQ,32,0)</f>
        <v>210.1</v>
      </c>
      <c r="C266" s="58">
        <f>VLOOKUP($A266,'S0 remplacer avec S44'!$C:$BQ,39,0)</f>
        <v>63</v>
      </c>
      <c r="D266" s="58">
        <f>VLOOKUP($A266,'S0 remplacer avec S44'!$C:$BQ,40,0)</f>
        <v>118</v>
      </c>
      <c r="E266" s="58">
        <f>VLOOKUP($A266,'S0 remplacer avec S44'!$C:$BQ,22,0)</f>
        <v>2340.9368049999998</v>
      </c>
      <c r="F266" s="66">
        <f>VLOOKUP($A266,'S0 remplacer avec S44'!$C:$BQ,29,0)</f>
        <v>140</v>
      </c>
      <c r="G266" s="66">
        <f>VLOOKUP($A266,'S0 remplacer avec S44'!$C:$BQ,30,0)</f>
        <v>636</v>
      </c>
      <c r="H266" s="66">
        <f>VLOOKUP($A266,'S0 remplacer avec S44'!$C:$BQ,52,0)</f>
        <v>152.80000000000001</v>
      </c>
      <c r="I266" s="66">
        <f>VLOOKUP($A266,'S0 remplacer avec S44'!$C:$BQ,59,0)</f>
        <v>0</v>
      </c>
      <c r="J266" s="66">
        <f>VLOOKUP($A266,'S0 remplacer avec S44'!$C:$BQ,60,0)</f>
        <v>14</v>
      </c>
      <c r="K266" s="58">
        <f>VLOOKUP($A266,'S45'!$C:$BQ,32,0)</f>
        <v>207.3</v>
      </c>
      <c r="L266" s="58">
        <f>VLOOKUP($A266,'S45'!$C:$BQ,39,0)</f>
        <v>66</v>
      </c>
      <c r="M266" s="58">
        <f>VLOOKUP($A266,'S45'!$C:$BQ,40,0)</f>
        <v>120</v>
      </c>
      <c r="N266" s="58">
        <f>VLOOKUP($A266,'S45'!$C:$BQ,22,0)</f>
        <v>2368.7400349999998</v>
      </c>
      <c r="O266" s="66">
        <f>VLOOKUP($A266,'S45'!$C:$BQ,29,0)</f>
        <v>112</v>
      </c>
      <c r="P266" s="66">
        <f>VLOOKUP($A266,'S45'!$C:$BQ,30,0)</f>
        <v>609</v>
      </c>
      <c r="Q266" s="66">
        <f>VLOOKUP($A266,'S45'!$C:$BQ,52,0)</f>
        <v>152.80000000000001</v>
      </c>
      <c r="R266" s="66">
        <f>VLOOKUP($A266,'S45'!$C:$BQ,59,0)</f>
        <v>0</v>
      </c>
      <c r="S266" s="66">
        <f>VLOOKUP($A266,'S45'!$C:$BQ,60,0)</f>
        <v>14</v>
      </c>
      <c r="T266" s="58">
        <f>VLOOKUP($A266,'S46'!$C:$BQ,32,0)</f>
        <v>206.8</v>
      </c>
      <c r="U266" s="58">
        <f>VLOOKUP($A266,'S46'!$C:$BQ,39,0)</f>
        <v>66</v>
      </c>
      <c r="V266" s="58">
        <f>VLOOKUP($A266,'S46'!$C:$BQ,40,0)</f>
        <v>121</v>
      </c>
      <c r="W266" s="58">
        <f>VLOOKUP($A266,'S46'!$C:$BQ,22,0)</f>
        <v>2337.7933849999999</v>
      </c>
      <c r="X266" s="66">
        <f>VLOOKUP($A266,'S46'!$C:$BQ,29,0)</f>
        <v>143</v>
      </c>
      <c r="Y266" s="66">
        <f>VLOOKUP($A266,'S46'!$C:$BQ,30,0)</f>
        <v>640</v>
      </c>
      <c r="Z266" s="66">
        <f>VLOOKUP($A266,'S46'!$C:$BQ,52,0)</f>
        <v>152.80000000000001</v>
      </c>
      <c r="AA266" s="66">
        <f>VLOOKUP($A266,'S46'!$C:$BQ,59,0)</f>
        <v>0</v>
      </c>
      <c r="AB266" s="66">
        <f>VLOOKUP($A266,'S46'!$C:$BQ,60,0)</f>
        <v>14</v>
      </c>
      <c r="AC266" s="58">
        <f>VLOOKUP($A266,'S47'!$C:$BQ,32,0)</f>
        <v>208.3</v>
      </c>
      <c r="AD266" s="58">
        <f>VLOOKUP($A266,'S47'!$C:$BQ,39,0)</f>
        <v>65</v>
      </c>
      <c r="AE266" s="58">
        <f>VLOOKUP($A266,'S47'!$C:$BQ,40,0)</f>
        <v>119</v>
      </c>
      <c r="AF266" s="58">
        <f>VLOOKUP($A266,'S47'!$C:$BQ,22,0)</f>
        <v>2352.364955</v>
      </c>
      <c r="AG266" s="66">
        <f>VLOOKUP($A266,'S47'!$C:$BQ,29,0)</f>
        <v>129</v>
      </c>
      <c r="AH266" s="66">
        <f>VLOOKUP($A266,'S47'!$C:$BQ,30,0)</f>
        <v>625</v>
      </c>
      <c r="AI266" s="66">
        <f>VLOOKUP($A266,'S47'!$C:$BQ,52,0)</f>
        <v>154.80000000000001</v>
      </c>
      <c r="AJ266" s="66">
        <f>VLOOKUP($A266,'S47'!$C:$BQ,59,0)</f>
        <v>0</v>
      </c>
      <c r="AK266" s="66">
        <f>VLOOKUP($A266,'S47'!$C:$BQ,60,0)</f>
        <v>12</v>
      </c>
      <c r="AL266" s="58" t="e">
        <f>VLOOKUP($A266,'S48'!$C:$BQ,32,0)</f>
        <v>#N/A</v>
      </c>
      <c r="AM266" s="58" t="e">
        <f>VLOOKUP($A266,'S48'!$C:$BQ,39,0)</f>
        <v>#N/A</v>
      </c>
      <c r="AN266" s="58" t="e">
        <f>VLOOKUP($A266,'S48'!$C:$BQ,40,0)</f>
        <v>#N/A</v>
      </c>
      <c r="AO266" s="58" t="e">
        <f>VLOOKUP($A266,'S48'!$C:$BQ,22,0)</f>
        <v>#N/A</v>
      </c>
      <c r="AP266" s="66" t="e">
        <f>VLOOKUP($A266,'S48'!$C:$BQ,29,0)</f>
        <v>#N/A</v>
      </c>
      <c r="AQ266" s="66" t="e">
        <f>VLOOKUP($A266,'S48'!$C:$BQ,30,0)</f>
        <v>#N/A</v>
      </c>
      <c r="AR266" s="66" t="e">
        <f>VLOOKUP($A266,'S48'!$C:$BQ,52,0)</f>
        <v>#N/A</v>
      </c>
      <c r="AS266" s="66" t="e">
        <f>VLOOKUP($A266,'S48'!$C:$BQ,59,0)</f>
        <v>#N/A</v>
      </c>
      <c r="AT266" s="66" t="e">
        <f>VLOOKUP($A266,'S48'!$C:$BQ,60,0)</f>
        <v>#N/A</v>
      </c>
      <c r="AU266" s="58" t="e">
        <f>VLOOKUP($A266,'S49'!$C:$BQ,32,0)</f>
        <v>#N/A</v>
      </c>
      <c r="AV266" s="58" t="e">
        <f>VLOOKUP($A266,'S49'!$C:$BQ,39,0)</f>
        <v>#N/A</v>
      </c>
      <c r="AW266" s="58" t="e">
        <f>VLOOKUP($A266,'S49'!$C:$BQ,40,0)</f>
        <v>#N/A</v>
      </c>
      <c r="AX266" s="58" t="e">
        <f>VLOOKUP($A266,'S49'!$C:$BQ,22,0)</f>
        <v>#N/A</v>
      </c>
      <c r="AY266" s="66" t="e">
        <f>VLOOKUP($A266,'S49'!$C:$BQ,29,0)</f>
        <v>#N/A</v>
      </c>
      <c r="AZ266" s="66" t="e">
        <f>VLOOKUP($A266,'S49'!$C:$BQ,30,0)</f>
        <v>#N/A</v>
      </c>
      <c r="BA266" s="66" t="e">
        <f>VLOOKUP($A266,'S49'!$C:$BQ,52,0)</f>
        <v>#N/A</v>
      </c>
      <c r="BB266" s="66" t="e">
        <f>VLOOKUP($A266,'S49'!$C:$BQ,59,0)</f>
        <v>#N/A</v>
      </c>
      <c r="BC266" s="66" t="e">
        <f>VLOOKUP($A266,'S49'!$C:$BQ,60,0)</f>
        <v>#N/A</v>
      </c>
      <c r="BD266" s="58" t="e">
        <f>VLOOKUP($A266,'S50'!$C:$BQ,32,0)</f>
        <v>#N/A</v>
      </c>
      <c r="BE266" s="58" t="e">
        <f>VLOOKUP($A266,'S50'!$C:$BQ,39,0)</f>
        <v>#N/A</v>
      </c>
      <c r="BF266" s="58" t="e">
        <f>VLOOKUP($A266,'S50'!$C:$BQ,40,0)</f>
        <v>#N/A</v>
      </c>
      <c r="BG266" s="58" t="e">
        <f>VLOOKUP($A266,'S50'!$C:$BQ,22,0)</f>
        <v>#N/A</v>
      </c>
      <c r="BH266" s="66" t="e">
        <f>VLOOKUP($A266,'S50'!$C:$BQ,29,0)</f>
        <v>#N/A</v>
      </c>
      <c r="BI266" s="66" t="e">
        <f>VLOOKUP($A266,'S50'!$C:$BQ,30,0)</f>
        <v>#N/A</v>
      </c>
      <c r="BJ266" s="66" t="e">
        <f>VLOOKUP($A266,'S50'!$C:$BQ,52,0)</f>
        <v>#N/A</v>
      </c>
      <c r="BK266" s="66" t="e">
        <f>VLOOKUP($A266,'S50'!$C:$BQ,59,0)</f>
        <v>#N/A</v>
      </c>
      <c r="BL266" s="66" t="e">
        <f>VLOOKUP($A266,'S50'!$C:$BQ,60,0)</f>
        <v>#N/A</v>
      </c>
    </row>
    <row r="267" spans="1:64" x14ac:dyDescent="0.2">
      <c r="A267" s="57" t="s">
        <v>341</v>
      </c>
      <c r="B267" s="58">
        <f>VLOOKUP($A267,'S0 remplacer avec S44'!$C:$BQ,32,0)</f>
        <v>125.8</v>
      </c>
      <c r="C267" s="58">
        <f>VLOOKUP($A267,'S0 remplacer avec S44'!$C:$BQ,39,0)</f>
        <v>91</v>
      </c>
      <c r="D267" s="58">
        <f>VLOOKUP($A267,'S0 remplacer avec S44'!$C:$BQ,40,0)</f>
        <v>135</v>
      </c>
      <c r="E267" s="58">
        <f>VLOOKUP($A267,'S0 remplacer avec S44'!$C:$BQ,22,0)</f>
        <v>1356.5941499999999</v>
      </c>
      <c r="F267" s="66">
        <f>VLOOKUP($A267,'S0 remplacer avec S44'!$C:$BQ,29,0)</f>
        <v>613</v>
      </c>
      <c r="G267" s="66">
        <f>VLOOKUP($A267,'S0 remplacer avec S44'!$C:$BQ,30,0)</f>
        <v>1007</v>
      </c>
      <c r="H267" s="66">
        <f>VLOOKUP($A267,'S0 remplacer avec S44'!$C:$BQ,52,0)</f>
        <v>93.6</v>
      </c>
      <c r="I267" s="66">
        <f>VLOOKUP($A267,'S0 remplacer avec S44'!$C:$BQ,59,0)</f>
        <v>17</v>
      </c>
      <c r="J267" s="66">
        <f>VLOOKUP($A267,'S0 remplacer avec S44'!$C:$BQ,60,0)</f>
        <v>39</v>
      </c>
      <c r="K267" s="58">
        <f>VLOOKUP($A267,'S45'!$C:$BQ,32,0)</f>
        <v>126.3</v>
      </c>
      <c r="L267" s="58">
        <f>VLOOKUP($A267,'S45'!$C:$BQ,39,0)</f>
        <v>91</v>
      </c>
      <c r="M267" s="58">
        <f>VLOOKUP($A267,'S45'!$C:$BQ,40,0)</f>
        <v>134</v>
      </c>
      <c r="N267" s="58">
        <f>VLOOKUP($A267,'S45'!$C:$BQ,22,0)</f>
        <v>1372.33096</v>
      </c>
      <c r="O267" s="66">
        <f>VLOOKUP($A267,'S45'!$C:$BQ,29,0)</f>
        <v>598</v>
      </c>
      <c r="P267" s="66">
        <f>VLOOKUP($A267,'S45'!$C:$BQ,30,0)</f>
        <v>992</v>
      </c>
      <c r="Q267" s="66">
        <f>VLOOKUP($A267,'S45'!$C:$BQ,52,0)</f>
        <v>94.6</v>
      </c>
      <c r="R267" s="66">
        <f>VLOOKUP($A267,'S45'!$C:$BQ,59,0)</f>
        <v>16</v>
      </c>
      <c r="S267" s="66">
        <f>VLOOKUP($A267,'S45'!$C:$BQ,60,0)</f>
        <v>38</v>
      </c>
      <c r="T267" s="58">
        <f>VLOOKUP($A267,'S46'!$C:$BQ,32,0)</f>
        <v>126.3</v>
      </c>
      <c r="U267" s="58">
        <f>VLOOKUP($A267,'S46'!$C:$BQ,39,0)</f>
        <v>91</v>
      </c>
      <c r="V267" s="58">
        <f>VLOOKUP($A267,'S46'!$C:$BQ,40,0)</f>
        <v>134</v>
      </c>
      <c r="W267" s="58">
        <f>VLOOKUP($A267,'S46'!$C:$BQ,22,0)</f>
        <v>1372.88536</v>
      </c>
      <c r="X267" s="66">
        <f>VLOOKUP($A267,'S46'!$C:$BQ,29,0)</f>
        <v>597</v>
      </c>
      <c r="Y267" s="66">
        <f>VLOOKUP($A267,'S46'!$C:$BQ,30,0)</f>
        <v>991</v>
      </c>
      <c r="Z267" s="66">
        <f>VLOOKUP($A267,'S46'!$C:$BQ,52,0)</f>
        <v>94.6</v>
      </c>
      <c r="AA267" s="66">
        <f>VLOOKUP($A267,'S46'!$C:$BQ,59,0)</f>
        <v>16</v>
      </c>
      <c r="AB267" s="66">
        <f>VLOOKUP($A267,'S46'!$C:$BQ,60,0)</f>
        <v>38</v>
      </c>
      <c r="AC267" s="58">
        <f>VLOOKUP($A267,'S47'!$C:$BQ,32,0)</f>
        <v>134.6</v>
      </c>
      <c r="AD267" s="58">
        <f>VLOOKUP($A267,'S47'!$C:$BQ,39,0)</f>
        <v>82</v>
      </c>
      <c r="AE267" s="58">
        <f>VLOOKUP($A267,'S47'!$C:$BQ,40,0)</f>
        <v>126</v>
      </c>
      <c r="AF267" s="58">
        <f>VLOOKUP($A267,'S47'!$C:$BQ,22,0)</f>
        <v>1403.34959</v>
      </c>
      <c r="AG267" s="66">
        <f>VLOOKUP($A267,'S47'!$C:$BQ,29,0)</f>
        <v>567</v>
      </c>
      <c r="AH267" s="66">
        <f>VLOOKUP($A267,'S47'!$C:$BQ,30,0)</f>
        <v>961</v>
      </c>
      <c r="AI267" s="66">
        <f>VLOOKUP($A267,'S47'!$C:$BQ,52,0)</f>
        <v>95.6</v>
      </c>
      <c r="AJ267" s="66">
        <f>VLOOKUP($A267,'S47'!$C:$BQ,59,0)</f>
        <v>15</v>
      </c>
      <c r="AK267" s="66">
        <f>VLOOKUP($A267,'S47'!$C:$BQ,60,0)</f>
        <v>37</v>
      </c>
      <c r="AL267" s="58" t="e">
        <f>VLOOKUP($A267,'S48'!$C:$BQ,32,0)</f>
        <v>#N/A</v>
      </c>
      <c r="AM267" s="58" t="e">
        <f>VLOOKUP($A267,'S48'!$C:$BQ,39,0)</f>
        <v>#N/A</v>
      </c>
      <c r="AN267" s="58" t="e">
        <f>VLOOKUP($A267,'S48'!$C:$BQ,40,0)</f>
        <v>#N/A</v>
      </c>
      <c r="AO267" s="58" t="e">
        <f>VLOOKUP($A267,'S48'!$C:$BQ,22,0)</f>
        <v>#N/A</v>
      </c>
      <c r="AP267" s="66" t="e">
        <f>VLOOKUP($A267,'S48'!$C:$BQ,29,0)</f>
        <v>#N/A</v>
      </c>
      <c r="AQ267" s="66" t="e">
        <f>VLOOKUP($A267,'S48'!$C:$BQ,30,0)</f>
        <v>#N/A</v>
      </c>
      <c r="AR267" s="66" t="e">
        <f>VLOOKUP($A267,'S48'!$C:$BQ,52,0)</f>
        <v>#N/A</v>
      </c>
      <c r="AS267" s="66" t="e">
        <f>VLOOKUP($A267,'S48'!$C:$BQ,59,0)</f>
        <v>#N/A</v>
      </c>
      <c r="AT267" s="66" t="e">
        <f>VLOOKUP($A267,'S48'!$C:$BQ,60,0)</f>
        <v>#N/A</v>
      </c>
      <c r="AU267" s="58" t="e">
        <f>VLOOKUP($A267,'S49'!$C:$BQ,32,0)</f>
        <v>#N/A</v>
      </c>
      <c r="AV267" s="58" t="e">
        <f>VLOOKUP($A267,'S49'!$C:$BQ,39,0)</f>
        <v>#N/A</v>
      </c>
      <c r="AW267" s="58" t="e">
        <f>VLOOKUP($A267,'S49'!$C:$BQ,40,0)</f>
        <v>#N/A</v>
      </c>
      <c r="AX267" s="58" t="e">
        <f>VLOOKUP($A267,'S49'!$C:$BQ,22,0)</f>
        <v>#N/A</v>
      </c>
      <c r="AY267" s="66" t="e">
        <f>VLOOKUP($A267,'S49'!$C:$BQ,29,0)</f>
        <v>#N/A</v>
      </c>
      <c r="AZ267" s="66" t="e">
        <f>VLOOKUP($A267,'S49'!$C:$BQ,30,0)</f>
        <v>#N/A</v>
      </c>
      <c r="BA267" s="66" t="e">
        <f>VLOOKUP($A267,'S49'!$C:$BQ,52,0)</f>
        <v>#N/A</v>
      </c>
      <c r="BB267" s="66" t="e">
        <f>VLOOKUP($A267,'S49'!$C:$BQ,59,0)</f>
        <v>#N/A</v>
      </c>
      <c r="BC267" s="66" t="e">
        <f>VLOOKUP($A267,'S49'!$C:$BQ,60,0)</f>
        <v>#N/A</v>
      </c>
      <c r="BD267" s="58" t="e">
        <f>VLOOKUP($A267,'S50'!$C:$BQ,32,0)</f>
        <v>#N/A</v>
      </c>
      <c r="BE267" s="58" t="e">
        <f>VLOOKUP($A267,'S50'!$C:$BQ,39,0)</f>
        <v>#N/A</v>
      </c>
      <c r="BF267" s="58" t="e">
        <f>VLOOKUP($A267,'S50'!$C:$BQ,40,0)</f>
        <v>#N/A</v>
      </c>
      <c r="BG267" s="58" t="e">
        <f>VLOOKUP($A267,'S50'!$C:$BQ,22,0)</f>
        <v>#N/A</v>
      </c>
      <c r="BH267" s="66" t="e">
        <f>VLOOKUP($A267,'S50'!$C:$BQ,29,0)</f>
        <v>#N/A</v>
      </c>
      <c r="BI267" s="66" t="e">
        <f>VLOOKUP($A267,'S50'!$C:$BQ,30,0)</f>
        <v>#N/A</v>
      </c>
      <c r="BJ267" s="66" t="e">
        <f>VLOOKUP($A267,'S50'!$C:$BQ,52,0)</f>
        <v>#N/A</v>
      </c>
      <c r="BK267" s="66" t="e">
        <f>VLOOKUP($A267,'S50'!$C:$BQ,59,0)</f>
        <v>#N/A</v>
      </c>
      <c r="BL267" s="66" t="e">
        <f>VLOOKUP($A267,'S50'!$C:$BQ,60,0)</f>
        <v>#N/A</v>
      </c>
    </row>
    <row r="268" spans="1:64" x14ac:dyDescent="0.2">
      <c r="A268" s="57" t="s">
        <v>342</v>
      </c>
      <c r="B268" s="58">
        <f>VLOOKUP($A268,'S0 remplacer avec S44'!$C:$BQ,32,0)</f>
        <v>150.9</v>
      </c>
      <c r="C268" s="58">
        <f>VLOOKUP($A268,'S0 remplacer avec S44'!$C:$BQ,39,0)</f>
        <v>19</v>
      </c>
      <c r="D268" s="58">
        <f>VLOOKUP($A268,'S0 remplacer avec S44'!$C:$BQ,40,0)</f>
        <v>53</v>
      </c>
      <c r="E268" s="58">
        <f>VLOOKUP($A268,'S0 remplacer avec S44'!$C:$BQ,22,0)</f>
        <v>1819.8643300000001</v>
      </c>
      <c r="F268" s="66">
        <f>VLOOKUP($A268,'S0 remplacer avec S44'!$C:$BQ,29,0)</f>
        <v>0</v>
      </c>
      <c r="G268" s="66">
        <f>VLOOKUP($A268,'S0 remplacer avec S44'!$C:$BQ,30,0)</f>
        <v>28</v>
      </c>
      <c r="H268" s="66">
        <f>VLOOKUP($A268,'S0 remplacer avec S44'!$C:$BQ,52,0)</f>
        <v>94.4</v>
      </c>
      <c r="I268" s="66">
        <f>VLOOKUP($A268,'S0 remplacer avec S44'!$C:$BQ,59,0)</f>
        <v>0</v>
      </c>
      <c r="J268" s="66">
        <f>VLOOKUP($A268,'S0 remplacer avec S44'!$C:$BQ,60,0)</f>
        <v>9</v>
      </c>
      <c r="K268" s="58">
        <f>VLOOKUP($A268,'S45'!$C:$BQ,32,0)</f>
        <v>154.4</v>
      </c>
      <c r="L268" s="58">
        <f>VLOOKUP($A268,'S45'!$C:$BQ,39,0)</f>
        <v>15</v>
      </c>
      <c r="M268" s="58">
        <f>VLOOKUP($A268,'S45'!$C:$BQ,40,0)</f>
        <v>49</v>
      </c>
      <c r="N268" s="58">
        <f>VLOOKUP($A268,'S45'!$C:$BQ,22,0)</f>
        <v>1817.3880799999999</v>
      </c>
      <c r="O268" s="66">
        <f>VLOOKUP($A268,'S45'!$C:$BQ,29,0)</f>
        <v>0</v>
      </c>
      <c r="P268" s="66">
        <f>VLOOKUP($A268,'S45'!$C:$BQ,30,0)</f>
        <v>30</v>
      </c>
      <c r="Q268" s="66">
        <f>VLOOKUP($A268,'S45'!$C:$BQ,52,0)</f>
        <v>95.4</v>
      </c>
      <c r="R268" s="66">
        <f>VLOOKUP($A268,'S45'!$C:$BQ,59,0)</f>
        <v>0</v>
      </c>
      <c r="S268" s="66">
        <f>VLOOKUP($A268,'S45'!$C:$BQ,60,0)</f>
        <v>8</v>
      </c>
      <c r="T268" s="58">
        <f>VLOOKUP($A268,'S46'!$C:$BQ,32,0)</f>
        <v>153.9</v>
      </c>
      <c r="U268" s="58">
        <f>VLOOKUP($A268,'S46'!$C:$BQ,39,0)</f>
        <v>16</v>
      </c>
      <c r="V268" s="58">
        <f>VLOOKUP($A268,'S46'!$C:$BQ,40,0)</f>
        <v>50</v>
      </c>
      <c r="W268" s="58">
        <f>VLOOKUP($A268,'S46'!$C:$BQ,22,0)</f>
        <v>1842.40508</v>
      </c>
      <c r="X268" s="66">
        <f>VLOOKUP($A268,'S46'!$C:$BQ,29,0)</f>
        <v>0</v>
      </c>
      <c r="Y268" s="66">
        <f>VLOOKUP($A268,'S46'!$C:$BQ,30,0)</f>
        <v>5</v>
      </c>
      <c r="Z268" s="66">
        <f>VLOOKUP($A268,'S46'!$C:$BQ,52,0)</f>
        <v>96.4</v>
      </c>
      <c r="AA268" s="66">
        <f>VLOOKUP($A268,'S46'!$C:$BQ,59,0)</f>
        <v>0</v>
      </c>
      <c r="AB268" s="66">
        <f>VLOOKUP($A268,'S46'!$C:$BQ,60,0)</f>
        <v>7</v>
      </c>
      <c r="AC268" s="58">
        <f>VLOOKUP($A268,'S47'!$C:$BQ,32,0)</f>
        <v>159.9</v>
      </c>
      <c r="AD268" s="58">
        <f>VLOOKUP($A268,'S47'!$C:$BQ,39,0)</f>
        <v>10</v>
      </c>
      <c r="AE268" s="58">
        <f>VLOOKUP($A268,'S47'!$C:$BQ,40,0)</f>
        <v>44</v>
      </c>
      <c r="AF268" s="58">
        <f>VLOOKUP($A268,'S47'!$C:$BQ,22,0)</f>
        <v>1884.6997699999999</v>
      </c>
      <c r="AG268" s="66">
        <f>VLOOKUP($A268,'S47'!$C:$BQ,29,0)</f>
        <v>0</v>
      </c>
      <c r="AH268" s="66">
        <f>VLOOKUP($A268,'S47'!$C:$BQ,30,0)</f>
        <v>0</v>
      </c>
      <c r="AI268" s="66">
        <f>VLOOKUP($A268,'S47'!$C:$BQ,52,0)</f>
        <v>98.4</v>
      </c>
      <c r="AJ268" s="66">
        <f>VLOOKUP($A268,'S47'!$C:$BQ,59,0)</f>
        <v>0</v>
      </c>
      <c r="AK268" s="66">
        <f>VLOOKUP($A268,'S47'!$C:$BQ,60,0)</f>
        <v>5</v>
      </c>
      <c r="AL268" s="58" t="e">
        <f>VLOOKUP($A268,'S48'!$C:$BQ,32,0)</f>
        <v>#N/A</v>
      </c>
      <c r="AM268" s="58" t="e">
        <f>VLOOKUP($A268,'S48'!$C:$BQ,39,0)</f>
        <v>#N/A</v>
      </c>
      <c r="AN268" s="58" t="e">
        <f>VLOOKUP($A268,'S48'!$C:$BQ,40,0)</f>
        <v>#N/A</v>
      </c>
      <c r="AO268" s="58" t="e">
        <f>VLOOKUP($A268,'S48'!$C:$BQ,22,0)</f>
        <v>#N/A</v>
      </c>
      <c r="AP268" s="66" t="e">
        <f>VLOOKUP($A268,'S48'!$C:$BQ,29,0)</f>
        <v>#N/A</v>
      </c>
      <c r="AQ268" s="66" t="e">
        <f>VLOOKUP($A268,'S48'!$C:$BQ,30,0)</f>
        <v>#N/A</v>
      </c>
      <c r="AR268" s="66" t="e">
        <f>VLOOKUP($A268,'S48'!$C:$BQ,52,0)</f>
        <v>#N/A</v>
      </c>
      <c r="AS268" s="66" t="e">
        <f>VLOOKUP($A268,'S48'!$C:$BQ,59,0)</f>
        <v>#N/A</v>
      </c>
      <c r="AT268" s="66" t="e">
        <f>VLOOKUP($A268,'S48'!$C:$BQ,60,0)</f>
        <v>#N/A</v>
      </c>
      <c r="AU268" s="58" t="e">
        <f>VLOOKUP($A268,'S49'!$C:$BQ,32,0)</f>
        <v>#N/A</v>
      </c>
      <c r="AV268" s="58" t="e">
        <f>VLOOKUP($A268,'S49'!$C:$BQ,39,0)</f>
        <v>#N/A</v>
      </c>
      <c r="AW268" s="58" t="e">
        <f>VLOOKUP($A268,'S49'!$C:$BQ,40,0)</f>
        <v>#N/A</v>
      </c>
      <c r="AX268" s="58" t="e">
        <f>VLOOKUP($A268,'S49'!$C:$BQ,22,0)</f>
        <v>#N/A</v>
      </c>
      <c r="AY268" s="66" t="e">
        <f>VLOOKUP($A268,'S49'!$C:$BQ,29,0)</f>
        <v>#N/A</v>
      </c>
      <c r="AZ268" s="66" t="e">
        <f>VLOOKUP($A268,'S49'!$C:$BQ,30,0)</f>
        <v>#N/A</v>
      </c>
      <c r="BA268" s="66" t="e">
        <f>VLOOKUP($A268,'S49'!$C:$BQ,52,0)</f>
        <v>#N/A</v>
      </c>
      <c r="BB268" s="66" t="e">
        <f>VLOOKUP($A268,'S49'!$C:$BQ,59,0)</f>
        <v>#N/A</v>
      </c>
      <c r="BC268" s="66" t="e">
        <f>VLOOKUP($A268,'S49'!$C:$BQ,60,0)</f>
        <v>#N/A</v>
      </c>
      <c r="BD268" s="58" t="e">
        <f>VLOOKUP($A268,'S50'!$C:$BQ,32,0)</f>
        <v>#N/A</v>
      </c>
      <c r="BE268" s="58" t="e">
        <f>VLOOKUP($A268,'S50'!$C:$BQ,39,0)</f>
        <v>#N/A</v>
      </c>
      <c r="BF268" s="58" t="e">
        <f>VLOOKUP($A268,'S50'!$C:$BQ,40,0)</f>
        <v>#N/A</v>
      </c>
      <c r="BG268" s="58" t="e">
        <f>VLOOKUP($A268,'S50'!$C:$BQ,22,0)</f>
        <v>#N/A</v>
      </c>
      <c r="BH268" s="66" t="e">
        <f>VLOOKUP($A268,'S50'!$C:$BQ,29,0)</f>
        <v>#N/A</v>
      </c>
      <c r="BI268" s="66" t="e">
        <f>VLOOKUP($A268,'S50'!$C:$BQ,30,0)</f>
        <v>#N/A</v>
      </c>
      <c r="BJ268" s="66" t="e">
        <f>VLOOKUP($A268,'S50'!$C:$BQ,52,0)</f>
        <v>#N/A</v>
      </c>
      <c r="BK268" s="66" t="e">
        <f>VLOOKUP($A268,'S50'!$C:$BQ,59,0)</f>
        <v>#N/A</v>
      </c>
      <c r="BL268" s="66" t="e">
        <f>VLOOKUP($A268,'S50'!$C:$BQ,60,0)</f>
        <v>#N/A</v>
      </c>
    </row>
    <row r="269" spans="1:64" x14ac:dyDescent="0.2">
      <c r="A269" s="57" t="s">
        <v>343</v>
      </c>
      <c r="B269" s="58">
        <f>VLOOKUP($A269,'S0 remplacer avec S44'!$C:$BQ,32,0)</f>
        <v>51.7</v>
      </c>
      <c r="C269" s="58">
        <f>VLOOKUP($A269,'S0 remplacer avec S44'!$C:$BQ,39,0)</f>
        <v>12</v>
      </c>
      <c r="D269" s="58">
        <f>VLOOKUP($A269,'S0 remplacer avec S44'!$C:$BQ,40,0)</f>
        <v>24</v>
      </c>
      <c r="E269" s="58">
        <f>VLOOKUP($A269,'S0 remplacer avec S44'!$C:$BQ,22,0)</f>
        <v>350.16750500000001</v>
      </c>
      <c r="F269" s="66">
        <f>VLOOKUP($A269,'S0 remplacer avec S44'!$C:$BQ,29,0)</f>
        <v>223</v>
      </c>
      <c r="G269" s="66">
        <f>VLOOKUP($A269,'S0 remplacer avec S44'!$C:$BQ,30,0)</f>
        <v>338</v>
      </c>
      <c r="H269" s="66">
        <f>VLOOKUP($A269,'S0 remplacer avec S44'!$C:$BQ,52,0)</f>
        <v>47.2</v>
      </c>
      <c r="I269" s="66">
        <f>VLOOKUP($A269,'S0 remplacer avec S44'!$C:$BQ,59,0)</f>
        <v>0</v>
      </c>
      <c r="J269" s="66">
        <f>VLOOKUP($A269,'S0 remplacer avec S44'!$C:$BQ,60,0)</f>
        <v>0</v>
      </c>
      <c r="K269" s="58">
        <f>VLOOKUP($A269,'S45'!$C:$BQ,32,0)</f>
        <v>51.7</v>
      </c>
      <c r="L269" s="58">
        <f>VLOOKUP($A269,'S45'!$C:$BQ,39,0)</f>
        <v>12</v>
      </c>
      <c r="M269" s="58">
        <f>VLOOKUP($A269,'S45'!$C:$BQ,40,0)</f>
        <v>24</v>
      </c>
      <c r="N269" s="58">
        <f>VLOOKUP($A269,'S45'!$C:$BQ,22,0)</f>
        <v>350.20750500000003</v>
      </c>
      <c r="O269" s="66">
        <f>VLOOKUP($A269,'S45'!$C:$BQ,29,0)</f>
        <v>223</v>
      </c>
      <c r="P269" s="66">
        <f>VLOOKUP($A269,'S45'!$C:$BQ,30,0)</f>
        <v>338</v>
      </c>
      <c r="Q269" s="66">
        <f>VLOOKUP($A269,'S45'!$C:$BQ,52,0)</f>
        <v>48.2</v>
      </c>
      <c r="R269" s="66">
        <f>VLOOKUP($A269,'S45'!$C:$BQ,59,0)</f>
        <v>0</v>
      </c>
      <c r="S269" s="66">
        <f>VLOOKUP($A269,'S45'!$C:$BQ,60,0)</f>
        <v>0</v>
      </c>
      <c r="T269" s="58">
        <f>VLOOKUP($A269,'S46'!$C:$BQ,32,0)</f>
        <v>51.7</v>
      </c>
      <c r="U269" s="58">
        <f>VLOOKUP($A269,'S46'!$C:$BQ,39,0)</f>
        <v>12</v>
      </c>
      <c r="V269" s="58">
        <f>VLOOKUP($A269,'S46'!$C:$BQ,40,0)</f>
        <v>24</v>
      </c>
      <c r="W269" s="58">
        <f>VLOOKUP($A269,'S46'!$C:$BQ,22,0)</f>
        <v>350.40894500000002</v>
      </c>
      <c r="X269" s="66">
        <f>VLOOKUP($A269,'S46'!$C:$BQ,29,0)</f>
        <v>223</v>
      </c>
      <c r="Y269" s="66">
        <f>VLOOKUP($A269,'S46'!$C:$BQ,30,0)</f>
        <v>338</v>
      </c>
      <c r="Z269" s="66">
        <f>VLOOKUP($A269,'S46'!$C:$BQ,52,0)</f>
        <v>48.2</v>
      </c>
      <c r="AA269" s="66">
        <f>VLOOKUP($A269,'S46'!$C:$BQ,59,0)</f>
        <v>0</v>
      </c>
      <c r="AB269" s="66">
        <f>VLOOKUP($A269,'S46'!$C:$BQ,60,0)</f>
        <v>0</v>
      </c>
      <c r="AC269" s="58">
        <f>VLOOKUP($A269,'S47'!$C:$BQ,32,0)</f>
        <v>52.7</v>
      </c>
      <c r="AD269" s="58">
        <f>VLOOKUP($A269,'S47'!$C:$BQ,39,0)</f>
        <v>11</v>
      </c>
      <c r="AE269" s="58">
        <f>VLOOKUP($A269,'S47'!$C:$BQ,40,0)</f>
        <v>23</v>
      </c>
      <c r="AF269" s="58">
        <f>VLOOKUP($A269,'S47'!$C:$BQ,22,0)</f>
        <v>350.64173499999998</v>
      </c>
      <c r="AG269" s="66">
        <f>VLOOKUP($A269,'S47'!$C:$BQ,29,0)</f>
        <v>223</v>
      </c>
      <c r="AH269" s="66">
        <f>VLOOKUP($A269,'S47'!$C:$BQ,30,0)</f>
        <v>337</v>
      </c>
      <c r="AI269" s="66">
        <f>VLOOKUP($A269,'S47'!$C:$BQ,52,0)</f>
        <v>49.2</v>
      </c>
      <c r="AJ269" s="66">
        <f>VLOOKUP($A269,'S47'!$C:$BQ,59,0)</f>
        <v>0</v>
      </c>
      <c r="AK269" s="66">
        <f>VLOOKUP($A269,'S47'!$C:$BQ,60,0)</f>
        <v>0</v>
      </c>
      <c r="AL269" s="58" t="e">
        <f>VLOOKUP($A269,'S48'!$C:$BQ,32,0)</f>
        <v>#N/A</v>
      </c>
      <c r="AM269" s="58" t="e">
        <f>VLOOKUP($A269,'S48'!$C:$BQ,39,0)</f>
        <v>#N/A</v>
      </c>
      <c r="AN269" s="58" t="e">
        <f>VLOOKUP($A269,'S48'!$C:$BQ,40,0)</f>
        <v>#N/A</v>
      </c>
      <c r="AO269" s="58" t="e">
        <f>VLOOKUP($A269,'S48'!$C:$BQ,22,0)</f>
        <v>#N/A</v>
      </c>
      <c r="AP269" s="66" t="e">
        <f>VLOOKUP($A269,'S48'!$C:$BQ,29,0)</f>
        <v>#N/A</v>
      </c>
      <c r="AQ269" s="66" t="e">
        <f>VLOOKUP($A269,'S48'!$C:$BQ,30,0)</f>
        <v>#N/A</v>
      </c>
      <c r="AR269" s="66" t="e">
        <f>VLOOKUP($A269,'S48'!$C:$BQ,52,0)</f>
        <v>#N/A</v>
      </c>
      <c r="AS269" s="66" t="e">
        <f>VLOOKUP($A269,'S48'!$C:$BQ,59,0)</f>
        <v>#N/A</v>
      </c>
      <c r="AT269" s="66" t="e">
        <f>VLOOKUP($A269,'S48'!$C:$BQ,60,0)</f>
        <v>#N/A</v>
      </c>
      <c r="AU269" s="58" t="e">
        <f>VLOOKUP($A269,'S49'!$C:$BQ,32,0)</f>
        <v>#N/A</v>
      </c>
      <c r="AV269" s="58" t="e">
        <f>VLOOKUP($A269,'S49'!$C:$BQ,39,0)</f>
        <v>#N/A</v>
      </c>
      <c r="AW269" s="58" t="e">
        <f>VLOOKUP($A269,'S49'!$C:$BQ,40,0)</f>
        <v>#N/A</v>
      </c>
      <c r="AX269" s="58" t="e">
        <f>VLOOKUP($A269,'S49'!$C:$BQ,22,0)</f>
        <v>#N/A</v>
      </c>
      <c r="AY269" s="66" t="e">
        <f>VLOOKUP($A269,'S49'!$C:$BQ,29,0)</f>
        <v>#N/A</v>
      </c>
      <c r="AZ269" s="66" t="e">
        <f>VLOOKUP($A269,'S49'!$C:$BQ,30,0)</f>
        <v>#N/A</v>
      </c>
      <c r="BA269" s="66" t="e">
        <f>VLOOKUP($A269,'S49'!$C:$BQ,52,0)</f>
        <v>#N/A</v>
      </c>
      <c r="BB269" s="66" t="e">
        <f>VLOOKUP($A269,'S49'!$C:$BQ,59,0)</f>
        <v>#N/A</v>
      </c>
      <c r="BC269" s="66" t="e">
        <f>VLOOKUP($A269,'S49'!$C:$BQ,60,0)</f>
        <v>#N/A</v>
      </c>
      <c r="BD269" s="58" t="e">
        <f>VLOOKUP($A269,'S50'!$C:$BQ,32,0)</f>
        <v>#N/A</v>
      </c>
      <c r="BE269" s="58" t="e">
        <f>VLOOKUP($A269,'S50'!$C:$BQ,39,0)</f>
        <v>#N/A</v>
      </c>
      <c r="BF269" s="58" t="e">
        <f>VLOOKUP($A269,'S50'!$C:$BQ,40,0)</f>
        <v>#N/A</v>
      </c>
      <c r="BG269" s="58" t="e">
        <f>VLOOKUP($A269,'S50'!$C:$BQ,22,0)</f>
        <v>#N/A</v>
      </c>
      <c r="BH269" s="66" t="e">
        <f>VLOOKUP($A269,'S50'!$C:$BQ,29,0)</f>
        <v>#N/A</v>
      </c>
      <c r="BI269" s="66" t="e">
        <f>VLOOKUP($A269,'S50'!$C:$BQ,30,0)</f>
        <v>#N/A</v>
      </c>
      <c r="BJ269" s="66" t="e">
        <f>VLOOKUP($A269,'S50'!$C:$BQ,52,0)</f>
        <v>#N/A</v>
      </c>
      <c r="BK269" s="66" t="e">
        <f>VLOOKUP($A269,'S50'!$C:$BQ,59,0)</f>
        <v>#N/A</v>
      </c>
      <c r="BL269" s="66" t="e">
        <f>VLOOKUP($A269,'S50'!$C:$BQ,60,0)</f>
        <v>#N/A</v>
      </c>
    </row>
    <row r="270" spans="1:64" x14ac:dyDescent="0.2">
      <c r="A270" s="57" t="s">
        <v>344</v>
      </c>
      <c r="B270" s="58">
        <f>VLOOKUP($A270,'S0 remplacer avec S44'!$C:$BQ,32,0)</f>
        <v>78.2</v>
      </c>
      <c r="C270" s="58">
        <f>VLOOKUP($A270,'S0 remplacer avec S44'!$C:$BQ,39,0)</f>
        <v>88</v>
      </c>
      <c r="D270" s="58">
        <f>VLOOKUP($A270,'S0 remplacer avec S44'!$C:$BQ,40,0)</f>
        <v>121</v>
      </c>
      <c r="E270" s="58">
        <f>VLOOKUP($A270,'S0 remplacer avec S44'!$C:$BQ,22,0)</f>
        <v>1338.6740299999999</v>
      </c>
      <c r="F270" s="66">
        <f>VLOOKUP($A270,'S0 remplacer avec S44'!$C:$BQ,29,0)</f>
        <v>166</v>
      </c>
      <c r="G270" s="66">
        <f>VLOOKUP($A270,'S0 remplacer avec S44'!$C:$BQ,30,0)</f>
        <v>467</v>
      </c>
      <c r="H270" s="66">
        <f>VLOOKUP($A270,'S0 remplacer avec S44'!$C:$BQ,52,0)</f>
        <v>43.6</v>
      </c>
      <c r="I270" s="66">
        <f>VLOOKUP($A270,'S0 remplacer avec S44'!$C:$BQ,59,0)</f>
        <v>41</v>
      </c>
      <c r="J270" s="66">
        <f>VLOOKUP($A270,'S0 remplacer avec S44'!$C:$BQ,60,0)</f>
        <v>58</v>
      </c>
      <c r="K270" s="58">
        <f>VLOOKUP($A270,'S45'!$C:$BQ,32,0)</f>
        <v>79.2</v>
      </c>
      <c r="L270" s="58">
        <f>VLOOKUP($A270,'S45'!$C:$BQ,39,0)</f>
        <v>87</v>
      </c>
      <c r="M270" s="58">
        <f>VLOOKUP($A270,'S45'!$C:$BQ,40,0)</f>
        <v>120</v>
      </c>
      <c r="N270" s="58">
        <f>VLOOKUP($A270,'S45'!$C:$BQ,22,0)</f>
        <v>1368.96459</v>
      </c>
      <c r="O270" s="66">
        <f>VLOOKUP($A270,'S45'!$C:$BQ,29,0)</f>
        <v>136</v>
      </c>
      <c r="P270" s="66">
        <f>VLOOKUP($A270,'S45'!$C:$BQ,30,0)</f>
        <v>437</v>
      </c>
      <c r="Q270" s="66">
        <f>VLOOKUP($A270,'S45'!$C:$BQ,52,0)</f>
        <v>43.6</v>
      </c>
      <c r="R270" s="66">
        <f>VLOOKUP($A270,'S45'!$C:$BQ,59,0)</f>
        <v>41</v>
      </c>
      <c r="S270" s="66">
        <f>VLOOKUP($A270,'S45'!$C:$BQ,60,0)</f>
        <v>58</v>
      </c>
      <c r="T270" s="58">
        <f>VLOOKUP($A270,'S46'!$C:$BQ,32,0)</f>
        <v>78.2</v>
      </c>
      <c r="U270" s="58">
        <f>VLOOKUP($A270,'S46'!$C:$BQ,39,0)</f>
        <v>88</v>
      </c>
      <c r="V270" s="58">
        <f>VLOOKUP($A270,'S46'!$C:$BQ,40,0)</f>
        <v>121</v>
      </c>
      <c r="W270" s="58">
        <f>VLOOKUP($A270,'S46'!$C:$BQ,22,0)</f>
        <v>1369.5794900000001</v>
      </c>
      <c r="X270" s="66">
        <f>VLOOKUP($A270,'S46'!$C:$BQ,29,0)</f>
        <v>135</v>
      </c>
      <c r="Y270" s="66">
        <f>VLOOKUP($A270,'S46'!$C:$BQ,30,0)</f>
        <v>436</v>
      </c>
      <c r="Z270" s="66">
        <f>VLOOKUP($A270,'S46'!$C:$BQ,52,0)</f>
        <v>43.6</v>
      </c>
      <c r="AA270" s="66">
        <f>VLOOKUP($A270,'S46'!$C:$BQ,59,0)</f>
        <v>41</v>
      </c>
      <c r="AB270" s="66">
        <f>VLOOKUP($A270,'S46'!$C:$BQ,60,0)</f>
        <v>58</v>
      </c>
      <c r="AC270" s="58">
        <f>VLOOKUP($A270,'S47'!$C:$BQ,32,0)</f>
        <v>80.7</v>
      </c>
      <c r="AD270" s="58">
        <f>VLOOKUP($A270,'S47'!$C:$BQ,39,0)</f>
        <v>85</v>
      </c>
      <c r="AE270" s="58">
        <f>VLOOKUP($A270,'S47'!$C:$BQ,40,0)</f>
        <v>118</v>
      </c>
      <c r="AF270" s="58">
        <f>VLOOKUP($A270,'S47'!$C:$BQ,22,0)</f>
        <v>1370.8777500000001</v>
      </c>
      <c r="AG270" s="66">
        <f>VLOOKUP($A270,'S47'!$C:$BQ,29,0)</f>
        <v>134</v>
      </c>
      <c r="AH270" s="66">
        <f>VLOOKUP($A270,'S47'!$C:$BQ,30,0)</f>
        <v>435</v>
      </c>
      <c r="AI270" s="66">
        <f>VLOOKUP($A270,'S47'!$C:$BQ,52,0)</f>
        <v>43.6</v>
      </c>
      <c r="AJ270" s="66">
        <f>VLOOKUP($A270,'S47'!$C:$BQ,59,0)</f>
        <v>41</v>
      </c>
      <c r="AK270" s="66">
        <f>VLOOKUP($A270,'S47'!$C:$BQ,60,0)</f>
        <v>58</v>
      </c>
      <c r="AL270" s="58" t="e">
        <f>VLOOKUP($A270,'S48'!$C:$BQ,32,0)</f>
        <v>#N/A</v>
      </c>
      <c r="AM270" s="58" t="e">
        <f>VLOOKUP($A270,'S48'!$C:$BQ,39,0)</f>
        <v>#N/A</v>
      </c>
      <c r="AN270" s="58" t="e">
        <f>VLOOKUP($A270,'S48'!$C:$BQ,40,0)</f>
        <v>#N/A</v>
      </c>
      <c r="AO270" s="58" t="e">
        <f>VLOOKUP($A270,'S48'!$C:$BQ,22,0)</f>
        <v>#N/A</v>
      </c>
      <c r="AP270" s="66" t="e">
        <f>VLOOKUP($A270,'S48'!$C:$BQ,29,0)</f>
        <v>#N/A</v>
      </c>
      <c r="AQ270" s="66" t="e">
        <f>VLOOKUP($A270,'S48'!$C:$BQ,30,0)</f>
        <v>#N/A</v>
      </c>
      <c r="AR270" s="66" t="e">
        <f>VLOOKUP($A270,'S48'!$C:$BQ,52,0)</f>
        <v>#N/A</v>
      </c>
      <c r="AS270" s="66" t="e">
        <f>VLOOKUP($A270,'S48'!$C:$BQ,59,0)</f>
        <v>#N/A</v>
      </c>
      <c r="AT270" s="66" t="e">
        <f>VLOOKUP($A270,'S48'!$C:$BQ,60,0)</f>
        <v>#N/A</v>
      </c>
      <c r="AU270" s="58" t="e">
        <f>VLOOKUP($A270,'S49'!$C:$BQ,32,0)</f>
        <v>#N/A</v>
      </c>
      <c r="AV270" s="58" t="e">
        <f>VLOOKUP($A270,'S49'!$C:$BQ,39,0)</f>
        <v>#N/A</v>
      </c>
      <c r="AW270" s="58" t="e">
        <f>VLOOKUP($A270,'S49'!$C:$BQ,40,0)</f>
        <v>#N/A</v>
      </c>
      <c r="AX270" s="58" t="e">
        <f>VLOOKUP($A270,'S49'!$C:$BQ,22,0)</f>
        <v>#N/A</v>
      </c>
      <c r="AY270" s="66" t="e">
        <f>VLOOKUP($A270,'S49'!$C:$BQ,29,0)</f>
        <v>#N/A</v>
      </c>
      <c r="AZ270" s="66" t="e">
        <f>VLOOKUP($A270,'S49'!$C:$BQ,30,0)</f>
        <v>#N/A</v>
      </c>
      <c r="BA270" s="66" t="e">
        <f>VLOOKUP($A270,'S49'!$C:$BQ,52,0)</f>
        <v>#N/A</v>
      </c>
      <c r="BB270" s="66" t="e">
        <f>VLOOKUP($A270,'S49'!$C:$BQ,59,0)</f>
        <v>#N/A</v>
      </c>
      <c r="BC270" s="66" t="e">
        <f>VLOOKUP($A270,'S49'!$C:$BQ,60,0)</f>
        <v>#N/A</v>
      </c>
      <c r="BD270" s="58" t="e">
        <f>VLOOKUP($A270,'S50'!$C:$BQ,32,0)</f>
        <v>#N/A</v>
      </c>
      <c r="BE270" s="58" t="e">
        <f>VLOOKUP($A270,'S50'!$C:$BQ,39,0)</f>
        <v>#N/A</v>
      </c>
      <c r="BF270" s="58" t="e">
        <f>VLOOKUP($A270,'S50'!$C:$BQ,40,0)</f>
        <v>#N/A</v>
      </c>
      <c r="BG270" s="58" t="e">
        <f>VLOOKUP($A270,'S50'!$C:$BQ,22,0)</f>
        <v>#N/A</v>
      </c>
      <c r="BH270" s="66" t="e">
        <f>VLOOKUP($A270,'S50'!$C:$BQ,29,0)</f>
        <v>#N/A</v>
      </c>
      <c r="BI270" s="66" t="e">
        <f>VLOOKUP($A270,'S50'!$C:$BQ,30,0)</f>
        <v>#N/A</v>
      </c>
      <c r="BJ270" s="66" t="e">
        <f>VLOOKUP($A270,'S50'!$C:$BQ,52,0)</f>
        <v>#N/A</v>
      </c>
      <c r="BK270" s="66" t="e">
        <f>VLOOKUP($A270,'S50'!$C:$BQ,59,0)</f>
        <v>#N/A</v>
      </c>
      <c r="BL270" s="66" t="e">
        <f>VLOOKUP($A270,'S50'!$C:$BQ,60,0)</f>
        <v>#N/A</v>
      </c>
    </row>
    <row r="271" spans="1:64" x14ac:dyDescent="0.2">
      <c r="A271" s="57" t="s">
        <v>345</v>
      </c>
      <c r="B271" s="58">
        <f>VLOOKUP($A271,'S0 remplacer avec S44'!$C:$BQ,32,0)</f>
        <v>167.9</v>
      </c>
      <c r="C271" s="58">
        <f>VLOOKUP($A271,'S0 remplacer avec S44'!$C:$BQ,39,0)</f>
        <v>116</v>
      </c>
      <c r="D271" s="58">
        <f>VLOOKUP($A271,'S0 remplacer avec S44'!$C:$BQ,40,0)</f>
        <v>173</v>
      </c>
      <c r="E271" s="58">
        <f>VLOOKUP($A271,'S0 remplacer avec S44'!$C:$BQ,22,0)</f>
        <v>2284.5295099999998</v>
      </c>
      <c r="F271" s="66">
        <f>VLOOKUP($A271,'S0 remplacer avec S44'!$C:$BQ,29,0)</f>
        <v>295</v>
      </c>
      <c r="G271" s="66">
        <f>VLOOKUP($A271,'S0 remplacer avec S44'!$C:$BQ,30,0)</f>
        <v>811</v>
      </c>
      <c r="H271" s="66">
        <f>VLOOKUP($A271,'S0 remplacer avec S44'!$C:$BQ,52,0)</f>
        <v>122.4</v>
      </c>
      <c r="I271" s="66">
        <f>VLOOKUP($A271,'S0 remplacer avec S44'!$C:$BQ,59,0)</f>
        <v>22</v>
      </c>
      <c r="J271" s="66">
        <f>VLOOKUP($A271,'S0 remplacer avec S44'!$C:$BQ,60,0)</f>
        <v>51</v>
      </c>
      <c r="K271" s="58">
        <f>VLOOKUP($A271,'S45'!$C:$BQ,32,0)</f>
        <v>170.4</v>
      </c>
      <c r="L271" s="58">
        <f>VLOOKUP($A271,'S45'!$C:$BQ,39,0)</f>
        <v>114</v>
      </c>
      <c r="M271" s="58">
        <f>VLOOKUP($A271,'S45'!$C:$BQ,40,0)</f>
        <v>170</v>
      </c>
      <c r="N271" s="58">
        <f>VLOOKUP($A271,'S45'!$C:$BQ,22,0)</f>
        <v>2339.8141599999999</v>
      </c>
      <c r="O271" s="66">
        <f>VLOOKUP($A271,'S45'!$C:$BQ,29,0)</f>
        <v>240</v>
      </c>
      <c r="P271" s="66">
        <f>VLOOKUP($A271,'S45'!$C:$BQ,30,0)</f>
        <v>756</v>
      </c>
      <c r="Q271" s="66">
        <f>VLOOKUP($A271,'S45'!$C:$BQ,52,0)</f>
        <v>126.4</v>
      </c>
      <c r="R271" s="66">
        <f>VLOOKUP($A271,'S45'!$C:$BQ,59,0)</f>
        <v>18</v>
      </c>
      <c r="S271" s="66">
        <f>VLOOKUP($A271,'S45'!$C:$BQ,60,0)</f>
        <v>47</v>
      </c>
      <c r="T271" s="58">
        <f>VLOOKUP($A271,'S46'!$C:$BQ,32,0)</f>
        <v>170.9</v>
      </c>
      <c r="U271" s="58">
        <f>VLOOKUP($A271,'S46'!$C:$BQ,39,0)</f>
        <v>113</v>
      </c>
      <c r="V271" s="58">
        <f>VLOOKUP($A271,'S46'!$C:$BQ,40,0)</f>
        <v>170</v>
      </c>
      <c r="W271" s="58">
        <f>VLOOKUP($A271,'S46'!$C:$BQ,22,0)</f>
        <v>2350.1375699999999</v>
      </c>
      <c r="X271" s="66">
        <f>VLOOKUP($A271,'S46'!$C:$BQ,29,0)</f>
        <v>230</v>
      </c>
      <c r="Y271" s="66">
        <f>VLOOKUP($A271,'S46'!$C:$BQ,30,0)</f>
        <v>746</v>
      </c>
      <c r="Z271" s="66">
        <f>VLOOKUP($A271,'S46'!$C:$BQ,52,0)</f>
        <v>127.4</v>
      </c>
      <c r="AA271" s="66">
        <f>VLOOKUP($A271,'S46'!$C:$BQ,59,0)</f>
        <v>17</v>
      </c>
      <c r="AB271" s="66">
        <f>VLOOKUP($A271,'S46'!$C:$BQ,60,0)</f>
        <v>46</v>
      </c>
      <c r="AC271" s="58">
        <f>VLOOKUP($A271,'S47'!$C:$BQ,32,0)</f>
        <v>173.4</v>
      </c>
      <c r="AD271" s="58">
        <f>VLOOKUP($A271,'S47'!$C:$BQ,39,0)</f>
        <v>111</v>
      </c>
      <c r="AE271" s="58">
        <f>VLOOKUP($A271,'S47'!$C:$BQ,40,0)</f>
        <v>167</v>
      </c>
      <c r="AF271" s="58">
        <f>VLOOKUP($A271,'S47'!$C:$BQ,22,0)</f>
        <v>2403.4753500000002</v>
      </c>
      <c r="AG271" s="66">
        <f>VLOOKUP($A271,'S47'!$C:$BQ,29,0)</f>
        <v>176</v>
      </c>
      <c r="AH271" s="66">
        <f>VLOOKUP($A271,'S47'!$C:$BQ,30,0)</f>
        <v>692</v>
      </c>
      <c r="AI271" s="66">
        <f>VLOOKUP($A271,'S47'!$C:$BQ,52,0)</f>
        <v>128.4</v>
      </c>
      <c r="AJ271" s="66">
        <f>VLOOKUP($A271,'S47'!$C:$BQ,59,0)</f>
        <v>16</v>
      </c>
      <c r="AK271" s="66">
        <f>VLOOKUP($A271,'S47'!$C:$BQ,60,0)</f>
        <v>45</v>
      </c>
      <c r="AL271" s="58" t="e">
        <f>VLOOKUP($A271,'S48'!$C:$BQ,32,0)</f>
        <v>#N/A</v>
      </c>
      <c r="AM271" s="58" t="e">
        <f>VLOOKUP($A271,'S48'!$C:$BQ,39,0)</f>
        <v>#N/A</v>
      </c>
      <c r="AN271" s="58" t="e">
        <f>VLOOKUP($A271,'S48'!$C:$BQ,40,0)</f>
        <v>#N/A</v>
      </c>
      <c r="AO271" s="58" t="e">
        <f>VLOOKUP($A271,'S48'!$C:$BQ,22,0)</f>
        <v>#N/A</v>
      </c>
      <c r="AP271" s="66" t="e">
        <f>VLOOKUP($A271,'S48'!$C:$BQ,29,0)</f>
        <v>#N/A</v>
      </c>
      <c r="AQ271" s="66" t="e">
        <f>VLOOKUP($A271,'S48'!$C:$BQ,30,0)</f>
        <v>#N/A</v>
      </c>
      <c r="AR271" s="66" t="e">
        <f>VLOOKUP($A271,'S48'!$C:$BQ,52,0)</f>
        <v>#N/A</v>
      </c>
      <c r="AS271" s="66" t="e">
        <f>VLOOKUP($A271,'S48'!$C:$BQ,59,0)</f>
        <v>#N/A</v>
      </c>
      <c r="AT271" s="66" t="e">
        <f>VLOOKUP($A271,'S48'!$C:$BQ,60,0)</f>
        <v>#N/A</v>
      </c>
      <c r="AU271" s="58" t="e">
        <f>VLOOKUP($A271,'S49'!$C:$BQ,32,0)</f>
        <v>#N/A</v>
      </c>
      <c r="AV271" s="58" t="e">
        <f>VLOOKUP($A271,'S49'!$C:$BQ,39,0)</f>
        <v>#N/A</v>
      </c>
      <c r="AW271" s="58" t="e">
        <f>VLOOKUP($A271,'S49'!$C:$BQ,40,0)</f>
        <v>#N/A</v>
      </c>
      <c r="AX271" s="58" t="e">
        <f>VLOOKUP($A271,'S49'!$C:$BQ,22,0)</f>
        <v>#N/A</v>
      </c>
      <c r="AY271" s="66" t="e">
        <f>VLOOKUP($A271,'S49'!$C:$BQ,29,0)</f>
        <v>#N/A</v>
      </c>
      <c r="AZ271" s="66" t="e">
        <f>VLOOKUP($A271,'S49'!$C:$BQ,30,0)</f>
        <v>#N/A</v>
      </c>
      <c r="BA271" s="66" t="e">
        <f>VLOOKUP($A271,'S49'!$C:$BQ,52,0)</f>
        <v>#N/A</v>
      </c>
      <c r="BB271" s="66" t="e">
        <f>VLOOKUP($A271,'S49'!$C:$BQ,59,0)</f>
        <v>#N/A</v>
      </c>
      <c r="BC271" s="66" t="e">
        <f>VLOOKUP($A271,'S49'!$C:$BQ,60,0)</f>
        <v>#N/A</v>
      </c>
      <c r="BD271" s="58" t="e">
        <f>VLOOKUP($A271,'S50'!$C:$BQ,32,0)</f>
        <v>#N/A</v>
      </c>
      <c r="BE271" s="58" t="e">
        <f>VLOOKUP($A271,'S50'!$C:$BQ,39,0)</f>
        <v>#N/A</v>
      </c>
      <c r="BF271" s="58" t="e">
        <f>VLOOKUP($A271,'S50'!$C:$BQ,40,0)</f>
        <v>#N/A</v>
      </c>
      <c r="BG271" s="58" t="e">
        <f>VLOOKUP($A271,'S50'!$C:$BQ,22,0)</f>
        <v>#N/A</v>
      </c>
      <c r="BH271" s="66" t="e">
        <f>VLOOKUP($A271,'S50'!$C:$BQ,29,0)</f>
        <v>#N/A</v>
      </c>
      <c r="BI271" s="66" t="e">
        <f>VLOOKUP($A271,'S50'!$C:$BQ,30,0)</f>
        <v>#N/A</v>
      </c>
      <c r="BJ271" s="66" t="e">
        <f>VLOOKUP($A271,'S50'!$C:$BQ,52,0)</f>
        <v>#N/A</v>
      </c>
      <c r="BK271" s="66" t="e">
        <f>VLOOKUP($A271,'S50'!$C:$BQ,59,0)</f>
        <v>#N/A</v>
      </c>
      <c r="BL271" s="66" t="e">
        <f>VLOOKUP($A271,'S50'!$C:$BQ,60,0)</f>
        <v>#N/A</v>
      </c>
    </row>
    <row r="272" spans="1:64" x14ac:dyDescent="0.2">
      <c r="A272" s="57" t="s">
        <v>346</v>
      </c>
      <c r="B272" s="58">
        <f>VLOOKUP($A272,'S0 remplacer avec S44'!$C:$BQ,32,0)</f>
        <v>474.15</v>
      </c>
      <c r="C272" s="58">
        <f>VLOOKUP($A272,'S0 remplacer avec S44'!$C:$BQ,39,0)</f>
        <v>73</v>
      </c>
      <c r="D272" s="58">
        <f>VLOOKUP($A272,'S0 remplacer avec S44'!$C:$BQ,40,0)</f>
        <v>182</v>
      </c>
      <c r="E272" s="58">
        <f>VLOOKUP($A272,'S0 remplacer avec S44'!$C:$BQ,22,0)</f>
        <v>4102.5174299999999</v>
      </c>
      <c r="F272" s="66">
        <f>VLOOKUP($A272,'S0 remplacer avec S44'!$C:$BQ,29,0)</f>
        <v>869</v>
      </c>
      <c r="G272" s="66">
        <f>VLOOKUP($A272,'S0 remplacer avec S44'!$C:$BQ,30,0)</f>
        <v>1864</v>
      </c>
      <c r="H272" s="66">
        <f>VLOOKUP($A272,'S0 remplacer avec S44'!$C:$BQ,52,0)</f>
        <v>535.79999999999995</v>
      </c>
      <c r="I272" s="66">
        <f>VLOOKUP($A272,'S0 remplacer avec S44'!$C:$BQ,59,0)</f>
        <v>0</v>
      </c>
      <c r="J272" s="66">
        <f>VLOOKUP($A272,'S0 remplacer avec S44'!$C:$BQ,60,0)</f>
        <v>0</v>
      </c>
      <c r="K272" s="58">
        <f>VLOOKUP($A272,'S45'!$C:$BQ,32,0)</f>
        <v>478.65</v>
      </c>
      <c r="L272" s="58">
        <f>VLOOKUP($A272,'S45'!$C:$BQ,39,0)</f>
        <v>68</v>
      </c>
      <c r="M272" s="58">
        <f>VLOOKUP($A272,'S45'!$C:$BQ,40,0)</f>
        <v>178</v>
      </c>
      <c r="N272" s="58">
        <f>VLOOKUP($A272,'S45'!$C:$BQ,22,0)</f>
        <v>4195.5075200000001</v>
      </c>
      <c r="O272" s="66">
        <f>VLOOKUP($A272,'S45'!$C:$BQ,29,0)</f>
        <v>776</v>
      </c>
      <c r="P272" s="66">
        <f>VLOOKUP($A272,'S45'!$C:$BQ,30,0)</f>
        <v>1771</v>
      </c>
      <c r="Q272" s="66">
        <f>VLOOKUP($A272,'S45'!$C:$BQ,52,0)</f>
        <v>549.79999999999995</v>
      </c>
      <c r="R272" s="66">
        <f>VLOOKUP($A272,'S45'!$C:$BQ,59,0)</f>
        <v>0</v>
      </c>
      <c r="S272" s="66">
        <f>VLOOKUP($A272,'S45'!$C:$BQ,60,0)</f>
        <v>0</v>
      </c>
      <c r="T272" s="58">
        <f>VLOOKUP($A272,'S46'!$C:$BQ,32,0)</f>
        <v>483.65</v>
      </c>
      <c r="U272" s="58">
        <f>VLOOKUP($A272,'S46'!$C:$BQ,39,0)</f>
        <v>63</v>
      </c>
      <c r="V272" s="58">
        <f>VLOOKUP($A272,'S46'!$C:$BQ,40,0)</f>
        <v>173</v>
      </c>
      <c r="W272" s="58">
        <f>VLOOKUP($A272,'S46'!$C:$BQ,22,0)</f>
        <v>4197.3262699999996</v>
      </c>
      <c r="X272" s="66">
        <f>VLOOKUP($A272,'S46'!$C:$BQ,29,0)</f>
        <v>775</v>
      </c>
      <c r="Y272" s="66">
        <f>VLOOKUP($A272,'S46'!$C:$BQ,30,0)</f>
        <v>1769</v>
      </c>
      <c r="Z272" s="66">
        <f>VLOOKUP($A272,'S46'!$C:$BQ,52,0)</f>
        <v>558.79999999999995</v>
      </c>
      <c r="AA272" s="66">
        <f>VLOOKUP($A272,'S46'!$C:$BQ,59,0)</f>
        <v>0</v>
      </c>
      <c r="AB272" s="66">
        <f>VLOOKUP($A272,'S46'!$C:$BQ,60,0)</f>
        <v>0</v>
      </c>
      <c r="AC272" s="58">
        <f>VLOOKUP($A272,'S47'!$C:$BQ,32,0)</f>
        <v>511.15</v>
      </c>
      <c r="AD272" s="58">
        <f>VLOOKUP($A272,'S47'!$C:$BQ,39,0)</f>
        <v>36</v>
      </c>
      <c r="AE272" s="58">
        <f>VLOOKUP($A272,'S47'!$C:$BQ,40,0)</f>
        <v>145</v>
      </c>
      <c r="AF272" s="58">
        <f>VLOOKUP($A272,'S47'!$C:$BQ,22,0)</f>
        <v>4271.0447000000004</v>
      </c>
      <c r="AG272" s="66">
        <f>VLOOKUP($A272,'S47'!$C:$BQ,29,0)</f>
        <v>701</v>
      </c>
      <c r="AH272" s="66">
        <f>VLOOKUP($A272,'S47'!$C:$BQ,30,0)</f>
        <v>1695</v>
      </c>
      <c r="AI272" s="66">
        <f>VLOOKUP($A272,'S47'!$C:$BQ,52,0)</f>
        <v>571.79999999999995</v>
      </c>
      <c r="AJ272" s="66">
        <f>VLOOKUP($A272,'S47'!$C:$BQ,59,0)</f>
        <v>0</v>
      </c>
      <c r="AK272" s="66">
        <f>VLOOKUP($A272,'S47'!$C:$BQ,60,0)</f>
        <v>0</v>
      </c>
      <c r="AL272" s="58" t="e">
        <f>VLOOKUP($A272,'S48'!$C:$BQ,32,0)</f>
        <v>#N/A</v>
      </c>
      <c r="AM272" s="58" t="e">
        <f>VLOOKUP($A272,'S48'!$C:$BQ,39,0)</f>
        <v>#N/A</v>
      </c>
      <c r="AN272" s="58" t="e">
        <f>VLOOKUP($A272,'S48'!$C:$BQ,40,0)</f>
        <v>#N/A</v>
      </c>
      <c r="AO272" s="58" t="e">
        <f>VLOOKUP($A272,'S48'!$C:$BQ,22,0)</f>
        <v>#N/A</v>
      </c>
      <c r="AP272" s="66" t="e">
        <f>VLOOKUP($A272,'S48'!$C:$BQ,29,0)</f>
        <v>#N/A</v>
      </c>
      <c r="AQ272" s="66" t="e">
        <f>VLOOKUP($A272,'S48'!$C:$BQ,30,0)</f>
        <v>#N/A</v>
      </c>
      <c r="AR272" s="66" t="e">
        <f>VLOOKUP($A272,'S48'!$C:$BQ,52,0)</f>
        <v>#N/A</v>
      </c>
      <c r="AS272" s="66" t="e">
        <f>VLOOKUP($A272,'S48'!$C:$BQ,59,0)</f>
        <v>#N/A</v>
      </c>
      <c r="AT272" s="66" t="e">
        <f>VLOOKUP($A272,'S48'!$C:$BQ,60,0)</f>
        <v>#N/A</v>
      </c>
      <c r="AU272" s="58" t="e">
        <f>VLOOKUP($A272,'S49'!$C:$BQ,32,0)</f>
        <v>#N/A</v>
      </c>
      <c r="AV272" s="58" t="e">
        <f>VLOOKUP($A272,'S49'!$C:$BQ,39,0)</f>
        <v>#N/A</v>
      </c>
      <c r="AW272" s="58" t="e">
        <f>VLOOKUP($A272,'S49'!$C:$BQ,40,0)</f>
        <v>#N/A</v>
      </c>
      <c r="AX272" s="58" t="e">
        <f>VLOOKUP($A272,'S49'!$C:$BQ,22,0)</f>
        <v>#N/A</v>
      </c>
      <c r="AY272" s="66" t="e">
        <f>VLOOKUP($A272,'S49'!$C:$BQ,29,0)</f>
        <v>#N/A</v>
      </c>
      <c r="AZ272" s="66" t="e">
        <f>VLOOKUP($A272,'S49'!$C:$BQ,30,0)</f>
        <v>#N/A</v>
      </c>
      <c r="BA272" s="66" t="e">
        <f>VLOOKUP($A272,'S49'!$C:$BQ,52,0)</f>
        <v>#N/A</v>
      </c>
      <c r="BB272" s="66" t="e">
        <f>VLOOKUP($A272,'S49'!$C:$BQ,59,0)</f>
        <v>#N/A</v>
      </c>
      <c r="BC272" s="66" t="e">
        <f>VLOOKUP($A272,'S49'!$C:$BQ,60,0)</f>
        <v>#N/A</v>
      </c>
      <c r="BD272" s="58" t="e">
        <f>VLOOKUP($A272,'S50'!$C:$BQ,32,0)</f>
        <v>#N/A</v>
      </c>
      <c r="BE272" s="58" t="e">
        <f>VLOOKUP($A272,'S50'!$C:$BQ,39,0)</f>
        <v>#N/A</v>
      </c>
      <c r="BF272" s="58" t="e">
        <f>VLOOKUP($A272,'S50'!$C:$BQ,40,0)</f>
        <v>#N/A</v>
      </c>
      <c r="BG272" s="58" t="e">
        <f>VLOOKUP($A272,'S50'!$C:$BQ,22,0)</f>
        <v>#N/A</v>
      </c>
      <c r="BH272" s="66" t="e">
        <f>VLOOKUP($A272,'S50'!$C:$BQ,29,0)</f>
        <v>#N/A</v>
      </c>
      <c r="BI272" s="66" t="e">
        <f>VLOOKUP($A272,'S50'!$C:$BQ,30,0)</f>
        <v>#N/A</v>
      </c>
      <c r="BJ272" s="66" t="e">
        <f>VLOOKUP($A272,'S50'!$C:$BQ,52,0)</f>
        <v>#N/A</v>
      </c>
      <c r="BK272" s="66" t="e">
        <f>VLOOKUP($A272,'S50'!$C:$BQ,59,0)</f>
        <v>#N/A</v>
      </c>
      <c r="BL272" s="66" t="e">
        <f>VLOOKUP($A272,'S50'!$C:$BQ,60,0)</f>
        <v>#N/A</v>
      </c>
    </row>
    <row r="273" spans="1:64" x14ac:dyDescent="0.2">
      <c r="A273" s="57" t="s">
        <v>347</v>
      </c>
      <c r="B273" s="58">
        <f>VLOOKUP($A273,'S0 remplacer avec S44'!$C:$BQ,32,0)</f>
        <v>101.7</v>
      </c>
      <c r="C273" s="58">
        <f>VLOOKUP($A273,'S0 remplacer avec S44'!$C:$BQ,39,0)</f>
        <v>18</v>
      </c>
      <c r="D273" s="58">
        <f>VLOOKUP($A273,'S0 remplacer avec S44'!$C:$BQ,40,0)</f>
        <v>42</v>
      </c>
      <c r="E273" s="58">
        <f>VLOOKUP($A273,'S0 remplacer avec S44'!$C:$BQ,22,0)</f>
        <v>967.91809499999999</v>
      </c>
      <c r="F273" s="66">
        <f>VLOOKUP($A273,'S0 remplacer avec S44'!$C:$BQ,29,0)</f>
        <v>121</v>
      </c>
      <c r="G273" s="66">
        <f>VLOOKUP($A273,'S0 remplacer avec S44'!$C:$BQ,30,0)</f>
        <v>338</v>
      </c>
      <c r="H273" s="66">
        <f>VLOOKUP($A273,'S0 remplacer avec S44'!$C:$BQ,52,0)</f>
        <v>83.4</v>
      </c>
      <c r="I273" s="66">
        <f>VLOOKUP($A273,'S0 remplacer avec S44'!$C:$BQ,59,0)</f>
        <v>0</v>
      </c>
      <c r="J273" s="66">
        <f>VLOOKUP($A273,'S0 remplacer avec S44'!$C:$BQ,60,0)</f>
        <v>0</v>
      </c>
      <c r="K273" s="58">
        <f>VLOOKUP($A273,'S45'!$C:$BQ,32,0)</f>
        <v>107.7</v>
      </c>
      <c r="L273" s="58">
        <f>VLOOKUP($A273,'S45'!$C:$BQ,39,0)</f>
        <v>12</v>
      </c>
      <c r="M273" s="58">
        <f>VLOOKUP($A273,'S45'!$C:$BQ,40,0)</f>
        <v>36</v>
      </c>
      <c r="N273" s="58">
        <f>VLOOKUP($A273,'S45'!$C:$BQ,22,0)</f>
        <v>969.03443500000003</v>
      </c>
      <c r="O273" s="66">
        <f>VLOOKUP($A273,'S45'!$C:$BQ,29,0)</f>
        <v>120</v>
      </c>
      <c r="P273" s="66">
        <f>VLOOKUP($A273,'S45'!$C:$BQ,30,0)</f>
        <v>337</v>
      </c>
      <c r="Q273" s="66">
        <f>VLOOKUP($A273,'S45'!$C:$BQ,52,0)</f>
        <v>83.4</v>
      </c>
      <c r="R273" s="66">
        <f>VLOOKUP($A273,'S45'!$C:$BQ,59,0)</f>
        <v>0</v>
      </c>
      <c r="S273" s="66">
        <f>VLOOKUP($A273,'S45'!$C:$BQ,60,0)</f>
        <v>0</v>
      </c>
      <c r="T273" s="58">
        <f>VLOOKUP($A273,'S46'!$C:$BQ,32,0)</f>
        <v>106.2</v>
      </c>
      <c r="U273" s="58">
        <f>VLOOKUP($A273,'S46'!$C:$BQ,39,0)</f>
        <v>14</v>
      </c>
      <c r="V273" s="58">
        <f>VLOOKUP($A273,'S46'!$C:$BQ,40,0)</f>
        <v>38</v>
      </c>
      <c r="W273" s="58">
        <f>VLOOKUP($A273,'S46'!$C:$BQ,22,0)</f>
        <v>967.31460500000003</v>
      </c>
      <c r="X273" s="66">
        <f>VLOOKUP($A273,'S46'!$C:$BQ,29,0)</f>
        <v>121</v>
      </c>
      <c r="Y273" s="66">
        <f>VLOOKUP($A273,'S46'!$C:$BQ,30,0)</f>
        <v>339</v>
      </c>
      <c r="Z273" s="66">
        <f>VLOOKUP($A273,'S46'!$C:$BQ,52,0)</f>
        <v>83.4</v>
      </c>
      <c r="AA273" s="66">
        <f>VLOOKUP($A273,'S46'!$C:$BQ,59,0)</f>
        <v>0</v>
      </c>
      <c r="AB273" s="66">
        <f>VLOOKUP($A273,'S46'!$C:$BQ,60,0)</f>
        <v>0</v>
      </c>
      <c r="AC273" s="58">
        <f>VLOOKUP($A273,'S47'!$C:$BQ,32,0)</f>
        <v>107.7</v>
      </c>
      <c r="AD273" s="58">
        <f>VLOOKUP($A273,'S47'!$C:$BQ,39,0)</f>
        <v>12</v>
      </c>
      <c r="AE273" s="58">
        <f>VLOOKUP($A273,'S47'!$C:$BQ,40,0)</f>
        <v>36</v>
      </c>
      <c r="AF273" s="58">
        <f>VLOOKUP($A273,'S47'!$C:$BQ,22,0)</f>
        <v>975.00736500000005</v>
      </c>
      <c r="AG273" s="66">
        <f>VLOOKUP($A273,'S47'!$C:$BQ,29,0)</f>
        <v>114</v>
      </c>
      <c r="AH273" s="66">
        <f>VLOOKUP($A273,'S47'!$C:$BQ,30,0)</f>
        <v>331</v>
      </c>
      <c r="AI273" s="66">
        <f>VLOOKUP($A273,'S47'!$C:$BQ,52,0)</f>
        <v>87.4</v>
      </c>
      <c r="AJ273" s="66">
        <f>VLOOKUP($A273,'S47'!$C:$BQ,59,0)</f>
        <v>0</v>
      </c>
      <c r="AK273" s="66">
        <f>VLOOKUP($A273,'S47'!$C:$BQ,60,0)</f>
        <v>0</v>
      </c>
      <c r="AL273" s="58" t="e">
        <f>VLOOKUP($A273,'S48'!$C:$BQ,32,0)</f>
        <v>#N/A</v>
      </c>
      <c r="AM273" s="58" t="e">
        <f>VLOOKUP($A273,'S48'!$C:$BQ,39,0)</f>
        <v>#N/A</v>
      </c>
      <c r="AN273" s="58" t="e">
        <f>VLOOKUP($A273,'S48'!$C:$BQ,40,0)</f>
        <v>#N/A</v>
      </c>
      <c r="AO273" s="58" t="e">
        <f>VLOOKUP($A273,'S48'!$C:$BQ,22,0)</f>
        <v>#N/A</v>
      </c>
      <c r="AP273" s="66" t="e">
        <f>VLOOKUP($A273,'S48'!$C:$BQ,29,0)</f>
        <v>#N/A</v>
      </c>
      <c r="AQ273" s="66" t="e">
        <f>VLOOKUP($A273,'S48'!$C:$BQ,30,0)</f>
        <v>#N/A</v>
      </c>
      <c r="AR273" s="66" t="e">
        <f>VLOOKUP($A273,'S48'!$C:$BQ,52,0)</f>
        <v>#N/A</v>
      </c>
      <c r="AS273" s="66" t="e">
        <f>VLOOKUP($A273,'S48'!$C:$BQ,59,0)</f>
        <v>#N/A</v>
      </c>
      <c r="AT273" s="66" t="e">
        <f>VLOOKUP($A273,'S48'!$C:$BQ,60,0)</f>
        <v>#N/A</v>
      </c>
      <c r="AU273" s="58" t="e">
        <f>VLOOKUP($A273,'S49'!$C:$BQ,32,0)</f>
        <v>#N/A</v>
      </c>
      <c r="AV273" s="58" t="e">
        <f>VLOOKUP($A273,'S49'!$C:$BQ,39,0)</f>
        <v>#N/A</v>
      </c>
      <c r="AW273" s="58" t="e">
        <f>VLOOKUP($A273,'S49'!$C:$BQ,40,0)</f>
        <v>#N/A</v>
      </c>
      <c r="AX273" s="58" t="e">
        <f>VLOOKUP($A273,'S49'!$C:$BQ,22,0)</f>
        <v>#N/A</v>
      </c>
      <c r="AY273" s="66" t="e">
        <f>VLOOKUP($A273,'S49'!$C:$BQ,29,0)</f>
        <v>#N/A</v>
      </c>
      <c r="AZ273" s="66" t="e">
        <f>VLOOKUP($A273,'S49'!$C:$BQ,30,0)</f>
        <v>#N/A</v>
      </c>
      <c r="BA273" s="66" t="e">
        <f>VLOOKUP($A273,'S49'!$C:$BQ,52,0)</f>
        <v>#N/A</v>
      </c>
      <c r="BB273" s="66" t="e">
        <f>VLOOKUP($A273,'S49'!$C:$BQ,59,0)</f>
        <v>#N/A</v>
      </c>
      <c r="BC273" s="66" t="e">
        <f>VLOOKUP($A273,'S49'!$C:$BQ,60,0)</f>
        <v>#N/A</v>
      </c>
      <c r="BD273" s="58" t="e">
        <f>VLOOKUP($A273,'S50'!$C:$BQ,32,0)</f>
        <v>#N/A</v>
      </c>
      <c r="BE273" s="58" t="e">
        <f>VLOOKUP($A273,'S50'!$C:$BQ,39,0)</f>
        <v>#N/A</v>
      </c>
      <c r="BF273" s="58" t="e">
        <f>VLOOKUP($A273,'S50'!$C:$BQ,40,0)</f>
        <v>#N/A</v>
      </c>
      <c r="BG273" s="58" t="e">
        <f>VLOOKUP($A273,'S50'!$C:$BQ,22,0)</f>
        <v>#N/A</v>
      </c>
      <c r="BH273" s="66" t="e">
        <f>VLOOKUP($A273,'S50'!$C:$BQ,29,0)</f>
        <v>#N/A</v>
      </c>
      <c r="BI273" s="66" t="e">
        <f>VLOOKUP($A273,'S50'!$C:$BQ,30,0)</f>
        <v>#N/A</v>
      </c>
      <c r="BJ273" s="66" t="e">
        <f>VLOOKUP($A273,'S50'!$C:$BQ,52,0)</f>
        <v>#N/A</v>
      </c>
      <c r="BK273" s="66" t="e">
        <f>VLOOKUP($A273,'S50'!$C:$BQ,59,0)</f>
        <v>#N/A</v>
      </c>
      <c r="BL273" s="66" t="e">
        <f>VLOOKUP($A273,'S50'!$C:$BQ,60,0)</f>
        <v>#N/A</v>
      </c>
    </row>
    <row r="274" spans="1:64" x14ac:dyDescent="0.2">
      <c r="A274" s="57" t="s">
        <v>348</v>
      </c>
      <c r="B274" s="58">
        <f>VLOOKUP($A274,'S0 remplacer avec S44'!$C:$BQ,32,0)</f>
        <v>140.80000000000001</v>
      </c>
      <c r="C274" s="58">
        <f>VLOOKUP($A274,'S0 remplacer avec S44'!$C:$BQ,39,0)</f>
        <v>0</v>
      </c>
      <c r="D274" s="58">
        <f>VLOOKUP($A274,'S0 remplacer avec S44'!$C:$BQ,40,0)</f>
        <v>0</v>
      </c>
      <c r="E274" s="58">
        <f>VLOOKUP($A274,'S0 remplacer avec S44'!$C:$BQ,22,0)</f>
        <v>1735.7796249999999</v>
      </c>
      <c r="F274" s="66">
        <f>VLOOKUP($A274,'S0 remplacer avec S44'!$C:$BQ,29,0)</f>
        <v>0</v>
      </c>
      <c r="G274" s="66">
        <f>VLOOKUP($A274,'S0 remplacer avec S44'!$C:$BQ,30,0)</f>
        <v>0</v>
      </c>
      <c r="H274" s="66">
        <f>VLOOKUP($A274,'S0 remplacer avec S44'!$C:$BQ,52,0)</f>
        <v>105.8</v>
      </c>
      <c r="I274" s="66">
        <f>VLOOKUP($A274,'S0 remplacer avec S44'!$C:$BQ,59,0)</f>
        <v>0</v>
      </c>
      <c r="J274" s="66">
        <f>VLOOKUP($A274,'S0 remplacer avec S44'!$C:$BQ,60,0)</f>
        <v>0</v>
      </c>
      <c r="K274" s="58">
        <f>VLOOKUP($A274,'S45'!$C:$BQ,32,0)</f>
        <v>141.80000000000001</v>
      </c>
      <c r="L274" s="58">
        <f>VLOOKUP($A274,'S45'!$C:$BQ,39,0)</f>
        <v>0</v>
      </c>
      <c r="M274" s="58">
        <f>VLOOKUP($A274,'S45'!$C:$BQ,40,0)</f>
        <v>0</v>
      </c>
      <c r="N274" s="58">
        <f>VLOOKUP($A274,'S45'!$C:$BQ,22,0)</f>
        <v>1600.6143750000001</v>
      </c>
      <c r="O274" s="66">
        <f>VLOOKUP($A274,'S45'!$C:$BQ,29,0)</f>
        <v>0</v>
      </c>
      <c r="P274" s="66">
        <f>VLOOKUP($A274,'S45'!$C:$BQ,30,0)</f>
        <v>0</v>
      </c>
      <c r="Q274" s="66">
        <f>VLOOKUP($A274,'S45'!$C:$BQ,52,0)</f>
        <v>107.8</v>
      </c>
      <c r="R274" s="66">
        <f>VLOOKUP($A274,'S45'!$C:$BQ,59,0)</f>
        <v>0</v>
      </c>
      <c r="S274" s="66">
        <f>VLOOKUP($A274,'S45'!$C:$BQ,60,0)</f>
        <v>0</v>
      </c>
      <c r="T274" s="58">
        <f>VLOOKUP($A274,'S46'!$C:$BQ,32,0)</f>
        <v>142.80000000000001</v>
      </c>
      <c r="U274" s="58">
        <f>VLOOKUP($A274,'S46'!$C:$BQ,39,0)</f>
        <v>0</v>
      </c>
      <c r="V274" s="58">
        <f>VLOOKUP($A274,'S46'!$C:$BQ,40,0)</f>
        <v>0</v>
      </c>
      <c r="W274" s="58">
        <f>VLOOKUP($A274,'S46'!$C:$BQ,22,0)</f>
        <v>1601.1507449999999</v>
      </c>
      <c r="X274" s="66">
        <f>VLOOKUP($A274,'S46'!$C:$BQ,29,0)</f>
        <v>0</v>
      </c>
      <c r="Y274" s="66">
        <f>VLOOKUP($A274,'S46'!$C:$BQ,30,0)</f>
        <v>0</v>
      </c>
      <c r="Z274" s="66">
        <f>VLOOKUP($A274,'S46'!$C:$BQ,52,0)</f>
        <v>107.8</v>
      </c>
      <c r="AA274" s="66">
        <f>VLOOKUP($A274,'S46'!$C:$BQ,59,0)</f>
        <v>0</v>
      </c>
      <c r="AB274" s="66">
        <f>VLOOKUP($A274,'S46'!$C:$BQ,60,0)</f>
        <v>0</v>
      </c>
      <c r="AC274" s="58">
        <f>VLOOKUP($A274,'S47'!$C:$BQ,32,0)</f>
        <v>144.80000000000001</v>
      </c>
      <c r="AD274" s="58">
        <f>VLOOKUP($A274,'S47'!$C:$BQ,39,0)</f>
        <v>0</v>
      </c>
      <c r="AE274" s="58">
        <f>VLOOKUP($A274,'S47'!$C:$BQ,40,0)</f>
        <v>0</v>
      </c>
      <c r="AF274" s="58">
        <f>VLOOKUP($A274,'S47'!$C:$BQ,22,0)</f>
        <v>1633.7663849999999</v>
      </c>
      <c r="AG274" s="66">
        <f>VLOOKUP($A274,'S47'!$C:$BQ,29,0)</f>
        <v>0</v>
      </c>
      <c r="AH274" s="66">
        <f>VLOOKUP($A274,'S47'!$C:$BQ,30,0)</f>
        <v>0</v>
      </c>
      <c r="AI274" s="66">
        <f>VLOOKUP($A274,'S47'!$C:$BQ,52,0)</f>
        <v>109.8</v>
      </c>
      <c r="AJ274" s="66">
        <f>VLOOKUP($A274,'S47'!$C:$BQ,59,0)</f>
        <v>0</v>
      </c>
      <c r="AK274" s="66">
        <f>VLOOKUP($A274,'S47'!$C:$BQ,60,0)</f>
        <v>0</v>
      </c>
      <c r="AL274" s="58" t="e">
        <f>VLOOKUP($A274,'S48'!$C:$BQ,32,0)</f>
        <v>#N/A</v>
      </c>
      <c r="AM274" s="58" t="e">
        <f>VLOOKUP($A274,'S48'!$C:$BQ,39,0)</f>
        <v>#N/A</v>
      </c>
      <c r="AN274" s="58" t="e">
        <f>VLOOKUP($A274,'S48'!$C:$BQ,40,0)</f>
        <v>#N/A</v>
      </c>
      <c r="AO274" s="58" t="e">
        <f>VLOOKUP($A274,'S48'!$C:$BQ,22,0)</f>
        <v>#N/A</v>
      </c>
      <c r="AP274" s="66" t="e">
        <f>VLOOKUP($A274,'S48'!$C:$BQ,29,0)</f>
        <v>#N/A</v>
      </c>
      <c r="AQ274" s="66" t="e">
        <f>VLOOKUP($A274,'S48'!$C:$BQ,30,0)</f>
        <v>#N/A</v>
      </c>
      <c r="AR274" s="66" t="e">
        <f>VLOOKUP($A274,'S48'!$C:$BQ,52,0)</f>
        <v>#N/A</v>
      </c>
      <c r="AS274" s="66" t="e">
        <f>VLOOKUP($A274,'S48'!$C:$BQ,59,0)</f>
        <v>#N/A</v>
      </c>
      <c r="AT274" s="66" t="e">
        <f>VLOOKUP($A274,'S48'!$C:$BQ,60,0)</f>
        <v>#N/A</v>
      </c>
      <c r="AU274" s="58" t="e">
        <f>VLOOKUP($A274,'S49'!$C:$BQ,32,0)</f>
        <v>#N/A</v>
      </c>
      <c r="AV274" s="58" t="e">
        <f>VLOOKUP($A274,'S49'!$C:$BQ,39,0)</f>
        <v>#N/A</v>
      </c>
      <c r="AW274" s="58" t="e">
        <f>VLOOKUP($A274,'S49'!$C:$BQ,40,0)</f>
        <v>#N/A</v>
      </c>
      <c r="AX274" s="58" t="e">
        <f>VLOOKUP($A274,'S49'!$C:$BQ,22,0)</f>
        <v>#N/A</v>
      </c>
      <c r="AY274" s="66" t="e">
        <f>VLOOKUP($A274,'S49'!$C:$BQ,29,0)</f>
        <v>#N/A</v>
      </c>
      <c r="AZ274" s="66" t="e">
        <f>VLOOKUP($A274,'S49'!$C:$BQ,30,0)</f>
        <v>#N/A</v>
      </c>
      <c r="BA274" s="66" t="e">
        <f>VLOOKUP($A274,'S49'!$C:$BQ,52,0)</f>
        <v>#N/A</v>
      </c>
      <c r="BB274" s="66" t="e">
        <f>VLOOKUP($A274,'S49'!$C:$BQ,59,0)</f>
        <v>#N/A</v>
      </c>
      <c r="BC274" s="66" t="e">
        <f>VLOOKUP($A274,'S49'!$C:$BQ,60,0)</f>
        <v>#N/A</v>
      </c>
      <c r="BD274" s="58" t="e">
        <f>VLOOKUP($A274,'S50'!$C:$BQ,32,0)</f>
        <v>#N/A</v>
      </c>
      <c r="BE274" s="58" t="e">
        <f>VLOOKUP($A274,'S50'!$C:$BQ,39,0)</f>
        <v>#N/A</v>
      </c>
      <c r="BF274" s="58" t="e">
        <f>VLOOKUP($A274,'S50'!$C:$BQ,40,0)</f>
        <v>#N/A</v>
      </c>
      <c r="BG274" s="58" t="e">
        <f>VLOOKUP($A274,'S50'!$C:$BQ,22,0)</f>
        <v>#N/A</v>
      </c>
      <c r="BH274" s="66" t="e">
        <f>VLOOKUP($A274,'S50'!$C:$BQ,29,0)</f>
        <v>#N/A</v>
      </c>
      <c r="BI274" s="66" t="e">
        <f>VLOOKUP($A274,'S50'!$C:$BQ,30,0)</f>
        <v>#N/A</v>
      </c>
      <c r="BJ274" s="66" t="e">
        <f>VLOOKUP($A274,'S50'!$C:$BQ,52,0)</f>
        <v>#N/A</v>
      </c>
      <c r="BK274" s="66" t="e">
        <f>VLOOKUP($A274,'S50'!$C:$BQ,59,0)</f>
        <v>#N/A</v>
      </c>
      <c r="BL274" s="66" t="e">
        <f>VLOOKUP($A274,'S50'!$C:$BQ,60,0)</f>
        <v>#N/A</v>
      </c>
    </row>
    <row r="275" spans="1:64" x14ac:dyDescent="0.2">
      <c r="A275" s="57" t="s">
        <v>349</v>
      </c>
      <c r="B275" s="58">
        <f>VLOOKUP($A275,'S0 remplacer avec S44'!$C:$BQ,32,0)</f>
        <v>153.5</v>
      </c>
      <c r="C275" s="58">
        <f>VLOOKUP($A275,'S0 remplacer avec S44'!$C:$BQ,39,0)</f>
        <v>103</v>
      </c>
      <c r="D275" s="58">
        <f>VLOOKUP($A275,'S0 remplacer avec S44'!$C:$BQ,40,0)</f>
        <v>154</v>
      </c>
      <c r="E275" s="58">
        <f>VLOOKUP($A275,'S0 remplacer avec S44'!$C:$BQ,22,0)</f>
        <v>1478.75477</v>
      </c>
      <c r="F275" s="66">
        <f>VLOOKUP($A275,'S0 remplacer avec S44'!$C:$BQ,29,0)</f>
        <v>851</v>
      </c>
      <c r="G275" s="66">
        <f>VLOOKUP($A275,'S0 remplacer avec S44'!$C:$BQ,30,0)</f>
        <v>1317</v>
      </c>
      <c r="H275" s="66">
        <f>VLOOKUP($A275,'S0 remplacer avec S44'!$C:$BQ,52,0)</f>
        <v>140.4</v>
      </c>
      <c r="I275" s="66">
        <f>VLOOKUP($A275,'S0 remplacer avec S44'!$C:$BQ,59,0)</f>
        <v>0</v>
      </c>
      <c r="J275" s="66">
        <f>VLOOKUP($A275,'S0 remplacer avec S44'!$C:$BQ,60,0)</f>
        <v>16</v>
      </c>
      <c r="K275" s="58">
        <f>VLOOKUP($A275,'S45'!$C:$BQ,32,0)</f>
        <v>154</v>
      </c>
      <c r="L275" s="58">
        <f>VLOOKUP($A275,'S45'!$C:$BQ,39,0)</f>
        <v>103</v>
      </c>
      <c r="M275" s="58">
        <f>VLOOKUP($A275,'S45'!$C:$BQ,40,0)</f>
        <v>154</v>
      </c>
      <c r="N275" s="58">
        <f>VLOOKUP($A275,'S45'!$C:$BQ,22,0)</f>
        <v>1494.5814800000001</v>
      </c>
      <c r="O275" s="66">
        <f>VLOOKUP($A275,'S45'!$C:$BQ,29,0)</f>
        <v>835</v>
      </c>
      <c r="P275" s="66">
        <f>VLOOKUP($A275,'S45'!$C:$BQ,30,0)</f>
        <v>1301</v>
      </c>
      <c r="Q275" s="66">
        <f>VLOOKUP($A275,'S45'!$C:$BQ,52,0)</f>
        <v>141.4</v>
      </c>
      <c r="R275" s="66">
        <f>VLOOKUP($A275,'S45'!$C:$BQ,59,0)</f>
        <v>0</v>
      </c>
      <c r="S275" s="66">
        <f>VLOOKUP($A275,'S45'!$C:$BQ,60,0)</f>
        <v>15</v>
      </c>
      <c r="T275" s="58">
        <f>VLOOKUP($A275,'S46'!$C:$BQ,32,0)</f>
        <v>155.5</v>
      </c>
      <c r="U275" s="58">
        <f>VLOOKUP($A275,'S46'!$C:$BQ,39,0)</f>
        <v>101</v>
      </c>
      <c r="V275" s="58">
        <f>VLOOKUP($A275,'S46'!$C:$BQ,40,0)</f>
        <v>152</v>
      </c>
      <c r="W275" s="58">
        <f>VLOOKUP($A275,'S46'!$C:$BQ,22,0)</f>
        <v>1494.8112000000001</v>
      </c>
      <c r="X275" s="66">
        <f>VLOOKUP($A275,'S46'!$C:$BQ,29,0)</f>
        <v>835</v>
      </c>
      <c r="Y275" s="66">
        <f>VLOOKUP($A275,'S46'!$C:$BQ,30,0)</f>
        <v>1301</v>
      </c>
      <c r="Z275" s="66">
        <f>VLOOKUP($A275,'S46'!$C:$BQ,52,0)</f>
        <v>144.4</v>
      </c>
      <c r="AA275" s="66">
        <f>VLOOKUP($A275,'S46'!$C:$BQ,59,0)</f>
        <v>0</v>
      </c>
      <c r="AB275" s="66">
        <f>VLOOKUP($A275,'S46'!$C:$BQ,60,0)</f>
        <v>12</v>
      </c>
      <c r="AC275" s="58">
        <f>VLOOKUP($A275,'S47'!$C:$BQ,32,0)</f>
        <v>161</v>
      </c>
      <c r="AD275" s="58">
        <f>VLOOKUP($A275,'S47'!$C:$BQ,39,0)</f>
        <v>96</v>
      </c>
      <c r="AE275" s="58">
        <f>VLOOKUP($A275,'S47'!$C:$BQ,40,0)</f>
        <v>147</v>
      </c>
      <c r="AF275" s="58">
        <f>VLOOKUP($A275,'S47'!$C:$BQ,22,0)</f>
        <v>1554.8527099999999</v>
      </c>
      <c r="AG275" s="66">
        <f>VLOOKUP($A275,'S47'!$C:$BQ,29,0)</f>
        <v>775</v>
      </c>
      <c r="AH275" s="66">
        <f>VLOOKUP($A275,'S47'!$C:$BQ,30,0)</f>
        <v>1241</v>
      </c>
      <c r="AI275" s="66">
        <f>VLOOKUP($A275,'S47'!$C:$BQ,52,0)</f>
        <v>144.4</v>
      </c>
      <c r="AJ275" s="66">
        <f>VLOOKUP($A275,'S47'!$C:$BQ,59,0)</f>
        <v>0</v>
      </c>
      <c r="AK275" s="66">
        <f>VLOOKUP($A275,'S47'!$C:$BQ,60,0)</f>
        <v>12</v>
      </c>
      <c r="AL275" s="58" t="e">
        <f>VLOOKUP($A275,'S48'!$C:$BQ,32,0)</f>
        <v>#N/A</v>
      </c>
      <c r="AM275" s="58" t="e">
        <f>VLOOKUP($A275,'S48'!$C:$BQ,39,0)</f>
        <v>#N/A</v>
      </c>
      <c r="AN275" s="58" t="e">
        <f>VLOOKUP($A275,'S48'!$C:$BQ,40,0)</f>
        <v>#N/A</v>
      </c>
      <c r="AO275" s="58" t="e">
        <f>VLOOKUP($A275,'S48'!$C:$BQ,22,0)</f>
        <v>#N/A</v>
      </c>
      <c r="AP275" s="66" t="e">
        <f>VLOOKUP($A275,'S48'!$C:$BQ,29,0)</f>
        <v>#N/A</v>
      </c>
      <c r="AQ275" s="66" t="e">
        <f>VLOOKUP($A275,'S48'!$C:$BQ,30,0)</f>
        <v>#N/A</v>
      </c>
      <c r="AR275" s="66" t="e">
        <f>VLOOKUP($A275,'S48'!$C:$BQ,52,0)</f>
        <v>#N/A</v>
      </c>
      <c r="AS275" s="66" t="e">
        <f>VLOOKUP($A275,'S48'!$C:$BQ,59,0)</f>
        <v>#N/A</v>
      </c>
      <c r="AT275" s="66" t="e">
        <f>VLOOKUP($A275,'S48'!$C:$BQ,60,0)</f>
        <v>#N/A</v>
      </c>
      <c r="AU275" s="58" t="e">
        <f>VLOOKUP($A275,'S49'!$C:$BQ,32,0)</f>
        <v>#N/A</v>
      </c>
      <c r="AV275" s="58" t="e">
        <f>VLOOKUP($A275,'S49'!$C:$BQ,39,0)</f>
        <v>#N/A</v>
      </c>
      <c r="AW275" s="58" t="e">
        <f>VLOOKUP($A275,'S49'!$C:$BQ,40,0)</f>
        <v>#N/A</v>
      </c>
      <c r="AX275" s="58" t="e">
        <f>VLOOKUP($A275,'S49'!$C:$BQ,22,0)</f>
        <v>#N/A</v>
      </c>
      <c r="AY275" s="66" t="e">
        <f>VLOOKUP($A275,'S49'!$C:$BQ,29,0)</f>
        <v>#N/A</v>
      </c>
      <c r="AZ275" s="66" t="e">
        <f>VLOOKUP($A275,'S49'!$C:$BQ,30,0)</f>
        <v>#N/A</v>
      </c>
      <c r="BA275" s="66" t="e">
        <f>VLOOKUP($A275,'S49'!$C:$BQ,52,0)</f>
        <v>#N/A</v>
      </c>
      <c r="BB275" s="66" t="e">
        <f>VLOOKUP($A275,'S49'!$C:$BQ,59,0)</f>
        <v>#N/A</v>
      </c>
      <c r="BC275" s="66" t="e">
        <f>VLOOKUP($A275,'S49'!$C:$BQ,60,0)</f>
        <v>#N/A</v>
      </c>
      <c r="BD275" s="58" t="e">
        <f>VLOOKUP($A275,'S50'!$C:$BQ,32,0)</f>
        <v>#N/A</v>
      </c>
      <c r="BE275" s="58" t="e">
        <f>VLOOKUP($A275,'S50'!$C:$BQ,39,0)</f>
        <v>#N/A</v>
      </c>
      <c r="BF275" s="58" t="e">
        <f>VLOOKUP($A275,'S50'!$C:$BQ,40,0)</f>
        <v>#N/A</v>
      </c>
      <c r="BG275" s="58" t="e">
        <f>VLOOKUP($A275,'S50'!$C:$BQ,22,0)</f>
        <v>#N/A</v>
      </c>
      <c r="BH275" s="66" t="e">
        <f>VLOOKUP($A275,'S50'!$C:$BQ,29,0)</f>
        <v>#N/A</v>
      </c>
      <c r="BI275" s="66" t="e">
        <f>VLOOKUP($A275,'S50'!$C:$BQ,30,0)</f>
        <v>#N/A</v>
      </c>
      <c r="BJ275" s="66" t="e">
        <f>VLOOKUP($A275,'S50'!$C:$BQ,52,0)</f>
        <v>#N/A</v>
      </c>
      <c r="BK275" s="66" t="e">
        <f>VLOOKUP($A275,'S50'!$C:$BQ,59,0)</f>
        <v>#N/A</v>
      </c>
      <c r="BL275" s="66" t="e">
        <f>VLOOKUP($A275,'S50'!$C:$BQ,60,0)</f>
        <v>#N/A</v>
      </c>
    </row>
    <row r="276" spans="1:64" x14ac:dyDescent="0.2">
      <c r="A276" s="57" t="s">
        <v>350</v>
      </c>
      <c r="B276" s="58">
        <f>VLOOKUP($A276,'S0 remplacer avec S44'!$C:$BQ,32,0)</f>
        <v>150.19999999999999</v>
      </c>
      <c r="C276" s="58">
        <f>VLOOKUP($A276,'S0 remplacer avec S44'!$C:$BQ,39,0)</f>
        <v>26</v>
      </c>
      <c r="D276" s="58">
        <f>VLOOKUP($A276,'S0 remplacer avec S44'!$C:$BQ,40,0)</f>
        <v>61</v>
      </c>
      <c r="E276" s="58">
        <f>VLOOKUP($A276,'S0 remplacer avec S44'!$C:$BQ,22,0)</f>
        <v>762.15051500000004</v>
      </c>
      <c r="F276" s="66">
        <f>VLOOKUP($A276,'S0 remplacer avec S44'!$C:$BQ,29,0)</f>
        <v>834</v>
      </c>
      <c r="G276" s="66">
        <f>VLOOKUP($A276,'S0 remplacer avec S44'!$C:$BQ,30,0)</f>
        <v>1153</v>
      </c>
      <c r="H276" s="66">
        <f>VLOOKUP($A276,'S0 remplacer avec S44'!$C:$BQ,52,0)</f>
        <v>81.8</v>
      </c>
      <c r="I276" s="66">
        <f>VLOOKUP($A276,'S0 remplacer avec S44'!$C:$BQ,59,0)</f>
        <v>8</v>
      </c>
      <c r="J276" s="66">
        <f>VLOOKUP($A276,'S0 remplacer avec S44'!$C:$BQ,60,0)</f>
        <v>26</v>
      </c>
      <c r="K276" s="58">
        <f>VLOOKUP($A276,'S45'!$C:$BQ,32,0)</f>
        <v>152.19999999999999</v>
      </c>
      <c r="L276" s="58">
        <f>VLOOKUP($A276,'S45'!$C:$BQ,39,0)</f>
        <v>24</v>
      </c>
      <c r="M276" s="58">
        <f>VLOOKUP($A276,'S45'!$C:$BQ,40,0)</f>
        <v>59</v>
      </c>
      <c r="N276" s="58">
        <f>VLOOKUP($A276,'S45'!$C:$BQ,22,0)</f>
        <v>762.80104500000004</v>
      </c>
      <c r="O276" s="66">
        <f>VLOOKUP($A276,'S45'!$C:$BQ,29,0)</f>
        <v>833</v>
      </c>
      <c r="P276" s="66">
        <f>VLOOKUP($A276,'S45'!$C:$BQ,30,0)</f>
        <v>1152</v>
      </c>
      <c r="Q276" s="66">
        <f>VLOOKUP($A276,'S45'!$C:$BQ,52,0)</f>
        <v>84.8</v>
      </c>
      <c r="R276" s="66">
        <f>VLOOKUP($A276,'S45'!$C:$BQ,59,0)</f>
        <v>5</v>
      </c>
      <c r="S276" s="66">
        <f>VLOOKUP($A276,'S45'!$C:$BQ,60,0)</f>
        <v>23</v>
      </c>
      <c r="T276" s="58">
        <f>VLOOKUP($A276,'S46'!$C:$BQ,32,0)</f>
        <v>152.19999999999999</v>
      </c>
      <c r="U276" s="58">
        <f>VLOOKUP($A276,'S46'!$C:$BQ,39,0)</f>
        <v>24</v>
      </c>
      <c r="V276" s="58">
        <f>VLOOKUP($A276,'S46'!$C:$BQ,40,0)</f>
        <v>59</v>
      </c>
      <c r="W276" s="58">
        <f>VLOOKUP($A276,'S46'!$C:$BQ,22,0)</f>
        <v>763.57512499999996</v>
      </c>
      <c r="X276" s="66">
        <f>VLOOKUP($A276,'S46'!$C:$BQ,29,0)</f>
        <v>832</v>
      </c>
      <c r="Y276" s="66">
        <f>VLOOKUP($A276,'S46'!$C:$BQ,30,0)</f>
        <v>1151</v>
      </c>
      <c r="Z276" s="66">
        <f>VLOOKUP($A276,'S46'!$C:$BQ,52,0)</f>
        <v>84.8</v>
      </c>
      <c r="AA276" s="66">
        <f>VLOOKUP($A276,'S46'!$C:$BQ,59,0)</f>
        <v>5</v>
      </c>
      <c r="AB276" s="66">
        <f>VLOOKUP($A276,'S46'!$C:$BQ,60,0)</f>
        <v>23</v>
      </c>
      <c r="AC276" s="58">
        <f>VLOOKUP($A276,'S47'!$C:$BQ,32,0)</f>
        <v>161.69999999999999</v>
      </c>
      <c r="AD276" s="58">
        <f>VLOOKUP($A276,'S47'!$C:$BQ,39,0)</f>
        <v>14</v>
      </c>
      <c r="AE276" s="58">
        <f>VLOOKUP($A276,'S47'!$C:$BQ,40,0)</f>
        <v>49</v>
      </c>
      <c r="AF276" s="58">
        <f>VLOOKUP($A276,'S47'!$C:$BQ,22,0)</f>
        <v>791.15385500000002</v>
      </c>
      <c r="AG276" s="66">
        <f>VLOOKUP($A276,'S47'!$C:$BQ,29,0)</f>
        <v>805</v>
      </c>
      <c r="AH276" s="66">
        <f>VLOOKUP($A276,'S47'!$C:$BQ,30,0)</f>
        <v>1124</v>
      </c>
      <c r="AI276" s="66">
        <f>VLOOKUP($A276,'S47'!$C:$BQ,52,0)</f>
        <v>85.8</v>
      </c>
      <c r="AJ276" s="66">
        <f>VLOOKUP($A276,'S47'!$C:$BQ,59,0)</f>
        <v>4</v>
      </c>
      <c r="AK276" s="66">
        <f>VLOOKUP($A276,'S47'!$C:$BQ,60,0)</f>
        <v>22</v>
      </c>
      <c r="AL276" s="58" t="e">
        <f>VLOOKUP($A276,'S48'!$C:$BQ,32,0)</f>
        <v>#N/A</v>
      </c>
      <c r="AM276" s="58" t="e">
        <f>VLOOKUP($A276,'S48'!$C:$BQ,39,0)</f>
        <v>#N/A</v>
      </c>
      <c r="AN276" s="58" t="e">
        <f>VLOOKUP($A276,'S48'!$C:$BQ,40,0)</f>
        <v>#N/A</v>
      </c>
      <c r="AO276" s="58" t="e">
        <f>VLOOKUP($A276,'S48'!$C:$BQ,22,0)</f>
        <v>#N/A</v>
      </c>
      <c r="AP276" s="66" t="e">
        <f>VLOOKUP($A276,'S48'!$C:$BQ,29,0)</f>
        <v>#N/A</v>
      </c>
      <c r="AQ276" s="66" t="e">
        <f>VLOOKUP($A276,'S48'!$C:$BQ,30,0)</f>
        <v>#N/A</v>
      </c>
      <c r="AR276" s="66" t="e">
        <f>VLOOKUP($A276,'S48'!$C:$BQ,52,0)</f>
        <v>#N/A</v>
      </c>
      <c r="AS276" s="66" t="e">
        <f>VLOOKUP($A276,'S48'!$C:$BQ,59,0)</f>
        <v>#N/A</v>
      </c>
      <c r="AT276" s="66" t="e">
        <f>VLOOKUP($A276,'S48'!$C:$BQ,60,0)</f>
        <v>#N/A</v>
      </c>
      <c r="AU276" s="58" t="e">
        <f>VLOOKUP($A276,'S49'!$C:$BQ,32,0)</f>
        <v>#N/A</v>
      </c>
      <c r="AV276" s="58" t="e">
        <f>VLOOKUP($A276,'S49'!$C:$BQ,39,0)</f>
        <v>#N/A</v>
      </c>
      <c r="AW276" s="58" t="e">
        <f>VLOOKUP($A276,'S49'!$C:$BQ,40,0)</f>
        <v>#N/A</v>
      </c>
      <c r="AX276" s="58" t="e">
        <f>VLOOKUP($A276,'S49'!$C:$BQ,22,0)</f>
        <v>#N/A</v>
      </c>
      <c r="AY276" s="66" t="e">
        <f>VLOOKUP($A276,'S49'!$C:$BQ,29,0)</f>
        <v>#N/A</v>
      </c>
      <c r="AZ276" s="66" t="e">
        <f>VLOOKUP($A276,'S49'!$C:$BQ,30,0)</f>
        <v>#N/A</v>
      </c>
      <c r="BA276" s="66" t="e">
        <f>VLOOKUP($A276,'S49'!$C:$BQ,52,0)</f>
        <v>#N/A</v>
      </c>
      <c r="BB276" s="66" t="e">
        <f>VLOOKUP($A276,'S49'!$C:$BQ,59,0)</f>
        <v>#N/A</v>
      </c>
      <c r="BC276" s="66" t="e">
        <f>VLOOKUP($A276,'S49'!$C:$BQ,60,0)</f>
        <v>#N/A</v>
      </c>
      <c r="BD276" s="58" t="e">
        <f>VLOOKUP($A276,'S50'!$C:$BQ,32,0)</f>
        <v>#N/A</v>
      </c>
      <c r="BE276" s="58" t="e">
        <f>VLOOKUP($A276,'S50'!$C:$BQ,39,0)</f>
        <v>#N/A</v>
      </c>
      <c r="BF276" s="58" t="e">
        <f>VLOOKUP($A276,'S50'!$C:$BQ,40,0)</f>
        <v>#N/A</v>
      </c>
      <c r="BG276" s="58" t="e">
        <f>VLOOKUP($A276,'S50'!$C:$BQ,22,0)</f>
        <v>#N/A</v>
      </c>
      <c r="BH276" s="66" t="e">
        <f>VLOOKUP($A276,'S50'!$C:$BQ,29,0)</f>
        <v>#N/A</v>
      </c>
      <c r="BI276" s="66" t="e">
        <f>VLOOKUP($A276,'S50'!$C:$BQ,30,0)</f>
        <v>#N/A</v>
      </c>
      <c r="BJ276" s="66" t="e">
        <f>VLOOKUP($A276,'S50'!$C:$BQ,52,0)</f>
        <v>#N/A</v>
      </c>
      <c r="BK276" s="66" t="e">
        <f>VLOOKUP($A276,'S50'!$C:$BQ,59,0)</f>
        <v>#N/A</v>
      </c>
      <c r="BL276" s="66" t="e">
        <f>VLOOKUP($A276,'S50'!$C:$BQ,60,0)</f>
        <v>#N/A</v>
      </c>
    </row>
    <row r="277" spans="1:64" x14ac:dyDescent="0.2">
      <c r="A277" s="57" t="s">
        <v>351</v>
      </c>
      <c r="B277" s="58">
        <f>VLOOKUP($A277,'S0 remplacer avec S44'!$C:$BQ,32,0)</f>
        <v>238.2</v>
      </c>
      <c r="C277" s="58">
        <f>VLOOKUP($A277,'S0 remplacer avec S44'!$C:$BQ,39,0)</f>
        <v>53</v>
      </c>
      <c r="D277" s="58">
        <f>VLOOKUP($A277,'S0 remplacer avec S44'!$C:$BQ,40,0)</f>
        <v>111</v>
      </c>
      <c r="E277" s="58">
        <f>VLOOKUP($A277,'S0 remplacer avec S44'!$C:$BQ,22,0)</f>
        <v>1691.20444</v>
      </c>
      <c r="F277" s="66">
        <f>VLOOKUP($A277,'S0 remplacer avec S44'!$C:$BQ,29,0)</f>
        <v>951</v>
      </c>
      <c r="G277" s="66">
        <f>VLOOKUP($A277,'S0 remplacer avec S44'!$C:$BQ,30,0)</f>
        <v>1479</v>
      </c>
      <c r="H277" s="66">
        <f>VLOOKUP($A277,'S0 remplacer avec S44'!$C:$BQ,52,0)</f>
        <v>133.19999999999999</v>
      </c>
      <c r="I277" s="66">
        <f>VLOOKUP($A277,'S0 remplacer avec S44'!$C:$BQ,59,0)</f>
        <v>15</v>
      </c>
      <c r="J277" s="66">
        <f>VLOOKUP($A277,'S0 remplacer avec S44'!$C:$BQ,60,0)</f>
        <v>44</v>
      </c>
      <c r="K277" s="58">
        <f>VLOOKUP($A277,'S45'!$C:$BQ,32,0)</f>
        <v>237.2</v>
      </c>
      <c r="L277" s="58">
        <f>VLOOKUP($A277,'S45'!$C:$BQ,39,0)</f>
        <v>54</v>
      </c>
      <c r="M277" s="58">
        <f>VLOOKUP($A277,'S45'!$C:$BQ,40,0)</f>
        <v>112</v>
      </c>
      <c r="N277" s="58">
        <f>VLOOKUP($A277,'S45'!$C:$BQ,22,0)</f>
        <v>1701.8544199999999</v>
      </c>
      <c r="O277" s="66">
        <f>VLOOKUP($A277,'S45'!$C:$BQ,29,0)</f>
        <v>940</v>
      </c>
      <c r="P277" s="66">
        <f>VLOOKUP($A277,'S45'!$C:$BQ,30,0)</f>
        <v>1468</v>
      </c>
      <c r="Q277" s="66">
        <f>VLOOKUP($A277,'S45'!$C:$BQ,52,0)</f>
        <v>137.19999999999999</v>
      </c>
      <c r="R277" s="66">
        <f>VLOOKUP($A277,'S45'!$C:$BQ,59,0)</f>
        <v>11</v>
      </c>
      <c r="S277" s="66">
        <f>VLOOKUP($A277,'S45'!$C:$BQ,60,0)</f>
        <v>40</v>
      </c>
      <c r="T277" s="58">
        <f>VLOOKUP($A277,'S46'!$C:$BQ,32,0)</f>
        <v>238.7</v>
      </c>
      <c r="U277" s="58">
        <f>VLOOKUP($A277,'S46'!$C:$BQ,39,0)</f>
        <v>52</v>
      </c>
      <c r="V277" s="58">
        <f>VLOOKUP($A277,'S46'!$C:$BQ,40,0)</f>
        <v>110</v>
      </c>
      <c r="W277" s="58">
        <f>VLOOKUP($A277,'S46'!$C:$BQ,22,0)</f>
        <v>1739.0672</v>
      </c>
      <c r="X277" s="66">
        <f>VLOOKUP($A277,'S46'!$C:$BQ,29,0)</f>
        <v>903</v>
      </c>
      <c r="Y277" s="66">
        <f>VLOOKUP($A277,'S46'!$C:$BQ,30,0)</f>
        <v>1431</v>
      </c>
      <c r="Z277" s="66">
        <f>VLOOKUP($A277,'S46'!$C:$BQ,52,0)</f>
        <v>141.19999999999999</v>
      </c>
      <c r="AA277" s="66">
        <f>VLOOKUP($A277,'S46'!$C:$BQ,59,0)</f>
        <v>7</v>
      </c>
      <c r="AB277" s="66">
        <f>VLOOKUP($A277,'S46'!$C:$BQ,60,0)</f>
        <v>36</v>
      </c>
      <c r="AC277" s="58">
        <f>VLOOKUP($A277,'S47'!$C:$BQ,32,0)</f>
        <v>243.2</v>
      </c>
      <c r="AD277" s="58">
        <f>VLOOKUP($A277,'S47'!$C:$BQ,39,0)</f>
        <v>48</v>
      </c>
      <c r="AE277" s="58">
        <f>VLOOKUP($A277,'S47'!$C:$BQ,40,0)</f>
        <v>106</v>
      </c>
      <c r="AF277" s="58">
        <f>VLOOKUP($A277,'S47'!$C:$BQ,22,0)</f>
        <v>1752.8277700000001</v>
      </c>
      <c r="AG277" s="66">
        <f>VLOOKUP($A277,'S47'!$C:$BQ,29,0)</f>
        <v>889</v>
      </c>
      <c r="AH277" s="66">
        <f>VLOOKUP($A277,'S47'!$C:$BQ,30,0)</f>
        <v>1417</v>
      </c>
      <c r="AI277" s="66">
        <f>VLOOKUP($A277,'S47'!$C:$BQ,52,0)</f>
        <v>155.19999999999999</v>
      </c>
      <c r="AJ277" s="66">
        <f>VLOOKUP($A277,'S47'!$C:$BQ,59,0)</f>
        <v>0</v>
      </c>
      <c r="AK277" s="66">
        <f>VLOOKUP($A277,'S47'!$C:$BQ,60,0)</f>
        <v>22</v>
      </c>
      <c r="AL277" s="58" t="e">
        <f>VLOOKUP($A277,'S48'!$C:$BQ,32,0)</f>
        <v>#N/A</v>
      </c>
      <c r="AM277" s="58" t="e">
        <f>VLOOKUP($A277,'S48'!$C:$BQ,39,0)</f>
        <v>#N/A</v>
      </c>
      <c r="AN277" s="58" t="e">
        <f>VLOOKUP($A277,'S48'!$C:$BQ,40,0)</f>
        <v>#N/A</v>
      </c>
      <c r="AO277" s="58" t="e">
        <f>VLOOKUP($A277,'S48'!$C:$BQ,22,0)</f>
        <v>#N/A</v>
      </c>
      <c r="AP277" s="66" t="e">
        <f>VLOOKUP($A277,'S48'!$C:$BQ,29,0)</f>
        <v>#N/A</v>
      </c>
      <c r="AQ277" s="66" t="e">
        <f>VLOOKUP($A277,'S48'!$C:$BQ,30,0)</f>
        <v>#N/A</v>
      </c>
      <c r="AR277" s="66" t="e">
        <f>VLOOKUP($A277,'S48'!$C:$BQ,52,0)</f>
        <v>#N/A</v>
      </c>
      <c r="AS277" s="66" t="e">
        <f>VLOOKUP($A277,'S48'!$C:$BQ,59,0)</f>
        <v>#N/A</v>
      </c>
      <c r="AT277" s="66" t="e">
        <f>VLOOKUP($A277,'S48'!$C:$BQ,60,0)</f>
        <v>#N/A</v>
      </c>
      <c r="AU277" s="58" t="e">
        <f>VLOOKUP($A277,'S49'!$C:$BQ,32,0)</f>
        <v>#N/A</v>
      </c>
      <c r="AV277" s="58" t="e">
        <f>VLOOKUP($A277,'S49'!$C:$BQ,39,0)</f>
        <v>#N/A</v>
      </c>
      <c r="AW277" s="58" t="e">
        <f>VLOOKUP($A277,'S49'!$C:$BQ,40,0)</f>
        <v>#N/A</v>
      </c>
      <c r="AX277" s="58" t="e">
        <f>VLOOKUP($A277,'S49'!$C:$BQ,22,0)</f>
        <v>#N/A</v>
      </c>
      <c r="AY277" s="66" t="e">
        <f>VLOOKUP($A277,'S49'!$C:$BQ,29,0)</f>
        <v>#N/A</v>
      </c>
      <c r="AZ277" s="66" t="e">
        <f>VLOOKUP($A277,'S49'!$C:$BQ,30,0)</f>
        <v>#N/A</v>
      </c>
      <c r="BA277" s="66" t="e">
        <f>VLOOKUP($A277,'S49'!$C:$BQ,52,0)</f>
        <v>#N/A</v>
      </c>
      <c r="BB277" s="66" t="e">
        <f>VLOOKUP($A277,'S49'!$C:$BQ,59,0)</f>
        <v>#N/A</v>
      </c>
      <c r="BC277" s="66" t="e">
        <f>VLOOKUP($A277,'S49'!$C:$BQ,60,0)</f>
        <v>#N/A</v>
      </c>
      <c r="BD277" s="58" t="e">
        <f>VLOOKUP($A277,'S50'!$C:$BQ,32,0)</f>
        <v>#N/A</v>
      </c>
      <c r="BE277" s="58" t="e">
        <f>VLOOKUP($A277,'S50'!$C:$BQ,39,0)</f>
        <v>#N/A</v>
      </c>
      <c r="BF277" s="58" t="e">
        <f>VLOOKUP($A277,'S50'!$C:$BQ,40,0)</f>
        <v>#N/A</v>
      </c>
      <c r="BG277" s="58" t="e">
        <f>VLOOKUP($A277,'S50'!$C:$BQ,22,0)</f>
        <v>#N/A</v>
      </c>
      <c r="BH277" s="66" t="e">
        <f>VLOOKUP($A277,'S50'!$C:$BQ,29,0)</f>
        <v>#N/A</v>
      </c>
      <c r="BI277" s="66" t="e">
        <f>VLOOKUP($A277,'S50'!$C:$BQ,30,0)</f>
        <v>#N/A</v>
      </c>
      <c r="BJ277" s="66" t="e">
        <f>VLOOKUP($A277,'S50'!$C:$BQ,52,0)</f>
        <v>#N/A</v>
      </c>
      <c r="BK277" s="66" t="e">
        <f>VLOOKUP($A277,'S50'!$C:$BQ,59,0)</f>
        <v>#N/A</v>
      </c>
      <c r="BL277" s="66" t="e">
        <f>VLOOKUP($A277,'S50'!$C:$BQ,60,0)</f>
        <v>#N/A</v>
      </c>
    </row>
    <row r="278" spans="1:64" x14ac:dyDescent="0.2">
      <c r="A278" s="57" t="s">
        <v>352</v>
      </c>
      <c r="B278" s="58">
        <f>VLOOKUP($A278,'S0 remplacer avec S44'!$C:$BQ,32,0)</f>
        <v>169.95</v>
      </c>
      <c r="C278" s="58">
        <f>VLOOKUP($A278,'S0 remplacer avec S44'!$C:$BQ,39,0)</f>
        <v>121</v>
      </c>
      <c r="D278" s="58">
        <f>VLOOKUP($A278,'S0 remplacer avec S44'!$C:$BQ,40,0)</f>
        <v>180</v>
      </c>
      <c r="E278" s="58">
        <f>VLOOKUP($A278,'S0 remplacer avec S44'!$C:$BQ,22,0)</f>
        <v>2481.2841250000001</v>
      </c>
      <c r="F278" s="66">
        <f>VLOOKUP($A278,'S0 remplacer avec S44'!$C:$BQ,29,0)</f>
        <v>164</v>
      </c>
      <c r="G278" s="66">
        <f>VLOOKUP($A278,'S0 remplacer avec S44'!$C:$BQ,30,0)</f>
        <v>693</v>
      </c>
      <c r="H278" s="66">
        <f>VLOOKUP($A278,'S0 remplacer avec S44'!$C:$BQ,52,0)</f>
        <v>149.19999999999999</v>
      </c>
      <c r="I278" s="66">
        <f>VLOOKUP($A278,'S0 remplacer avec S44'!$C:$BQ,59,0)</f>
        <v>0</v>
      </c>
      <c r="J278" s="66">
        <f>VLOOKUP($A278,'S0 remplacer avec S44'!$C:$BQ,60,0)</f>
        <v>29</v>
      </c>
      <c r="K278" s="58">
        <f>VLOOKUP($A278,'S45'!$C:$BQ,32,0)</f>
        <v>169.45</v>
      </c>
      <c r="L278" s="58">
        <f>VLOOKUP($A278,'S45'!$C:$BQ,39,0)</f>
        <v>122</v>
      </c>
      <c r="M278" s="58">
        <f>VLOOKUP($A278,'S45'!$C:$BQ,40,0)</f>
        <v>180</v>
      </c>
      <c r="N278" s="58">
        <f>VLOOKUP($A278,'S45'!$C:$BQ,22,0)</f>
        <v>2502.050385</v>
      </c>
      <c r="O278" s="66">
        <f>VLOOKUP($A278,'S45'!$C:$BQ,29,0)</f>
        <v>144</v>
      </c>
      <c r="P278" s="66">
        <f>VLOOKUP($A278,'S45'!$C:$BQ,30,0)</f>
        <v>673</v>
      </c>
      <c r="Q278" s="66">
        <f>VLOOKUP($A278,'S45'!$C:$BQ,52,0)</f>
        <v>151.19999999999999</v>
      </c>
      <c r="R278" s="66">
        <f>VLOOKUP($A278,'S45'!$C:$BQ,59,0)</f>
        <v>0</v>
      </c>
      <c r="S278" s="66">
        <f>VLOOKUP($A278,'S45'!$C:$BQ,60,0)</f>
        <v>27</v>
      </c>
      <c r="T278" s="58">
        <f>VLOOKUP($A278,'S46'!$C:$BQ,32,0)</f>
        <v>170.95</v>
      </c>
      <c r="U278" s="58">
        <f>VLOOKUP($A278,'S46'!$C:$BQ,39,0)</f>
        <v>120</v>
      </c>
      <c r="V278" s="58">
        <f>VLOOKUP($A278,'S46'!$C:$BQ,40,0)</f>
        <v>179</v>
      </c>
      <c r="W278" s="58">
        <f>VLOOKUP($A278,'S46'!$C:$BQ,22,0)</f>
        <v>2503.9270550000001</v>
      </c>
      <c r="X278" s="66">
        <f>VLOOKUP($A278,'S46'!$C:$BQ,29,0)</f>
        <v>142</v>
      </c>
      <c r="Y278" s="66">
        <f>VLOOKUP($A278,'S46'!$C:$BQ,30,0)</f>
        <v>671</v>
      </c>
      <c r="Z278" s="66">
        <f>VLOOKUP($A278,'S46'!$C:$BQ,52,0)</f>
        <v>153.19999999999999</v>
      </c>
      <c r="AA278" s="66">
        <f>VLOOKUP($A278,'S46'!$C:$BQ,59,0)</f>
        <v>0</v>
      </c>
      <c r="AB278" s="66">
        <f>VLOOKUP($A278,'S46'!$C:$BQ,60,0)</f>
        <v>25</v>
      </c>
      <c r="AC278" s="58">
        <f>VLOOKUP($A278,'S47'!$C:$BQ,32,0)</f>
        <v>175.45</v>
      </c>
      <c r="AD278" s="58">
        <f>VLOOKUP($A278,'S47'!$C:$BQ,39,0)</f>
        <v>116</v>
      </c>
      <c r="AE278" s="58">
        <f>VLOOKUP($A278,'S47'!$C:$BQ,40,0)</f>
        <v>174</v>
      </c>
      <c r="AF278" s="58">
        <f>VLOOKUP($A278,'S47'!$C:$BQ,22,0)</f>
        <v>2536.6203949999999</v>
      </c>
      <c r="AG278" s="66">
        <f>VLOOKUP($A278,'S47'!$C:$BQ,29,0)</f>
        <v>109</v>
      </c>
      <c r="AH278" s="66">
        <f>VLOOKUP($A278,'S47'!$C:$BQ,30,0)</f>
        <v>638</v>
      </c>
      <c r="AI278" s="66">
        <f>VLOOKUP($A278,'S47'!$C:$BQ,52,0)</f>
        <v>155.19999999999999</v>
      </c>
      <c r="AJ278" s="66">
        <f>VLOOKUP($A278,'S47'!$C:$BQ,59,0)</f>
        <v>0</v>
      </c>
      <c r="AK278" s="66">
        <f>VLOOKUP($A278,'S47'!$C:$BQ,60,0)</f>
        <v>23</v>
      </c>
      <c r="AL278" s="58" t="e">
        <f>VLOOKUP($A278,'S48'!$C:$BQ,32,0)</f>
        <v>#N/A</v>
      </c>
      <c r="AM278" s="58" t="e">
        <f>VLOOKUP($A278,'S48'!$C:$BQ,39,0)</f>
        <v>#N/A</v>
      </c>
      <c r="AN278" s="58" t="e">
        <f>VLOOKUP($A278,'S48'!$C:$BQ,40,0)</f>
        <v>#N/A</v>
      </c>
      <c r="AO278" s="58" t="e">
        <f>VLOOKUP($A278,'S48'!$C:$BQ,22,0)</f>
        <v>#N/A</v>
      </c>
      <c r="AP278" s="66" t="e">
        <f>VLOOKUP($A278,'S48'!$C:$BQ,29,0)</f>
        <v>#N/A</v>
      </c>
      <c r="AQ278" s="66" t="e">
        <f>VLOOKUP($A278,'S48'!$C:$BQ,30,0)</f>
        <v>#N/A</v>
      </c>
      <c r="AR278" s="66" t="e">
        <f>VLOOKUP($A278,'S48'!$C:$BQ,52,0)</f>
        <v>#N/A</v>
      </c>
      <c r="AS278" s="66" t="e">
        <f>VLOOKUP($A278,'S48'!$C:$BQ,59,0)</f>
        <v>#N/A</v>
      </c>
      <c r="AT278" s="66" t="e">
        <f>VLOOKUP($A278,'S48'!$C:$BQ,60,0)</f>
        <v>#N/A</v>
      </c>
      <c r="AU278" s="58" t="e">
        <f>VLOOKUP($A278,'S49'!$C:$BQ,32,0)</f>
        <v>#N/A</v>
      </c>
      <c r="AV278" s="58" t="e">
        <f>VLOOKUP($A278,'S49'!$C:$BQ,39,0)</f>
        <v>#N/A</v>
      </c>
      <c r="AW278" s="58" t="e">
        <f>VLOOKUP($A278,'S49'!$C:$BQ,40,0)</f>
        <v>#N/A</v>
      </c>
      <c r="AX278" s="58" t="e">
        <f>VLOOKUP($A278,'S49'!$C:$BQ,22,0)</f>
        <v>#N/A</v>
      </c>
      <c r="AY278" s="66" t="e">
        <f>VLOOKUP($A278,'S49'!$C:$BQ,29,0)</f>
        <v>#N/A</v>
      </c>
      <c r="AZ278" s="66" t="e">
        <f>VLOOKUP($A278,'S49'!$C:$BQ,30,0)</f>
        <v>#N/A</v>
      </c>
      <c r="BA278" s="66" t="e">
        <f>VLOOKUP($A278,'S49'!$C:$BQ,52,0)</f>
        <v>#N/A</v>
      </c>
      <c r="BB278" s="66" t="e">
        <f>VLOOKUP($A278,'S49'!$C:$BQ,59,0)</f>
        <v>#N/A</v>
      </c>
      <c r="BC278" s="66" t="e">
        <f>VLOOKUP($A278,'S49'!$C:$BQ,60,0)</f>
        <v>#N/A</v>
      </c>
      <c r="BD278" s="58" t="e">
        <f>VLOOKUP($A278,'S50'!$C:$BQ,32,0)</f>
        <v>#N/A</v>
      </c>
      <c r="BE278" s="58" t="e">
        <f>VLOOKUP($A278,'S50'!$C:$BQ,39,0)</f>
        <v>#N/A</v>
      </c>
      <c r="BF278" s="58" t="e">
        <f>VLOOKUP($A278,'S50'!$C:$BQ,40,0)</f>
        <v>#N/A</v>
      </c>
      <c r="BG278" s="58" t="e">
        <f>VLOOKUP($A278,'S50'!$C:$BQ,22,0)</f>
        <v>#N/A</v>
      </c>
      <c r="BH278" s="66" t="e">
        <f>VLOOKUP($A278,'S50'!$C:$BQ,29,0)</f>
        <v>#N/A</v>
      </c>
      <c r="BI278" s="66" t="e">
        <f>VLOOKUP($A278,'S50'!$C:$BQ,30,0)</f>
        <v>#N/A</v>
      </c>
      <c r="BJ278" s="66" t="e">
        <f>VLOOKUP($A278,'S50'!$C:$BQ,52,0)</f>
        <v>#N/A</v>
      </c>
      <c r="BK278" s="66" t="e">
        <f>VLOOKUP($A278,'S50'!$C:$BQ,59,0)</f>
        <v>#N/A</v>
      </c>
      <c r="BL278" s="66" t="e">
        <f>VLOOKUP($A278,'S50'!$C:$BQ,60,0)</f>
        <v>#N/A</v>
      </c>
    </row>
    <row r="279" spans="1:64" x14ac:dyDescent="0.2">
      <c r="A279" s="57" t="s">
        <v>353</v>
      </c>
      <c r="B279" s="58">
        <f>VLOOKUP($A279,'S0 remplacer avec S44'!$C:$BQ,32,0)</f>
        <v>242.9</v>
      </c>
      <c r="C279" s="58">
        <f>VLOOKUP($A279,'S0 remplacer avec S44'!$C:$BQ,39,0)</f>
        <v>161</v>
      </c>
      <c r="D279" s="58">
        <f>VLOOKUP($A279,'S0 remplacer avec S44'!$C:$BQ,40,0)</f>
        <v>241</v>
      </c>
      <c r="E279" s="58">
        <f>VLOOKUP($A279,'S0 remplacer avec S44'!$C:$BQ,22,0)</f>
        <v>2497.36319</v>
      </c>
      <c r="F279" s="66">
        <f>VLOOKUP($A279,'S0 remplacer avec S44'!$C:$BQ,29,0)</f>
        <v>1169</v>
      </c>
      <c r="G279" s="66">
        <f>VLOOKUP($A279,'S0 remplacer avec S44'!$C:$BQ,30,0)</f>
        <v>1902</v>
      </c>
      <c r="H279" s="66">
        <f>VLOOKUP($A279,'S0 remplacer avec S44'!$C:$BQ,52,0)</f>
        <v>233.8</v>
      </c>
      <c r="I279" s="66">
        <f>VLOOKUP($A279,'S0 remplacer avec S44'!$C:$BQ,59,0)</f>
        <v>0</v>
      </c>
      <c r="J279" s="66">
        <f>VLOOKUP($A279,'S0 remplacer avec S44'!$C:$BQ,60,0)</f>
        <v>12</v>
      </c>
      <c r="K279" s="58">
        <f>VLOOKUP($A279,'S45'!$C:$BQ,32,0)</f>
        <v>247.9</v>
      </c>
      <c r="L279" s="58">
        <f>VLOOKUP($A279,'S45'!$C:$BQ,39,0)</f>
        <v>156</v>
      </c>
      <c r="M279" s="58">
        <f>VLOOKUP($A279,'S45'!$C:$BQ,40,0)</f>
        <v>236</v>
      </c>
      <c r="N279" s="58">
        <f>VLOOKUP($A279,'S45'!$C:$BQ,22,0)</f>
        <v>2570.0773899999999</v>
      </c>
      <c r="O279" s="66">
        <f>VLOOKUP($A279,'S45'!$C:$BQ,29,0)</f>
        <v>1097</v>
      </c>
      <c r="P279" s="66">
        <f>VLOOKUP($A279,'S45'!$C:$BQ,30,0)</f>
        <v>1830</v>
      </c>
      <c r="Q279" s="66">
        <f>VLOOKUP($A279,'S45'!$C:$BQ,52,0)</f>
        <v>241.8</v>
      </c>
      <c r="R279" s="66">
        <f>VLOOKUP($A279,'S45'!$C:$BQ,59,0)</f>
        <v>0</v>
      </c>
      <c r="S279" s="66">
        <f>VLOOKUP($A279,'S45'!$C:$BQ,60,0)</f>
        <v>4</v>
      </c>
      <c r="T279" s="58">
        <f>VLOOKUP($A279,'S46'!$C:$BQ,32,0)</f>
        <v>247.9</v>
      </c>
      <c r="U279" s="58">
        <f>VLOOKUP($A279,'S46'!$C:$BQ,39,0)</f>
        <v>156</v>
      </c>
      <c r="V279" s="58">
        <f>VLOOKUP($A279,'S46'!$C:$BQ,40,0)</f>
        <v>236</v>
      </c>
      <c r="W279" s="58">
        <f>VLOOKUP($A279,'S46'!$C:$BQ,22,0)</f>
        <v>2572.19038</v>
      </c>
      <c r="X279" s="66">
        <f>VLOOKUP($A279,'S46'!$C:$BQ,29,0)</f>
        <v>1094</v>
      </c>
      <c r="Y279" s="66">
        <f>VLOOKUP($A279,'S46'!$C:$BQ,30,0)</f>
        <v>1828</v>
      </c>
      <c r="Z279" s="66">
        <f>VLOOKUP($A279,'S46'!$C:$BQ,52,0)</f>
        <v>242.8</v>
      </c>
      <c r="AA279" s="66">
        <f>VLOOKUP($A279,'S46'!$C:$BQ,59,0)</f>
        <v>0</v>
      </c>
      <c r="AB279" s="66">
        <f>VLOOKUP($A279,'S46'!$C:$BQ,60,0)</f>
        <v>3</v>
      </c>
      <c r="AC279" s="58">
        <f>VLOOKUP($A279,'S47'!$C:$BQ,32,0)</f>
        <v>253.9</v>
      </c>
      <c r="AD279" s="58">
        <f>VLOOKUP($A279,'S47'!$C:$BQ,39,0)</f>
        <v>150</v>
      </c>
      <c r="AE279" s="58">
        <f>VLOOKUP($A279,'S47'!$C:$BQ,40,0)</f>
        <v>230</v>
      </c>
      <c r="AF279" s="58">
        <f>VLOOKUP($A279,'S47'!$C:$BQ,22,0)</f>
        <v>2631.65272</v>
      </c>
      <c r="AG279" s="66">
        <f>VLOOKUP($A279,'S47'!$C:$BQ,29,0)</f>
        <v>1035</v>
      </c>
      <c r="AH279" s="66">
        <f>VLOOKUP($A279,'S47'!$C:$BQ,30,0)</f>
        <v>1768</v>
      </c>
      <c r="AI279" s="66">
        <f>VLOOKUP($A279,'S47'!$C:$BQ,52,0)</f>
        <v>242.8</v>
      </c>
      <c r="AJ279" s="66">
        <f>VLOOKUP($A279,'S47'!$C:$BQ,59,0)</f>
        <v>0</v>
      </c>
      <c r="AK279" s="66">
        <f>VLOOKUP($A279,'S47'!$C:$BQ,60,0)</f>
        <v>3</v>
      </c>
      <c r="AL279" s="58" t="e">
        <f>VLOOKUP($A279,'S48'!$C:$BQ,32,0)</f>
        <v>#N/A</v>
      </c>
      <c r="AM279" s="58" t="e">
        <f>VLOOKUP($A279,'S48'!$C:$BQ,39,0)</f>
        <v>#N/A</v>
      </c>
      <c r="AN279" s="58" t="e">
        <f>VLOOKUP($A279,'S48'!$C:$BQ,40,0)</f>
        <v>#N/A</v>
      </c>
      <c r="AO279" s="58" t="e">
        <f>VLOOKUP($A279,'S48'!$C:$BQ,22,0)</f>
        <v>#N/A</v>
      </c>
      <c r="AP279" s="66" t="e">
        <f>VLOOKUP($A279,'S48'!$C:$BQ,29,0)</f>
        <v>#N/A</v>
      </c>
      <c r="AQ279" s="66" t="e">
        <f>VLOOKUP($A279,'S48'!$C:$BQ,30,0)</f>
        <v>#N/A</v>
      </c>
      <c r="AR279" s="66" t="e">
        <f>VLOOKUP($A279,'S48'!$C:$BQ,52,0)</f>
        <v>#N/A</v>
      </c>
      <c r="AS279" s="66" t="e">
        <f>VLOOKUP($A279,'S48'!$C:$BQ,59,0)</f>
        <v>#N/A</v>
      </c>
      <c r="AT279" s="66" t="e">
        <f>VLOOKUP($A279,'S48'!$C:$BQ,60,0)</f>
        <v>#N/A</v>
      </c>
      <c r="AU279" s="58" t="e">
        <f>VLOOKUP($A279,'S49'!$C:$BQ,32,0)</f>
        <v>#N/A</v>
      </c>
      <c r="AV279" s="58" t="e">
        <f>VLOOKUP($A279,'S49'!$C:$BQ,39,0)</f>
        <v>#N/A</v>
      </c>
      <c r="AW279" s="58" t="e">
        <f>VLOOKUP($A279,'S49'!$C:$BQ,40,0)</f>
        <v>#N/A</v>
      </c>
      <c r="AX279" s="58" t="e">
        <f>VLOOKUP($A279,'S49'!$C:$BQ,22,0)</f>
        <v>#N/A</v>
      </c>
      <c r="AY279" s="66" t="e">
        <f>VLOOKUP($A279,'S49'!$C:$BQ,29,0)</f>
        <v>#N/A</v>
      </c>
      <c r="AZ279" s="66" t="e">
        <f>VLOOKUP($A279,'S49'!$C:$BQ,30,0)</f>
        <v>#N/A</v>
      </c>
      <c r="BA279" s="66" t="e">
        <f>VLOOKUP($A279,'S49'!$C:$BQ,52,0)</f>
        <v>#N/A</v>
      </c>
      <c r="BB279" s="66" t="e">
        <f>VLOOKUP($A279,'S49'!$C:$BQ,59,0)</f>
        <v>#N/A</v>
      </c>
      <c r="BC279" s="66" t="e">
        <f>VLOOKUP($A279,'S49'!$C:$BQ,60,0)</f>
        <v>#N/A</v>
      </c>
      <c r="BD279" s="58" t="e">
        <f>VLOOKUP($A279,'S50'!$C:$BQ,32,0)</f>
        <v>#N/A</v>
      </c>
      <c r="BE279" s="58" t="e">
        <f>VLOOKUP($A279,'S50'!$C:$BQ,39,0)</f>
        <v>#N/A</v>
      </c>
      <c r="BF279" s="58" t="e">
        <f>VLOOKUP($A279,'S50'!$C:$BQ,40,0)</f>
        <v>#N/A</v>
      </c>
      <c r="BG279" s="58" t="e">
        <f>VLOOKUP($A279,'S50'!$C:$BQ,22,0)</f>
        <v>#N/A</v>
      </c>
      <c r="BH279" s="66" t="e">
        <f>VLOOKUP($A279,'S50'!$C:$BQ,29,0)</f>
        <v>#N/A</v>
      </c>
      <c r="BI279" s="66" t="e">
        <f>VLOOKUP($A279,'S50'!$C:$BQ,30,0)</f>
        <v>#N/A</v>
      </c>
      <c r="BJ279" s="66" t="e">
        <f>VLOOKUP($A279,'S50'!$C:$BQ,52,0)</f>
        <v>#N/A</v>
      </c>
      <c r="BK279" s="66" t="e">
        <f>VLOOKUP($A279,'S50'!$C:$BQ,59,0)</f>
        <v>#N/A</v>
      </c>
      <c r="BL279" s="66" t="e">
        <f>VLOOKUP($A279,'S50'!$C:$BQ,60,0)</f>
        <v>#N/A</v>
      </c>
    </row>
    <row r="280" spans="1:64" x14ac:dyDescent="0.2">
      <c r="A280" s="57" t="s">
        <v>354</v>
      </c>
      <c r="B280" s="58">
        <f>VLOOKUP($A280,'S0 remplacer avec S44'!$C:$BQ,32,0)</f>
        <v>192.1</v>
      </c>
      <c r="C280" s="58">
        <f>VLOOKUP($A280,'S0 remplacer avec S44'!$C:$BQ,39,0)</f>
        <v>126</v>
      </c>
      <c r="D280" s="58">
        <f>VLOOKUP($A280,'S0 remplacer avec S44'!$C:$BQ,40,0)</f>
        <v>190</v>
      </c>
      <c r="E280" s="58">
        <f>VLOOKUP($A280,'S0 remplacer avec S44'!$C:$BQ,22,0)</f>
        <v>3063.7462500000001</v>
      </c>
      <c r="F280" s="66">
        <f>VLOOKUP($A280,'S0 remplacer avec S44'!$C:$BQ,29,0)</f>
        <v>0</v>
      </c>
      <c r="G280" s="66">
        <f>VLOOKUP($A280,'S0 remplacer avec S44'!$C:$BQ,30,0)</f>
        <v>405</v>
      </c>
      <c r="H280" s="66">
        <f>VLOOKUP($A280,'S0 remplacer avec S44'!$C:$BQ,52,0)</f>
        <v>182.2</v>
      </c>
      <c r="I280" s="66">
        <f>VLOOKUP($A280,'S0 remplacer avec S44'!$C:$BQ,59,0)</f>
        <v>0</v>
      </c>
      <c r="J280" s="66">
        <f>VLOOKUP($A280,'S0 remplacer avec S44'!$C:$BQ,60,0)</f>
        <v>12</v>
      </c>
      <c r="K280" s="58">
        <f>VLOOKUP($A280,'S45'!$C:$BQ,32,0)</f>
        <v>204.1</v>
      </c>
      <c r="L280" s="58">
        <f>VLOOKUP($A280,'S45'!$C:$BQ,39,0)</f>
        <v>114</v>
      </c>
      <c r="M280" s="58">
        <f>VLOOKUP($A280,'S45'!$C:$BQ,40,0)</f>
        <v>178</v>
      </c>
      <c r="N280" s="58">
        <f>VLOOKUP($A280,'S45'!$C:$BQ,22,0)</f>
        <v>3099.8050800000001</v>
      </c>
      <c r="O280" s="66">
        <f>VLOOKUP($A280,'S45'!$C:$BQ,29,0)</f>
        <v>0</v>
      </c>
      <c r="P280" s="66">
        <f>VLOOKUP($A280,'S45'!$C:$BQ,30,0)</f>
        <v>369</v>
      </c>
      <c r="Q280" s="66">
        <f>VLOOKUP($A280,'S45'!$C:$BQ,52,0)</f>
        <v>188.2</v>
      </c>
      <c r="R280" s="66">
        <f>VLOOKUP($A280,'S45'!$C:$BQ,59,0)</f>
        <v>0</v>
      </c>
      <c r="S280" s="66">
        <f>VLOOKUP($A280,'S45'!$C:$BQ,60,0)</f>
        <v>6</v>
      </c>
      <c r="T280" s="58">
        <f>VLOOKUP($A280,'S46'!$C:$BQ,32,0)</f>
        <v>204.1</v>
      </c>
      <c r="U280" s="58">
        <f>VLOOKUP($A280,'S46'!$C:$BQ,39,0)</f>
        <v>114</v>
      </c>
      <c r="V280" s="58">
        <f>VLOOKUP($A280,'S46'!$C:$BQ,40,0)</f>
        <v>178</v>
      </c>
      <c r="W280" s="58">
        <f>VLOOKUP($A280,'S46'!$C:$BQ,22,0)</f>
        <v>3109.9827300000002</v>
      </c>
      <c r="X280" s="66">
        <f>VLOOKUP($A280,'S46'!$C:$BQ,29,0)</f>
        <v>0</v>
      </c>
      <c r="Y280" s="66">
        <f>VLOOKUP($A280,'S46'!$C:$BQ,30,0)</f>
        <v>359</v>
      </c>
      <c r="Z280" s="66">
        <f>VLOOKUP($A280,'S46'!$C:$BQ,52,0)</f>
        <v>189.2</v>
      </c>
      <c r="AA280" s="66">
        <f>VLOOKUP($A280,'S46'!$C:$BQ,59,0)</f>
        <v>0</v>
      </c>
      <c r="AB280" s="66">
        <f>VLOOKUP($A280,'S46'!$C:$BQ,60,0)</f>
        <v>5</v>
      </c>
      <c r="AC280" s="58">
        <f>VLOOKUP($A280,'S47'!$C:$BQ,32,0)</f>
        <v>214.6</v>
      </c>
      <c r="AD280" s="58">
        <f>VLOOKUP($A280,'S47'!$C:$BQ,39,0)</f>
        <v>104</v>
      </c>
      <c r="AE280" s="58">
        <f>VLOOKUP($A280,'S47'!$C:$BQ,40,0)</f>
        <v>167</v>
      </c>
      <c r="AF280" s="58">
        <f>VLOOKUP($A280,'S47'!$C:$BQ,22,0)</f>
        <v>3162.29547</v>
      </c>
      <c r="AG280" s="66">
        <f>VLOOKUP($A280,'S47'!$C:$BQ,29,0)</f>
        <v>0</v>
      </c>
      <c r="AH280" s="66">
        <f>VLOOKUP($A280,'S47'!$C:$BQ,30,0)</f>
        <v>307</v>
      </c>
      <c r="AI280" s="66">
        <f>VLOOKUP($A280,'S47'!$C:$BQ,52,0)</f>
        <v>189.2</v>
      </c>
      <c r="AJ280" s="66">
        <f>VLOOKUP($A280,'S47'!$C:$BQ,59,0)</f>
        <v>0</v>
      </c>
      <c r="AK280" s="66">
        <f>VLOOKUP($A280,'S47'!$C:$BQ,60,0)</f>
        <v>5</v>
      </c>
      <c r="AL280" s="58" t="e">
        <f>VLOOKUP($A280,'S48'!$C:$BQ,32,0)</f>
        <v>#N/A</v>
      </c>
      <c r="AM280" s="58" t="e">
        <f>VLOOKUP($A280,'S48'!$C:$BQ,39,0)</f>
        <v>#N/A</v>
      </c>
      <c r="AN280" s="58" t="e">
        <f>VLOOKUP($A280,'S48'!$C:$BQ,40,0)</f>
        <v>#N/A</v>
      </c>
      <c r="AO280" s="58" t="e">
        <f>VLOOKUP($A280,'S48'!$C:$BQ,22,0)</f>
        <v>#N/A</v>
      </c>
      <c r="AP280" s="66" t="e">
        <f>VLOOKUP($A280,'S48'!$C:$BQ,29,0)</f>
        <v>#N/A</v>
      </c>
      <c r="AQ280" s="66" t="e">
        <f>VLOOKUP($A280,'S48'!$C:$BQ,30,0)</f>
        <v>#N/A</v>
      </c>
      <c r="AR280" s="66" t="e">
        <f>VLOOKUP($A280,'S48'!$C:$BQ,52,0)</f>
        <v>#N/A</v>
      </c>
      <c r="AS280" s="66" t="e">
        <f>VLOOKUP($A280,'S48'!$C:$BQ,59,0)</f>
        <v>#N/A</v>
      </c>
      <c r="AT280" s="66" t="e">
        <f>VLOOKUP($A280,'S48'!$C:$BQ,60,0)</f>
        <v>#N/A</v>
      </c>
      <c r="AU280" s="58" t="e">
        <f>VLOOKUP($A280,'S49'!$C:$BQ,32,0)</f>
        <v>#N/A</v>
      </c>
      <c r="AV280" s="58" t="e">
        <f>VLOOKUP($A280,'S49'!$C:$BQ,39,0)</f>
        <v>#N/A</v>
      </c>
      <c r="AW280" s="58" t="e">
        <f>VLOOKUP($A280,'S49'!$C:$BQ,40,0)</f>
        <v>#N/A</v>
      </c>
      <c r="AX280" s="58" t="e">
        <f>VLOOKUP($A280,'S49'!$C:$BQ,22,0)</f>
        <v>#N/A</v>
      </c>
      <c r="AY280" s="66" t="e">
        <f>VLOOKUP($A280,'S49'!$C:$BQ,29,0)</f>
        <v>#N/A</v>
      </c>
      <c r="AZ280" s="66" t="e">
        <f>VLOOKUP($A280,'S49'!$C:$BQ,30,0)</f>
        <v>#N/A</v>
      </c>
      <c r="BA280" s="66" t="e">
        <f>VLOOKUP($A280,'S49'!$C:$BQ,52,0)</f>
        <v>#N/A</v>
      </c>
      <c r="BB280" s="66" t="e">
        <f>VLOOKUP($A280,'S49'!$C:$BQ,59,0)</f>
        <v>#N/A</v>
      </c>
      <c r="BC280" s="66" t="e">
        <f>VLOOKUP($A280,'S49'!$C:$BQ,60,0)</f>
        <v>#N/A</v>
      </c>
      <c r="BD280" s="58" t="e">
        <f>VLOOKUP($A280,'S50'!$C:$BQ,32,0)</f>
        <v>#N/A</v>
      </c>
      <c r="BE280" s="58" t="e">
        <f>VLOOKUP($A280,'S50'!$C:$BQ,39,0)</f>
        <v>#N/A</v>
      </c>
      <c r="BF280" s="58" t="e">
        <f>VLOOKUP($A280,'S50'!$C:$BQ,40,0)</f>
        <v>#N/A</v>
      </c>
      <c r="BG280" s="58" t="e">
        <f>VLOOKUP($A280,'S50'!$C:$BQ,22,0)</f>
        <v>#N/A</v>
      </c>
      <c r="BH280" s="66" t="e">
        <f>VLOOKUP($A280,'S50'!$C:$BQ,29,0)</f>
        <v>#N/A</v>
      </c>
      <c r="BI280" s="66" t="e">
        <f>VLOOKUP($A280,'S50'!$C:$BQ,30,0)</f>
        <v>#N/A</v>
      </c>
      <c r="BJ280" s="66" t="e">
        <f>VLOOKUP($A280,'S50'!$C:$BQ,52,0)</f>
        <v>#N/A</v>
      </c>
      <c r="BK280" s="66" t="e">
        <f>VLOOKUP($A280,'S50'!$C:$BQ,59,0)</f>
        <v>#N/A</v>
      </c>
      <c r="BL280" s="66" t="e">
        <f>VLOOKUP($A280,'S50'!$C:$BQ,60,0)</f>
        <v>#N/A</v>
      </c>
    </row>
    <row r="281" spans="1:64" x14ac:dyDescent="0.2">
      <c r="A281" s="57" t="s">
        <v>355</v>
      </c>
      <c r="B281" s="58">
        <f>VLOOKUP($A281,'S0 remplacer avec S44'!$C:$BQ,32,0)</f>
        <v>205.8</v>
      </c>
      <c r="C281" s="58">
        <f>VLOOKUP($A281,'S0 remplacer avec S44'!$C:$BQ,39,0)</f>
        <v>0</v>
      </c>
      <c r="D281" s="58">
        <f>VLOOKUP($A281,'S0 remplacer avec S44'!$C:$BQ,40,0)</f>
        <v>41</v>
      </c>
      <c r="E281" s="58">
        <f>VLOOKUP($A281,'S0 remplacer avec S44'!$C:$BQ,22,0)</f>
        <v>1763.1288999999999</v>
      </c>
      <c r="F281" s="66">
        <f>VLOOKUP($A281,'S0 remplacer avec S44'!$C:$BQ,29,0)</f>
        <v>107</v>
      </c>
      <c r="G281" s="66">
        <f>VLOOKUP($A281,'S0 remplacer avec S44'!$C:$BQ,30,0)</f>
        <v>481</v>
      </c>
      <c r="H281" s="66">
        <f>VLOOKUP($A281,'S0 remplacer avec S44'!$C:$BQ,52,0)</f>
        <v>122.2</v>
      </c>
      <c r="I281" s="66">
        <f>VLOOKUP($A281,'S0 remplacer avec S44'!$C:$BQ,59,0)</f>
        <v>0</v>
      </c>
      <c r="J281" s="66">
        <f>VLOOKUP($A281,'S0 remplacer avec S44'!$C:$BQ,60,0)</f>
        <v>4</v>
      </c>
      <c r="K281" s="58">
        <f>VLOOKUP($A281,'S45'!$C:$BQ,32,0)</f>
        <v>205.8</v>
      </c>
      <c r="L281" s="58">
        <f>VLOOKUP($A281,'S45'!$C:$BQ,39,0)</f>
        <v>0</v>
      </c>
      <c r="M281" s="58">
        <f>VLOOKUP($A281,'S45'!$C:$BQ,40,0)</f>
        <v>41</v>
      </c>
      <c r="N281" s="58">
        <f>VLOOKUP($A281,'S45'!$C:$BQ,22,0)</f>
        <v>1787.4983999999999</v>
      </c>
      <c r="O281" s="66">
        <f>VLOOKUP($A281,'S45'!$C:$BQ,29,0)</f>
        <v>83</v>
      </c>
      <c r="P281" s="66">
        <f>VLOOKUP($A281,'S45'!$C:$BQ,30,0)</f>
        <v>457</v>
      </c>
      <c r="Q281" s="66">
        <f>VLOOKUP($A281,'S45'!$C:$BQ,52,0)</f>
        <v>124.2</v>
      </c>
      <c r="R281" s="66">
        <f>VLOOKUP($A281,'S45'!$C:$BQ,59,0)</f>
        <v>0</v>
      </c>
      <c r="S281" s="66">
        <f>VLOOKUP($A281,'S45'!$C:$BQ,60,0)</f>
        <v>2</v>
      </c>
      <c r="T281" s="58">
        <f>VLOOKUP($A281,'S46'!$C:$BQ,32,0)</f>
        <v>204.8</v>
      </c>
      <c r="U281" s="58">
        <f>VLOOKUP($A281,'S46'!$C:$BQ,39,0)</f>
        <v>1</v>
      </c>
      <c r="V281" s="58">
        <f>VLOOKUP($A281,'S46'!$C:$BQ,40,0)</f>
        <v>42</v>
      </c>
      <c r="W281" s="58">
        <f>VLOOKUP($A281,'S46'!$C:$BQ,22,0)</f>
        <v>1788.1067599999999</v>
      </c>
      <c r="X281" s="66">
        <f>VLOOKUP($A281,'S46'!$C:$BQ,29,0)</f>
        <v>82</v>
      </c>
      <c r="Y281" s="66">
        <f>VLOOKUP($A281,'S46'!$C:$BQ,30,0)</f>
        <v>456</v>
      </c>
      <c r="Z281" s="66">
        <f>VLOOKUP($A281,'S46'!$C:$BQ,52,0)</f>
        <v>124.2</v>
      </c>
      <c r="AA281" s="66">
        <f>VLOOKUP($A281,'S46'!$C:$BQ,59,0)</f>
        <v>0</v>
      </c>
      <c r="AB281" s="66">
        <f>VLOOKUP($A281,'S46'!$C:$BQ,60,0)</f>
        <v>2</v>
      </c>
      <c r="AC281" s="58">
        <f>VLOOKUP($A281,'S47'!$C:$BQ,32,0)</f>
        <v>217.3</v>
      </c>
      <c r="AD281" s="58">
        <f>VLOOKUP($A281,'S47'!$C:$BQ,39,0)</f>
        <v>0</v>
      </c>
      <c r="AE281" s="58">
        <f>VLOOKUP($A281,'S47'!$C:$BQ,40,0)</f>
        <v>30</v>
      </c>
      <c r="AF281" s="58">
        <f>VLOOKUP($A281,'S47'!$C:$BQ,22,0)</f>
        <v>1808.3795500000001</v>
      </c>
      <c r="AG281" s="66">
        <f>VLOOKUP($A281,'S47'!$C:$BQ,29,0)</f>
        <v>62</v>
      </c>
      <c r="AH281" s="66">
        <f>VLOOKUP($A281,'S47'!$C:$BQ,30,0)</f>
        <v>436</v>
      </c>
      <c r="AI281" s="66">
        <f>VLOOKUP($A281,'S47'!$C:$BQ,52,0)</f>
        <v>125.2</v>
      </c>
      <c r="AJ281" s="66">
        <f>VLOOKUP($A281,'S47'!$C:$BQ,59,0)</f>
        <v>0</v>
      </c>
      <c r="AK281" s="66">
        <f>VLOOKUP($A281,'S47'!$C:$BQ,60,0)</f>
        <v>1</v>
      </c>
      <c r="AL281" s="58" t="e">
        <f>VLOOKUP($A281,'S48'!$C:$BQ,32,0)</f>
        <v>#N/A</v>
      </c>
      <c r="AM281" s="58" t="e">
        <f>VLOOKUP($A281,'S48'!$C:$BQ,39,0)</f>
        <v>#N/A</v>
      </c>
      <c r="AN281" s="58" t="e">
        <f>VLOOKUP($A281,'S48'!$C:$BQ,40,0)</f>
        <v>#N/A</v>
      </c>
      <c r="AO281" s="58" t="e">
        <f>VLOOKUP($A281,'S48'!$C:$BQ,22,0)</f>
        <v>#N/A</v>
      </c>
      <c r="AP281" s="66" t="e">
        <f>VLOOKUP($A281,'S48'!$C:$BQ,29,0)</f>
        <v>#N/A</v>
      </c>
      <c r="AQ281" s="66" t="e">
        <f>VLOOKUP($A281,'S48'!$C:$BQ,30,0)</f>
        <v>#N/A</v>
      </c>
      <c r="AR281" s="66" t="e">
        <f>VLOOKUP($A281,'S48'!$C:$BQ,52,0)</f>
        <v>#N/A</v>
      </c>
      <c r="AS281" s="66" t="e">
        <f>VLOOKUP($A281,'S48'!$C:$BQ,59,0)</f>
        <v>#N/A</v>
      </c>
      <c r="AT281" s="66" t="e">
        <f>VLOOKUP($A281,'S48'!$C:$BQ,60,0)</f>
        <v>#N/A</v>
      </c>
      <c r="AU281" s="58" t="e">
        <f>VLOOKUP($A281,'S49'!$C:$BQ,32,0)</f>
        <v>#N/A</v>
      </c>
      <c r="AV281" s="58" t="e">
        <f>VLOOKUP($A281,'S49'!$C:$BQ,39,0)</f>
        <v>#N/A</v>
      </c>
      <c r="AW281" s="58" t="e">
        <f>VLOOKUP($A281,'S49'!$C:$BQ,40,0)</f>
        <v>#N/A</v>
      </c>
      <c r="AX281" s="58" t="e">
        <f>VLOOKUP($A281,'S49'!$C:$BQ,22,0)</f>
        <v>#N/A</v>
      </c>
      <c r="AY281" s="66" t="e">
        <f>VLOOKUP($A281,'S49'!$C:$BQ,29,0)</f>
        <v>#N/A</v>
      </c>
      <c r="AZ281" s="66" t="e">
        <f>VLOOKUP($A281,'S49'!$C:$BQ,30,0)</f>
        <v>#N/A</v>
      </c>
      <c r="BA281" s="66" t="e">
        <f>VLOOKUP($A281,'S49'!$C:$BQ,52,0)</f>
        <v>#N/A</v>
      </c>
      <c r="BB281" s="66" t="e">
        <f>VLOOKUP($A281,'S49'!$C:$BQ,59,0)</f>
        <v>#N/A</v>
      </c>
      <c r="BC281" s="66" t="e">
        <f>VLOOKUP($A281,'S49'!$C:$BQ,60,0)</f>
        <v>#N/A</v>
      </c>
      <c r="BD281" s="58" t="e">
        <f>VLOOKUP($A281,'S50'!$C:$BQ,32,0)</f>
        <v>#N/A</v>
      </c>
      <c r="BE281" s="58" t="e">
        <f>VLOOKUP($A281,'S50'!$C:$BQ,39,0)</f>
        <v>#N/A</v>
      </c>
      <c r="BF281" s="58" t="e">
        <f>VLOOKUP($A281,'S50'!$C:$BQ,40,0)</f>
        <v>#N/A</v>
      </c>
      <c r="BG281" s="58" t="e">
        <f>VLOOKUP($A281,'S50'!$C:$BQ,22,0)</f>
        <v>#N/A</v>
      </c>
      <c r="BH281" s="66" t="e">
        <f>VLOOKUP($A281,'S50'!$C:$BQ,29,0)</f>
        <v>#N/A</v>
      </c>
      <c r="BI281" s="66" t="e">
        <f>VLOOKUP($A281,'S50'!$C:$BQ,30,0)</f>
        <v>#N/A</v>
      </c>
      <c r="BJ281" s="66" t="e">
        <f>VLOOKUP($A281,'S50'!$C:$BQ,52,0)</f>
        <v>#N/A</v>
      </c>
      <c r="BK281" s="66" t="e">
        <f>VLOOKUP($A281,'S50'!$C:$BQ,59,0)</f>
        <v>#N/A</v>
      </c>
      <c r="BL281" s="66" t="e">
        <f>VLOOKUP($A281,'S50'!$C:$BQ,60,0)</f>
        <v>#N/A</v>
      </c>
    </row>
    <row r="282" spans="1:64" x14ac:dyDescent="0.2">
      <c r="A282" s="57" t="s">
        <v>356</v>
      </c>
      <c r="B282" s="58">
        <f>VLOOKUP($A282,'S0 remplacer avec S44'!$C:$BQ,32,0)</f>
        <v>165.4</v>
      </c>
      <c r="C282" s="58">
        <f>VLOOKUP($A282,'S0 remplacer avec S44'!$C:$BQ,39,0)</f>
        <v>0</v>
      </c>
      <c r="D282" s="58">
        <f>VLOOKUP($A282,'S0 remplacer avec S44'!$C:$BQ,40,0)</f>
        <v>32</v>
      </c>
      <c r="E282" s="58">
        <f>VLOOKUP($A282,'S0 remplacer avec S44'!$C:$BQ,22,0)</f>
        <v>1860.5121549999999</v>
      </c>
      <c r="F282" s="66">
        <f>VLOOKUP($A282,'S0 remplacer avec S44'!$C:$BQ,29,0)</f>
        <v>0</v>
      </c>
      <c r="G282" s="66">
        <f>VLOOKUP($A282,'S0 remplacer avec S44'!$C:$BQ,30,0)</f>
        <v>0</v>
      </c>
      <c r="H282" s="66">
        <f>VLOOKUP($A282,'S0 remplacer avec S44'!$C:$BQ,52,0)</f>
        <v>117</v>
      </c>
      <c r="I282" s="66">
        <f>VLOOKUP($A282,'S0 remplacer avec S44'!$C:$BQ,59,0)</f>
        <v>0</v>
      </c>
      <c r="J282" s="66">
        <f>VLOOKUP($A282,'S0 remplacer avec S44'!$C:$BQ,60,0)</f>
        <v>0</v>
      </c>
      <c r="K282" s="58">
        <f>VLOOKUP($A282,'S45'!$C:$BQ,32,0)</f>
        <v>174.4</v>
      </c>
      <c r="L282" s="58">
        <f>VLOOKUP($A282,'S45'!$C:$BQ,39,0)</f>
        <v>0</v>
      </c>
      <c r="M282" s="58">
        <f>VLOOKUP($A282,'S45'!$C:$BQ,40,0)</f>
        <v>23</v>
      </c>
      <c r="N282" s="58">
        <f>VLOOKUP($A282,'S45'!$C:$BQ,22,0)</f>
        <v>1868.1955949999999</v>
      </c>
      <c r="O282" s="66">
        <f>VLOOKUP($A282,'S45'!$C:$BQ,29,0)</f>
        <v>0</v>
      </c>
      <c r="P282" s="66">
        <f>VLOOKUP($A282,'S45'!$C:$BQ,30,0)</f>
        <v>0</v>
      </c>
      <c r="Q282" s="66">
        <f>VLOOKUP($A282,'S45'!$C:$BQ,52,0)</f>
        <v>119</v>
      </c>
      <c r="R282" s="66">
        <f>VLOOKUP($A282,'S45'!$C:$BQ,59,0)</f>
        <v>0</v>
      </c>
      <c r="S282" s="66">
        <f>VLOOKUP($A282,'S45'!$C:$BQ,60,0)</f>
        <v>0</v>
      </c>
      <c r="T282" s="58">
        <f>VLOOKUP($A282,'S46'!$C:$BQ,32,0)</f>
        <v>175.4</v>
      </c>
      <c r="U282" s="58">
        <f>VLOOKUP($A282,'S46'!$C:$BQ,39,0)</f>
        <v>0</v>
      </c>
      <c r="V282" s="58">
        <f>VLOOKUP($A282,'S46'!$C:$BQ,40,0)</f>
        <v>22</v>
      </c>
      <c r="W282" s="58">
        <f>VLOOKUP($A282,'S46'!$C:$BQ,22,0)</f>
        <v>1870.4515550000001</v>
      </c>
      <c r="X282" s="66">
        <f>VLOOKUP($A282,'S46'!$C:$BQ,29,0)</f>
        <v>0</v>
      </c>
      <c r="Y282" s="66">
        <f>VLOOKUP($A282,'S46'!$C:$BQ,30,0)</f>
        <v>0</v>
      </c>
      <c r="Z282" s="66">
        <f>VLOOKUP($A282,'S46'!$C:$BQ,52,0)</f>
        <v>119</v>
      </c>
      <c r="AA282" s="66">
        <f>VLOOKUP($A282,'S46'!$C:$BQ,59,0)</f>
        <v>0</v>
      </c>
      <c r="AB282" s="66">
        <f>VLOOKUP($A282,'S46'!$C:$BQ,60,0)</f>
        <v>0</v>
      </c>
      <c r="AC282" s="58">
        <f>VLOOKUP($A282,'S47'!$C:$BQ,32,0)</f>
        <v>182.9</v>
      </c>
      <c r="AD282" s="58">
        <f>VLOOKUP($A282,'S47'!$C:$BQ,39,0)</f>
        <v>0</v>
      </c>
      <c r="AE282" s="58">
        <f>VLOOKUP($A282,'S47'!$C:$BQ,40,0)</f>
        <v>15</v>
      </c>
      <c r="AF282" s="58">
        <f>VLOOKUP($A282,'S47'!$C:$BQ,22,0)</f>
        <v>1913.3752950000001</v>
      </c>
      <c r="AG282" s="66">
        <f>VLOOKUP($A282,'S47'!$C:$BQ,29,0)</f>
        <v>0</v>
      </c>
      <c r="AH282" s="66">
        <f>VLOOKUP($A282,'S47'!$C:$BQ,30,0)</f>
        <v>0</v>
      </c>
      <c r="AI282" s="66">
        <f>VLOOKUP($A282,'S47'!$C:$BQ,52,0)</f>
        <v>119</v>
      </c>
      <c r="AJ282" s="66">
        <f>VLOOKUP($A282,'S47'!$C:$BQ,59,0)</f>
        <v>0</v>
      </c>
      <c r="AK282" s="66">
        <f>VLOOKUP($A282,'S47'!$C:$BQ,60,0)</f>
        <v>0</v>
      </c>
      <c r="AL282" s="58" t="e">
        <f>VLOOKUP($A282,'S48'!$C:$BQ,32,0)</f>
        <v>#N/A</v>
      </c>
      <c r="AM282" s="58" t="e">
        <f>VLOOKUP($A282,'S48'!$C:$BQ,39,0)</f>
        <v>#N/A</v>
      </c>
      <c r="AN282" s="58" t="e">
        <f>VLOOKUP($A282,'S48'!$C:$BQ,40,0)</f>
        <v>#N/A</v>
      </c>
      <c r="AO282" s="58" t="e">
        <f>VLOOKUP($A282,'S48'!$C:$BQ,22,0)</f>
        <v>#N/A</v>
      </c>
      <c r="AP282" s="66" t="e">
        <f>VLOOKUP($A282,'S48'!$C:$BQ,29,0)</f>
        <v>#N/A</v>
      </c>
      <c r="AQ282" s="66" t="e">
        <f>VLOOKUP($A282,'S48'!$C:$BQ,30,0)</f>
        <v>#N/A</v>
      </c>
      <c r="AR282" s="66" t="e">
        <f>VLOOKUP($A282,'S48'!$C:$BQ,52,0)</f>
        <v>#N/A</v>
      </c>
      <c r="AS282" s="66" t="e">
        <f>VLOOKUP($A282,'S48'!$C:$BQ,59,0)</f>
        <v>#N/A</v>
      </c>
      <c r="AT282" s="66" t="e">
        <f>VLOOKUP($A282,'S48'!$C:$BQ,60,0)</f>
        <v>#N/A</v>
      </c>
      <c r="AU282" s="58" t="e">
        <f>VLOOKUP($A282,'S49'!$C:$BQ,32,0)</f>
        <v>#N/A</v>
      </c>
      <c r="AV282" s="58" t="e">
        <f>VLOOKUP($A282,'S49'!$C:$BQ,39,0)</f>
        <v>#N/A</v>
      </c>
      <c r="AW282" s="58" t="e">
        <f>VLOOKUP($A282,'S49'!$C:$BQ,40,0)</f>
        <v>#N/A</v>
      </c>
      <c r="AX282" s="58" t="e">
        <f>VLOOKUP($A282,'S49'!$C:$BQ,22,0)</f>
        <v>#N/A</v>
      </c>
      <c r="AY282" s="66" t="e">
        <f>VLOOKUP($A282,'S49'!$C:$BQ,29,0)</f>
        <v>#N/A</v>
      </c>
      <c r="AZ282" s="66" t="e">
        <f>VLOOKUP($A282,'S49'!$C:$BQ,30,0)</f>
        <v>#N/A</v>
      </c>
      <c r="BA282" s="66" t="e">
        <f>VLOOKUP($A282,'S49'!$C:$BQ,52,0)</f>
        <v>#N/A</v>
      </c>
      <c r="BB282" s="66" t="e">
        <f>VLOOKUP($A282,'S49'!$C:$BQ,59,0)</f>
        <v>#N/A</v>
      </c>
      <c r="BC282" s="66" t="e">
        <f>VLOOKUP($A282,'S49'!$C:$BQ,60,0)</f>
        <v>#N/A</v>
      </c>
      <c r="BD282" s="58" t="e">
        <f>VLOOKUP($A282,'S50'!$C:$BQ,32,0)</f>
        <v>#N/A</v>
      </c>
      <c r="BE282" s="58" t="e">
        <f>VLOOKUP($A282,'S50'!$C:$BQ,39,0)</f>
        <v>#N/A</v>
      </c>
      <c r="BF282" s="58" t="e">
        <f>VLOOKUP($A282,'S50'!$C:$BQ,40,0)</f>
        <v>#N/A</v>
      </c>
      <c r="BG282" s="58" t="e">
        <f>VLOOKUP($A282,'S50'!$C:$BQ,22,0)</f>
        <v>#N/A</v>
      </c>
      <c r="BH282" s="66" t="e">
        <f>VLOOKUP($A282,'S50'!$C:$BQ,29,0)</f>
        <v>#N/A</v>
      </c>
      <c r="BI282" s="66" t="e">
        <f>VLOOKUP($A282,'S50'!$C:$BQ,30,0)</f>
        <v>#N/A</v>
      </c>
      <c r="BJ282" s="66" t="e">
        <f>VLOOKUP($A282,'S50'!$C:$BQ,52,0)</f>
        <v>#N/A</v>
      </c>
      <c r="BK282" s="66" t="e">
        <f>VLOOKUP($A282,'S50'!$C:$BQ,59,0)</f>
        <v>#N/A</v>
      </c>
      <c r="BL282" s="66" t="e">
        <f>VLOOKUP($A282,'S50'!$C:$BQ,60,0)</f>
        <v>#N/A</v>
      </c>
    </row>
    <row r="283" spans="1:64" x14ac:dyDescent="0.2">
      <c r="A283" s="57" t="s">
        <v>358</v>
      </c>
      <c r="B283" s="58">
        <f>VLOOKUP($A283,'S0 remplacer avec S44'!$C:$BQ,32,0)</f>
        <v>211.3</v>
      </c>
      <c r="C283" s="58">
        <f>VLOOKUP($A283,'S0 remplacer avec S44'!$C:$BQ,39,0)</f>
        <v>0</v>
      </c>
      <c r="D283" s="58">
        <f>VLOOKUP($A283,'S0 remplacer avec S44'!$C:$BQ,40,0)</f>
        <v>0</v>
      </c>
      <c r="E283" s="58">
        <f>VLOOKUP($A283,'S0 remplacer avec S44'!$C:$BQ,22,0)</f>
        <v>2171.9652900000001</v>
      </c>
      <c r="F283" s="66">
        <f>VLOOKUP($A283,'S0 remplacer avec S44'!$C:$BQ,29,0)</f>
        <v>0</v>
      </c>
      <c r="G283" s="66">
        <f>VLOOKUP($A283,'S0 remplacer avec S44'!$C:$BQ,30,0)</f>
        <v>0</v>
      </c>
      <c r="H283" s="66">
        <f>VLOOKUP($A283,'S0 remplacer avec S44'!$C:$BQ,52,0)</f>
        <v>131.4</v>
      </c>
      <c r="I283" s="66">
        <f>VLOOKUP($A283,'S0 remplacer avec S44'!$C:$BQ,59,0)</f>
        <v>0</v>
      </c>
      <c r="J283" s="66">
        <f>VLOOKUP($A283,'S0 remplacer avec S44'!$C:$BQ,60,0)</f>
        <v>0</v>
      </c>
      <c r="K283" s="58">
        <f>VLOOKUP($A283,'S45'!$C:$BQ,32,0)</f>
        <v>214.8</v>
      </c>
      <c r="L283" s="58">
        <f>VLOOKUP($A283,'S45'!$C:$BQ,39,0)</f>
        <v>0</v>
      </c>
      <c r="M283" s="58">
        <f>VLOOKUP($A283,'S45'!$C:$BQ,40,0)</f>
        <v>0</v>
      </c>
      <c r="N283" s="58">
        <f>VLOOKUP($A283,'S45'!$C:$BQ,22,0)</f>
        <v>2218.54646</v>
      </c>
      <c r="O283" s="66">
        <f>VLOOKUP($A283,'S45'!$C:$BQ,29,0)</f>
        <v>0</v>
      </c>
      <c r="P283" s="66">
        <f>VLOOKUP($A283,'S45'!$C:$BQ,30,0)</f>
        <v>0</v>
      </c>
      <c r="Q283" s="66">
        <f>VLOOKUP($A283,'S45'!$C:$BQ,52,0)</f>
        <v>133.4</v>
      </c>
      <c r="R283" s="66">
        <f>VLOOKUP($A283,'S45'!$C:$BQ,59,0)</f>
        <v>0</v>
      </c>
      <c r="S283" s="66">
        <f>VLOOKUP($A283,'S45'!$C:$BQ,60,0)</f>
        <v>0</v>
      </c>
      <c r="T283" s="58">
        <f>VLOOKUP($A283,'S46'!$C:$BQ,32,0)</f>
        <v>217.3</v>
      </c>
      <c r="U283" s="58">
        <f>VLOOKUP($A283,'S46'!$C:$BQ,39,0)</f>
        <v>0</v>
      </c>
      <c r="V283" s="58">
        <f>VLOOKUP($A283,'S46'!$C:$BQ,40,0)</f>
        <v>0</v>
      </c>
      <c r="W283" s="58">
        <f>VLOOKUP($A283,'S46'!$C:$BQ,22,0)</f>
        <v>2221.8721500000001</v>
      </c>
      <c r="X283" s="66">
        <f>VLOOKUP($A283,'S46'!$C:$BQ,29,0)</f>
        <v>0</v>
      </c>
      <c r="Y283" s="66">
        <f>VLOOKUP($A283,'S46'!$C:$BQ,30,0)</f>
        <v>0</v>
      </c>
      <c r="Z283" s="66">
        <f>VLOOKUP($A283,'S46'!$C:$BQ,52,0)</f>
        <v>135.4</v>
      </c>
      <c r="AA283" s="66">
        <f>VLOOKUP($A283,'S46'!$C:$BQ,59,0)</f>
        <v>0</v>
      </c>
      <c r="AB283" s="66">
        <f>VLOOKUP($A283,'S46'!$C:$BQ,60,0)</f>
        <v>0</v>
      </c>
      <c r="AC283" s="58">
        <f>VLOOKUP($A283,'S47'!$C:$BQ,32,0)</f>
        <v>229.3</v>
      </c>
      <c r="AD283" s="58">
        <f>VLOOKUP($A283,'S47'!$C:$BQ,39,0)</f>
        <v>0</v>
      </c>
      <c r="AE283" s="58">
        <f>VLOOKUP($A283,'S47'!$C:$BQ,40,0)</f>
        <v>0</v>
      </c>
      <c r="AF283" s="58">
        <f>VLOOKUP($A283,'S47'!$C:$BQ,22,0)</f>
        <v>2265.5671400000001</v>
      </c>
      <c r="AG283" s="66">
        <f>VLOOKUP($A283,'S47'!$C:$BQ,29,0)</f>
        <v>0</v>
      </c>
      <c r="AH283" s="66">
        <f>VLOOKUP($A283,'S47'!$C:$BQ,30,0)</f>
        <v>0</v>
      </c>
      <c r="AI283" s="66">
        <f>VLOOKUP($A283,'S47'!$C:$BQ,52,0)</f>
        <v>135.4</v>
      </c>
      <c r="AJ283" s="66">
        <f>VLOOKUP($A283,'S47'!$C:$BQ,59,0)</f>
        <v>0</v>
      </c>
      <c r="AK283" s="66">
        <f>VLOOKUP($A283,'S47'!$C:$BQ,60,0)</f>
        <v>0</v>
      </c>
      <c r="AL283" s="58" t="e">
        <f>VLOOKUP($A283,'S48'!$C:$BQ,32,0)</f>
        <v>#N/A</v>
      </c>
      <c r="AM283" s="58" t="e">
        <f>VLOOKUP($A283,'S48'!$C:$BQ,39,0)</f>
        <v>#N/A</v>
      </c>
      <c r="AN283" s="58" t="e">
        <f>VLOOKUP($A283,'S48'!$C:$BQ,40,0)</f>
        <v>#N/A</v>
      </c>
      <c r="AO283" s="58" t="e">
        <f>VLOOKUP($A283,'S48'!$C:$BQ,22,0)</f>
        <v>#N/A</v>
      </c>
      <c r="AP283" s="66" t="e">
        <f>VLOOKUP($A283,'S48'!$C:$BQ,29,0)</f>
        <v>#N/A</v>
      </c>
      <c r="AQ283" s="66" t="e">
        <f>VLOOKUP($A283,'S48'!$C:$BQ,30,0)</f>
        <v>#N/A</v>
      </c>
      <c r="AR283" s="66" t="e">
        <f>VLOOKUP($A283,'S48'!$C:$BQ,52,0)</f>
        <v>#N/A</v>
      </c>
      <c r="AS283" s="66" t="e">
        <f>VLOOKUP($A283,'S48'!$C:$BQ,59,0)</f>
        <v>#N/A</v>
      </c>
      <c r="AT283" s="66" t="e">
        <f>VLOOKUP($A283,'S48'!$C:$BQ,60,0)</f>
        <v>#N/A</v>
      </c>
      <c r="AU283" s="58" t="e">
        <f>VLOOKUP($A283,'S49'!$C:$BQ,32,0)</f>
        <v>#N/A</v>
      </c>
      <c r="AV283" s="58" t="e">
        <f>VLOOKUP($A283,'S49'!$C:$BQ,39,0)</f>
        <v>#N/A</v>
      </c>
      <c r="AW283" s="58" t="e">
        <f>VLOOKUP($A283,'S49'!$C:$BQ,40,0)</f>
        <v>#N/A</v>
      </c>
      <c r="AX283" s="58" t="e">
        <f>VLOOKUP($A283,'S49'!$C:$BQ,22,0)</f>
        <v>#N/A</v>
      </c>
      <c r="AY283" s="66" t="e">
        <f>VLOOKUP($A283,'S49'!$C:$BQ,29,0)</f>
        <v>#N/A</v>
      </c>
      <c r="AZ283" s="66" t="e">
        <f>VLOOKUP($A283,'S49'!$C:$BQ,30,0)</f>
        <v>#N/A</v>
      </c>
      <c r="BA283" s="66" t="e">
        <f>VLOOKUP($A283,'S49'!$C:$BQ,52,0)</f>
        <v>#N/A</v>
      </c>
      <c r="BB283" s="66" t="e">
        <f>VLOOKUP($A283,'S49'!$C:$BQ,59,0)</f>
        <v>#N/A</v>
      </c>
      <c r="BC283" s="66" t="e">
        <f>VLOOKUP($A283,'S49'!$C:$BQ,60,0)</f>
        <v>#N/A</v>
      </c>
      <c r="BD283" s="58" t="e">
        <f>VLOOKUP($A283,'S50'!$C:$BQ,32,0)</f>
        <v>#N/A</v>
      </c>
      <c r="BE283" s="58" t="e">
        <f>VLOOKUP($A283,'S50'!$C:$BQ,39,0)</f>
        <v>#N/A</v>
      </c>
      <c r="BF283" s="58" t="e">
        <f>VLOOKUP($A283,'S50'!$C:$BQ,40,0)</f>
        <v>#N/A</v>
      </c>
      <c r="BG283" s="58" t="e">
        <f>VLOOKUP($A283,'S50'!$C:$BQ,22,0)</f>
        <v>#N/A</v>
      </c>
      <c r="BH283" s="66" t="e">
        <f>VLOOKUP($A283,'S50'!$C:$BQ,29,0)</f>
        <v>#N/A</v>
      </c>
      <c r="BI283" s="66" t="e">
        <f>VLOOKUP($A283,'S50'!$C:$BQ,30,0)</f>
        <v>#N/A</v>
      </c>
      <c r="BJ283" s="66" t="e">
        <f>VLOOKUP($A283,'S50'!$C:$BQ,52,0)</f>
        <v>#N/A</v>
      </c>
      <c r="BK283" s="66" t="e">
        <f>VLOOKUP($A283,'S50'!$C:$BQ,59,0)</f>
        <v>#N/A</v>
      </c>
      <c r="BL283" s="66" t="e">
        <f>VLOOKUP($A283,'S50'!$C:$BQ,60,0)</f>
        <v>#N/A</v>
      </c>
    </row>
    <row r="284" spans="1:64" x14ac:dyDescent="0.2">
      <c r="A284" s="57" t="s">
        <v>359</v>
      </c>
      <c r="B284" s="58">
        <f>VLOOKUP($A284,'S0 remplacer avec S44'!$C:$BQ,32,0)</f>
        <v>197.9</v>
      </c>
      <c r="C284" s="58">
        <f>VLOOKUP($A284,'S0 remplacer avec S44'!$C:$BQ,39,0)</f>
        <v>0</v>
      </c>
      <c r="D284" s="58">
        <f>VLOOKUP($A284,'S0 remplacer avec S44'!$C:$BQ,40,0)</f>
        <v>24</v>
      </c>
      <c r="E284" s="58">
        <f>VLOOKUP($A284,'S0 remplacer avec S44'!$C:$BQ,22,0)</f>
        <v>1960.322905</v>
      </c>
      <c r="F284" s="66">
        <f>VLOOKUP($A284,'S0 remplacer avec S44'!$C:$BQ,29,0)</f>
        <v>0</v>
      </c>
      <c r="G284" s="66">
        <f>VLOOKUP($A284,'S0 remplacer avec S44'!$C:$BQ,30,0)</f>
        <v>53</v>
      </c>
      <c r="H284" s="66">
        <f>VLOOKUP($A284,'S0 remplacer avec S44'!$C:$BQ,52,0)</f>
        <v>118.8</v>
      </c>
      <c r="I284" s="66">
        <f>VLOOKUP($A284,'S0 remplacer avec S44'!$C:$BQ,59,0)</f>
        <v>0</v>
      </c>
      <c r="J284" s="66">
        <f>VLOOKUP($A284,'S0 remplacer avec S44'!$C:$BQ,60,0)</f>
        <v>0</v>
      </c>
      <c r="K284" s="58">
        <f>VLOOKUP($A284,'S45'!$C:$BQ,32,0)</f>
        <v>201.4</v>
      </c>
      <c r="L284" s="58">
        <f>VLOOKUP($A284,'S45'!$C:$BQ,39,0)</f>
        <v>0</v>
      </c>
      <c r="M284" s="58">
        <f>VLOOKUP($A284,'S45'!$C:$BQ,40,0)</f>
        <v>20</v>
      </c>
      <c r="N284" s="58">
        <f>VLOOKUP($A284,'S45'!$C:$BQ,22,0)</f>
        <v>1967.0950949999999</v>
      </c>
      <c r="O284" s="66">
        <f>VLOOKUP($A284,'S45'!$C:$BQ,29,0)</f>
        <v>0</v>
      </c>
      <c r="P284" s="66">
        <f>VLOOKUP($A284,'S45'!$C:$BQ,30,0)</f>
        <v>47</v>
      </c>
      <c r="Q284" s="66">
        <f>VLOOKUP($A284,'S45'!$C:$BQ,52,0)</f>
        <v>120.8</v>
      </c>
      <c r="R284" s="66">
        <f>VLOOKUP($A284,'S45'!$C:$BQ,59,0)</f>
        <v>0</v>
      </c>
      <c r="S284" s="66">
        <f>VLOOKUP($A284,'S45'!$C:$BQ,60,0)</f>
        <v>0</v>
      </c>
      <c r="T284" s="58">
        <f>VLOOKUP($A284,'S46'!$C:$BQ,32,0)</f>
        <v>200.4</v>
      </c>
      <c r="U284" s="58">
        <f>VLOOKUP($A284,'S46'!$C:$BQ,39,0)</f>
        <v>0</v>
      </c>
      <c r="V284" s="58">
        <f>VLOOKUP($A284,'S46'!$C:$BQ,40,0)</f>
        <v>21</v>
      </c>
      <c r="W284" s="58">
        <f>VLOOKUP($A284,'S46'!$C:$BQ,22,0)</f>
        <v>1997.254725</v>
      </c>
      <c r="X284" s="66">
        <f>VLOOKUP($A284,'S46'!$C:$BQ,29,0)</f>
        <v>0</v>
      </c>
      <c r="Y284" s="66">
        <f>VLOOKUP($A284,'S46'!$C:$BQ,30,0)</f>
        <v>16</v>
      </c>
      <c r="Z284" s="66">
        <f>VLOOKUP($A284,'S46'!$C:$BQ,52,0)</f>
        <v>122.8</v>
      </c>
      <c r="AA284" s="66">
        <f>VLOOKUP($A284,'S46'!$C:$BQ,59,0)</f>
        <v>0</v>
      </c>
      <c r="AB284" s="66">
        <f>VLOOKUP($A284,'S46'!$C:$BQ,60,0)</f>
        <v>0</v>
      </c>
      <c r="AC284" s="58">
        <f>VLOOKUP($A284,'S47'!$C:$BQ,32,0)</f>
        <v>212.4</v>
      </c>
      <c r="AD284" s="58">
        <f>VLOOKUP($A284,'S47'!$C:$BQ,39,0)</f>
        <v>0</v>
      </c>
      <c r="AE284" s="58">
        <f>VLOOKUP($A284,'S47'!$C:$BQ,40,0)</f>
        <v>9</v>
      </c>
      <c r="AF284" s="58">
        <f>VLOOKUP($A284,'S47'!$C:$BQ,22,0)</f>
        <v>2082.1570550000001</v>
      </c>
      <c r="AG284" s="66">
        <f>VLOOKUP($A284,'S47'!$C:$BQ,29,0)</f>
        <v>0</v>
      </c>
      <c r="AH284" s="66">
        <f>VLOOKUP($A284,'S47'!$C:$BQ,30,0)</f>
        <v>0</v>
      </c>
      <c r="AI284" s="66">
        <f>VLOOKUP($A284,'S47'!$C:$BQ,52,0)</f>
        <v>123.8</v>
      </c>
      <c r="AJ284" s="66">
        <f>VLOOKUP($A284,'S47'!$C:$BQ,59,0)</f>
        <v>0</v>
      </c>
      <c r="AK284" s="66">
        <f>VLOOKUP($A284,'S47'!$C:$BQ,60,0)</f>
        <v>0</v>
      </c>
      <c r="AL284" s="58" t="e">
        <f>VLOOKUP($A284,'S48'!$C:$BQ,32,0)</f>
        <v>#N/A</v>
      </c>
      <c r="AM284" s="58" t="e">
        <f>VLOOKUP($A284,'S48'!$C:$BQ,39,0)</f>
        <v>#N/A</v>
      </c>
      <c r="AN284" s="58" t="e">
        <f>VLOOKUP($A284,'S48'!$C:$BQ,40,0)</f>
        <v>#N/A</v>
      </c>
      <c r="AO284" s="58" t="e">
        <f>VLOOKUP($A284,'S48'!$C:$BQ,22,0)</f>
        <v>#N/A</v>
      </c>
      <c r="AP284" s="66" t="e">
        <f>VLOOKUP($A284,'S48'!$C:$BQ,29,0)</f>
        <v>#N/A</v>
      </c>
      <c r="AQ284" s="66" t="e">
        <f>VLOOKUP($A284,'S48'!$C:$BQ,30,0)</f>
        <v>#N/A</v>
      </c>
      <c r="AR284" s="66" t="e">
        <f>VLOOKUP($A284,'S48'!$C:$BQ,52,0)</f>
        <v>#N/A</v>
      </c>
      <c r="AS284" s="66" t="e">
        <f>VLOOKUP($A284,'S48'!$C:$BQ,59,0)</f>
        <v>#N/A</v>
      </c>
      <c r="AT284" s="66" t="e">
        <f>VLOOKUP($A284,'S48'!$C:$BQ,60,0)</f>
        <v>#N/A</v>
      </c>
      <c r="AU284" s="58" t="e">
        <f>VLOOKUP($A284,'S49'!$C:$BQ,32,0)</f>
        <v>#N/A</v>
      </c>
      <c r="AV284" s="58" t="e">
        <f>VLOOKUP($A284,'S49'!$C:$BQ,39,0)</f>
        <v>#N/A</v>
      </c>
      <c r="AW284" s="58" t="e">
        <f>VLOOKUP($A284,'S49'!$C:$BQ,40,0)</f>
        <v>#N/A</v>
      </c>
      <c r="AX284" s="58" t="e">
        <f>VLOOKUP($A284,'S49'!$C:$BQ,22,0)</f>
        <v>#N/A</v>
      </c>
      <c r="AY284" s="66" t="e">
        <f>VLOOKUP($A284,'S49'!$C:$BQ,29,0)</f>
        <v>#N/A</v>
      </c>
      <c r="AZ284" s="66" t="e">
        <f>VLOOKUP($A284,'S49'!$C:$BQ,30,0)</f>
        <v>#N/A</v>
      </c>
      <c r="BA284" s="66" t="e">
        <f>VLOOKUP($A284,'S49'!$C:$BQ,52,0)</f>
        <v>#N/A</v>
      </c>
      <c r="BB284" s="66" t="e">
        <f>VLOOKUP($A284,'S49'!$C:$BQ,59,0)</f>
        <v>#N/A</v>
      </c>
      <c r="BC284" s="66" t="e">
        <f>VLOOKUP($A284,'S49'!$C:$BQ,60,0)</f>
        <v>#N/A</v>
      </c>
      <c r="BD284" s="58" t="e">
        <f>VLOOKUP($A284,'S50'!$C:$BQ,32,0)</f>
        <v>#N/A</v>
      </c>
      <c r="BE284" s="58" t="e">
        <f>VLOOKUP($A284,'S50'!$C:$BQ,39,0)</f>
        <v>#N/A</v>
      </c>
      <c r="BF284" s="58" t="e">
        <f>VLOOKUP($A284,'S50'!$C:$BQ,40,0)</f>
        <v>#N/A</v>
      </c>
      <c r="BG284" s="58" t="e">
        <f>VLOOKUP($A284,'S50'!$C:$BQ,22,0)</f>
        <v>#N/A</v>
      </c>
      <c r="BH284" s="66" t="e">
        <f>VLOOKUP($A284,'S50'!$C:$BQ,29,0)</f>
        <v>#N/A</v>
      </c>
      <c r="BI284" s="66" t="e">
        <f>VLOOKUP($A284,'S50'!$C:$BQ,30,0)</f>
        <v>#N/A</v>
      </c>
      <c r="BJ284" s="66" t="e">
        <f>VLOOKUP($A284,'S50'!$C:$BQ,52,0)</f>
        <v>#N/A</v>
      </c>
      <c r="BK284" s="66" t="e">
        <f>VLOOKUP($A284,'S50'!$C:$BQ,59,0)</f>
        <v>#N/A</v>
      </c>
      <c r="BL284" s="66" t="e">
        <f>VLOOKUP($A284,'S50'!$C:$BQ,60,0)</f>
        <v>#N/A</v>
      </c>
    </row>
    <row r="285" spans="1:64" x14ac:dyDescent="0.2">
      <c r="A285" s="57" t="s">
        <v>360</v>
      </c>
      <c r="B285" s="58">
        <f>VLOOKUP($A285,'S0 remplacer avec S44'!$C:$BQ,32,0)</f>
        <v>191.45</v>
      </c>
      <c r="C285" s="58">
        <f>VLOOKUP($A285,'S0 remplacer avec S44'!$C:$BQ,39,0)</f>
        <v>60</v>
      </c>
      <c r="D285" s="58">
        <f>VLOOKUP($A285,'S0 remplacer avec S44'!$C:$BQ,40,0)</f>
        <v>110</v>
      </c>
      <c r="E285" s="58">
        <f>VLOOKUP($A285,'S0 remplacer avec S44'!$C:$BQ,22,0)</f>
        <v>2262.2503000000002</v>
      </c>
      <c r="F285" s="66">
        <f>VLOOKUP($A285,'S0 remplacer avec S44'!$C:$BQ,29,0)</f>
        <v>21</v>
      </c>
      <c r="G285" s="66">
        <f>VLOOKUP($A285,'S0 remplacer avec S44'!$C:$BQ,30,0)</f>
        <v>477</v>
      </c>
      <c r="H285" s="66">
        <f>VLOOKUP($A285,'S0 remplacer avec S44'!$C:$BQ,52,0)</f>
        <v>133.6</v>
      </c>
      <c r="I285" s="66">
        <f>VLOOKUP($A285,'S0 remplacer avec S44'!$C:$BQ,59,0)</f>
        <v>0</v>
      </c>
      <c r="J285" s="66">
        <f>VLOOKUP($A285,'S0 remplacer avec S44'!$C:$BQ,60,0)</f>
        <v>20</v>
      </c>
      <c r="K285" s="58">
        <f>VLOOKUP($A285,'S45'!$C:$BQ,32,0)</f>
        <v>190.45</v>
      </c>
      <c r="L285" s="58">
        <f>VLOOKUP($A285,'S45'!$C:$BQ,39,0)</f>
        <v>61</v>
      </c>
      <c r="M285" s="58">
        <f>VLOOKUP($A285,'S45'!$C:$BQ,40,0)</f>
        <v>111</v>
      </c>
      <c r="N285" s="58">
        <f>VLOOKUP($A285,'S45'!$C:$BQ,22,0)</f>
        <v>2265.1956100000002</v>
      </c>
      <c r="O285" s="66">
        <f>VLOOKUP($A285,'S45'!$C:$BQ,29,0)</f>
        <v>18</v>
      </c>
      <c r="P285" s="66">
        <f>VLOOKUP($A285,'S45'!$C:$BQ,30,0)</f>
        <v>475</v>
      </c>
      <c r="Q285" s="66">
        <f>VLOOKUP($A285,'S45'!$C:$BQ,52,0)</f>
        <v>133.6</v>
      </c>
      <c r="R285" s="66">
        <f>VLOOKUP($A285,'S45'!$C:$BQ,59,0)</f>
        <v>0</v>
      </c>
      <c r="S285" s="66">
        <f>VLOOKUP($A285,'S45'!$C:$BQ,60,0)</f>
        <v>20</v>
      </c>
      <c r="T285" s="58">
        <f>VLOOKUP($A285,'S46'!$C:$BQ,32,0)</f>
        <v>191.45</v>
      </c>
      <c r="U285" s="58">
        <f>VLOOKUP($A285,'S46'!$C:$BQ,39,0)</f>
        <v>60</v>
      </c>
      <c r="V285" s="58">
        <f>VLOOKUP($A285,'S46'!$C:$BQ,40,0)</f>
        <v>110</v>
      </c>
      <c r="W285" s="58">
        <f>VLOOKUP($A285,'S46'!$C:$BQ,22,0)</f>
        <v>2266.4230400000001</v>
      </c>
      <c r="X285" s="66">
        <f>VLOOKUP($A285,'S46'!$C:$BQ,29,0)</f>
        <v>17</v>
      </c>
      <c r="Y285" s="66">
        <f>VLOOKUP($A285,'S46'!$C:$BQ,30,0)</f>
        <v>473</v>
      </c>
      <c r="Z285" s="66">
        <f>VLOOKUP($A285,'S46'!$C:$BQ,52,0)</f>
        <v>133.6</v>
      </c>
      <c r="AA285" s="66">
        <f>VLOOKUP($A285,'S46'!$C:$BQ,59,0)</f>
        <v>0</v>
      </c>
      <c r="AB285" s="66">
        <f>VLOOKUP($A285,'S46'!$C:$BQ,60,0)</f>
        <v>20</v>
      </c>
      <c r="AC285" s="58">
        <f>VLOOKUP($A285,'S47'!$C:$BQ,32,0)</f>
        <v>191.45</v>
      </c>
      <c r="AD285" s="58">
        <f>VLOOKUP($A285,'S47'!$C:$BQ,39,0)</f>
        <v>60</v>
      </c>
      <c r="AE285" s="58">
        <f>VLOOKUP($A285,'S47'!$C:$BQ,40,0)</f>
        <v>110</v>
      </c>
      <c r="AF285" s="58">
        <f>VLOOKUP($A285,'S47'!$C:$BQ,22,0)</f>
        <v>2318.4013</v>
      </c>
      <c r="AG285" s="66">
        <f>VLOOKUP($A285,'S47'!$C:$BQ,29,0)</f>
        <v>0</v>
      </c>
      <c r="AH285" s="66">
        <f>VLOOKUP($A285,'S47'!$C:$BQ,30,0)</f>
        <v>421</v>
      </c>
      <c r="AI285" s="66">
        <f>VLOOKUP($A285,'S47'!$C:$BQ,52,0)</f>
        <v>136.6</v>
      </c>
      <c r="AJ285" s="66">
        <f>VLOOKUP($A285,'S47'!$C:$BQ,59,0)</f>
        <v>0</v>
      </c>
      <c r="AK285" s="66">
        <f>VLOOKUP($A285,'S47'!$C:$BQ,60,0)</f>
        <v>17</v>
      </c>
      <c r="AL285" s="58" t="e">
        <f>VLOOKUP($A285,'S48'!$C:$BQ,32,0)</f>
        <v>#N/A</v>
      </c>
      <c r="AM285" s="58" t="e">
        <f>VLOOKUP($A285,'S48'!$C:$BQ,39,0)</f>
        <v>#N/A</v>
      </c>
      <c r="AN285" s="58" t="e">
        <f>VLOOKUP($A285,'S48'!$C:$BQ,40,0)</f>
        <v>#N/A</v>
      </c>
      <c r="AO285" s="58" t="e">
        <f>VLOOKUP($A285,'S48'!$C:$BQ,22,0)</f>
        <v>#N/A</v>
      </c>
      <c r="AP285" s="66" t="e">
        <f>VLOOKUP($A285,'S48'!$C:$BQ,29,0)</f>
        <v>#N/A</v>
      </c>
      <c r="AQ285" s="66" t="e">
        <f>VLOOKUP($A285,'S48'!$C:$BQ,30,0)</f>
        <v>#N/A</v>
      </c>
      <c r="AR285" s="66" t="e">
        <f>VLOOKUP($A285,'S48'!$C:$BQ,52,0)</f>
        <v>#N/A</v>
      </c>
      <c r="AS285" s="66" t="e">
        <f>VLOOKUP($A285,'S48'!$C:$BQ,59,0)</f>
        <v>#N/A</v>
      </c>
      <c r="AT285" s="66" t="e">
        <f>VLOOKUP($A285,'S48'!$C:$BQ,60,0)</f>
        <v>#N/A</v>
      </c>
      <c r="AU285" s="58" t="e">
        <f>VLOOKUP($A285,'S49'!$C:$BQ,32,0)</f>
        <v>#N/A</v>
      </c>
      <c r="AV285" s="58" t="e">
        <f>VLOOKUP($A285,'S49'!$C:$BQ,39,0)</f>
        <v>#N/A</v>
      </c>
      <c r="AW285" s="58" t="e">
        <f>VLOOKUP($A285,'S49'!$C:$BQ,40,0)</f>
        <v>#N/A</v>
      </c>
      <c r="AX285" s="58" t="e">
        <f>VLOOKUP($A285,'S49'!$C:$BQ,22,0)</f>
        <v>#N/A</v>
      </c>
      <c r="AY285" s="66" t="e">
        <f>VLOOKUP($A285,'S49'!$C:$BQ,29,0)</f>
        <v>#N/A</v>
      </c>
      <c r="AZ285" s="66" t="e">
        <f>VLOOKUP($A285,'S49'!$C:$BQ,30,0)</f>
        <v>#N/A</v>
      </c>
      <c r="BA285" s="66" t="e">
        <f>VLOOKUP($A285,'S49'!$C:$BQ,52,0)</f>
        <v>#N/A</v>
      </c>
      <c r="BB285" s="66" t="e">
        <f>VLOOKUP($A285,'S49'!$C:$BQ,59,0)</f>
        <v>#N/A</v>
      </c>
      <c r="BC285" s="66" t="e">
        <f>VLOOKUP($A285,'S49'!$C:$BQ,60,0)</f>
        <v>#N/A</v>
      </c>
      <c r="BD285" s="58" t="e">
        <f>VLOOKUP($A285,'S50'!$C:$BQ,32,0)</f>
        <v>#N/A</v>
      </c>
      <c r="BE285" s="58" t="e">
        <f>VLOOKUP($A285,'S50'!$C:$BQ,39,0)</f>
        <v>#N/A</v>
      </c>
      <c r="BF285" s="58" t="e">
        <f>VLOOKUP($A285,'S50'!$C:$BQ,40,0)</f>
        <v>#N/A</v>
      </c>
      <c r="BG285" s="58" t="e">
        <f>VLOOKUP($A285,'S50'!$C:$BQ,22,0)</f>
        <v>#N/A</v>
      </c>
      <c r="BH285" s="66" t="e">
        <f>VLOOKUP($A285,'S50'!$C:$BQ,29,0)</f>
        <v>#N/A</v>
      </c>
      <c r="BI285" s="66" t="e">
        <f>VLOOKUP($A285,'S50'!$C:$BQ,30,0)</f>
        <v>#N/A</v>
      </c>
      <c r="BJ285" s="66" t="e">
        <f>VLOOKUP($A285,'S50'!$C:$BQ,52,0)</f>
        <v>#N/A</v>
      </c>
      <c r="BK285" s="66" t="e">
        <f>VLOOKUP($A285,'S50'!$C:$BQ,59,0)</f>
        <v>#N/A</v>
      </c>
      <c r="BL285" s="66" t="e">
        <f>VLOOKUP($A285,'S50'!$C:$BQ,60,0)</f>
        <v>#N/A</v>
      </c>
    </row>
    <row r="286" spans="1:64" x14ac:dyDescent="0.2">
      <c r="A286" s="57" t="s">
        <v>361</v>
      </c>
      <c r="B286" s="58">
        <f>VLOOKUP($A286,'S0 remplacer avec S44'!$C:$BQ,32,0)</f>
        <v>294.14999999999998</v>
      </c>
      <c r="C286" s="58">
        <f>VLOOKUP($A286,'S0 remplacer avec S44'!$C:$BQ,39,0)</f>
        <v>22</v>
      </c>
      <c r="D286" s="58">
        <f>VLOOKUP($A286,'S0 remplacer avec S44'!$C:$BQ,40,0)</f>
        <v>85</v>
      </c>
      <c r="E286" s="58">
        <f>VLOOKUP($A286,'S0 remplacer avec S44'!$C:$BQ,22,0)</f>
        <v>3122.2858449999999</v>
      </c>
      <c r="F286" s="66">
        <f>VLOOKUP($A286,'S0 remplacer avec S44'!$C:$BQ,29,0)</f>
        <v>0</v>
      </c>
      <c r="G286" s="66">
        <f>VLOOKUP($A286,'S0 remplacer avec S44'!$C:$BQ,30,0)</f>
        <v>326</v>
      </c>
      <c r="H286" s="66">
        <f>VLOOKUP($A286,'S0 remplacer avec S44'!$C:$BQ,52,0)</f>
        <v>185.2</v>
      </c>
      <c r="I286" s="66">
        <f>VLOOKUP($A286,'S0 remplacer avec S44'!$C:$BQ,59,0)</f>
        <v>0</v>
      </c>
      <c r="J286" s="66">
        <f>VLOOKUP($A286,'S0 remplacer avec S44'!$C:$BQ,60,0)</f>
        <v>8</v>
      </c>
      <c r="K286" s="58">
        <f>VLOOKUP($A286,'S45'!$C:$BQ,32,0)</f>
        <v>308.14999999999998</v>
      </c>
      <c r="L286" s="58">
        <f>VLOOKUP($A286,'S45'!$C:$BQ,39,0)</f>
        <v>8</v>
      </c>
      <c r="M286" s="58">
        <f>VLOOKUP($A286,'S45'!$C:$BQ,40,0)</f>
        <v>71</v>
      </c>
      <c r="N286" s="58">
        <f>VLOOKUP($A286,'S45'!$C:$BQ,22,0)</f>
        <v>3173.2135950000002</v>
      </c>
      <c r="O286" s="66">
        <f>VLOOKUP($A286,'S45'!$C:$BQ,29,0)</f>
        <v>0</v>
      </c>
      <c r="P286" s="66">
        <f>VLOOKUP($A286,'S45'!$C:$BQ,30,0)</f>
        <v>275</v>
      </c>
      <c r="Q286" s="66">
        <f>VLOOKUP($A286,'S45'!$C:$BQ,52,0)</f>
        <v>188.2</v>
      </c>
      <c r="R286" s="66">
        <f>VLOOKUP($A286,'S45'!$C:$BQ,59,0)</f>
        <v>0</v>
      </c>
      <c r="S286" s="66">
        <f>VLOOKUP($A286,'S45'!$C:$BQ,60,0)</f>
        <v>5</v>
      </c>
      <c r="T286" s="58">
        <f>VLOOKUP($A286,'S46'!$C:$BQ,32,0)</f>
        <v>308.14999999999998</v>
      </c>
      <c r="U286" s="58">
        <f>VLOOKUP($A286,'S46'!$C:$BQ,39,0)</f>
        <v>8</v>
      </c>
      <c r="V286" s="58">
        <f>VLOOKUP($A286,'S46'!$C:$BQ,40,0)</f>
        <v>71</v>
      </c>
      <c r="W286" s="58">
        <f>VLOOKUP($A286,'S46'!$C:$BQ,22,0)</f>
        <v>3174.6121950000002</v>
      </c>
      <c r="X286" s="66">
        <f>VLOOKUP($A286,'S46'!$C:$BQ,29,0)</f>
        <v>0</v>
      </c>
      <c r="Y286" s="66">
        <f>VLOOKUP($A286,'S46'!$C:$BQ,30,0)</f>
        <v>273</v>
      </c>
      <c r="Z286" s="66">
        <f>VLOOKUP($A286,'S46'!$C:$BQ,52,0)</f>
        <v>189.2</v>
      </c>
      <c r="AA286" s="66">
        <f>VLOOKUP($A286,'S46'!$C:$BQ,59,0)</f>
        <v>0</v>
      </c>
      <c r="AB286" s="66">
        <f>VLOOKUP($A286,'S46'!$C:$BQ,60,0)</f>
        <v>4</v>
      </c>
      <c r="AC286" s="58">
        <f>VLOOKUP($A286,'S47'!$C:$BQ,32,0)</f>
        <v>318.14999999999998</v>
      </c>
      <c r="AD286" s="58">
        <f>VLOOKUP($A286,'S47'!$C:$BQ,39,0)</f>
        <v>0</v>
      </c>
      <c r="AE286" s="58">
        <f>VLOOKUP($A286,'S47'!$C:$BQ,40,0)</f>
        <v>61</v>
      </c>
      <c r="AF286" s="58">
        <f>VLOOKUP($A286,'S47'!$C:$BQ,22,0)</f>
        <v>3259.3477549999998</v>
      </c>
      <c r="AG286" s="66">
        <f>VLOOKUP($A286,'S47'!$C:$BQ,29,0)</f>
        <v>0</v>
      </c>
      <c r="AH286" s="66">
        <f>VLOOKUP($A286,'S47'!$C:$BQ,30,0)</f>
        <v>189</v>
      </c>
      <c r="AI286" s="66">
        <f>VLOOKUP($A286,'S47'!$C:$BQ,52,0)</f>
        <v>190.2</v>
      </c>
      <c r="AJ286" s="66">
        <f>VLOOKUP($A286,'S47'!$C:$BQ,59,0)</f>
        <v>0</v>
      </c>
      <c r="AK286" s="66">
        <f>VLOOKUP($A286,'S47'!$C:$BQ,60,0)</f>
        <v>3</v>
      </c>
      <c r="AL286" s="58" t="e">
        <f>VLOOKUP($A286,'S48'!$C:$BQ,32,0)</f>
        <v>#N/A</v>
      </c>
      <c r="AM286" s="58" t="e">
        <f>VLOOKUP($A286,'S48'!$C:$BQ,39,0)</f>
        <v>#N/A</v>
      </c>
      <c r="AN286" s="58" t="e">
        <f>VLOOKUP($A286,'S48'!$C:$BQ,40,0)</f>
        <v>#N/A</v>
      </c>
      <c r="AO286" s="58" t="e">
        <f>VLOOKUP($A286,'S48'!$C:$BQ,22,0)</f>
        <v>#N/A</v>
      </c>
      <c r="AP286" s="66" t="e">
        <f>VLOOKUP($A286,'S48'!$C:$BQ,29,0)</f>
        <v>#N/A</v>
      </c>
      <c r="AQ286" s="66" t="e">
        <f>VLOOKUP($A286,'S48'!$C:$BQ,30,0)</f>
        <v>#N/A</v>
      </c>
      <c r="AR286" s="66" t="e">
        <f>VLOOKUP($A286,'S48'!$C:$BQ,52,0)</f>
        <v>#N/A</v>
      </c>
      <c r="AS286" s="66" t="e">
        <f>VLOOKUP($A286,'S48'!$C:$BQ,59,0)</f>
        <v>#N/A</v>
      </c>
      <c r="AT286" s="66" t="e">
        <f>VLOOKUP($A286,'S48'!$C:$BQ,60,0)</f>
        <v>#N/A</v>
      </c>
      <c r="AU286" s="58" t="e">
        <f>VLOOKUP($A286,'S49'!$C:$BQ,32,0)</f>
        <v>#N/A</v>
      </c>
      <c r="AV286" s="58" t="e">
        <f>VLOOKUP($A286,'S49'!$C:$BQ,39,0)</f>
        <v>#N/A</v>
      </c>
      <c r="AW286" s="58" t="e">
        <f>VLOOKUP($A286,'S49'!$C:$BQ,40,0)</f>
        <v>#N/A</v>
      </c>
      <c r="AX286" s="58" t="e">
        <f>VLOOKUP($A286,'S49'!$C:$BQ,22,0)</f>
        <v>#N/A</v>
      </c>
      <c r="AY286" s="66" t="e">
        <f>VLOOKUP($A286,'S49'!$C:$BQ,29,0)</f>
        <v>#N/A</v>
      </c>
      <c r="AZ286" s="66" t="e">
        <f>VLOOKUP($A286,'S49'!$C:$BQ,30,0)</f>
        <v>#N/A</v>
      </c>
      <c r="BA286" s="66" t="e">
        <f>VLOOKUP($A286,'S49'!$C:$BQ,52,0)</f>
        <v>#N/A</v>
      </c>
      <c r="BB286" s="66" t="e">
        <f>VLOOKUP($A286,'S49'!$C:$BQ,59,0)</f>
        <v>#N/A</v>
      </c>
      <c r="BC286" s="66" t="e">
        <f>VLOOKUP($A286,'S49'!$C:$BQ,60,0)</f>
        <v>#N/A</v>
      </c>
      <c r="BD286" s="58" t="e">
        <f>VLOOKUP($A286,'S50'!$C:$BQ,32,0)</f>
        <v>#N/A</v>
      </c>
      <c r="BE286" s="58" t="e">
        <f>VLOOKUP($A286,'S50'!$C:$BQ,39,0)</f>
        <v>#N/A</v>
      </c>
      <c r="BF286" s="58" t="e">
        <f>VLOOKUP($A286,'S50'!$C:$BQ,40,0)</f>
        <v>#N/A</v>
      </c>
      <c r="BG286" s="58" t="e">
        <f>VLOOKUP($A286,'S50'!$C:$BQ,22,0)</f>
        <v>#N/A</v>
      </c>
      <c r="BH286" s="66" t="e">
        <f>VLOOKUP($A286,'S50'!$C:$BQ,29,0)</f>
        <v>#N/A</v>
      </c>
      <c r="BI286" s="66" t="e">
        <f>VLOOKUP($A286,'S50'!$C:$BQ,30,0)</f>
        <v>#N/A</v>
      </c>
      <c r="BJ286" s="66" t="e">
        <f>VLOOKUP($A286,'S50'!$C:$BQ,52,0)</f>
        <v>#N/A</v>
      </c>
      <c r="BK286" s="66" t="e">
        <f>VLOOKUP($A286,'S50'!$C:$BQ,59,0)</f>
        <v>#N/A</v>
      </c>
      <c r="BL286" s="66" t="e">
        <f>VLOOKUP($A286,'S50'!$C:$BQ,60,0)</f>
        <v>#N/A</v>
      </c>
    </row>
    <row r="287" spans="1:64" x14ac:dyDescent="0.2">
      <c r="A287" s="57" t="s">
        <v>362</v>
      </c>
      <c r="B287" s="58">
        <f>VLOOKUP($A287,'S0 remplacer avec S44'!$C:$BQ,32,0)</f>
        <v>173</v>
      </c>
      <c r="C287" s="58">
        <f>VLOOKUP($A287,'S0 remplacer avec S44'!$C:$BQ,39,0)</f>
        <v>0</v>
      </c>
      <c r="D287" s="58">
        <f>VLOOKUP($A287,'S0 remplacer avec S44'!$C:$BQ,40,0)</f>
        <v>0</v>
      </c>
      <c r="E287" s="58">
        <f>VLOOKUP($A287,'S0 remplacer avec S44'!$C:$BQ,22,0)</f>
        <v>1861.2276099999999</v>
      </c>
      <c r="F287" s="66">
        <f>VLOOKUP($A287,'S0 remplacer avec S44'!$C:$BQ,29,0)</f>
        <v>0</v>
      </c>
      <c r="G287" s="66">
        <f>VLOOKUP($A287,'S0 remplacer avec S44'!$C:$BQ,30,0)</f>
        <v>0</v>
      </c>
      <c r="H287" s="66">
        <f>VLOOKUP($A287,'S0 remplacer avec S44'!$C:$BQ,52,0)</f>
        <v>85.4</v>
      </c>
      <c r="I287" s="66">
        <f>VLOOKUP($A287,'S0 remplacer avec S44'!$C:$BQ,59,0)</f>
        <v>0</v>
      </c>
      <c r="J287" s="66">
        <f>VLOOKUP($A287,'S0 remplacer avec S44'!$C:$BQ,60,0)</f>
        <v>0</v>
      </c>
      <c r="K287" s="58">
        <f>VLOOKUP($A287,'S45'!$C:$BQ,32,0)</f>
        <v>173</v>
      </c>
      <c r="L287" s="58">
        <f>VLOOKUP($A287,'S45'!$C:$BQ,39,0)</f>
        <v>0</v>
      </c>
      <c r="M287" s="58">
        <f>VLOOKUP($A287,'S45'!$C:$BQ,40,0)</f>
        <v>0</v>
      </c>
      <c r="N287" s="58">
        <f>VLOOKUP($A287,'S45'!$C:$BQ,22,0)</f>
        <v>1861.2276099999999</v>
      </c>
      <c r="O287" s="66">
        <f>VLOOKUP($A287,'S45'!$C:$BQ,29,0)</f>
        <v>0</v>
      </c>
      <c r="P287" s="66">
        <f>VLOOKUP($A287,'S45'!$C:$BQ,30,0)</f>
        <v>0</v>
      </c>
      <c r="Q287" s="66">
        <f>VLOOKUP($A287,'S45'!$C:$BQ,52,0)</f>
        <v>85.4</v>
      </c>
      <c r="R287" s="66">
        <f>VLOOKUP($A287,'S45'!$C:$BQ,59,0)</f>
        <v>0</v>
      </c>
      <c r="S287" s="66">
        <f>VLOOKUP($A287,'S45'!$C:$BQ,60,0)</f>
        <v>0</v>
      </c>
      <c r="T287" s="58">
        <f>VLOOKUP($A287,'S46'!$C:$BQ,32,0)</f>
        <v>173</v>
      </c>
      <c r="U287" s="58">
        <f>VLOOKUP($A287,'S46'!$C:$BQ,39,0)</f>
        <v>0</v>
      </c>
      <c r="V287" s="58">
        <f>VLOOKUP($A287,'S46'!$C:$BQ,40,0)</f>
        <v>0</v>
      </c>
      <c r="W287" s="58">
        <f>VLOOKUP($A287,'S46'!$C:$BQ,22,0)</f>
        <v>1861.2276099999999</v>
      </c>
      <c r="X287" s="66">
        <f>VLOOKUP($A287,'S46'!$C:$BQ,29,0)</f>
        <v>0</v>
      </c>
      <c r="Y287" s="66">
        <f>VLOOKUP($A287,'S46'!$C:$BQ,30,0)</f>
        <v>0</v>
      </c>
      <c r="Z287" s="66">
        <f>VLOOKUP($A287,'S46'!$C:$BQ,52,0)</f>
        <v>85.4</v>
      </c>
      <c r="AA287" s="66">
        <f>VLOOKUP($A287,'S46'!$C:$BQ,59,0)</f>
        <v>0</v>
      </c>
      <c r="AB287" s="66">
        <f>VLOOKUP($A287,'S46'!$C:$BQ,60,0)</f>
        <v>0</v>
      </c>
      <c r="AC287" s="58">
        <f>VLOOKUP($A287,'S47'!$C:$BQ,32,0)</f>
        <v>173</v>
      </c>
      <c r="AD287" s="58">
        <f>VLOOKUP($A287,'S47'!$C:$BQ,39,0)</f>
        <v>0</v>
      </c>
      <c r="AE287" s="58">
        <f>VLOOKUP($A287,'S47'!$C:$BQ,40,0)</f>
        <v>0</v>
      </c>
      <c r="AF287" s="58">
        <f>VLOOKUP($A287,'S47'!$C:$BQ,22,0)</f>
        <v>1861.2276099999999</v>
      </c>
      <c r="AG287" s="66">
        <f>VLOOKUP($A287,'S47'!$C:$BQ,29,0)</f>
        <v>0</v>
      </c>
      <c r="AH287" s="66">
        <f>VLOOKUP($A287,'S47'!$C:$BQ,30,0)</f>
        <v>0</v>
      </c>
      <c r="AI287" s="66">
        <f>VLOOKUP($A287,'S47'!$C:$BQ,52,0)</f>
        <v>85.4</v>
      </c>
      <c r="AJ287" s="66">
        <f>VLOOKUP($A287,'S47'!$C:$BQ,59,0)</f>
        <v>0</v>
      </c>
      <c r="AK287" s="66">
        <f>VLOOKUP($A287,'S47'!$C:$BQ,60,0)</f>
        <v>0</v>
      </c>
      <c r="AL287" s="58" t="e">
        <f>VLOOKUP($A287,'S48'!$C:$BQ,32,0)</f>
        <v>#N/A</v>
      </c>
      <c r="AM287" s="58" t="e">
        <f>VLOOKUP($A287,'S48'!$C:$BQ,39,0)</f>
        <v>#N/A</v>
      </c>
      <c r="AN287" s="58" t="e">
        <f>VLOOKUP($A287,'S48'!$C:$BQ,40,0)</f>
        <v>#N/A</v>
      </c>
      <c r="AO287" s="58" t="e">
        <f>VLOOKUP($A287,'S48'!$C:$BQ,22,0)</f>
        <v>#N/A</v>
      </c>
      <c r="AP287" s="66" t="e">
        <f>VLOOKUP($A287,'S48'!$C:$BQ,29,0)</f>
        <v>#N/A</v>
      </c>
      <c r="AQ287" s="66" t="e">
        <f>VLOOKUP($A287,'S48'!$C:$BQ,30,0)</f>
        <v>#N/A</v>
      </c>
      <c r="AR287" s="66" t="e">
        <f>VLOOKUP($A287,'S48'!$C:$BQ,52,0)</f>
        <v>#N/A</v>
      </c>
      <c r="AS287" s="66" t="e">
        <f>VLOOKUP($A287,'S48'!$C:$BQ,59,0)</f>
        <v>#N/A</v>
      </c>
      <c r="AT287" s="66" t="e">
        <f>VLOOKUP($A287,'S48'!$C:$BQ,60,0)</f>
        <v>#N/A</v>
      </c>
      <c r="AU287" s="58" t="e">
        <f>VLOOKUP($A287,'S49'!$C:$BQ,32,0)</f>
        <v>#N/A</v>
      </c>
      <c r="AV287" s="58" t="e">
        <f>VLOOKUP($A287,'S49'!$C:$BQ,39,0)</f>
        <v>#N/A</v>
      </c>
      <c r="AW287" s="58" t="e">
        <f>VLOOKUP($A287,'S49'!$C:$BQ,40,0)</f>
        <v>#N/A</v>
      </c>
      <c r="AX287" s="58" t="e">
        <f>VLOOKUP($A287,'S49'!$C:$BQ,22,0)</f>
        <v>#N/A</v>
      </c>
      <c r="AY287" s="66" t="e">
        <f>VLOOKUP($A287,'S49'!$C:$BQ,29,0)</f>
        <v>#N/A</v>
      </c>
      <c r="AZ287" s="66" t="e">
        <f>VLOOKUP($A287,'S49'!$C:$BQ,30,0)</f>
        <v>#N/A</v>
      </c>
      <c r="BA287" s="66" t="e">
        <f>VLOOKUP($A287,'S49'!$C:$BQ,52,0)</f>
        <v>#N/A</v>
      </c>
      <c r="BB287" s="66" t="e">
        <f>VLOOKUP($A287,'S49'!$C:$BQ,59,0)</f>
        <v>#N/A</v>
      </c>
      <c r="BC287" s="66" t="e">
        <f>VLOOKUP($A287,'S49'!$C:$BQ,60,0)</f>
        <v>#N/A</v>
      </c>
      <c r="BD287" s="58" t="e">
        <f>VLOOKUP($A287,'S50'!$C:$BQ,32,0)</f>
        <v>#N/A</v>
      </c>
      <c r="BE287" s="58" t="e">
        <f>VLOOKUP($A287,'S50'!$C:$BQ,39,0)</f>
        <v>#N/A</v>
      </c>
      <c r="BF287" s="58" t="e">
        <f>VLOOKUP($A287,'S50'!$C:$BQ,40,0)</f>
        <v>#N/A</v>
      </c>
      <c r="BG287" s="58" t="e">
        <f>VLOOKUP($A287,'S50'!$C:$BQ,22,0)</f>
        <v>#N/A</v>
      </c>
      <c r="BH287" s="66" t="e">
        <f>VLOOKUP($A287,'S50'!$C:$BQ,29,0)</f>
        <v>#N/A</v>
      </c>
      <c r="BI287" s="66" t="e">
        <f>VLOOKUP($A287,'S50'!$C:$BQ,30,0)</f>
        <v>#N/A</v>
      </c>
      <c r="BJ287" s="66" t="e">
        <f>VLOOKUP($A287,'S50'!$C:$BQ,52,0)</f>
        <v>#N/A</v>
      </c>
      <c r="BK287" s="66" t="e">
        <f>VLOOKUP($A287,'S50'!$C:$BQ,59,0)</f>
        <v>#N/A</v>
      </c>
      <c r="BL287" s="66" t="e">
        <f>VLOOKUP($A287,'S50'!$C:$BQ,60,0)</f>
        <v>#N/A</v>
      </c>
    </row>
    <row r="288" spans="1:64" x14ac:dyDescent="0.2">
      <c r="A288" s="57" t="s">
        <v>363</v>
      </c>
      <c r="B288" s="58">
        <f>VLOOKUP($A288,'S0 remplacer avec S44'!$C:$BQ,32,0)</f>
        <v>76.7</v>
      </c>
      <c r="C288" s="58">
        <f>VLOOKUP($A288,'S0 remplacer avec S44'!$C:$BQ,39,0)</f>
        <v>51</v>
      </c>
      <c r="D288" s="58">
        <f>VLOOKUP($A288,'S0 remplacer avec S44'!$C:$BQ,40,0)</f>
        <v>76</v>
      </c>
      <c r="E288" s="58">
        <f>VLOOKUP($A288,'S0 remplacer avec S44'!$C:$BQ,22,0)</f>
        <v>896.42077500000005</v>
      </c>
      <c r="F288" s="66">
        <f>VLOOKUP($A288,'S0 remplacer avec S44'!$C:$BQ,29,0)</f>
        <v>261</v>
      </c>
      <c r="G288" s="66">
        <f>VLOOKUP($A288,'S0 remplacer avec S44'!$C:$BQ,30,0)</f>
        <v>493</v>
      </c>
      <c r="H288" s="66">
        <f>VLOOKUP($A288,'S0 remplacer avec S44'!$C:$BQ,52,0)</f>
        <v>55</v>
      </c>
      <c r="I288" s="66">
        <f>VLOOKUP($A288,'S0 remplacer avec S44'!$C:$BQ,59,0)</f>
        <v>10</v>
      </c>
      <c r="J288" s="66">
        <f>VLOOKUP($A288,'S0 remplacer avec S44'!$C:$BQ,60,0)</f>
        <v>23</v>
      </c>
      <c r="K288" s="58">
        <f>VLOOKUP($A288,'S45'!$C:$BQ,32,0)</f>
        <v>77.7</v>
      </c>
      <c r="L288" s="58">
        <f>VLOOKUP($A288,'S45'!$C:$BQ,39,0)</f>
        <v>50</v>
      </c>
      <c r="M288" s="58">
        <f>VLOOKUP($A288,'S45'!$C:$BQ,40,0)</f>
        <v>75</v>
      </c>
      <c r="N288" s="58">
        <f>VLOOKUP($A288,'S45'!$C:$BQ,22,0)</f>
        <v>943.08112500000004</v>
      </c>
      <c r="O288" s="66">
        <f>VLOOKUP($A288,'S45'!$C:$BQ,29,0)</f>
        <v>215</v>
      </c>
      <c r="P288" s="66">
        <f>VLOOKUP($A288,'S45'!$C:$BQ,30,0)</f>
        <v>446</v>
      </c>
      <c r="Q288" s="66">
        <f>VLOOKUP($A288,'S45'!$C:$BQ,52,0)</f>
        <v>58</v>
      </c>
      <c r="R288" s="66">
        <f>VLOOKUP($A288,'S45'!$C:$BQ,59,0)</f>
        <v>7</v>
      </c>
      <c r="S288" s="66">
        <f>VLOOKUP($A288,'S45'!$C:$BQ,60,0)</f>
        <v>20</v>
      </c>
      <c r="T288" s="58">
        <f>VLOOKUP($A288,'S46'!$C:$BQ,32,0)</f>
        <v>78.7</v>
      </c>
      <c r="U288" s="58">
        <f>VLOOKUP($A288,'S46'!$C:$BQ,39,0)</f>
        <v>49</v>
      </c>
      <c r="V288" s="58">
        <f>VLOOKUP($A288,'S46'!$C:$BQ,40,0)</f>
        <v>74</v>
      </c>
      <c r="W288" s="58">
        <f>VLOOKUP($A288,'S46'!$C:$BQ,22,0)</f>
        <v>943.61001499999998</v>
      </c>
      <c r="X288" s="66">
        <f>VLOOKUP($A288,'S46'!$C:$BQ,29,0)</f>
        <v>214</v>
      </c>
      <c r="Y288" s="66">
        <f>VLOOKUP($A288,'S46'!$C:$BQ,30,0)</f>
        <v>446</v>
      </c>
      <c r="Z288" s="66">
        <f>VLOOKUP($A288,'S46'!$C:$BQ,52,0)</f>
        <v>59</v>
      </c>
      <c r="AA288" s="66">
        <f>VLOOKUP($A288,'S46'!$C:$BQ,59,0)</f>
        <v>6</v>
      </c>
      <c r="AB288" s="66">
        <f>VLOOKUP($A288,'S46'!$C:$BQ,60,0)</f>
        <v>19</v>
      </c>
      <c r="AC288" s="58">
        <f>VLOOKUP($A288,'S47'!$C:$BQ,32,0)</f>
        <v>79.7</v>
      </c>
      <c r="AD288" s="58">
        <f>VLOOKUP($A288,'S47'!$C:$BQ,39,0)</f>
        <v>48</v>
      </c>
      <c r="AE288" s="58">
        <f>VLOOKUP($A288,'S47'!$C:$BQ,40,0)</f>
        <v>73</v>
      </c>
      <c r="AF288" s="58">
        <f>VLOOKUP($A288,'S47'!$C:$BQ,22,0)</f>
        <v>954.96393499999999</v>
      </c>
      <c r="AG288" s="66">
        <f>VLOOKUP($A288,'S47'!$C:$BQ,29,0)</f>
        <v>203</v>
      </c>
      <c r="AH288" s="66">
        <f>VLOOKUP($A288,'S47'!$C:$BQ,30,0)</f>
        <v>434</v>
      </c>
      <c r="AI288" s="66">
        <f>VLOOKUP($A288,'S47'!$C:$BQ,52,0)</f>
        <v>59</v>
      </c>
      <c r="AJ288" s="66">
        <f>VLOOKUP($A288,'S47'!$C:$BQ,59,0)</f>
        <v>6</v>
      </c>
      <c r="AK288" s="66">
        <f>VLOOKUP($A288,'S47'!$C:$BQ,60,0)</f>
        <v>19</v>
      </c>
      <c r="AL288" s="58" t="e">
        <f>VLOOKUP($A288,'S48'!$C:$BQ,32,0)</f>
        <v>#N/A</v>
      </c>
      <c r="AM288" s="58" t="e">
        <f>VLOOKUP($A288,'S48'!$C:$BQ,39,0)</f>
        <v>#N/A</v>
      </c>
      <c r="AN288" s="58" t="e">
        <f>VLOOKUP($A288,'S48'!$C:$BQ,40,0)</f>
        <v>#N/A</v>
      </c>
      <c r="AO288" s="58" t="e">
        <f>VLOOKUP($A288,'S48'!$C:$BQ,22,0)</f>
        <v>#N/A</v>
      </c>
      <c r="AP288" s="66" t="e">
        <f>VLOOKUP($A288,'S48'!$C:$BQ,29,0)</f>
        <v>#N/A</v>
      </c>
      <c r="AQ288" s="66" t="e">
        <f>VLOOKUP($A288,'S48'!$C:$BQ,30,0)</f>
        <v>#N/A</v>
      </c>
      <c r="AR288" s="66" t="e">
        <f>VLOOKUP($A288,'S48'!$C:$BQ,52,0)</f>
        <v>#N/A</v>
      </c>
      <c r="AS288" s="66" t="e">
        <f>VLOOKUP($A288,'S48'!$C:$BQ,59,0)</f>
        <v>#N/A</v>
      </c>
      <c r="AT288" s="66" t="e">
        <f>VLOOKUP($A288,'S48'!$C:$BQ,60,0)</f>
        <v>#N/A</v>
      </c>
      <c r="AU288" s="58" t="e">
        <f>VLOOKUP($A288,'S49'!$C:$BQ,32,0)</f>
        <v>#N/A</v>
      </c>
      <c r="AV288" s="58" t="e">
        <f>VLOOKUP($A288,'S49'!$C:$BQ,39,0)</f>
        <v>#N/A</v>
      </c>
      <c r="AW288" s="58" t="e">
        <f>VLOOKUP($A288,'S49'!$C:$BQ,40,0)</f>
        <v>#N/A</v>
      </c>
      <c r="AX288" s="58" t="e">
        <f>VLOOKUP($A288,'S49'!$C:$BQ,22,0)</f>
        <v>#N/A</v>
      </c>
      <c r="AY288" s="66" t="e">
        <f>VLOOKUP($A288,'S49'!$C:$BQ,29,0)</f>
        <v>#N/A</v>
      </c>
      <c r="AZ288" s="66" t="e">
        <f>VLOOKUP($A288,'S49'!$C:$BQ,30,0)</f>
        <v>#N/A</v>
      </c>
      <c r="BA288" s="66" t="e">
        <f>VLOOKUP($A288,'S49'!$C:$BQ,52,0)</f>
        <v>#N/A</v>
      </c>
      <c r="BB288" s="66" t="e">
        <f>VLOOKUP($A288,'S49'!$C:$BQ,59,0)</f>
        <v>#N/A</v>
      </c>
      <c r="BC288" s="66" t="e">
        <f>VLOOKUP($A288,'S49'!$C:$BQ,60,0)</f>
        <v>#N/A</v>
      </c>
      <c r="BD288" s="58" t="e">
        <f>VLOOKUP($A288,'S50'!$C:$BQ,32,0)</f>
        <v>#N/A</v>
      </c>
      <c r="BE288" s="58" t="e">
        <f>VLOOKUP($A288,'S50'!$C:$BQ,39,0)</f>
        <v>#N/A</v>
      </c>
      <c r="BF288" s="58" t="e">
        <f>VLOOKUP($A288,'S50'!$C:$BQ,40,0)</f>
        <v>#N/A</v>
      </c>
      <c r="BG288" s="58" t="e">
        <f>VLOOKUP($A288,'S50'!$C:$BQ,22,0)</f>
        <v>#N/A</v>
      </c>
      <c r="BH288" s="66" t="e">
        <f>VLOOKUP($A288,'S50'!$C:$BQ,29,0)</f>
        <v>#N/A</v>
      </c>
      <c r="BI288" s="66" t="e">
        <f>VLOOKUP($A288,'S50'!$C:$BQ,30,0)</f>
        <v>#N/A</v>
      </c>
      <c r="BJ288" s="66" t="e">
        <f>VLOOKUP($A288,'S50'!$C:$BQ,52,0)</f>
        <v>#N/A</v>
      </c>
      <c r="BK288" s="66" t="e">
        <f>VLOOKUP($A288,'S50'!$C:$BQ,59,0)</f>
        <v>#N/A</v>
      </c>
      <c r="BL288" s="66" t="e">
        <f>VLOOKUP($A288,'S50'!$C:$BQ,60,0)</f>
        <v>#N/A</v>
      </c>
    </row>
    <row r="289" spans="1:64" x14ac:dyDescent="0.2">
      <c r="A289" s="57" t="s">
        <v>364</v>
      </c>
      <c r="B289" s="58">
        <f>VLOOKUP($A289,'S0 remplacer avec S44'!$C:$BQ,32,0)</f>
        <v>92.4</v>
      </c>
      <c r="C289" s="58">
        <f>VLOOKUP($A289,'S0 remplacer avec S44'!$C:$BQ,39,0)</f>
        <v>90</v>
      </c>
      <c r="D289" s="58">
        <f>VLOOKUP($A289,'S0 remplacer avec S44'!$C:$BQ,40,0)</f>
        <v>127</v>
      </c>
      <c r="E289" s="58">
        <f>VLOOKUP($A289,'S0 remplacer avec S44'!$C:$BQ,22,0)</f>
        <v>1364.4360650000001</v>
      </c>
      <c r="F289" s="66">
        <f>VLOOKUP($A289,'S0 remplacer avec S44'!$C:$BQ,29,0)</f>
        <v>294</v>
      </c>
      <c r="G289" s="66">
        <f>VLOOKUP($A289,'S0 remplacer avec S44'!$C:$BQ,30,0)</f>
        <v>626</v>
      </c>
      <c r="H289" s="66">
        <f>VLOOKUP($A289,'S0 remplacer avec S44'!$C:$BQ,52,0)</f>
        <v>63.2</v>
      </c>
      <c r="I289" s="66">
        <f>VLOOKUP($A289,'S0 remplacer avec S44'!$C:$BQ,59,0)</f>
        <v>30</v>
      </c>
      <c r="J289" s="66">
        <f>VLOOKUP($A289,'S0 remplacer avec S44'!$C:$BQ,60,0)</f>
        <v>48</v>
      </c>
      <c r="K289" s="58">
        <f>VLOOKUP($A289,'S45'!$C:$BQ,32,0)</f>
        <v>94.4</v>
      </c>
      <c r="L289" s="58">
        <f>VLOOKUP($A289,'S45'!$C:$BQ,39,0)</f>
        <v>88</v>
      </c>
      <c r="M289" s="58">
        <f>VLOOKUP($A289,'S45'!$C:$BQ,40,0)</f>
        <v>125</v>
      </c>
      <c r="N289" s="58">
        <f>VLOOKUP($A289,'S45'!$C:$BQ,22,0)</f>
        <v>1367.2657850000001</v>
      </c>
      <c r="O289" s="66">
        <f>VLOOKUP($A289,'S45'!$C:$BQ,29,0)</f>
        <v>292</v>
      </c>
      <c r="P289" s="66">
        <f>VLOOKUP($A289,'S45'!$C:$BQ,30,0)</f>
        <v>623</v>
      </c>
      <c r="Q289" s="66">
        <f>VLOOKUP($A289,'S45'!$C:$BQ,52,0)</f>
        <v>63.2</v>
      </c>
      <c r="R289" s="66">
        <f>VLOOKUP($A289,'S45'!$C:$BQ,59,0)</f>
        <v>30</v>
      </c>
      <c r="S289" s="66">
        <f>VLOOKUP($A289,'S45'!$C:$BQ,60,0)</f>
        <v>48</v>
      </c>
      <c r="T289" s="58">
        <f>VLOOKUP($A289,'S46'!$C:$BQ,32,0)</f>
        <v>95.4</v>
      </c>
      <c r="U289" s="58">
        <f>VLOOKUP($A289,'S46'!$C:$BQ,39,0)</f>
        <v>87</v>
      </c>
      <c r="V289" s="58">
        <f>VLOOKUP($A289,'S46'!$C:$BQ,40,0)</f>
        <v>124</v>
      </c>
      <c r="W289" s="58">
        <f>VLOOKUP($A289,'S46'!$C:$BQ,22,0)</f>
        <v>1389.5570150000001</v>
      </c>
      <c r="X289" s="66">
        <f>VLOOKUP($A289,'S46'!$C:$BQ,29,0)</f>
        <v>269</v>
      </c>
      <c r="Y289" s="66">
        <f>VLOOKUP($A289,'S46'!$C:$BQ,30,0)</f>
        <v>601</v>
      </c>
      <c r="Z289" s="66">
        <f>VLOOKUP($A289,'S46'!$C:$BQ,52,0)</f>
        <v>63.2</v>
      </c>
      <c r="AA289" s="66">
        <f>VLOOKUP($A289,'S46'!$C:$BQ,59,0)</f>
        <v>30</v>
      </c>
      <c r="AB289" s="66">
        <f>VLOOKUP($A289,'S46'!$C:$BQ,60,0)</f>
        <v>48</v>
      </c>
      <c r="AC289" s="58">
        <f>VLOOKUP($A289,'S47'!$C:$BQ,32,0)</f>
        <v>95.9</v>
      </c>
      <c r="AD289" s="58">
        <f>VLOOKUP($A289,'S47'!$C:$BQ,39,0)</f>
        <v>87</v>
      </c>
      <c r="AE289" s="58">
        <f>VLOOKUP($A289,'S47'!$C:$BQ,40,0)</f>
        <v>123</v>
      </c>
      <c r="AF289" s="58">
        <f>VLOOKUP($A289,'S47'!$C:$BQ,22,0)</f>
        <v>1407.946465</v>
      </c>
      <c r="AG289" s="66">
        <f>VLOOKUP($A289,'S47'!$C:$BQ,29,0)</f>
        <v>251</v>
      </c>
      <c r="AH289" s="66">
        <f>VLOOKUP($A289,'S47'!$C:$BQ,30,0)</f>
        <v>582</v>
      </c>
      <c r="AI289" s="66">
        <f>VLOOKUP($A289,'S47'!$C:$BQ,52,0)</f>
        <v>69.2</v>
      </c>
      <c r="AJ289" s="66">
        <f>VLOOKUP($A289,'S47'!$C:$BQ,59,0)</f>
        <v>24</v>
      </c>
      <c r="AK289" s="66">
        <f>VLOOKUP($A289,'S47'!$C:$BQ,60,0)</f>
        <v>42</v>
      </c>
      <c r="AL289" s="58" t="e">
        <f>VLOOKUP($A289,'S48'!$C:$BQ,32,0)</f>
        <v>#N/A</v>
      </c>
      <c r="AM289" s="58" t="e">
        <f>VLOOKUP($A289,'S48'!$C:$BQ,39,0)</f>
        <v>#N/A</v>
      </c>
      <c r="AN289" s="58" t="e">
        <f>VLOOKUP($A289,'S48'!$C:$BQ,40,0)</f>
        <v>#N/A</v>
      </c>
      <c r="AO289" s="58" t="e">
        <f>VLOOKUP($A289,'S48'!$C:$BQ,22,0)</f>
        <v>#N/A</v>
      </c>
      <c r="AP289" s="66" t="e">
        <f>VLOOKUP($A289,'S48'!$C:$BQ,29,0)</f>
        <v>#N/A</v>
      </c>
      <c r="AQ289" s="66" t="e">
        <f>VLOOKUP($A289,'S48'!$C:$BQ,30,0)</f>
        <v>#N/A</v>
      </c>
      <c r="AR289" s="66" t="e">
        <f>VLOOKUP($A289,'S48'!$C:$BQ,52,0)</f>
        <v>#N/A</v>
      </c>
      <c r="AS289" s="66" t="e">
        <f>VLOOKUP($A289,'S48'!$C:$BQ,59,0)</f>
        <v>#N/A</v>
      </c>
      <c r="AT289" s="66" t="e">
        <f>VLOOKUP($A289,'S48'!$C:$BQ,60,0)</f>
        <v>#N/A</v>
      </c>
      <c r="AU289" s="58" t="e">
        <f>VLOOKUP($A289,'S49'!$C:$BQ,32,0)</f>
        <v>#N/A</v>
      </c>
      <c r="AV289" s="58" t="e">
        <f>VLOOKUP($A289,'S49'!$C:$BQ,39,0)</f>
        <v>#N/A</v>
      </c>
      <c r="AW289" s="58" t="e">
        <f>VLOOKUP($A289,'S49'!$C:$BQ,40,0)</f>
        <v>#N/A</v>
      </c>
      <c r="AX289" s="58" t="e">
        <f>VLOOKUP($A289,'S49'!$C:$BQ,22,0)</f>
        <v>#N/A</v>
      </c>
      <c r="AY289" s="66" t="e">
        <f>VLOOKUP($A289,'S49'!$C:$BQ,29,0)</f>
        <v>#N/A</v>
      </c>
      <c r="AZ289" s="66" t="e">
        <f>VLOOKUP($A289,'S49'!$C:$BQ,30,0)</f>
        <v>#N/A</v>
      </c>
      <c r="BA289" s="66" t="e">
        <f>VLOOKUP($A289,'S49'!$C:$BQ,52,0)</f>
        <v>#N/A</v>
      </c>
      <c r="BB289" s="66" t="e">
        <f>VLOOKUP($A289,'S49'!$C:$BQ,59,0)</f>
        <v>#N/A</v>
      </c>
      <c r="BC289" s="66" t="e">
        <f>VLOOKUP($A289,'S49'!$C:$BQ,60,0)</f>
        <v>#N/A</v>
      </c>
      <c r="BD289" s="58" t="e">
        <f>VLOOKUP($A289,'S50'!$C:$BQ,32,0)</f>
        <v>#N/A</v>
      </c>
      <c r="BE289" s="58" t="e">
        <f>VLOOKUP($A289,'S50'!$C:$BQ,39,0)</f>
        <v>#N/A</v>
      </c>
      <c r="BF289" s="58" t="e">
        <f>VLOOKUP($A289,'S50'!$C:$BQ,40,0)</f>
        <v>#N/A</v>
      </c>
      <c r="BG289" s="58" t="e">
        <f>VLOOKUP($A289,'S50'!$C:$BQ,22,0)</f>
        <v>#N/A</v>
      </c>
      <c r="BH289" s="66" t="e">
        <f>VLOOKUP($A289,'S50'!$C:$BQ,29,0)</f>
        <v>#N/A</v>
      </c>
      <c r="BI289" s="66" t="e">
        <f>VLOOKUP($A289,'S50'!$C:$BQ,30,0)</f>
        <v>#N/A</v>
      </c>
      <c r="BJ289" s="66" t="e">
        <f>VLOOKUP($A289,'S50'!$C:$BQ,52,0)</f>
        <v>#N/A</v>
      </c>
      <c r="BK289" s="66" t="e">
        <f>VLOOKUP($A289,'S50'!$C:$BQ,59,0)</f>
        <v>#N/A</v>
      </c>
      <c r="BL289" s="66" t="e">
        <f>VLOOKUP($A289,'S50'!$C:$BQ,60,0)</f>
        <v>#N/A</v>
      </c>
    </row>
    <row r="290" spans="1:64" x14ac:dyDescent="0.2">
      <c r="A290" s="57" t="s">
        <v>365</v>
      </c>
      <c r="B290" s="58">
        <f>VLOOKUP($A290,'S0 remplacer avec S44'!$C:$BQ,32,0)</f>
        <v>165.2</v>
      </c>
      <c r="C290" s="58">
        <f>VLOOKUP($A290,'S0 remplacer avec S44'!$C:$BQ,39,0)</f>
        <v>69</v>
      </c>
      <c r="D290" s="58">
        <f>VLOOKUP($A290,'S0 remplacer avec S44'!$C:$BQ,40,0)</f>
        <v>115</v>
      </c>
      <c r="E290" s="58">
        <f>VLOOKUP($A290,'S0 remplacer avec S44'!$C:$BQ,22,0)</f>
        <v>2126.98389</v>
      </c>
      <c r="F290" s="66">
        <f>VLOOKUP($A290,'S0 remplacer avec S44'!$C:$BQ,29,0)</f>
        <v>0</v>
      </c>
      <c r="G290" s="66">
        <f>VLOOKUP($A290,'S0 remplacer avec S44'!$C:$BQ,30,0)</f>
        <v>419</v>
      </c>
      <c r="H290" s="66">
        <f>VLOOKUP($A290,'S0 remplacer avec S44'!$C:$BQ,52,0)</f>
        <v>131.80000000000001</v>
      </c>
      <c r="I290" s="66">
        <f>VLOOKUP($A290,'S0 remplacer avec S44'!$C:$BQ,59,0)</f>
        <v>0</v>
      </c>
      <c r="J290" s="66">
        <f>VLOOKUP($A290,'S0 remplacer avec S44'!$C:$BQ,60,0)</f>
        <v>11</v>
      </c>
      <c r="K290" s="58">
        <f>VLOOKUP($A290,'S45'!$C:$BQ,32,0)</f>
        <v>165.7</v>
      </c>
      <c r="L290" s="58">
        <f>VLOOKUP($A290,'S45'!$C:$BQ,39,0)</f>
        <v>68</v>
      </c>
      <c r="M290" s="58">
        <f>VLOOKUP($A290,'S45'!$C:$BQ,40,0)</f>
        <v>115</v>
      </c>
      <c r="N290" s="58">
        <f>VLOOKUP($A290,'S45'!$C:$BQ,22,0)</f>
        <v>2218.5691900000002</v>
      </c>
      <c r="O290" s="66">
        <f>VLOOKUP($A290,'S45'!$C:$BQ,29,0)</f>
        <v>0</v>
      </c>
      <c r="P290" s="66">
        <f>VLOOKUP($A290,'S45'!$C:$BQ,30,0)</f>
        <v>327</v>
      </c>
      <c r="Q290" s="66">
        <f>VLOOKUP($A290,'S45'!$C:$BQ,52,0)</f>
        <v>133.80000000000001</v>
      </c>
      <c r="R290" s="66">
        <f>VLOOKUP($A290,'S45'!$C:$BQ,59,0)</f>
        <v>0</v>
      </c>
      <c r="S290" s="66">
        <f>VLOOKUP($A290,'S45'!$C:$BQ,60,0)</f>
        <v>9</v>
      </c>
      <c r="T290" s="58">
        <f>VLOOKUP($A290,'S46'!$C:$BQ,32,0)</f>
        <v>164.7</v>
      </c>
      <c r="U290" s="58">
        <f>VLOOKUP($A290,'S46'!$C:$BQ,39,0)</f>
        <v>69</v>
      </c>
      <c r="V290" s="58">
        <f>VLOOKUP($A290,'S46'!$C:$BQ,40,0)</f>
        <v>116</v>
      </c>
      <c r="W290" s="58">
        <f>VLOOKUP($A290,'S46'!$C:$BQ,22,0)</f>
        <v>2220.2256600000001</v>
      </c>
      <c r="X290" s="66">
        <f>VLOOKUP($A290,'S46'!$C:$BQ,29,0)</f>
        <v>0</v>
      </c>
      <c r="Y290" s="66">
        <f>VLOOKUP($A290,'S46'!$C:$BQ,30,0)</f>
        <v>326</v>
      </c>
      <c r="Z290" s="66">
        <f>VLOOKUP($A290,'S46'!$C:$BQ,52,0)</f>
        <v>134.80000000000001</v>
      </c>
      <c r="AA290" s="66">
        <f>VLOOKUP($A290,'S46'!$C:$BQ,59,0)</f>
        <v>0</v>
      </c>
      <c r="AB290" s="66">
        <f>VLOOKUP($A290,'S46'!$C:$BQ,60,0)</f>
        <v>8</v>
      </c>
      <c r="AC290" s="58">
        <f>VLOOKUP($A290,'S47'!$C:$BQ,32,0)</f>
        <v>168.2</v>
      </c>
      <c r="AD290" s="58">
        <f>VLOOKUP($A290,'S47'!$C:$BQ,39,0)</f>
        <v>66</v>
      </c>
      <c r="AE290" s="58">
        <f>VLOOKUP($A290,'S47'!$C:$BQ,40,0)</f>
        <v>112</v>
      </c>
      <c r="AF290" s="58">
        <f>VLOOKUP($A290,'S47'!$C:$BQ,22,0)</f>
        <v>2343.3539799999999</v>
      </c>
      <c r="AG290" s="66">
        <f>VLOOKUP($A290,'S47'!$C:$BQ,29,0)</f>
        <v>0</v>
      </c>
      <c r="AH290" s="66">
        <f>VLOOKUP($A290,'S47'!$C:$BQ,30,0)</f>
        <v>202</v>
      </c>
      <c r="AI290" s="66">
        <f>VLOOKUP($A290,'S47'!$C:$BQ,52,0)</f>
        <v>139.80000000000001</v>
      </c>
      <c r="AJ290" s="66">
        <f>VLOOKUP($A290,'S47'!$C:$BQ,59,0)</f>
        <v>0</v>
      </c>
      <c r="AK290" s="66">
        <f>VLOOKUP($A290,'S47'!$C:$BQ,60,0)</f>
        <v>3</v>
      </c>
      <c r="AL290" s="58" t="e">
        <f>VLOOKUP($A290,'S48'!$C:$BQ,32,0)</f>
        <v>#N/A</v>
      </c>
      <c r="AM290" s="58" t="e">
        <f>VLOOKUP($A290,'S48'!$C:$BQ,39,0)</f>
        <v>#N/A</v>
      </c>
      <c r="AN290" s="58" t="e">
        <f>VLOOKUP($A290,'S48'!$C:$BQ,40,0)</f>
        <v>#N/A</v>
      </c>
      <c r="AO290" s="58" t="e">
        <f>VLOOKUP($A290,'S48'!$C:$BQ,22,0)</f>
        <v>#N/A</v>
      </c>
      <c r="AP290" s="66" t="e">
        <f>VLOOKUP($A290,'S48'!$C:$BQ,29,0)</f>
        <v>#N/A</v>
      </c>
      <c r="AQ290" s="66" t="e">
        <f>VLOOKUP($A290,'S48'!$C:$BQ,30,0)</f>
        <v>#N/A</v>
      </c>
      <c r="AR290" s="66" t="e">
        <f>VLOOKUP($A290,'S48'!$C:$BQ,52,0)</f>
        <v>#N/A</v>
      </c>
      <c r="AS290" s="66" t="e">
        <f>VLOOKUP($A290,'S48'!$C:$BQ,59,0)</f>
        <v>#N/A</v>
      </c>
      <c r="AT290" s="66" t="e">
        <f>VLOOKUP($A290,'S48'!$C:$BQ,60,0)</f>
        <v>#N/A</v>
      </c>
      <c r="AU290" s="58" t="e">
        <f>VLOOKUP($A290,'S49'!$C:$BQ,32,0)</f>
        <v>#N/A</v>
      </c>
      <c r="AV290" s="58" t="e">
        <f>VLOOKUP($A290,'S49'!$C:$BQ,39,0)</f>
        <v>#N/A</v>
      </c>
      <c r="AW290" s="58" t="e">
        <f>VLOOKUP($A290,'S49'!$C:$BQ,40,0)</f>
        <v>#N/A</v>
      </c>
      <c r="AX290" s="58" t="e">
        <f>VLOOKUP($A290,'S49'!$C:$BQ,22,0)</f>
        <v>#N/A</v>
      </c>
      <c r="AY290" s="66" t="e">
        <f>VLOOKUP($A290,'S49'!$C:$BQ,29,0)</f>
        <v>#N/A</v>
      </c>
      <c r="AZ290" s="66" t="e">
        <f>VLOOKUP($A290,'S49'!$C:$BQ,30,0)</f>
        <v>#N/A</v>
      </c>
      <c r="BA290" s="66" t="e">
        <f>VLOOKUP($A290,'S49'!$C:$BQ,52,0)</f>
        <v>#N/A</v>
      </c>
      <c r="BB290" s="66" t="e">
        <f>VLOOKUP($A290,'S49'!$C:$BQ,59,0)</f>
        <v>#N/A</v>
      </c>
      <c r="BC290" s="66" t="e">
        <f>VLOOKUP($A290,'S49'!$C:$BQ,60,0)</f>
        <v>#N/A</v>
      </c>
      <c r="BD290" s="58" t="e">
        <f>VLOOKUP($A290,'S50'!$C:$BQ,32,0)</f>
        <v>#N/A</v>
      </c>
      <c r="BE290" s="58" t="e">
        <f>VLOOKUP($A290,'S50'!$C:$BQ,39,0)</f>
        <v>#N/A</v>
      </c>
      <c r="BF290" s="58" t="e">
        <f>VLOOKUP($A290,'S50'!$C:$BQ,40,0)</f>
        <v>#N/A</v>
      </c>
      <c r="BG290" s="58" t="e">
        <f>VLOOKUP($A290,'S50'!$C:$BQ,22,0)</f>
        <v>#N/A</v>
      </c>
      <c r="BH290" s="66" t="e">
        <f>VLOOKUP($A290,'S50'!$C:$BQ,29,0)</f>
        <v>#N/A</v>
      </c>
      <c r="BI290" s="66" t="e">
        <f>VLOOKUP($A290,'S50'!$C:$BQ,30,0)</f>
        <v>#N/A</v>
      </c>
      <c r="BJ290" s="66" t="e">
        <f>VLOOKUP($A290,'S50'!$C:$BQ,52,0)</f>
        <v>#N/A</v>
      </c>
      <c r="BK290" s="66" t="e">
        <f>VLOOKUP($A290,'S50'!$C:$BQ,59,0)</f>
        <v>#N/A</v>
      </c>
      <c r="BL290" s="66" t="e">
        <f>VLOOKUP($A290,'S50'!$C:$BQ,60,0)</f>
        <v>#N/A</v>
      </c>
    </row>
    <row r="291" spans="1:64" x14ac:dyDescent="0.2">
      <c r="A291" s="57" t="s">
        <v>366</v>
      </c>
      <c r="B291" s="58">
        <f>VLOOKUP($A291,'S0 remplacer avec S44'!$C:$BQ,32,0)</f>
        <v>186.8</v>
      </c>
      <c r="C291" s="58">
        <f>VLOOKUP($A291,'S0 remplacer avec S44'!$C:$BQ,39,0)</f>
        <v>32</v>
      </c>
      <c r="D291" s="58">
        <f>VLOOKUP($A291,'S0 remplacer avec S44'!$C:$BQ,40,0)</f>
        <v>75</v>
      </c>
      <c r="E291" s="58">
        <f>VLOOKUP($A291,'S0 remplacer avec S44'!$C:$BQ,22,0)</f>
        <v>2255.8943549999999</v>
      </c>
      <c r="F291" s="66">
        <f>VLOOKUP($A291,'S0 remplacer avec S44'!$C:$BQ,29,0)</f>
        <v>0</v>
      </c>
      <c r="G291" s="66">
        <f>VLOOKUP($A291,'S0 remplacer avec S44'!$C:$BQ,30,0)</f>
        <v>125</v>
      </c>
      <c r="H291" s="66">
        <f>VLOOKUP($A291,'S0 remplacer avec S44'!$C:$BQ,52,0)</f>
        <v>134.80000000000001</v>
      </c>
      <c r="I291" s="66">
        <f>VLOOKUP($A291,'S0 remplacer avec S44'!$C:$BQ,59,0)</f>
        <v>0</v>
      </c>
      <c r="J291" s="66">
        <f>VLOOKUP($A291,'S0 remplacer avec S44'!$C:$BQ,60,0)</f>
        <v>0</v>
      </c>
      <c r="K291" s="58">
        <f>VLOOKUP($A291,'S45'!$C:$BQ,32,0)</f>
        <v>187.8</v>
      </c>
      <c r="L291" s="58">
        <f>VLOOKUP($A291,'S45'!$C:$BQ,39,0)</f>
        <v>31</v>
      </c>
      <c r="M291" s="58">
        <f>VLOOKUP($A291,'S45'!$C:$BQ,40,0)</f>
        <v>74</v>
      </c>
      <c r="N291" s="58">
        <f>VLOOKUP($A291,'S45'!$C:$BQ,22,0)</f>
        <v>2331.6493249999999</v>
      </c>
      <c r="O291" s="66">
        <f>VLOOKUP($A291,'S45'!$C:$BQ,29,0)</f>
        <v>0</v>
      </c>
      <c r="P291" s="66">
        <f>VLOOKUP($A291,'S45'!$C:$BQ,30,0)</f>
        <v>49</v>
      </c>
      <c r="Q291" s="66">
        <f>VLOOKUP($A291,'S45'!$C:$BQ,52,0)</f>
        <v>138.80000000000001</v>
      </c>
      <c r="R291" s="66">
        <f>VLOOKUP($A291,'S45'!$C:$BQ,59,0)</f>
        <v>0</v>
      </c>
      <c r="S291" s="66">
        <f>VLOOKUP($A291,'S45'!$C:$BQ,60,0)</f>
        <v>0</v>
      </c>
      <c r="T291" s="58">
        <f>VLOOKUP($A291,'S46'!$C:$BQ,32,0)</f>
        <v>187.8</v>
      </c>
      <c r="U291" s="58">
        <f>VLOOKUP($A291,'S46'!$C:$BQ,39,0)</f>
        <v>31</v>
      </c>
      <c r="V291" s="58">
        <f>VLOOKUP($A291,'S46'!$C:$BQ,40,0)</f>
        <v>74</v>
      </c>
      <c r="W291" s="58">
        <f>VLOOKUP($A291,'S46'!$C:$BQ,22,0)</f>
        <v>2350.4439849999999</v>
      </c>
      <c r="X291" s="66">
        <f>VLOOKUP($A291,'S46'!$C:$BQ,29,0)</f>
        <v>0</v>
      </c>
      <c r="Y291" s="66">
        <f>VLOOKUP($A291,'S46'!$C:$BQ,30,0)</f>
        <v>31</v>
      </c>
      <c r="Z291" s="66">
        <f>VLOOKUP($A291,'S46'!$C:$BQ,52,0)</f>
        <v>139.80000000000001</v>
      </c>
      <c r="AA291" s="66">
        <f>VLOOKUP($A291,'S46'!$C:$BQ,59,0)</f>
        <v>0</v>
      </c>
      <c r="AB291" s="66">
        <f>VLOOKUP($A291,'S46'!$C:$BQ,60,0)</f>
        <v>0</v>
      </c>
      <c r="AC291" s="58">
        <f>VLOOKUP($A291,'S47'!$C:$BQ,32,0)</f>
        <v>190.8</v>
      </c>
      <c r="AD291" s="58">
        <f>VLOOKUP($A291,'S47'!$C:$BQ,39,0)</f>
        <v>28</v>
      </c>
      <c r="AE291" s="58">
        <f>VLOOKUP($A291,'S47'!$C:$BQ,40,0)</f>
        <v>71</v>
      </c>
      <c r="AF291" s="58">
        <f>VLOOKUP($A291,'S47'!$C:$BQ,22,0)</f>
        <v>2378.2544250000001</v>
      </c>
      <c r="AG291" s="66">
        <f>VLOOKUP($A291,'S47'!$C:$BQ,29,0)</f>
        <v>0</v>
      </c>
      <c r="AH291" s="66">
        <f>VLOOKUP($A291,'S47'!$C:$BQ,30,0)</f>
        <v>3</v>
      </c>
      <c r="AI291" s="66">
        <f>VLOOKUP($A291,'S47'!$C:$BQ,52,0)</f>
        <v>142.80000000000001</v>
      </c>
      <c r="AJ291" s="66">
        <f>VLOOKUP($A291,'S47'!$C:$BQ,59,0)</f>
        <v>0</v>
      </c>
      <c r="AK291" s="66">
        <f>VLOOKUP($A291,'S47'!$C:$BQ,60,0)</f>
        <v>0</v>
      </c>
      <c r="AL291" s="58" t="e">
        <f>VLOOKUP($A291,'S48'!$C:$BQ,32,0)</f>
        <v>#N/A</v>
      </c>
      <c r="AM291" s="58" t="e">
        <f>VLOOKUP($A291,'S48'!$C:$BQ,39,0)</f>
        <v>#N/A</v>
      </c>
      <c r="AN291" s="58" t="e">
        <f>VLOOKUP($A291,'S48'!$C:$BQ,40,0)</f>
        <v>#N/A</v>
      </c>
      <c r="AO291" s="58" t="e">
        <f>VLOOKUP($A291,'S48'!$C:$BQ,22,0)</f>
        <v>#N/A</v>
      </c>
      <c r="AP291" s="66" t="e">
        <f>VLOOKUP($A291,'S48'!$C:$BQ,29,0)</f>
        <v>#N/A</v>
      </c>
      <c r="AQ291" s="66" t="e">
        <f>VLOOKUP($A291,'S48'!$C:$BQ,30,0)</f>
        <v>#N/A</v>
      </c>
      <c r="AR291" s="66" t="e">
        <f>VLOOKUP($A291,'S48'!$C:$BQ,52,0)</f>
        <v>#N/A</v>
      </c>
      <c r="AS291" s="66" t="e">
        <f>VLOOKUP($A291,'S48'!$C:$BQ,59,0)</f>
        <v>#N/A</v>
      </c>
      <c r="AT291" s="66" t="e">
        <f>VLOOKUP($A291,'S48'!$C:$BQ,60,0)</f>
        <v>#N/A</v>
      </c>
      <c r="AU291" s="58" t="e">
        <f>VLOOKUP($A291,'S49'!$C:$BQ,32,0)</f>
        <v>#N/A</v>
      </c>
      <c r="AV291" s="58" t="e">
        <f>VLOOKUP($A291,'S49'!$C:$BQ,39,0)</f>
        <v>#N/A</v>
      </c>
      <c r="AW291" s="58" t="e">
        <f>VLOOKUP($A291,'S49'!$C:$BQ,40,0)</f>
        <v>#N/A</v>
      </c>
      <c r="AX291" s="58" t="e">
        <f>VLOOKUP($A291,'S49'!$C:$BQ,22,0)</f>
        <v>#N/A</v>
      </c>
      <c r="AY291" s="66" t="e">
        <f>VLOOKUP($A291,'S49'!$C:$BQ,29,0)</f>
        <v>#N/A</v>
      </c>
      <c r="AZ291" s="66" t="e">
        <f>VLOOKUP($A291,'S49'!$C:$BQ,30,0)</f>
        <v>#N/A</v>
      </c>
      <c r="BA291" s="66" t="e">
        <f>VLOOKUP($A291,'S49'!$C:$BQ,52,0)</f>
        <v>#N/A</v>
      </c>
      <c r="BB291" s="66" t="e">
        <f>VLOOKUP($A291,'S49'!$C:$BQ,59,0)</f>
        <v>#N/A</v>
      </c>
      <c r="BC291" s="66" t="e">
        <f>VLOOKUP($A291,'S49'!$C:$BQ,60,0)</f>
        <v>#N/A</v>
      </c>
      <c r="BD291" s="58" t="e">
        <f>VLOOKUP($A291,'S50'!$C:$BQ,32,0)</f>
        <v>#N/A</v>
      </c>
      <c r="BE291" s="58" t="e">
        <f>VLOOKUP($A291,'S50'!$C:$BQ,39,0)</f>
        <v>#N/A</v>
      </c>
      <c r="BF291" s="58" t="e">
        <f>VLOOKUP($A291,'S50'!$C:$BQ,40,0)</f>
        <v>#N/A</v>
      </c>
      <c r="BG291" s="58" t="e">
        <f>VLOOKUP($A291,'S50'!$C:$BQ,22,0)</f>
        <v>#N/A</v>
      </c>
      <c r="BH291" s="66" t="e">
        <f>VLOOKUP($A291,'S50'!$C:$BQ,29,0)</f>
        <v>#N/A</v>
      </c>
      <c r="BI291" s="66" t="e">
        <f>VLOOKUP($A291,'S50'!$C:$BQ,30,0)</f>
        <v>#N/A</v>
      </c>
      <c r="BJ291" s="66" t="e">
        <f>VLOOKUP($A291,'S50'!$C:$BQ,52,0)</f>
        <v>#N/A</v>
      </c>
      <c r="BK291" s="66" t="e">
        <f>VLOOKUP($A291,'S50'!$C:$BQ,59,0)</f>
        <v>#N/A</v>
      </c>
      <c r="BL291" s="66" t="e">
        <f>VLOOKUP($A291,'S50'!$C:$BQ,60,0)</f>
        <v>#N/A</v>
      </c>
    </row>
    <row r="292" spans="1:64" x14ac:dyDescent="0.2">
      <c r="A292" s="57" t="s">
        <v>357</v>
      </c>
      <c r="B292" s="58">
        <f>VLOOKUP($A292,'S0 remplacer avec S44'!$C:$BQ,32,0)</f>
        <v>439.45</v>
      </c>
      <c r="C292" s="58">
        <f>VLOOKUP($A292,'S0 remplacer avec S44'!$C:$BQ,39,0)</f>
        <v>209</v>
      </c>
      <c r="D292" s="58">
        <f>VLOOKUP($A292,'S0 remplacer avec S44'!$C:$BQ,40,0)</f>
        <v>338</v>
      </c>
      <c r="E292" s="58">
        <f>VLOOKUP($A292,'S0 remplacer avec S44'!$C:$BQ,22,0)</f>
        <v>4708.40553</v>
      </c>
      <c r="F292" s="66">
        <f>VLOOKUP($A292,'S0 remplacer avec S44'!$C:$BQ,29,0)</f>
        <v>1181</v>
      </c>
      <c r="G292" s="66">
        <f>VLOOKUP($A292,'S0 remplacer avec S44'!$C:$BQ,30,0)</f>
        <v>2359</v>
      </c>
      <c r="H292" s="66">
        <f>VLOOKUP($A292,'S0 remplacer avec S44'!$C:$BQ,52,0)</f>
        <v>374.2</v>
      </c>
      <c r="I292" s="66">
        <f>VLOOKUP($A292,'S0 remplacer avec S44'!$C:$BQ,59,0)</f>
        <v>0</v>
      </c>
      <c r="J292" s="66">
        <f>VLOOKUP($A292,'S0 remplacer avec S44'!$C:$BQ,60,0)</f>
        <v>21</v>
      </c>
      <c r="K292" s="58">
        <f>VLOOKUP($A292,'S45'!$C:$BQ,32,0)</f>
        <v>445.45</v>
      </c>
      <c r="L292" s="58">
        <f>VLOOKUP($A292,'S45'!$C:$BQ,39,0)</f>
        <v>203</v>
      </c>
      <c r="M292" s="58">
        <f>VLOOKUP($A292,'S45'!$C:$BQ,40,0)</f>
        <v>332</v>
      </c>
      <c r="N292" s="58">
        <f>VLOOKUP($A292,'S45'!$C:$BQ,22,0)</f>
        <v>4804.6173900000003</v>
      </c>
      <c r="O292" s="66">
        <f>VLOOKUP($A292,'S45'!$C:$BQ,29,0)</f>
        <v>1085</v>
      </c>
      <c r="P292" s="66">
        <f>VLOOKUP($A292,'S45'!$C:$BQ,30,0)</f>
        <v>2263</v>
      </c>
      <c r="Q292" s="66">
        <f>VLOOKUP($A292,'S45'!$C:$BQ,52,0)</f>
        <v>384.2</v>
      </c>
      <c r="R292" s="66">
        <f>VLOOKUP($A292,'S45'!$C:$BQ,59,0)</f>
        <v>0</v>
      </c>
      <c r="S292" s="66">
        <f>VLOOKUP($A292,'S45'!$C:$BQ,60,0)</f>
        <v>11</v>
      </c>
      <c r="T292" s="58">
        <f>VLOOKUP($A292,'S46'!$C:$BQ,32,0)</f>
        <v>445.45</v>
      </c>
      <c r="U292" s="58">
        <f>VLOOKUP($A292,'S46'!$C:$BQ,39,0)</f>
        <v>203</v>
      </c>
      <c r="V292" s="58">
        <f>VLOOKUP($A292,'S46'!$C:$BQ,40,0)</f>
        <v>332</v>
      </c>
      <c r="W292" s="58">
        <f>VLOOKUP($A292,'S46'!$C:$BQ,22,0)</f>
        <v>4812.7903699999997</v>
      </c>
      <c r="X292" s="66">
        <f>VLOOKUP($A292,'S46'!$C:$BQ,29,0)</f>
        <v>1077</v>
      </c>
      <c r="Y292" s="66">
        <f>VLOOKUP($A292,'S46'!$C:$BQ,30,0)</f>
        <v>2254</v>
      </c>
      <c r="Z292" s="66">
        <f>VLOOKUP($A292,'S46'!$C:$BQ,52,0)</f>
        <v>386.2</v>
      </c>
      <c r="AA292" s="66">
        <f>VLOOKUP($A292,'S46'!$C:$BQ,59,0)</f>
        <v>0</v>
      </c>
      <c r="AB292" s="66">
        <f>VLOOKUP($A292,'S46'!$C:$BQ,60,0)</f>
        <v>9</v>
      </c>
      <c r="AC292" s="58">
        <f>VLOOKUP($A292,'S47'!$C:$BQ,32,0)</f>
        <v>452.45</v>
      </c>
      <c r="AD292" s="58">
        <f>VLOOKUP($A292,'S47'!$C:$BQ,39,0)</f>
        <v>196</v>
      </c>
      <c r="AE292" s="58">
        <f>VLOOKUP($A292,'S47'!$C:$BQ,40,0)</f>
        <v>325</v>
      </c>
      <c r="AF292" s="58">
        <f>VLOOKUP($A292,'S47'!$C:$BQ,22,0)</f>
        <v>4849.0174800000004</v>
      </c>
      <c r="AG292" s="66">
        <f>VLOOKUP($A292,'S47'!$C:$BQ,29,0)</f>
        <v>1040</v>
      </c>
      <c r="AH292" s="66">
        <f>VLOOKUP($A292,'S47'!$C:$BQ,30,0)</f>
        <v>2218</v>
      </c>
      <c r="AI292" s="66">
        <f>VLOOKUP($A292,'S47'!$C:$BQ,52,0)</f>
        <v>402.2</v>
      </c>
      <c r="AJ292" s="66">
        <f>VLOOKUP($A292,'S47'!$C:$BQ,59,0)</f>
        <v>0</v>
      </c>
      <c r="AK292" s="66">
        <f>VLOOKUP($A292,'S47'!$C:$BQ,60,0)</f>
        <v>0</v>
      </c>
      <c r="AL292" s="58" t="e">
        <f>VLOOKUP($A292,'S48'!$C:$BQ,32,0)</f>
        <v>#N/A</v>
      </c>
      <c r="AM292" s="58" t="e">
        <f>VLOOKUP($A292,'S48'!$C:$BQ,39,0)</f>
        <v>#N/A</v>
      </c>
      <c r="AN292" s="58" t="e">
        <f>VLOOKUP($A292,'S48'!$C:$BQ,40,0)</f>
        <v>#N/A</v>
      </c>
      <c r="AO292" s="58" t="e">
        <f>VLOOKUP($A292,'S48'!$C:$BQ,22,0)</f>
        <v>#N/A</v>
      </c>
      <c r="AP292" s="66" t="e">
        <f>VLOOKUP($A292,'S48'!$C:$BQ,29,0)</f>
        <v>#N/A</v>
      </c>
      <c r="AQ292" s="66" t="e">
        <f>VLOOKUP($A292,'S48'!$C:$BQ,30,0)</f>
        <v>#N/A</v>
      </c>
      <c r="AR292" s="66" t="e">
        <f>VLOOKUP($A292,'S48'!$C:$BQ,52,0)</f>
        <v>#N/A</v>
      </c>
      <c r="AS292" s="66" t="e">
        <f>VLOOKUP($A292,'S48'!$C:$BQ,59,0)</f>
        <v>#N/A</v>
      </c>
      <c r="AT292" s="66" t="e">
        <f>VLOOKUP($A292,'S48'!$C:$BQ,60,0)</f>
        <v>#N/A</v>
      </c>
      <c r="AU292" s="58" t="e">
        <f>VLOOKUP($A292,'S49'!$C:$BQ,32,0)</f>
        <v>#N/A</v>
      </c>
      <c r="AV292" s="58" t="e">
        <f>VLOOKUP($A292,'S49'!$C:$BQ,39,0)</f>
        <v>#N/A</v>
      </c>
      <c r="AW292" s="58" t="e">
        <f>VLOOKUP($A292,'S49'!$C:$BQ,40,0)</f>
        <v>#N/A</v>
      </c>
      <c r="AX292" s="58" t="e">
        <f>VLOOKUP($A292,'S49'!$C:$BQ,22,0)</f>
        <v>#N/A</v>
      </c>
      <c r="AY292" s="66" t="e">
        <f>VLOOKUP($A292,'S49'!$C:$BQ,29,0)</f>
        <v>#N/A</v>
      </c>
      <c r="AZ292" s="66" t="e">
        <f>VLOOKUP($A292,'S49'!$C:$BQ,30,0)</f>
        <v>#N/A</v>
      </c>
      <c r="BA292" s="66" t="e">
        <f>VLOOKUP($A292,'S49'!$C:$BQ,52,0)</f>
        <v>#N/A</v>
      </c>
      <c r="BB292" s="66" t="e">
        <f>VLOOKUP($A292,'S49'!$C:$BQ,59,0)</f>
        <v>#N/A</v>
      </c>
      <c r="BC292" s="66" t="e">
        <f>VLOOKUP($A292,'S49'!$C:$BQ,60,0)</f>
        <v>#N/A</v>
      </c>
      <c r="BD292" s="58" t="e">
        <f>VLOOKUP($A292,'S50'!$C:$BQ,32,0)</f>
        <v>#N/A</v>
      </c>
      <c r="BE292" s="58" t="e">
        <f>VLOOKUP($A292,'S50'!$C:$BQ,39,0)</f>
        <v>#N/A</v>
      </c>
      <c r="BF292" s="58" t="e">
        <f>VLOOKUP($A292,'S50'!$C:$BQ,40,0)</f>
        <v>#N/A</v>
      </c>
      <c r="BG292" s="58" t="e">
        <f>VLOOKUP($A292,'S50'!$C:$BQ,22,0)</f>
        <v>#N/A</v>
      </c>
      <c r="BH292" s="66" t="e">
        <f>VLOOKUP($A292,'S50'!$C:$BQ,29,0)</f>
        <v>#N/A</v>
      </c>
      <c r="BI292" s="66" t="e">
        <f>VLOOKUP($A292,'S50'!$C:$BQ,30,0)</f>
        <v>#N/A</v>
      </c>
      <c r="BJ292" s="66" t="e">
        <f>VLOOKUP($A292,'S50'!$C:$BQ,52,0)</f>
        <v>#N/A</v>
      </c>
      <c r="BK292" s="66" t="e">
        <f>VLOOKUP($A292,'S50'!$C:$BQ,59,0)</f>
        <v>#N/A</v>
      </c>
      <c r="BL292" s="66" t="e">
        <f>VLOOKUP($A292,'S50'!$C:$BQ,60,0)</f>
        <v>#N/A</v>
      </c>
    </row>
    <row r="293" spans="1:64" x14ac:dyDescent="0.2">
      <c r="A293" s="57" t="s">
        <v>367</v>
      </c>
      <c r="B293" s="58">
        <f>VLOOKUP($A293,'S0 remplacer avec S44'!$C:$BQ,32,0)</f>
        <v>211.05</v>
      </c>
      <c r="C293" s="58">
        <f>VLOOKUP($A293,'S0 remplacer avec S44'!$C:$BQ,39,0)</f>
        <v>41</v>
      </c>
      <c r="D293" s="58">
        <f>VLOOKUP($A293,'S0 remplacer avec S44'!$C:$BQ,40,0)</f>
        <v>91</v>
      </c>
      <c r="E293" s="58">
        <f>VLOOKUP($A293,'S0 remplacer avec S44'!$C:$BQ,22,0)</f>
        <v>2428.6663050000002</v>
      </c>
      <c r="F293" s="66">
        <f>VLOOKUP($A293,'S0 remplacer avec S44'!$C:$BQ,29,0)</f>
        <v>0</v>
      </c>
      <c r="G293" s="66">
        <f>VLOOKUP($A293,'S0 remplacer avec S44'!$C:$BQ,30,0)</f>
        <v>316</v>
      </c>
      <c r="H293" s="66">
        <f>VLOOKUP($A293,'S0 remplacer avec S44'!$C:$BQ,52,0)</f>
        <v>97.6</v>
      </c>
      <c r="I293" s="66">
        <f>VLOOKUP($A293,'S0 remplacer avec S44'!$C:$BQ,59,0)</f>
        <v>31</v>
      </c>
      <c r="J293" s="66">
        <f>VLOOKUP($A293,'S0 remplacer avec S44'!$C:$BQ,60,0)</f>
        <v>56</v>
      </c>
      <c r="K293" s="58">
        <f>VLOOKUP($A293,'S45'!$C:$BQ,32,0)</f>
        <v>210.55</v>
      </c>
      <c r="L293" s="58">
        <f>VLOOKUP($A293,'S45'!$C:$BQ,39,0)</f>
        <v>41</v>
      </c>
      <c r="M293" s="58">
        <f>VLOOKUP($A293,'S45'!$C:$BQ,40,0)</f>
        <v>92</v>
      </c>
      <c r="N293" s="58">
        <f>VLOOKUP($A293,'S45'!$C:$BQ,22,0)</f>
        <v>2451.5840750000002</v>
      </c>
      <c r="O293" s="66">
        <f>VLOOKUP($A293,'S45'!$C:$BQ,29,0)</f>
        <v>0</v>
      </c>
      <c r="P293" s="66">
        <f>VLOOKUP($A293,'S45'!$C:$BQ,30,0)</f>
        <v>293</v>
      </c>
      <c r="Q293" s="66">
        <f>VLOOKUP($A293,'S45'!$C:$BQ,52,0)</f>
        <v>97.6</v>
      </c>
      <c r="R293" s="66">
        <f>VLOOKUP($A293,'S45'!$C:$BQ,59,0)</f>
        <v>31</v>
      </c>
      <c r="S293" s="66">
        <f>VLOOKUP($A293,'S45'!$C:$BQ,60,0)</f>
        <v>56</v>
      </c>
      <c r="T293" s="58">
        <f>VLOOKUP($A293,'S46'!$C:$BQ,32,0)</f>
        <v>213.55</v>
      </c>
      <c r="U293" s="58">
        <f>VLOOKUP($A293,'S46'!$C:$BQ,39,0)</f>
        <v>38</v>
      </c>
      <c r="V293" s="58">
        <f>VLOOKUP($A293,'S46'!$C:$BQ,40,0)</f>
        <v>89</v>
      </c>
      <c r="W293" s="58">
        <f>VLOOKUP($A293,'S46'!$C:$BQ,22,0)</f>
        <v>2452.7350750000001</v>
      </c>
      <c r="X293" s="66">
        <f>VLOOKUP($A293,'S46'!$C:$BQ,29,0)</f>
        <v>0</v>
      </c>
      <c r="Y293" s="66">
        <f>VLOOKUP($A293,'S46'!$C:$BQ,30,0)</f>
        <v>292</v>
      </c>
      <c r="Z293" s="66">
        <f>VLOOKUP($A293,'S46'!$C:$BQ,52,0)</f>
        <v>98.6</v>
      </c>
      <c r="AA293" s="66">
        <f>VLOOKUP($A293,'S46'!$C:$BQ,59,0)</f>
        <v>30</v>
      </c>
      <c r="AB293" s="66">
        <f>VLOOKUP($A293,'S46'!$C:$BQ,60,0)</f>
        <v>55</v>
      </c>
      <c r="AC293" s="58">
        <f>VLOOKUP($A293,'S47'!$C:$BQ,32,0)</f>
        <v>220.55</v>
      </c>
      <c r="AD293" s="58">
        <f>VLOOKUP($A293,'S47'!$C:$BQ,39,0)</f>
        <v>31</v>
      </c>
      <c r="AE293" s="58">
        <f>VLOOKUP($A293,'S47'!$C:$BQ,40,0)</f>
        <v>82</v>
      </c>
      <c r="AF293" s="58">
        <f>VLOOKUP($A293,'S47'!$C:$BQ,22,0)</f>
        <v>2506.2029750000002</v>
      </c>
      <c r="AG293" s="66">
        <f>VLOOKUP($A293,'S47'!$C:$BQ,29,0)</f>
        <v>0</v>
      </c>
      <c r="AH293" s="66">
        <f>VLOOKUP($A293,'S47'!$C:$BQ,30,0)</f>
        <v>239</v>
      </c>
      <c r="AI293" s="66">
        <f>VLOOKUP($A293,'S47'!$C:$BQ,52,0)</f>
        <v>100.6</v>
      </c>
      <c r="AJ293" s="66">
        <f>VLOOKUP($A293,'S47'!$C:$BQ,59,0)</f>
        <v>28</v>
      </c>
      <c r="AK293" s="66">
        <f>VLOOKUP($A293,'S47'!$C:$BQ,60,0)</f>
        <v>53</v>
      </c>
      <c r="AL293" s="58" t="e">
        <f>VLOOKUP($A293,'S48'!$C:$BQ,32,0)</f>
        <v>#N/A</v>
      </c>
      <c r="AM293" s="58" t="e">
        <f>VLOOKUP($A293,'S48'!$C:$BQ,39,0)</f>
        <v>#N/A</v>
      </c>
      <c r="AN293" s="58" t="e">
        <f>VLOOKUP($A293,'S48'!$C:$BQ,40,0)</f>
        <v>#N/A</v>
      </c>
      <c r="AO293" s="58" t="e">
        <f>VLOOKUP($A293,'S48'!$C:$BQ,22,0)</f>
        <v>#N/A</v>
      </c>
      <c r="AP293" s="66" t="e">
        <f>VLOOKUP($A293,'S48'!$C:$BQ,29,0)</f>
        <v>#N/A</v>
      </c>
      <c r="AQ293" s="66" t="e">
        <f>VLOOKUP($A293,'S48'!$C:$BQ,30,0)</f>
        <v>#N/A</v>
      </c>
      <c r="AR293" s="66" t="e">
        <f>VLOOKUP($A293,'S48'!$C:$BQ,52,0)</f>
        <v>#N/A</v>
      </c>
      <c r="AS293" s="66" t="e">
        <f>VLOOKUP($A293,'S48'!$C:$BQ,59,0)</f>
        <v>#N/A</v>
      </c>
      <c r="AT293" s="66" t="e">
        <f>VLOOKUP($A293,'S48'!$C:$BQ,60,0)</f>
        <v>#N/A</v>
      </c>
      <c r="AU293" s="58" t="e">
        <f>VLOOKUP($A293,'S49'!$C:$BQ,32,0)</f>
        <v>#N/A</v>
      </c>
      <c r="AV293" s="58" t="e">
        <f>VLOOKUP($A293,'S49'!$C:$BQ,39,0)</f>
        <v>#N/A</v>
      </c>
      <c r="AW293" s="58" t="e">
        <f>VLOOKUP($A293,'S49'!$C:$BQ,40,0)</f>
        <v>#N/A</v>
      </c>
      <c r="AX293" s="58" t="e">
        <f>VLOOKUP($A293,'S49'!$C:$BQ,22,0)</f>
        <v>#N/A</v>
      </c>
      <c r="AY293" s="66" t="e">
        <f>VLOOKUP($A293,'S49'!$C:$BQ,29,0)</f>
        <v>#N/A</v>
      </c>
      <c r="AZ293" s="66" t="e">
        <f>VLOOKUP($A293,'S49'!$C:$BQ,30,0)</f>
        <v>#N/A</v>
      </c>
      <c r="BA293" s="66" t="e">
        <f>VLOOKUP($A293,'S49'!$C:$BQ,52,0)</f>
        <v>#N/A</v>
      </c>
      <c r="BB293" s="66" t="e">
        <f>VLOOKUP($A293,'S49'!$C:$BQ,59,0)</f>
        <v>#N/A</v>
      </c>
      <c r="BC293" s="66" t="e">
        <f>VLOOKUP($A293,'S49'!$C:$BQ,60,0)</f>
        <v>#N/A</v>
      </c>
      <c r="BD293" s="58" t="e">
        <f>VLOOKUP($A293,'S50'!$C:$BQ,32,0)</f>
        <v>#N/A</v>
      </c>
      <c r="BE293" s="58" t="e">
        <f>VLOOKUP($A293,'S50'!$C:$BQ,39,0)</f>
        <v>#N/A</v>
      </c>
      <c r="BF293" s="58" t="e">
        <f>VLOOKUP($A293,'S50'!$C:$BQ,40,0)</f>
        <v>#N/A</v>
      </c>
      <c r="BG293" s="58" t="e">
        <f>VLOOKUP($A293,'S50'!$C:$BQ,22,0)</f>
        <v>#N/A</v>
      </c>
      <c r="BH293" s="66" t="e">
        <f>VLOOKUP($A293,'S50'!$C:$BQ,29,0)</f>
        <v>#N/A</v>
      </c>
      <c r="BI293" s="66" t="e">
        <f>VLOOKUP($A293,'S50'!$C:$BQ,30,0)</f>
        <v>#N/A</v>
      </c>
      <c r="BJ293" s="66" t="e">
        <f>VLOOKUP($A293,'S50'!$C:$BQ,52,0)</f>
        <v>#N/A</v>
      </c>
      <c r="BK293" s="66" t="e">
        <f>VLOOKUP($A293,'S50'!$C:$BQ,59,0)</f>
        <v>#N/A</v>
      </c>
      <c r="BL293" s="66" t="e">
        <f>VLOOKUP($A293,'S50'!$C:$BQ,60,0)</f>
        <v>#N/A</v>
      </c>
    </row>
    <row r="294" spans="1:64" x14ac:dyDescent="0.2">
      <c r="A294" s="57" t="s">
        <v>368</v>
      </c>
      <c r="B294" s="58">
        <f>VLOOKUP($A294,'S0 remplacer avec S44'!$C:$BQ,32,0)</f>
        <v>172.75</v>
      </c>
      <c r="C294" s="58">
        <f>VLOOKUP($A294,'S0 remplacer avec S44'!$C:$BQ,39,0)</f>
        <v>0</v>
      </c>
      <c r="D294" s="58">
        <f>VLOOKUP($A294,'S0 remplacer avec S44'!$C:$BQ,40,0)</f>
        <v>0</v>
      </c>
      <c r="E294" s="58">
        <f>VLOOKUP($A294,'S0 remplacer avec S44'!$C:$BQ,22,0)</f>
        <v>1458.2094500000001</v>
      </c>
      <c r="F294" s="66">
        <f>VLOOKUP($A294,'S0 remplacer avec S44'!$C:$BQ,29,0)</f>
        <v>0</v>
      </c>
      <c r="G294" s="66">
        <f>VLOOKUP($A294,'S0 remplacer avec S44'!$C:$BQ,30,0)</f>
        <v>0</v>
      </c>
      <c r="H294" s="66">
        <f>VLOOKUP($A294,'S0 remplacer avec S44'!$C:$BQ,52,0)</f>
        <v>65.400000000000006</v>
      </c>
      <c r="I294" s="66">
        <f>VLOOKUP($A294,'S0 remplacer avec S44'!$C:$BQ,59,0)</f>
        <v>0</v>
      </c>
      <c r="J294" s="66">
        <f>VLOOKUP($A294,'S0 remplacer avec S44'!$C:$BQ,60,0)</f>
        <v>8</v>
      </c>
      <c r="K294" s="58">
        <f>VLOOKUP($A294,'S45'!$C:$BQ,32,0)</f>
        <v>177.75</v>
      </c>
      <c r="L294" s="58">
        <f>VLOOKUP($A294,'S45'!$C:$BQ,39,0)</f>
        <v>0</v>
      </c>
      <c r="M294" s="58">
        <f>VLOOKUP($A294,'S45'!$C:$BQ,40,0)</f>
        <v>0</v>
      </c>
      <c r="N294" s="58">
        <f>VLOOKUP($A294,'S45'!$C:$BQ,22,0)</f>
        <v>1458.7644499999999</v>
      </c>
      <c r="O294" s="66">
        <f>VLOOKUP($A294,'S45'!$C:$BQ,29,0)</f>
        <v>0</v>
      </c>
      <c r="P294" s="66">
        <f>VLOOKUP($A294,'S45'!$C:$BQ,30,0)</f>
        <v>0</v>
      </c>
      <c r="Q294" s="66">
        <f>VLOOKUP($A294,'S45'!$C:$BQ,52,0)</f>
        <v>67.400000000000006</v>
      </c>
      <c r="R294" s="66">
        <f>VLOOKUP($A294,'S45'!$C:$BQ,59,0)</f>
        <v>0</v>
      </c>
      <c r="S294" s="66">
        <f>VLOOKUP($A294,'S45'!$C:$BQ,60,0)</f>
        <v>6</v>
      </c>
      <c r="T294" s="58">
        <f>VLOOKUP($A294,'S46'!$C:$BQ,32,0)</f>
        <v>178.75</v>
      </c>
      <c r="U294" s="58">
        <f>VLOOKUP($A294,'S46'!$C:$BQ,39,0)</f>
        <v>0</v>
      </c>
      <c r="V294" s="58">
        <f>VLOOKUP($A294,'S46'!$C:$BQ,40,0)</f>
        <v>0</v>
      </c>
      <c r="W294" s="58">
        <f>VLOOKUP($A294,'S46'!$C:$BQ,22,0)</f>
        <v>1459.7343800000001</v>
      </c>
      <c r="X294" s="66">
        <f>VLOOKUP($A294,'S46'!$C:$BQ,29,0)</f>
        <v>0</v>
      </c>
      <c r="Y294" s="66">
        <f>VLOOKUP($A294,'S46'!$C:$BQ,30,0)</f>
        <v>0</v>
      </c>
      <c r="Z294" s="66">
        <f>VLOOKUP($A294,'S46'!$C:$BQ,52,0)</f>
        <v>67.400000000000006</v>
      </c>
      <c r="AA294" s="66">
        <f>VLOOKUP($A294,'S46'!$C:$BQ,59,0)</f>
        <v>0</v>
      </c>
      <c r="AB294" s="66">
        <f>VLOOKUP($A294,'S46'!$C:$BQ,60,0)</f>
        <v>6</v>
      </c>
      <c r="AC294" s="58">
        <f>VLOOKUP($A294,'S47'!$C:$BQ,32,0)</f>
        <v>186.75</v>
      </c>
      <c r="AD294" s="58">
        <f>VLOOKUP($A294,'S47'!$C:$BQ,39,0)</f>
        <v>0</v>
      </c>
      <c r="AE294" s="58">
        <f>VLOOKUP($A294,'S47'!$C:$BQ,40,0)</f>
        <v>0</v>
      </c>
      <c r="AF294" s="58">
        <f>VLOOKUP($A294,'S47'!$C:$BQ,22,0)</f>
        <v>1467.5634399999999</v>
      </c>
      <c r="AG294" s="66">
        <f>VLOOKUP($A294,'S47'!$C:$BQ,29,0)</f>
        <v>0</v>
      </c>
      <c r="AH294" s="66">
        <f>VLOOKUP($A294,'S47'!$C:$BQ,30,0)</f>
        <v>0</v>
      </c>
      <c r="AI294" s="66">
        <f>VLOOKUP($A294,'S47'!$C:$BQ,52,0)</f>
        <v>68.400000000000006</v>
      </c>
      <c r="AJ294" s="66">
        <f>VLOOKUP($A294,'S47'!$C:$BQ,59,0)</f>
        <v>0</v>
      </c>
      <c r="AK294" s="66">
        <f>VLOOKUP($A294,'S47'!$C:$BQ,60,0)</f>
        <v>5</v>
      </c>
      <c r="AL294" s="58" t="e">
        <f>VLOOKUP($A294,'S48'!$C:$BQ,32,0)</f>
        <v>#N/A</v>
      </c>
      <c r="AM294" s="58" t="e">
        <f>VLOOKUP($A294,'S48'!$C:$BQ,39,0)</f>
        <v>#N/A</v>
      </c>
      <c r="AN294" s="58" t="e">
        <f>VLOOKUP($A294,'S48'!$C:$BQ,40,0)</f>
        <v>#N/A</v>
      </c>
      <c r="AO294" s="58" t="e">
        <f>VLOOKUP($A294,'S48'!$C:$BQ,22,0)</f>
        <v>#N/A</v>
      </c>
      <c r="AP294" s="66" t="e">
        <f>VLOOKUP($A294,'S48'!$C:$BQ,29,0)</f>
        <v>#N/A</v>
      </c>
      <c r="AQ294" s="66" t="e">
        <f>VLOOKUP($A294,'S48'!$C:$BQ,30,0)</f>
        <v>#N/A</v>
      </c>
      <c r="AR294" s="66" t="e">
        <f>VLOOKUP($A294,'S48'!$C:$BQ,52,0)</f>
        <v>#N/A</v>
      </c>
      <c r="AS294" s="66" t="e">
        <f>VLOOKUP($A294,'S48'!$C:$BQ,59,0)</f>
        <v>#N/A</v>
      </c>
      <c r="AT294" s="66" t="e">
        <f>VLOOKUP($A294,'S48'!$C:$BQ,60,0)</f>
        <v>#N/A</v>
      </c>
      <c r="AU294" s="58" t="e">
        <f>VLOOKUP($A294,'S49'!$C:$BQ,32,0)</f>
        <v>#N/A</v>
      </c>
      <c r="AV294" s="58" t="e">
        <f>VLOOKUP($A294,'S49'!$C:$BQ,39,0)</f>
        <v>#N/A</v>
      </c>
      <c r="AW294" s="58" t="e">
        <f>VLOOKUP($A294,'S49'!$C:$BQ,40,0)</f>
        <v>#N/A</v>
      </c>
      <c r="AX294" s="58" t="e">
        <f>VLOOKUP($A294,'S49'!$C:$BQ,22,0)</f>
        <v>#N/A</v>
      </c>
      <c r="AY294" s="66" t="e">
        <f>VLOOKUP($A294,'S49'!$C:$BQ,29,0)</f>
        <v>#N/A</v>
      </c>
      <c r="AZ294" s="66" t="e">
        <f>VLOOKUP($A294,'S49'!$C:$BQ,30,0)</f>
        <v>#N/A</v>
      </c>
      <c r="BA294" s="66" t="e">
        <f>VLOOKUP($A294,'S49'!$C:$BQ,52,0)</f>
        <v>#N/A</v>
      </c>
      <c r="BB294" s="66" t="e">
        <f>VLOOKUP($A294,'S49'!$C:$BQ,59,0)</f>
        <v>#N/A</v>
      </c>
      <c r="BC294" s="66" t="e">
        <f>VLOOKUP($A294,'S49'!$C:$BQ,60,0)</f>
        <v>#N/A</v>
      </c>
      <c r="BD294" s="58" t="e">
        <f>VLOOKUP($A294,'S50'!$C:$BQ,32,0)</f>
        <v>#N/A</v>
      </c>
      <c r="BE294" s="58" t="e">
        <f>VLOOKUP($A294,'S50'!$C:$BQ,39,0)</f>
        <v>#N/A</v>
      </c>
      <c r="BF294" s="58" t="e">
        <f>VLOOKUP($A294,'S50'!$C:$BQ,40,0)</f>
        <v>#N/A</v>
      </c>
      <c r="BG294" s="58" t="e">
        <f>VLOOKUP($A294,'S50'!$C:$BQ,22,0)</f>
        <v>#N/A</v>
      </c>
      <c r="BH294" s="66" t="e">
        <f>VLOOKUP($A294,'S50'!$C:$BQ,29,0)</f>
        <v>#N/A</v>
      </c>
      <c r="BI294" s="66" t="e">
        <f>VLOOKUP($A294,'S50'!$C:$BQ,30,0)</f>
        <v>#N/A</v>
      </c>
      <c r="BJ294" s="66" t="e">
        <f>VLOOKUP($A294,'S50'!$C:$BQ,52,0)</f>
        <v>#N/A</v>
      </c>
      <c r="BK294" s="66" t="e">
        <f>VLOOKUP($A294,'S50'!$C:$BQ,59,0)</f>
        <v>#N/A</v>
      </c>
      <c r="BL294" s="66" t="e">
        <f>VLOOKUP($A294,'S50'!$C:$BQ,60,0)</f>
        <v>#N/A</v>
      </c>
    </row>
    <row r="295" spans="1:64" x14ac:dyDescent="0.2">
      <c r="A295" s="57" t="s">
        <v>369</v>
      </c>
      <c r="B295" s="58">
        <f>VLOOKUP($A295,'S0 remplacer avec S44'!$C:$BQ,32,0)</f>
        <v>118.75</v>
      </c>
      <c r="C295" s="58">
        <f>VLOOKUP($A295,'S0 remplacer avec S44'!$C:$BQ,39,0)</f>
        <v>84</v>
      </c>
      <c r="D295" s="58">
        <f>VLOOKUP($A295,'S0 remplacer avec S44'!$C:$BQ,40,0)</f>
        <v>124</v>
      </c>
      <c r="E295" s="58">
        <f>VLOOKUP($A295,'S0 remplacer avec S44'!$C:$BQ,22,0)</f>
        <v>1752.9531199999999</v>
      </c>
      <c r="F295" s="66">
        <f>VLOOKUP($A295,'S0 remplacer avec S44'!$C:$BQ,29,0)</f>
        <v>85</v>
      </c>
      <c r="G295" s="66">
        <f>VLOOKUP($A295,'S0 remplacer avec S44'!$C:$BQ,30,0)</f>
        <v>453</v>
      </c>
      <c r="H295" s="66">
        <f>VLOOKUP($A295,'S0 remplacer avec S44'!$C:$BQ,52,0)</f>
        <v>115.2</v>
      </c>
      <c r="I295" s="66">
        <f>VLOOKUP($A295,'S0 remplacer avec S44'!$C:$BQ,59,0)</f>
        <v>0</v>
      </c>
      <c r="J295" s="66">
        <f>VLOOKUP($A295,'S0 remplacer avec S44'!$C:$BQ,60,0)</f>
        <v>8</v>
      </c>
      <c r="K295" s="58">
        <f>VLOOKUP($A295,'S45'!$C:$BQ,32,0)</f>
        <v>116.75</v>
      </c>
      <c r="L295" s="58">
        <f>VLOOKUP($A295,'S45'!$C:$BQ,39,0)</f>
        <v>86</v>
      </c>
      <c r="M295" s="58">
        <f>VLOOKUP($A295,'S45'!$C:$BQ,40,0)</f>
        <v>126</v>
      </c>
      <c r="N295" s="58">
        <f>VLOOKUP($A295,'S45'!$C:$BQ,22,0)</f>
        <v>1746.0231200000001</v>
      </c>
      <c r="O295" s="66">
        <f>VLOOKUP($A295,'S45'!$C:$BQ,29,0)</f>
        <v>92</v>
      </c>
      <c r="P295" s="66">
        <f>VLOOKUP($A295,'S45'!$C:$BQ,30,0)</f>
        <v>460</v>
      </c>
      <c r="Q295" s="66">
        <f>VLOOKUP($A295,'S45'!$C:$BQ,52,0)</f>
        <v>115.2</v>
      </c>
      <c r="R295" s="66">
        <f>VLOOKUP($A295,'S45'!$C:$BQ,59,0)</f>
        <v>0</v>
      </c>
      <c r="S295" s="66">
        <f>VLOOKUP($A295,'S45'!$C:$BQ,60,0)</f>
        <v>8</v>
      </c>
      <c r="T295" s="58">
        <f>VLOOKUP($A295,'S46'!$C:$BQ,32,0)</f>
        <v>118.25</v>
      </c>
      <c r="U295" s="58">
        <f>VLOOKUP($A295,'S46'!$C:$BQ,39,0)</f>
        <v>84</v>
      </c>
      <c r="V295" s="58">
        <f>VLOOKUP($A295,'S46'!$C:$BQ,40,0)</f>
        <v>125</v>
      </c>
      <c r="W295" s="58">
        <f>VLOOKUP($A295,'S46'!$C:$BQ,22,0)</f>
        <v>1784.28234</v>
      </c>
      <c r="X295" s="66">
        <f>VLOOKUP($A295,'S46'!$C:$BQ,29,0)</f>
        <v>54</v>
      </c>
      <c r="Y295" s="66">
        <f>VLOOKUP($A295,'S46'!$C:$BQ,30,0)</f>
        <v>422</v>
      </c>
      <c r="Z295" s="66">
        <f>VLOOKUP($A295,'S46'!$C:$BQ,52,0)</f>
        <v>115.2</v>
      </c>
      <c r="AA295" s="66">
        <f>VLOOKUP($A295,'S46'!$C:$BQ,59,0)</f>
        <v>0</v>
      </c>
      <c r="AB295" s="66">
        <f>VLOOKUP($A295,'S46'!$C:$BQ,60,0)</f>
        <v>8</v>
      </c>
      <c r="AC295" s="58">
        <f>VLOOKUP($A295,'S47'!$C:$BQ,32,0)</f>
        <v>122.25</v>
      </c>
      <c r="AD295" s="58">
        <f>VLOOKUP($A295,'S47'!$C:$BQ,39,0)</f>
        <v>80</v>
      </c>
      <c r="AE295" s="58">
        <f>VLOOKUP($A295,'S47'!$C:$BQ,40,0)</f>
        <v>121</v>
      </c>
      <c r="AF295" s="58">
        <f>VLOOKUP($A295,'S47'!$C:$BQ,22,0)</f>
        <v>1805.44361</v>
      </c>
      <c r="AG295" s="66">
        <f>VLOOKUP($A295,'S47'!$C:$BQ,29,0)</f>
        <v>33</v>
      </c>
      <c r="AH295" s="66">
        <f>VLOOKUP($A295,'S47'!$C:$BQ,30,0)</f>
        <v>400</v>
      </c>
      <c r="AI295" s="66">
        <f>VLOOKUP($A295,'S47'!$C:$BQ,52,0)</f>
        <v>118.2</v>
      </c>
      <c r="AJ295" s="66">
        <f>VLOOKUP($A295,'S47'!$C:$BQ,59,0)</f>
        <v>0</v>
      </c>
      <c r="AK295" s="66">
        <f>VLOOKUP($A295,'S47'!$C:$BQ,60,0)</f>
        <v>5</v>
      </c>
      <c r="AL295" s="58" t="e">
        <f>VLOOKUP($A295,'S48'!$C:$BQ,32,0)</f>
        <v>#N/A</v>
      </c>
      <c r="AM295" s="58" t="e">
        <f>VLOOKUP($A295,'S48'!$C:$BQ,39,0)</f>
        <v>#N/A</v>
      </c>
      <c r="AN295" s="58" t="e">
        <f>VLOOKUP($A295,'S48'!$C:$BQ,40,0)</f>
        <v>#N/A</v>
      </c>
      <c r="AO295" s="58" t="e">
        <f>VLOOKUP($A295,'S48'!$C:$BQ,22,0)</f>
        <v>#N/A</v>
      </c>
      <c r="AP295" s="66" t="e">
        <f>VLOOKUP($A295,'S48'!$C:$BQ,29,0)</f>
        <v>#N/A</v>
      </c>
      <c r="AQ295" s="66" t="e">
        <f>VLOOKUP($A295,'S48'!$C:$BQ,30,0)</f>
        <v>#N/A</v>
      </c>
      <c r="AR295" s="66" t="e">
        <f>VLOOKUP($A295,'S48'!$C:$BQ,52,0)</f>
        <v>#N/A</v>
      </c>
      <c r="AS295" s="66" t="e">
        <f>VLOOKUP($A295,'S48'!$C:$BQ,59,0)</f>
        <v>#N/A</v>
      </c>
      <c r="AT295" s="66" t="e">
        <f>VLOOKUP($A295,'S48'!$C:$BQ,60,0)</f>
        <v>#N/A</v>
      </c>
      <c r="AU295" s="58" t="e">
        <f>VLOOKUP($A295,'S49'!$C:$BQ,32,0)</f>
        <v>#N/A</v>
      </c>
      <c r="AV295" s="58" t="e">
        <f>VLOOKUP($A295,'S49'!$C:$BQ,39,0)</f>
        <v>#N/A</v>
      </c>
      <c r="AW295" s="58" t="e">
        <f>VLOOKUP($A295,'S49'!$C:$BQ,40,0)</f>
        <v>#N/A</v>
      </c>
      <c r="AX295" s="58" t="e">
        <f>VLOOKUP($A295,'S49'!$C:$BQ,22,0)</f>
        <v>#N/A</v>
      </c>
      <c r="AY295" s="66" t="e">
        <f>VLOOKUP($A295,'S49'!$C:$BQ,29,0)</f>
        <v>#N/A</v>
      </c>
      <c r="AZ295" s="66" t="e">
        <f>VLOOKUP($A295,'S49'!$C:$BQ,30,0)</f>
        <v>#N/A</v>
      </c>
      <c r="BA295" s="66" t="e">
        <f>VLOOKUP($A295,'S49'!$C:$BQ,52,0)</f>
        <v>#N/A</v>
      </c>
      <c r="BB295" s="66" t="e">
        <f>VLOOKUP($A295,'S49'!$C:$BQ,59,0)</f>
        <v>#N/A</v>
      </c>
      <c r="BC295" s="66" t="e">
        <f>VLOOKUP($A295,'S49'!$C:$BQ,60,0)</f>
        <v>#N/A</v>
      </c>
      <c r="BD295" s="58" t="e">
        <f>VLOOKUP($A295,'S50'!$C:$BQ,32,0)</f>
        <v>#N/A</v>
      </c>
      <c r="BE295" s="58" t="e">
        <f>VLOOKUP($A295,'S50'!$C:$BQ,39,0)</f>
        <v>#N/A</v>
      </c>
      <c r="BF295" s="58" t="e">
        <f>VLOOKUP($A295,'S50'!$C:$BQ,40,0)</f>
        <v>#N/A</v>
      </c>
      <c r="BG295" s="58" t="e">
        <f>VLOOKUP($A295,'S50'!$C:$BQ,22,0)</f>
        <v>#N/A</v>
      </c>
      <c r="BH295" s="66" t="e">
        <f>VLOOKUP($A295,'S50'!$C:$BQ,29,0)</f>
        <v>#N/A</v>
      </c>
      <c r="BI295" s="66" t="e">
        <f>VLOOKUP($A295,'S50'!$C:$BQ,30,0)</f>
        <v>#N/A</v>
      </c>
      <c r="BJ295" s="66" t="e">
        <f>VLOOKUP($A295,'S50'!$C:$BQ,52,0)</f>
        <v>#N/A</v>
      </c>
      <c r="BK295" s="66" t="e">
        <f>VLOOKUP($A295,'S50'!$C:$BQ,59,0)</f>
        <v>#N/A</v>
      </c>
      <c r="BL295" s="66" t="e">
        <f>VLOOKUP($A295,'S50'!$C:$BQ,60,0)</f>
        <v>#N/A</v>
      </c>
    </row>
    <row r="296" spans="1:64" x14ac:dyDescent="0.2">
      <c r="A296" s="69"/>
      <c r="B296" s="70"/>
      <c r="C296" s="70"/>
      <c r="D296" s="70"/>
      <c r="E296" s="70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E289"/>
  <sheetViews>
    <sheetView showGridLines="0" workbookViewId="0">
      <selection activeCell="H8" sqref="H8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21.5703125" customWidth="1"/>
    <col min="4" max="4" width="34.28515625" customWidth="1"/>
    <col min="5" max="5" width="30.140625" customWidth="1"/>
    <col min="6" max="6" width="4.7109375" customWidth="1"/>
  </cols>
  <sheetData>
    <row r="1" spans="1:5" s="156" customFormat="1" ht="24" customHeight="1" x14ac:dyDescent="0.2">
      <c r="A1" s="205" t="s">
        <v>612</v>
      </c>
      <c r="B1" s="205" t="s">
        <v>613</v>
      </c>
      <c r="C1" s="205" t="s">
        <v>614</v>
      </c>
      <c r="D1" s="205" t="s">
        <v>615</v>
      </c>
      <c r="E1" s="205" t="s">
        <v>616</v>
      </c>
    </row>
    <row r="2" spans="1:5" s="156" customFormat="1" ht="19.7" customHeight="1" x14ac:dyDescent="0.2">
      <c r="A2" s="206" t="s">
        <v>4</v>
      </c>
      <c r="B2" s="206" t="s">
        <v>0</v>
      </c>
      <c r="C2" s="207">
        <v>410541</v>
      </c>
      <c r="D2" s="206" t="s">
        <v>59</v>
      </c>
      <c r="E2" s="208">
        <v>26</v>
      </c>
    </row>
    <row r="3" spans="1:5" s="156" customFormat="1" ht="19.7" customHeight="1" x14ac:dyDescent="0.2">
      <c r="A3" s="206" t="s">
        <v>4</v>
      </c>
      <c r="B3" s="206" t="s">
        <v>0</v>
      </c>
      <c r="C3" s="207">
        <v>410560</v>
      </c>
      <c r="D3" s="206" t="s">
        <v>5</v>
      </c>
      <c r="E3" s="208">
        <v>6</v>
      </c>
    </row>
    <row r="4" spans="1:5" s="156" customFormat="1" ht="19.7" customHeight="1" x14ac:dyDescent="0.2">
      <c r="A4" s="206" t="s">
        <v>4</v>
      </c>
      <c r="B4" s="206" t="s">
        <v>0</v>
      </c>
      <c r="C4" s="207">
        <v>410566</v>
      </c>
      <c r="D4" s="206" t="s">
        <v>56</v>
      </c>
      <c r="E4" s="208">
        <v>29</v>
      </c>
    </row>
    <row r="5" spans="1:5" s="156" customFormat="1" ht="19.7" customHeight="1" x14ac:dyDescent="0.2">
      <c r="A5" s="206" t="s">
        <v>4</v>
      </c>
      <c r="B5" s="206" t="s">
        <v>0</v>
      </c>
      <c r="C5" s="207">
        <v>410582</v>
      </c>
      <c r="D5" s="206" t="s">
        <v>60</v>
      </c>
      <c r="E5" s="208">
        <v>2</v>
      </c>
    </row>
    <row r="6" spans="1:5" s="156" customFormat="1" ht="19.7" customHeight="1" x14ac:dyDescent="0.2">
      <c r="A6" s="206" t="s">
        <v>4</v>
      </c>
      <c r="B6" s="206" t="s">
        <v>0</v>
      </c>
      <c r="C6" s="207">
        <v>451151</v>
      </c>
      <c r="D6" s="206" t="s">
        <v>63</v>
      </c>
      <c r="E6" s="208">
        <v>13</v>
      </c>
    </row>
    <row r="7" spans="1:5" s="156" customFormat="1" ht="19.7" customHeight="1" x14ac:dyDescent="0.2">
      <c r="A7" s="206" t="s">
        <v>4</v>
      </c>
      <c r="B7" s="206" t="s">
        <v>0</v>
      </c>
      <c r="C7" s="207">
        <v>451154</v>
      </c>
      <c r="D7" s="206" t="s">
        <v>58</v>
      </c>
      <c r="E7" s="208">
        <v>4</v>
      </c>
    </row>
    <row r="8" spans="1:5" s="156" customFormat="1" ht="19.7" customHeight="1" x14ac:dyDescent="0.2">
      <c r="A8" s="206" t="s">
        <v>4</v>
      </c>
      <c r="B8" s="206" t="s">
        <v>0</v>
      </c>
      <c r="C8" s="207">
        <v>451156</v>
      </c>
      <c r="D8" s="206" t="s">
        <v>61</v>
      </c>
      <c r="E8" s="208">
        <v>20</v>
      </c>
    </row>
    <row r="9" spans="1:5" s="156" customFormat="1" ht="19.7" customHeight="1" x14ac:dyDescent="0.2">
      <c r="A9" s="206" t="s">
        <v>4</v>
      </c>
      <c r="B9" s="206" t="s">
        <v>0</v>
      </c>
      <c r="C9" s="207">
        <v>510590</v>
      </c>
      <c r="D9" s="206" t="s">
        <v>57</v>
      </c>
      <c r="E9" s="208">
        <v>7</v>
      </c>
    </row>
    <row r="10" spans="1:5" s="156" customFormat="1" ht="19.7" customHeight="1" x14ac:dyDescent="0.2">
      <c r="A10" s="206" t="s">
        <v>4</v>
      </c>
      <c r="B10" s="206" t="s">
        <v>0</v>
      </c>
      <c r="C10" s="207">
        <v>551157</v>
      </c>
      <c r="D10" s="206" t="s">
        <v>62</v>
      </c>
      <c r="E10" s="208">
        <v>11</v>
      </c>
    </row>
    <row r="11" spans="1:5" s="156" customFormat="1" ht="19.7" customHeight="1" x14ac:dyDescent="0.2">
      <c r="A11" s="206" t="s">
        <v>4</v>
      </c>
      <c r="B11" s="206" t="s">
        <v>64</v>
      </c>
      <c r="C11" s="207">
        <v>410510</v>
      </c>
      <c r="D11" s="206" t="s">
        <v>78</v>
      </c>
      <c r="E11" s="208">
        <v>35</v>
      </c>
    </row>
    <row r="12" spans="1:5" s="156" customFormat="1" ht="19.7" customHeight="1" x14ac:dyDescent="0.2">
      <c r="A12" s="206" t="s">
        <v>4</v>
      </c>
      <c r="B12" s="206" t="s">
        <v>64</v>
      </c>
      <c r="C12" s="207">
        <v>410512</v>
      </c>
      <c r="D12" s="206" t="s">
        <v>79</v>
      </c>
      <c r="E12" s="208">
        <v>9</v>
      </c>
    </row>
    <row r="13" spans="1:5" s="156" customFormat="1" ht="19.7" customHeight="1" x14ac:dyDescent="0.2">
      <c r="A13" s="206" t="s">
        <v>4</v>
      </c>
      <c r="B13" s="206" t="s">
        <v>64</v>
      </c>
      <c r="C13" s="207">
        <v>410521</v>
      </c>
      <c r="D13" s="206" t="s">
        <v>73</v>
      </c>
      <c r="E13" s="208">
        <v>3</v>
      </c>
    </row>
    <row r="14" spans="1:5" s="156" customFormat="1" ht="19.7" customHeight="1" x14ac:dyDescent="0.2">
      <c r="A14" s="206" t="s">
        <v>4</v>
      </c>
      <c r="B14" s="206" t="s">
        <v>64</v>
      </c>
      <c r="C14" s="207">
        <v>410524</v>
      </c>
      <c r="D14" s="206" t="s">
        <v>74</v>
      </c>
      <c r="E14" s="208">
        <v>13</v>
      </c>
    </row>
    <row r="15" spans="1:5" s="156" customFormat="1" ht="19.7" customHeight="1" x14ac:dyDescent="0.2">
      <c r="A15" s="206" t="s">
        <v>4</v>
      </c>
      <c r="B15" s="206" t="s">
        <v>64</v>
      </c>
      <c r="C15" s="207">
        <v>410550</v>
      </c>
      <c r="D15" s="206" t="s">
        <v>66</v>
      </c>
      <c r="E15" s="208">
        <v>12</v>
      </c>
    </row>
    <row r="16" spans="1:5" s="156" customFormat="1" ht="19.7" customHeight="1" x14ac:dyDescent="0.2">
      <c r="A16" s="206" t="s">
        <v>4</v>
      </c>
      <c r="B16" s="206" t="s">
        <v>64</v>
      </c>
      <c r="C16" s="207">
        <v>410551</v>
      </c>
      <c r="D16" s="206" t="s">
        <v>68</v>
      </c>
      <c r="E16" s="208">
        <v>5</v>
      </c>
    </row>
    <row r="17" spans="1:5" s="156" customFormat="1" ht="19.7" customHeight="1" x14ac:dyDescent="0.2">
      <c r="A17" s="206" t="s">
        <v>4</v>
      </c>
      <c r="B17" s="206" t="s">
        <v>64</v>
      </c>
      <c r="C17" s="207">
        <v>410571</v>
      </c>
      <c r="D17" s="206" t="s">
        <v>71</v>
      </c>
      <c r="E17" s="208">
        <v>10</v>
      </c>
    </row>
    <row r="18" spans="1:5" s="156" customFormat="1" ht="19.7" customHeight="1" x14ac:dyDescent="0.2">
      <c r="A18" s="206" t="s">
        <v>4</v>
      </c>
      <c r="B18" s="206" t="s">
        <v>64</v>
      </c>
      <c r="C18" s="207">
        <v>510511</v>
      </c>
      <c r="D18" s="206" t="s">
        <v>76</v>
      </c>
      <c r="E18" s="208">
        <v>4</v>
      </c>
    </row>
    <row r="19" spans="1:5" s="156" customFormat="1" ht="19.7" customHeight="1" x14ac:dyDescent="0.2">
      <c r="A19" s="206" t="s">
        <v>4</v>
      </c>
      <c r="B19" s="206" t="s">
        <v>64</v>
      </c>
      <c r="C19" s="207">
        <v>510513</v>
      </c>
      <c r="D19" s="206" t="s">
        <v>75</v>
      </c>
      <c r="E19" s="208">
        <v>13</v>
      </c>
    </row>
    <row r="20" spans="1:5" s="156" customFormat="1" ht="19.7" customHeight="1" x14ac:dyDescent="0.2">
      <c r="A20" s="206" t="s">
        <v>4</v>
      </c>
      <c r="B20" s="206" t="s">
        <v>64</v>
      </c>
      <c r="C20" s="207">
        <v>510520</v>
      </c>
      <c r="D20" s="206" t="s">
        <v>72</v>
      </c>
      <c r="E20" s="208">
        <v>8</v>
      </c>
    </row>
    <row r="21" spans="1:5" s="156" customFormat="1" ht="19.7" customHeight="1" x14ac:dyDescent="0.2">
      <c r="A21" s="206" t="s">
        <v>4</v>
      </c>
      <c r="B21" s="206" t="s">
        <v>64</v>
      </c>
      <c r="C21" s="207">
        <v>510522</v>
      </c>
      <c r="D21" s="206" t="s">
        <v>77</v>
      </c>
      <c r="E21" s="208">
        <v>9</v>
      </c>
    </row>
    <row r="22" spans="1:5" s="156" customFormat="1" ht="19.7" customHeight="1" x14ac:dyDescent="0.2">
      <c r="A22" s="206" t="s">
        <v>4</v>
      </c>
      <c r="B22" s="206" t="s">
        <v>64</v>
      </c>
      <c r="C22" s="207">
        <v>510523</v>
      </c>
      <c r="D22" s="206" t="s">
        <v>69</v>
      </c>
      <c r="E22" s="208">
        <v>15</v>
      </c>
    </row>
    <row r="23" spans="1:5" s="156" customFormat="1" ht="19.7" customHeight="1" x14ac:dyDescent="0.2">
      <c r="A23" s="206" t="s">
        <v>4</v>
      </c>
      <c r="B23" s="206" t="s">
        <v>64</v>
      </c>
      <c r="C23" s="207">
        <v>510530</v>
      </c>
      <c r="D23" s="206" t="s">
        <v>65</v>
      </c>
      <c r="E23" s="208">
        <v>7</v>
      </c>
    </row>
    <row r="24" spans="1:5" s="156" customFormat="1" ht="19.7" customHeight="1" x14ac:dyDescent="0.2">
      <c r="A24" s="206" t="s">
        <v>4</v>
      </c>
      <c r="B24" s="206" t="s">
        <v>64</v>
      </c>
      <c r="C24" s="207">
        <v>510556</v>
      </c>
      <c r="D24" s="206" t="s">
        <v>67</v>
      </c>
      <c r="E24" s="208">
        <v>6</v>
      </c>
    </row>
    <row r="25" spans="1:5" s="156" customFormat="1" ht="19.7" customHeight="1" x14ac:dyDescent="0.2">
      <c r="A25" s="206" t="s">
        <v>4</v>
      </c>
      <c r="B25" s="206" t="s">
        <v>64</v>
      </c>
      <c r="C25" s="207">
        <v>510570</v>
      </c>
      <c r="D25" s="206" t="s">
        <v>70</v>
      </c>
      <c r="E25" s="208">
        <v>3</v>
      </c>
    </row>
    <row r="26" spans="1:5" s="156" customFormat="1" ht="19.7" customHeight="1" x14ac:dyDescent="0.2">
      <c r="A26" s="206" t="s">
        <v>430</v>
      </c>
      <c r="B26" s="206" t="s">
        <v>607</v>
      </c>
      <c r="C26" s="207">
        <v>405800</v>
      </c>
      <c r="D26" s="206" t="s">
        <v>607</v>
      </c>
      <c r="E26" s="208">
        <v>7</v>
      </c>
    </row>
    <row r="27" spans="1:5" s="156" customFormat="1" ht="19.7" customHeight="1" x14ac:dyDescent="0.2">
      <c r="A27" s="206" t="s">
        <v>430</v>
      </c>
      <c r="B27" s="206" t="s">
        <v>432</v>
      </c>
      <c r="C27" s="207">
        <v>4017</v>
      </c>
      <c r="D27" s="206" t="s">
        <v>432</v>
      </c>
      <c r="E27" s="208">
        <v>61</v>
      </c>
    </row>
    <row r="28" spans="1:5" s="156" customFormat="1" ht="19.7" customHeight="1" x14ac:dyDescent="0.2">
      <c r="A28" s="206" t="s">
        <v>430</v>
      </c>
      <c r="B28" s="206" t="s">
        <v>434</v>
      </c>
      <c r="C28" s="207">
        <v>4022</v>
      </c>
      <c r="D28" s="206" t="s">
        <v>434</v>
      </c>
      <c r="E28" s="208">
        <v>1</v>
      </c>
    </row>
    <row r="29" spans="1:5" s="156" customFormat="1" ht="19.7" customHeight="1" x14ac:dyDescent="0.2">
      <c r="A29" s="206" t="s">
        <v>80</v>
      </c>
      <c r="B29" s="206" t="s">
        <v>81</v>
      </c>
      <c r="C29" s="207">
        <v>4030</v>
      </c>
      <c r="D29" s="206" t="s">
        <v>84</v>
      </c>
      <c r="E29" s="208">
        <v>5</v>
      </c>
    </row>
    <row r="30" spans="1:5" s="156" customFormat="1" ht="19.7" customHeight="1" x14ac:dyDescent="0.2">
      <c r="A30" s="206" t="s">
        <v>80</v>
      </c>
      <c r="B30" s="206" t="s">
        <v>81</v>
      </c>
      <c r="C30" s="207">
        <v>4031</v>
      </c>
      <c r="D30" s="206" t="s">
        <v>97</v>
      </c>
      <c r="E30" s="208">
        <v>4</v>
      </c>
    </row>
    <row r="31" spans="1:5" s="156" customFormat="1" ht="19.7" customHeight="1" x14ac:dyDescent="0.2">
      <c r="A31" s="206" t="s">
        <v>80</v>
      </c>
      <c r="B31" s="206" t="s">
        <v>81</v>
      </c>
      <c r="C31" s="207">
        <v>4041</v>
      </c>
      <c r="D31" s="206" t="s">
        <v>88</v>
      </c>
      <c r="E31" s="208">
        <v>0</v>
      </c>
    </row>
    <row r="32" spans="1:5" s="156" customFormat="1" ht="19.7" customHeight="1" x14ac:dyDescent="0.2">
      <c r="A32" s="206" t="s">
        <v>80</v>
      </c>
      <c r="B32" s="206" t="s">
        <v>81</v>
      </c>
      <c r="C32" s="207">
        <v>4057</v>
      </c>
      <c r="D32" s="206" t="s">
        <v>82</v>
      </c>
      <c r="E32" s="208">
        <v>5</v>
      </c>
    </row>
    <row r="33" spans="1:5" s="156" customFormat="1" ht="19.7" customHeight="1" x14ac:dyDescent="0.2">
      <c r="A33" s="206" t="s">
        <v>80</v>
      </c>
      <c r="B33" s="206" t="s">
        <v>81</v>
      </c>
      <c r="C33" s="207">
        <v>4060</v>
      </c>
      <c r="D33" s="206" t="s">
        <v>85</v>
      </c>
      <c r="E33" s="208">
        <v>8</v>
      </c>
    </row>
    <row r="34" spans="1:5" s="156" customFormat="1" ht="19.7" customHeight="1" x14ac:dyDescent="0.2">
      <c r="A34" s="206" t="s">
        <v>80</v>
      </c>
      <c r="B34" s="206" t="s">
        <v>81</v>
      </c>
      <c r="C34" s="207">
        <v>4064</v>
      </c>
      <c r="D34" s="206" t="s">
        <v>86</v>
      </c>
      <c r="E34" s="208">
        <v>2</v>
      </c>
    </row>
    <row r="35" spans="1:5" s="156" customFormat="1" ht="19.7" customHeight="1" x14ac:dyDescent="0.2">
      <c r="A35" s="206" t="s">
        <v>80</v>
      </c>
      <c r="B35" s="206" t="s">
        <v>81</v>
      </c>
      <c r="C35" s="207">
        <v>4066</v>
      </c>
      <c r="D35" s="206" t="s">
        <v>90</v>
      </c>
      <c r="E35" s="208">
        <v>4</v>
      </c>
    </row>
    <row r="36" spans="1:5" s="156" customFormat="1" ht="19.7" customHeight="1" x14ac:dyDescent="0.2">
      <c r="A36" s="206" t="s">
        <v>80</v>
      </c>
      <c r="B36" s="206" t="s">
        <v>81</v>
      </c>
      <c r="C36" s="207">
        <v>4067</v>
      </c>
      <c r="D36" s="206" t="s">
        <v>91</v>
      </c>
      <c r="E36" s="208">
        <v>2</v>
      </c>
    </row>
    <row r="37" spans="1:5" s="156" customFormat="1" ht="19.7" customHeight="1" x14ac:dyDescent="0.2">
      <c r="A37" s="206" t="s">
        <v>80</v>
      </c>
      <c r="B37" s="206" t="s">
        <v>81</v>
      </c>
      <c r="C37" s="207">
        <v>4071</v>
      </c>
      <c r="D37" s="206" t="s">
        <v>98</v>
      </c>
      <c r="E37" s="208">
        <v>22</v>
      </c>
    </row>
    <row r="38" spans="1:5" s="156" customFormat="1" ht="19.7" customHeight="1" x14ac:dyDescent="0.2">
      <c r="A38" s="206" t="s">
        <v>80</v>
      </c>
      <c r="B38" s="206" t="s">
        <v>81</v>
      </c>
      <c r="C38" s="207">
        <v>4073</v>
      </c>
      <c r="D38" s="206" t="s">
        <v>94</v>
      </c>
      <c r="E38" s="208">
        <v>1</v>
      </c>
    </row>
    <row r="39" spans="1:5" s="156" customFormat="1" ht="19.7" customHeight="1" x14ac:dyDescent="0.2">
      <c r="A39" s="206" t="s">
        <v>80</v>
      </c>
      <c r="B39" s="206" t="s">
        <v>81</v>
      </c>
      <c r="C39" s="207">
        <v>4074</v>
      </c>
      <c r="D39" s="206" t="s">
        <v>95</v>
      </c>
      <c r="E39" s="208">
        <v>0</v>
      </c>
    </row>
    <row r="40" spans="1:5" s="156" customFormat="1" ht="19.7" customHeight="1" x14ac:dyDescent="0.2">
      <c r="A40" s="206" t="s">
        <v>80</v>
      </c>
      <c r="B40" s="206" t="s">
        <v>81</v>
      </c>
      <c r="C40" s="207">
        <v>4079</v>
      </c>
      <c r="D40" s="206" t="s">
        <v>96</v>
      </c>
      <c r="E40" s="208">
        <v>3</v>
      </c>
    </row>
    <row r="41" spans="1:5" s="156" customFormat="1" ht="19.7" customHeight="1" x14ac:dyDescent="0.2">
      <c r="A41" s="206" t="s">
        <v>80</v>
      </c>
      <c r="B41" s="206" t="s">
        <v>81</v>
      </c>
      <c r="C41" s="207">
        <v>4080</v>
      </c>
      <c r="D41" s="206" t="s">
        <v>99</v>
      </c>
      <c r="E41" s="208">
        <v>1</v>
      </c>
    </row>
    <row r="42" spans="1:5" s="156" customFormat="1" ht="19.7" customHeight="1" x14ac:dyDescent="0.2">
      <c r="A42" s="206" t="s">
        <v>80</v>
      </c>
      <c r="B42" s="206" t="s">
        <v>81</v>
      </c>
      <c r="C42" s="207">
        <v>4082</v>
      </c>
      <c r="D42" s="206" t="s">
        <v>83</v>
      </c>
      <c r="E42" s="208">
        <v>3</v>
      </c>
    </row>
    <row r="43" spans="1:5" s="156" customFormat="1" ht="19.7" customHeight="1" x14ac:dyDescent="0.2">
      <c r="A43" s="206" t="s">
        <v>80</v>
      </c>
      <c r="B43" s="206" t="s">
        <v>81</v>
      </c>
      <c r="C43" s="207">
        <v>4085</v>
      </c>
      <c r="D43" s="206" t="s">
        <v>89</v>
      </c>
      <c r="E43" s="208">
        <v>4</v>
      </c>
    </row>
    <row r="44" spans="1:5" s="156" customFormat="1" ht="19.7" customHeight="1" x14ac:dyDescent="0.2">
      <c r="A44" s="206" t="s">
        <v>80</v>
      </c>
      <c r="B44" s="206" t="s">
        <v>81</v>
      </c>
      <c r="C44" s="207">
        <v>4087</v>
      </c>
      <c r="D44" s="206" t="s">
        <v>93</v>
      </c>
      <c r="E44" s="208">
        <v>6</v>
      </c>
    </row>
    <row r="45" spans="1:5" s="156" customFormat="1" ht="19.7" customHeight="1" x14ac:dyDescent="0.2">
      <c r="A45" s="206" t="s">
        <v>80</v>
      </c>
      <c r="B45" s="206" t="s">
        <v>81</v>
      </c>
      <c r="C45" s="207">
        <v>4092</v>
      </c>
      <c r="D45" s="206" t="s">
        <v>87</v>
      </c>
      <c r="E45" s="208">
        <v>1</v>
      </c>
    </row>
    <row r="46" spans="1:5" s="156" customFormat="1" ht="19.7" customHeight="1" x14ac:dyDescent="0.2">
      <c r="A46" s="206" t="s">
        <v>80</v>
      </c>
      <c r="B46" s="206" t="s">
        <v>81</v>
      </c>
      <c r="C46" s="207">
        <v>4095</v>
      </c>
      <c r="D46" s="206" t="s">
        <v>92</v>
      </c>
      <c r="E46" s="208">
        <v>3</v>
      </c>
    </row>
    <row r="47" spans="1:5" s="156" customFormat="1" ht="19.7" customHeight="1" x14ac:dyDescent="0.2">
      <c r="A47" s="206" t="s">
        <v>80</v>
      </c>
      <c r="B47" s="206" t="s">
        <v>100</v>
      </c>
      <c r="C47" s="207">
        <v>4007</v>
      </c>
      <c r="D47" s="206" t="s">
        <v>105</v>
      </c>
      <c r="E47" s="208">
        <v>32</v>
      </c>
    </row>
    <row r="48" spans="1:5" s="156" customFormat="1" ht="19.7" customHeight="1" x14ac:dyDescent="0.2">
      <c r="A48" s="206" t="s">
        <v>80</v>
      </c>
      <c r="B48" s="206" t="s">
        <v>100</v>
      </c>
      <c r="C48" s="207">
        <v>4008</v>
      </c>
      <c r="D48" s="206" t="s">
        <v>104</v>
      </c>
      <c r="E48" s="208">
        <v>2</v>
      </c>
    </row>
    <row r="49" spans="1:5" s="156" customFormat="1" ht="19.7" customHeight="1" x14ac:dyDescent="0.2">
      <c r="A49" s="206" t="s">
        <v>80</v>
      </c>
      <c r="B49" s="206" t="s">
        <v>100</v>
      </c>
      <c r="C49" s="207">
        <v>4015</v>
      </c>
      <c r="D49" s="206" t="s">
        <v>106</v>
      </c>
      <c r="E49" s="208">
        <v>0</v>
      </c>
    </row>
    <row r="50" spans="1:5" s="156" customFormat="1" ht="19.7" customHeight="1" x14ac:dyDescent="0.2">
      <c r="A50" s="206" t="s">
        <v>80</v>
      </c>
      <c r="B50" s="206" t="s">
        <v>100</v>
      </c>
      <c r="C50" s="207">
        <v>4101</v>
      </c>
      <c r="D50" s="206" t="s">
        <v>114</v>
      </c>
      <c r="E50" s="208">
        <v>11</v>
      </c>
    </row>
    <row r="51" spans="1:5" s="156" customFormat="1" ht="19.7" customHeight="1" x14ac:dyDescent="0.2">
      <c r="A51" s="206" t="s">
        <v>80</v>
      </c>
      <c r="B51" s="206" t="s">
        <v>100</v>
      </c>
      <c r="C51" s="207">
        <v>4104</v>
      </c>
      <c r="D51" s="206" t="s">
        <v>103</v>
      </c>
      <c r="E51" s="208">
        <v>2</v>
      </c>
    </row>
    <row r="52" spans="1:5" s="156" customFormat="1" ht="19.7" customHeight="1" x14ac:dyDescent="0.2">
      <c r="A52" s="206" t="s">
        <v>80</v>
      </c>
      <c r="B52" s="206" t="s">
        <v>100</v>
      </c>
      <c r="C52" s="207">
        <v>4107</v>
      </c>
      <c r="D52" s="206" t="s">
        <v>116</v>
      </c>
      <c r="E52" s="208">
        <v>2</v>
      </c>
    </row>
    <row r="53" spans="1:5" s="156" customFormat="1" ht="19.7" customHeight="1" x14ac:dyDescent="0.2">
      <c r="A53" s="206" t="s">
        <v>80</v>
      </c>
      <c r="B53" s="206" t="s">
        <v>100</v>
      </c>
      <c r="C53" s="207">
        <v>4109</v>
      </c>
      <c r="D53" s="206" t="s">
        <v>107</v>
      </c>
      <c r="E53" s="208">
        <v>3</v>
      </c>
    </row>
    <row r="54" spans="1:5" s="156" customFormat="1" ht="19.7" customHeight="1" x14ac:dyDescent="0.2">
      <c r="A54" s="206" t="s">
        <v>80</v>
      </c>
      <c r="B54" s="206" t="s">
        <v>100</v>
      </c>
      <c r="C54" s="207">
        <v>4110</v>
      </c>
      <c r="D54" s="206" t="s">
        <v>115</v>
      </c>
      <c r="E54" s="208">
        <v>6</v>
      </c>
    </row>
    <row r="55" spans="1:5" s="156" customFormat="1" ht="19.7" customHeight="1" x14ac:dyDescent="0.2">
      <c r="A55" s="206" t="s">
        <v>80</v>
      </c>
      <c r="B55" s="206" t="s">
        <v>100</v>
      </c>
      <c r="C55" s="207">
        <v>4111</v>
      </c>
      <c r="D55" s="206" t="s">
        <v>102</v>
      </c>
      <c r="E55" s="208">
        <v>6</v>
      </c>
    </row>
    <row r="56" spans="1:5" s="156" customFormat="1" ht="19.7" customHeight="1" x14ac:dyDescent="0.2">
      <c r="A56" s="206" t="s">
        <v>80</v>
      </c>
      <c r="B56" s="206" t="s">
        <v>100</v>
      </c>
      <c r="C56" s="207">
        <v>4113</v>
      </c>
      <c r="D56" s="206" t="s">
        <v>101</v>
      </c>
      <c r="E56" s="208">
        <v>3</v>
      </c>
    </row>
    <row r="57" spans="1:5" s="156" customFormat="1" ht="19.7" customHeight="1" x14ac:dyDescent="0.2">
      <c r="A57" s="206" t="s">
        <v>80</v>
      </c>
      <c r="B57" s="206" t="s">
        <v>100</v>
      </c>
      <c r="C57" s="207">
        <v>4116</v>
      </c>
      <c r="D57" s="206" t="s">
        <v>109</v>
      </c>
      <c r="E57" s="208">
        <v>4</v>
      </c>
    </row>
    <row r="58" spans="1:5" s="156" customFormat="1" ht="19.7" customHeight="1" x14ac:dyDescent="0.2">
      <c r="A58" s="206" t="s">
        <v>80</v>
      </c>
      <c r="B58" s="206" t="s">
        <v>100</v>
      </c>
      <c r="C58" s="207">
        <v>4119</v>
      </c>
      <c r="D58" s="206" t="s">
        <v>111</v>
      </c>
      <c r="E58" s="208">
        <v>8</v>
      </c>
    </row>
    <row r="59" spans="1:5" s="156" customFormat="1" ht="19.7" customHeight="1" x14ac:dyDescent="0.2">
      <c r="A59" s="206" t="s">
        <v>80</v>
      </c>
      <c r="B59" s="206" t="s">
        <v>100</v>
      </c>
      <c r="C59" s="207">
        <v>4120</v>
      </c>
      <c r="D59" s="206" t="s">
        <v>117</v>
      </c>
      <c r="E59" s="208">
        <v>3</v>
      </c>
    </row>
    <row r="60" spans="1:5" s="156" customFormat="1" ht="19.7" customHeight="1" x14ac:dyDescent="0.2">
      <c r="A60" s="206" t="s">
        <v>80</v>
      </c>
      <c r="B60" s="206" t="s">
        <v>100</v>
      </c>
      <c r="C60" s="207">
        <v>4121</v>
      </c>
      <c r="D60" s="206" t="s">
        <v>113</v>
      </c>
      <c r="E60" s="208">
        <v>4</v>
      </c>
    </row>
    <row r="61" spans="1:5" s="156" customFormat="1" ht="19.7" customHeight="1" x14ac:dyDescent="0.2">
      <c r="A61" s="206" t="s">
        <v>80</v>
      </c>
      <c r="B61" s="206" t="s">
        <v>100</v>
      </c>
      <c r="C61" s="207">
        <v>4126</v>
      </c>
      <c r="D61" s="206" t="s">
        <v>110</v>
      </c>
      <c r="E61" s="208">
        <v>4</v>
      </c>
    </row>
    <row r="62" spans="1:5" s="156" customFormat="1" ht="19.7" customHeight="1" x14ac:dyDescent="0.2">
      <c r="A62" s="206" t="s">
        <v>80</v>
      </c>
      <c r="B62" s="206" t="s">
        <v>100</v>
      </c>
      <c r="C62" s="207">
        <v>4127</v>
      </c>
      <c r="D62" s="206" t="s">
        <v>112</v>
      </c>
      <c r="E62" s="208">
        <v>2</v>
      </c>
    </row>
    <row r="63" spans="1:5" s="156" customFormat="1" ht="19.7" customHeight="1" x14ac:dyDescent="0.2">
      <c r="A63" s="206" t="s">
        <v>80</v>
      </c>
      <c r="B63" s="206" t="s">
        <v>100</v>
      </c>
      <c r="C63" s="207">
        <v>4129</v>
      </c>
      <c r="D63" s="206" t="s">
        <v>108</v>
      </c>
      <c r="E63" s="208">
        <v>4</v>
      </c>
    </row>
    <row r="64" spans="1:5" s="156" customFormat="1" ht="19.7" customHeight="1" x14ac:dyDescent="0.2">
      <c r="A64" s="206" t="s">
        <v>80</v>
      </c>
      <c r="B64" s="206" t="s">
        <v>118</v>
      </c>
      <c r="C64" s="207">
        <v>4006</v>
      </c>
      <c r="D64" s="206" t="s">
        <v>135</v>
      </c>
      <c r="E64" s="208">
        <v>1</v>
      </c>
    </row>
    <row r="65" spans="1:5" s="156" customFormat="1" ht="19.7" customHeight="1" x14ac:dyDescent="0.2">
      <c r="A65" s="206" t="s">
        <v>80</v>
      </c>
      <c r="B65" s="206" t="s">
        <v>118</v>
      </c>
      <c r="C65" s="207">
        <v>4010</v>
      </c>
      <c r="D65" s="206" t="s">
        <v>133</v>
      </c>
      <c r="E65" s="208">
        <v>6</v>
      </c>
    </row>
    <row r="66" spans="1:5" s="156" customFormat="1" ht="19.7" customHeight="1" x14ac:dyDescent="0.2">
      <c r="A66" s="206" t="s">
        <v>80</v>
      </c>
      <c r="B66" s="206" t="s">
        <v>118</v>
      </c>
      <c r="C66" s="207">
        <v>4012</v>
      </c>
      <c r="D66" s="206" t="s">
        <v>137</v>
      </c>
      <c r="E66" s="208">
        <v>1</v>
      </c>
    </row>
    <row r="67" spans="1:5" s="156" customFormat="1" ht="19.7" customHeight="1" x14ac:dyDescent="0.2">
      <c r="A67" s="206" t="s">
        <v>80</v>
      </c>
      <c r="B67" s="206" t="s">
        <v>118</v>
      </c>
      <c r="C67" s="207">
        <v>4019</v>
      </c>
      <c r="D67" s="206" t="s">
        <v>126</v>
      </c>
      <c r="E67" s="208">
        <v>5</v>
      </c>
    </row>
    <row r="68" spans="1:5" s="156" customFormat="1" ht="19.7" customHeight="1" x14ac:dyDescent="0.2">
      <c r="A68" s="206" t="s">
        <v>80</v>
      </c>
      <c r="B68" s="206" t="s">
        <v>118</v>
      </c>
      <c r="C68" s="207">
        <v>4020</v>
      </c>
      <c r="D68" s="206" t="s">
        <v>136</v>
      </c>
      <c r="E68" s="208">
        <v>1</v>
      </c>
    </row>
    <row r="69" spans="1:5" s="156" customFormat="1" ht="19.7" customHeight="1" x14ac:dyDescent="0.2">
      <c r="A69" s="206" t="s">
        <v>80</v>
      </c>
      <c r="B69" s="206" t="s">
        <v>118</v>
      </c>
      <c r="C69" s="207">
        <v>4023</v>
      </c>
      <c r="D69" s="206" t="s">
        <v>138</v>
      </c>
      <c r="E69" s="208">
        <v>4</v>
      </c>
    </row>
    <row r="70" spans="1:5" s="156" customFormat="1" ht="19.7" customHeight="1" x14ac:dyDescent="0.2">
      <c r="A70" s="206" t="s">
        <v>80</v>
      </c>
      <c r="B70" s="206" t="s">
        <v>118</v>
      </c>
      <c r="C70" s="207">
        <v>4024</v>
      </c>
      <c r="D70" s="206" t="s">
        <v>127</v>
      </c>
      <c r="E70" s="208">
        <v>6</v>
      </c>
    </row>
    <row r="71" spans="1:5" s="156" customFormat="1" ht="19.7" customHeight="1" x14ac:dyDescent="0.2">
      <c r="A71" s="206" t="s">
        <v>80</v>
      </c>
      <c r="B71" s="206" t="s">
        <v>118</v>
      </c>
      <c r="C71" s="207">
        <v>4026</v>
      </c>
      <c r="D71" s="206" t="s">
        <v>129</v>
      </c>
      <c r="E71" s="208">
        <v>5</v>
      </c>
    </row>
    <row r="72" spans="1:5" s="156" customFormat="1" ht="19.7" customHeight="1" x14ac:dyDescent="0.2">
      <c r="A72" s="206" t="s">
        <v>80</v>
      </c>
      <c r="B72" s="206" t="s">
        <v>118</v>
      </c>
      <c r="C72" s="207">
        <v>4027</v>
      </c>
      <c r="D72" s="206" t="s">
        <v>124</v>
      </c>
      <c r="E72" s="208">
        <v>2</v>
      </c>
    </row>
    <row r="73" spans="1:5" s="156" customFormat="1" ht="19.7" customHeight="1" x14ac:dyDescent="0.2">
      <c r="A73" s="206" t="s">
        <v>80</v>
      </c>
      <c r="B73" s="206" t="s">
        <v>118</v>
      </c>
      <c r="C73" s="207">
        <v>4028</v>
      </c>
      <c r="D73" s="206" t="s">
        <v>119</v>
      </c>
      <c r="E73" s="208">
        <v>3</v>
      </c>
    </row>
    <row r="74" spans="1:5" s="156" customFormat="1" ht="19.7" customHeight="1" x14ac:dyDescent="0.2">
      <c r="A74" s="206" t="s">
        <v>80</v>
      </c>
      <c r="B74" s="206" t="s">
        <v>118</v>
      </c>
      <c r="C74" s="207">
        <v>4029</v>
      </c>
      <c r="D74" s="206" t="s">
        <v>125</v>
      </c>
      <c r="E74" s="208">
        <v>2</v>
      </c>
    </row>
    <row r="75" spans="1:5" s="156" customFormat="1" ht="19.7" customHeight="1" x14ac:dyDescent="0.2">
      <c r="A75" s="206" t="s">
        <v>80</v>
      </c>
      <c r="B75" s="206" t="s">
        <v>118</v>
      </c>
      <c r="C75" s="207">
        <v>4033</v>
      </c>
      <c r="D75" s="206" t="s">
        <v>120</v>
      </c>
      <c r="E75" s="208">
        <v>3</v>
      </c>
    </row>
    <row r="76" spans="1:5" s="156" customFormat="1" ht="19.7" customHeight="1" x14ac:dyDescent="0.2">
      <c r="A76" s="206" t="s">
        <v>80</v>
      </c>
      <c r="B76" s="206" t="s">
        <v>118</v>
      </c>
      <c r="C76" s="207">
        <v>4037</v>
      </c>
      <c r="D76" s="206" t="s">
        <v>121</v>
      </c>
      <c r="E76" s="208">
        <v>2</v>
      </c>
    </row>
    <row r="77" spans="1:5" s="156" customFormat="1" ht="19.7" customHeight="1" x14ac:dyDescent="0.2">
      <c r="A77" s="206" t="s">
        <v>80</v>
      </c>
      <c r="B77" s="206" t="s">
        <v>118</v>
      </c>
      <c r="C77" s="207">
        <v>4038</v>
      </c>
      <c r="D77" s="206" t="s">
        <v>122</v>
      </c>
      <c r="E77" s="208">
        <v>9</v>
      </c>
    </row>
    <row r="78" spans="1:5" s="156" customFormat="1" ht="19.7" customHeight="1" x14ac:dyDescent="0.2">
      <c r="A78" s="206" t="s">
        <v>80</v>
      </c>
      <c r="B78" s="206" t="s">
        <v>118</v>
      </c>
      <c r="C78" s="207">
        <v>4043</v>
      </c>
      <c r="D78" s="206" t="s">
        <v>131</v>
      </c>
      <c r="E78" s="208">
        <v>10</v>
      </c>
    </row>
    <row r="79" spans="1:5" s="156" customFormat="1" ht="19.7" customHeight="1" x14ac:dyDescent="0.2">
      <c r="A79" s="206" t="s">
        <v>80</v>
      </c>
      <c r="B79" s="206" t="s">
        <v>118</v>
      </c>
      <c r="C79" s="207">
        <v>4045</v>
      </c>
      <c r="D79" s="206" t="s">
        <v>130</v>
      </c>
      <c r="E79" s="208">
        <v>2</v>
      </c>
    </row>
    <row r="80" spans="1:5" s="156" customFormat="1" ht="19.7" customHeight="1" x14ac:dyDescent="0.2">
      <c r="A80" s="206" t="s">
        <v>80</v>
      </c>
      <c r="B80" s="206" t="s">
        <v>118</v>
      </c>
      <c r="C80" s="207">
        <v>4047</v>
      </c>
      <c r="D80" s="206" t="s">
        <v>128</v>
      </c>
      <c r="E80" s="208">
        <v>6</v>
      </c>
    </row>
    <row r="81" spans="1:5" s="156" customFormat="1" ht="19.7" customHeight="1" x14ac:dyDescent="0.2">
      <c r="A81" s="206" t="s">
        <v>80</v>
      </c>
      <c r="B81" s="206" t="s">
        <v>118</v>
      </c>
      <c r="C81" s="207">
        <v>4048</v>
      </c>
      <c r="D81" s="206" t="s">
        <v>132</v>
      </c>
      <c r="E81" s="208">
        <v>2</v>
      </c>
    </row>
    <row r="82" spans="1:5" s="156" customFormat="1" ht="19.7" customHeight="1" x14ac:dyDescent="0.2">
      <c r="A82" s="206" t="s">
        <v>80</v>
      </c>
      <c r="B82" s="206" t="s">
        <v>118</v>
      </c>
      <c r="C82" s="207">
        <v>4054</v>
      </c>
      <c r="D82" s="206" t="s">
        <v>134</v>
      </c>
      <c r="E82" s="208">
        <v>1</v>
      </c>
    </row>
    <row r="83" spans="1:5" s="156" customFormat="1" ht="19.7" customHeight="1" x14ac:dyDescent="0.2">
      <c r="A83" s="206" t="s">
        <v>139</v>
      </c>
      <c r="B83" s="206" t="s">
        <v>140</v>
      </c>
      <c r="C83" s="207">
        <v>4130</v>
      </c>
      <c r="D83" s="206" t="s">
        <v>142</v>
      </c>
      <c r="E83" s="208">
        <v>7</v>
      </c>
    </row>
    <row r="84" spans="1:5" s="156" customFormat="1" ht="19.7" customHeight="1" x14ac:dyDescent="0.2">
      <c r="A84" s="206" t="s">
        <v>139</v>
      </c>
      <c r="B84" s="206" t="s">
        <v>140</v>
      </c>
      <c r="C84" s="207">
        <v>4132</v>
      </c>
      <c r="D84" s="206" t="s">
        <v>141</v>
      </c>
      <c r="E84" s="208">
        <v>2</v>
      </c>
    </row>
    <row r="85" spans="1:5" s="156" customFormat="1" ht="19.7" customHeight="1" x14ac:dyDescent="0.2">
      <c r="A85" s="206" t="s">
        <v>139</v>
      </c>
      <c r="B85" s="206" t="s">
        <v>140</v>
      </c>
      <c r="C85" s="207">
        <v>4135</v>
      </c>
      <c r="D85" s="206" t="s">
        <v>143</v>
      </c>
      <c r="E85" s="208">
        <v>23</v>
      </c>
    </row>
    <row r="86" spans="1:5" s="156" customFormat="1" ht="19.7" customHeight="1" x14ac:dyDescent="0.2">
      <c r="A86" s="206" t="s">
        <v>139</v>
      </c>
      <c r="B86" s="206" t="s">
        <v>140</v>
      </c>
      <c r="C86" s="207">
        <v>4139</v>
      </c>
      <c r="D86" s="206" t="s">
        <v>150</v>
      </c>
      <c r="E86" s="208">
        <v>12</v>
      </c>
    </row>
    <row r="87" spans="1:5" s="156" customFormat="1" ht="19.7" customHeight="1" x14ac:dyDescent="0.2">
      <c r="A87" s="206" t="s">
        <v>139</v>
      </c>
      <c r="B87" s="206" t="s">
        <v>140</v>
      </c>
      <c r="C87" s="207">
        <v>4140</v>
      </c>
      <c r="D87" s="206" t="s">
        <v>158</v>
      </c>
      <c r="E87" s="208">
        <v>1</v>
      </c>
    </row>
    <row r="88" spans="1:5" s="156" customFormat="1" ht="19.7" customHeight="1" x14ac:dyDescent="0.2">
      <c r="A88" s="206" t="s">
        <v>139</v>
      </c>
      <c r="B88" s="206" t="s">
        <v>140</v>
      </c>
      <c r="C88" s="207">
        <v>4141</v>
      </c>
      <c r="D88" s="206" t="s">
        <v>149</v>
      </c>
      <c r="E88" s="208">
        <v>4</v>
      </c>
    </row>
    <row r="89" spans="1:5" s="156" customFormat="1" ht="19.7" customHeight="1" x14ac:dyDescent="0.2">
      <c r="A89" s="206" t="s">
        <v>139</v>
      </c>
      <c r="B89" s="206" t="s">
        <v>140</v>
      </c>
      <c r="C89" s="207">
        <v>4143</v>
      </c>
      <c r="D89" s="206" t="s">
        <v>151</v>
      </c>
      <c r="E89" s="208">
        <v>5</v>
      </c>
    </row>
    <row r="90" spans="1:5" s="156" customFormat="1" ht="19.7" customHeight="1" x14ac:dyDescent="0.2">
      <c r="A90" s="206" t="s">
        <v>139</v>
      </c>
      <c r="B90" s="206" t="s">
        <v>140</v>
      </c>
      <c r="C90" s="207">
        <v>4144</v>
      </c>
      <c r="D90" s="206" t="s">
        <v>155</v>
      </c>
      <c r="E90" s="208">
        <v>1</v>
      </c>
    </row>
    <row r="91" spans="1:5" s="156" customFormat="1" ht="19.7" customHeight="1" x14ac:dyDescent="0.2">
      <c r="A91" s="206" t="s">
        <v>139</v>
      </c>
      <c r="B91" s="206" t="s">
        <v>140</v>
      </c>
      <c r="C91" s="207">
        <v>4147</v>
      </c>
      <c r="D91" s="206" t="s">
        <v>148</v>
      </c>
      <c r="E91" s="208">
        <v>8</v>
      </c>
    </row>
    <row r="92" spans="1:5" s="156" customFormat="1" ht="19.7" customHeight="1" x14ac:dyDescent="0.2">
      <c r="A92" s="206" t="s">
        <v>139</v>
      </c>
      <c r="B92" s="206" t="s">
        <v>140</v>
      </c>
      <c r="C92" s="207">
        <v>4148</v>
      </c>
      <c r="D92" s="206" t="s">
        <v>154</v>
      </c>
      <c r="E92" s="208">
        <v>2</v>
      </c>
    </row>
    <row r="93" spans="1:5" s="156" customFormat="1" ht="19.7" customHeight="1" x14ac:dyDescent="0.2">
      <c r="A93" s="206" t="s">
        <v>139</v>
      </c>
      <c r="B93" s="206" t="s">
        <v>140</v>
      </c>
      <c r="C93" s="207">
        <v>4153</v>
      </c>
      <c r="D93" s="206" t="s">
        <v>156</v>
      </c>
      <c r="E93" s="208">
        <v>7</v>
      </c>
    </row>
    <row r="94" spans="1:5" s="156" customFormat="1" ht="19.7" customHeight="1" x14ac:dyDescent="0.2">
      <c r="A94" s="206" t="s">
        <v>139</v>
      </c>
      <c r="B94" s="206" t="s">
        <v>140</v>
      </c>
      <c r="C94" s="207">
        <v>4157</v>
      </c>
      <c r="D94" s="206" t="s">
        <v>153</v>
      </c>
      <c r="E94" s="208">
        <v>1</v>
      </c>
    </row>
    <row r="95" spans="1:5" s="156" customFormat="1" ht="19.7" customHeight="1" x14ac:dyDescent="0.2">
      <c r="A95" s="206" t="s">
        <v>139</v>
      </c>
      <c r="B95" s="206" t="s">
        <v>140</v>
      </c>
      <c r="C95" s="207">
        <v>4159</v>
      </c>
      <c r="D95" s="206" t="s">
        <v>152</v>
      </c>
      <c r="E95" s="208">
        <v>1</v>
      </c>
    </row>
    <row r="96" spans="1:5" s="156" customFormat="1" ht="19.7" customHeight="1" x14ac:dyDescent="0.2">
      <c r="A96" s="206" t="s">
        <v>139</v>
      </c>
      <c r="B96" s="206" t="s">
        <v>140</v>
      </c>
      <c r="C96" s="207">
        <v>4162</v>
      </c>
      <c r="D96" s="206" t="s">
        <v>147</v>
      </c>
      <c r="E96" s="208">
        <v>3</v>
      </c>
    </row>
    <row r="97" spans="1:5" s="156" customFormat="1" ht="19.7" customHeight="1" x14ac:dyDescent="0.2">
      <c r="A97" s="206" t="s">
        <v>139</v>
      </c>
      <c r="B97" s="206" t="s">
        <v>140</v>
      </c>
      <c r="C97" s="207">
        <v>4164</v>
      </c>
      <c r="D97" s="206" t="s">
        <v>157</v>
      </c>
      <c r="E97" s="208">
        <v>0</v>
      </c>
    </row>
    <row r="98" spans="1:5" s="156" customFormat="1" ht="19.7" customHeight="1" x14ac:dyDescent="0.2">
      <c r="A98" s="206" t="s">
        <v>139</v>
      </c>
      <c r="B98" s="206" t="s">
        <v>159</v>
      </c>
      <c r="C98" s="207">
        <v>4169</v>
      </c>
      <c r="D98" s="206" t="s">
        <v>167</v>
      </c>
      <c r="E98" s="208">
        <v>5</v>
      </c>
    </row>
    <row r="99" spans="1:5" s="156" customFormat="1" ht="19.7" customHeight="1" x14ac:dyDescent="0.2">
      <c r="A99" s="206" t="s">
        <v>139</v>
      </c>
      <c r="B99" s="206" t="s">
        <v>159</v>
      </c>
      <c r="C99" s="207">
        <v>4170</v>
      </c>
      <c r="D99" s="206" t="s">
        <v>166</v>
      </c>
      <c r="E99" s="208">
        <v>4</v>
      </c>
    </row>
    <row r="100" spans="1:5" s="156" customFormat="1" ht="19.7" customHeight="1" x14ac:dyDescent="0.2">
      <c r="A100" s="206" t="s">
        <v>139</v>
      </c>
      <c r="B100" s="206" t="s">
        <v>159</v>
      </c>
      <c r="C100" s="207">
        <v>4174</v>
      </c>
      <c r="D100" s="206" t="s">
        <v>165</v>
      </c>
      <c r="E100" s="208">
        <v>5</v>
      </c>
    </row>
    <row r="101" spans="1:5" s="156" customFormat="1" ht="19.7" customHeight="1" x14ac:dyDescent="0.2">
      <c r="A101" s="206" t="s">
        <v>139</v>
      </c>
      <c r="B101" s="206" t="s">
        <v>159</v>
      </c>
      <c r="C101" s="207">
        <v>4178</v>
      </c>
      <c r="D101" s="206" t="s">
        <v>171</v>
      </c>
      <c r="E101" s="208">
        <v>16</v>
      </c>
    </row>
    <row r="102" spans="1:5" s="156" customFormat="1" ht="19.7" customHeight="1" x14ac:dyDescent="0.2">
      <c r="A102" s="206" t="s">
        <v>139</v>
      </c>
      <c r="B102" s="206" t="s">
        <v>159</v>
      </c>
      <c r="C102" s="207">
        <v>4180</v>
      </c>
      <c r="D102" s="206" t="s">
        <v>169</v>
      </c>
      <c r="E102" s="208">
        <v>3</v>
      </c>
    </row>
    <row r="103" spans="1:5" s="156" customFormat="1" ht="19.7" customHeight="1" x14ac:dyDescent="0.2">
      <c r="A103" s="206" t="s">
        <v>139</v>
      </c>
      <c r="B103" s="206" t="s">
        <v>159</v>
      </c>
      <c r="C103" s="207">
        <v>4181</v>
      </c>
      <c r="D103" s="206" t="s">
        <v>173</v>
      </c>
      <c r="E103" s="208">
        <v>7</v>
      </c>
    </row>
    <row r="104" spans="1:5" s="156" customFormat="1" ht="19.7" customHeight="1" x14ac:dyDescent="0.2">
      <c r="A104" s="206" t="s">
        <v>139</v>
      </c>
      <c r="B104" s="206" t="s">
        <v>159</v>
      </c>
      <c r="C104" s="207">
        <v>4183</v>
      </c>
      <c r="D104" s="206" t="s">
        <v>174</v>
      </c>
      <c r="E104" s="208">
        <v>3</v>
      </c>
    </row>
    <row r="105" spans="1:5" s="156" customFormat="1" ht="19.7" customHeight="1" x14ac:dyDescent="0.2">
      <c r="A105" s="206" t="s">
        <v>139</v>
      </c>
      <c r="B105" s="206" t="s">
        <v>159</v>
      </c>
      <c r="C105" s="207">
        <v>4184</v>
      </c>
      <c r="D105" s="206" t="s">
        <v>163</v>
      </c>
      <c r="E105" s="208">
        <v>4</v>
      </c>
    </row>
    <row r="106" spans="1:5" s="156" customFormat="1" ht="19.7" customHeight="1" x14ac:dyDescent="0.2">
      <c r="A106" s="206" t="s">
        <v>139</v>
      </c>
      <c r="B106" s="206" t="s">
        <v>159</v>
      </c>
      <c r="C106" s="207">
        <v>4185</v>
      </c>
      <c r="D106" s="206" t="s">
        <v>170</v>
      </c>
      <c r="E106" s="208">
        <v>1</v>
      </c>
    </row>
    <row r="107" spans="1:5" s="156" customFormat="1" ht="19.7" customHeight="1" x14ac:dyDescent="0.2">
      <c r="A107" s="206" t="s">
        <v>139</v>
      </c>
      <c r="B107" s="206" t="s">
        <v>159</v>
      </c>
      <c r="C107" s="207">
        <v>4188</v>
      </c>
      <c r="D107" s="206" t="s">
        <v>168</v>
      </c>
      <c r="E107" s="208">
        <v>4</v>
      </c>
    </row>
    <row r="108" spans="1:5" s="156" customFormat="1" ht="19.7" customHeight="1" x14ac:dyDescent="0.2">
      <c r="A108" s="206" t="s">
        <v>139</v>
      </c>
      <c r="B108" s="206" t="s">
        <v>159</v>
      </c>
      <c r="C108" s="207">
        <v>4189</v>
      </c>
      <c r="D108" s="206" t="s">
        <v>160</v>
      </c>
      <c r="E108" s="208">
        <v>5</v>
      </c>
    </row>
    <row r="109" spans="1:5" s="156" customFormat="1" ht="19.7" customHeight="1" x14ac:dyDescent="0.2">
      <c r="A109" s="206" t="s">
        <v>139</v>
      </c>
      <c r="B109" s="206" t="s">
        <v>159</v>
      </c>
      <c r="C109" s="207">
        <v>4193</v>
      </c>
      <c r="D109" s="206" t="s">
        <v>162</v>
      </c>
      <c r="E109" s="208">
        <v>3</v>
      </c>
    </row>
    <row r="110" spans="1:5" s="156" customFormat="1" ht="19.7" customHeight="1" x14ac:dyDescent="0.2">
      <c r="A110" s="206" t="s">
        <v>139</v>
      </c>
      <c r="B110" s="206" t="s">
        <v>159</v>
      </c>
      <c r="C110" s="207">
        <v>4194</v>
      </c>
      <c r="D110" s="206" t="s">
        <v>172</v>
      </c>
      <c r="E110" s="208">
        <v>11</v>
      </c>
    </row>
    <row r="111" spans="1:5" s="156" customFormat="1" ht="19.7" customHeight="1" x14ac:dyDescent="0.2">
      <c r="A111" s="206" t="s">
        <v>139</v>
      </c>
      <c r="B111" s="206" t="s">
        <v>159</v>
      </c>
      <c r="C111" s="207">
        <v>4195</v>
      </c>
      <c r="D111" s="206" t="s">
        <v>161</v>
      </c>
      <c r="E111" s="208">
        <v>2</v>
      </c>
    </row>
    <row r="112" spans="1:5" s="156" customFormat="1" ht="19.7" customHeight="1" x14ac:dyDescent="0.2">
      <c r="A112" s="206" t="s">
        <v>139</v>
      </c>
      <c r="B112" s="206" t="s">
        <v>159</v>
      </c>
      <c r="C112" s="207">
        <v>4196</v>
      </c>
      <c r="D112" s="206" t="s">
        <v>164</v>
      </c>
      <c r="E112" s="208">
        <v>2</v>
      </c>
    </row>
    <row r="113" spans="1:5" s="156" customFormat="1" ht="19.7" customHeight="1" x14ac:dyDescent="0.2">
      <c r="A113" s="206" t="s">
        <v>175</v>
      </c>
      <c r="B113" s="206" t="s">
        <v>176</v>
      </c>
      <c r="C113" s="207">
        <v>451101</v>
      </c>
      <c r="D113" s="206" t="s">
        <v>178</v>
      </c>
      <c r="E113" s="208">
        <v>18</v>
      </c>
    </row>
    <row r="114" spans="1:5" s="156" customFormat="1" ht="19.7" customHeight="1" x14ac:dyDescent="0.2">
      <c r="A114" s="206" t="s">
        <v>175</v>
      </c>
      <c r="B114" s="206" t="s">
        <v>176</v>
      </c>
      <c r="C114" s="207">
        <v>451115</v>
      </c>
      <c r="D114" s="206" t="s">
        <v>181</v>
      </c>
      <c r="E114" s="208">
        <v>2</v>
      </c>
    </row>
    <row r="115" spans="1:5" s="156" customFormat="1" ht="19.7" customHeight="1" x14ac:dyDescent="0.2">
      <c r="A115" s="206" t="s">
        <v>175</v>
      </c>
      <c r="B115" s="206" t="s">
        <v>176</v>
      </c>
      <c r="C115" s="207">
        <v>451120</v>
      </c>
      <c r="D115" s="206" t="s">
        <v>183</v>
      </c>
      <c r="E115" s="208">
        <v>11</v>
      </c>
    </row>
    <row r="116" spans="1:5" s="156" customFormat="1" ht="19.7" customHeight="1" x14ac:dyDescent="0.2">
      <c r="A116" s="206" t="s">
        <v>175</v>
      </c>
      <c r="B116" s="206" t="s">
        <v>176</v>
      </c>
      <c r="C116" s="207">
        <v>451166</v>
      </c>
      <c r="D116" s="206" t="s">
        <v>186</v>
      </c>
      <c r="E116" s="208">
        <v>5</v>
      </c>
    </row>
    <row r="117" spans="1:5" s="156" customFormat="1" ht="19.7" customHeight="1" x14ac:dyDescent="0.2">
      <c r="A117" s="206" t="s">
        <v>175</v>
      </c>
      <c r="B117" s="206" t="s">
        <v>176</v>
      </c>
      <c r="C117" s="207">
        <v>451381</v>
      </c>
      <c r="D117" s="206" t="s">
        <v>184</v>
      </c>
      <c r="E117" s="208">
        <v>6</v>
      </c>
    </row>
    <row r="118" spans="1:5" s="156" customFormat="1" ht="19.7" customHeight="1" x14ac:dyDescent="0.2">
      <c r="A118" s="206" t="s">
        <v>175</v>
      </c>
      <c r="B118" s="206" t="s">
        <v>176</v>
      </c>
      <c r="C118" s="207">
        <v>551103</v>
      </c>
      <c r="D118" s="206" t="s">
        <v>179</v>
      </c>
      <c r="E118" s="208">
        <v>3</v>
      </c>
    </row>
    <row r="119" spans="1:5" s="156" customFormat="1" ht="19.7" customHeight="1" x14ac:dyDescent="0.2">
      <c r="A119" s="206" t="s">
        <v>175</v>
      </c>
      <c r="B119" s="206" t="s">
        <v>176</v>
      </c>
      <c r="C119" s="207">
        <v>551110</v>
      </c>
      <c r="D119" s="206" t="s">
        <v>177</v>
      </c>
      <c r="E119" s="208">
        <v>3</v>
      </c>
    </row>
    <row r="120" spans="1:5" s="156" customFormat="1" ht="19.7" customHeight="1" x14ac:dyDescent="0.2">
      <c r="A120" s="206" t="s">
        <v>175</v>
      </c>
      <c r="B120" s="206" t="s">
        <v>176</v>
      </c>
      <c r="C120" s="207">
        <v>551128</v>
      </c>
      <c r="D120" s="206" t="s">
        <v>182</v>
      </c>
      <c r="E120" s="208">
        <v>5</v>
      </c>
    </row>
    <row r="121" spans="1:5" s="156" customFormat="1" ht="19.7" customHeight="1" x14ac:dyDescent="0.2">
      <c r="A121" s="206" t="s">
        <v>175</v>
      </c>
      <c r="B121" s="206" t="s">
        <v>176</v>
      </c>
      <c r="C121" s="207">
        <v>551330</v>
      </c>
      <c r="D121" s="206" t="s">
        <v>180</v>
      </c>
      <c r="E121" s="208">
        <v>3</v>
      </c>
    </row>
    <row r="122" spans="1:5" s="156" customFormat="1" ht="19.7" customHeight="1" x14ac:dyDescent="0.2">
      <c r="A122" s="206" t="s">
        <v>175</v>
      </c>
      <c r="B122" s="206" t="s">
        <v>176</v>
      </c>
      <c r="C122" s="207">
        <v>551354</v>
      </c>
      <c r="D122" s="206" t="s">
        <v>185</v>
      </c>
      <c r="E122" s="208">
        <v>3</v>
      </c>
    </row>
    <row r="123" spans="1:5" s="156" customFormat="1" ht="19.7" customHeight="1" x14ac:dyDescent="0.2">
      <c r="A123" s="206" t="s">
        <v>175</v>
      </c>
      <c r="B123" s="206" t="s">
        <v>187</v>
      </c>
      <c r="C123" s="207">
        <v>408801</v>
      </c>
      <c r="D123" s="206" t="s">
        <v>189</v>
      </c>
      <c r="E123" s="208">
        <v>25</v>
      </c>
    </row>
    <row r="124" spans="1:5" s="156" customFormat="1" ht="19.7" customHeight="1" x14ac:dyDescent="0.2">
      <c r="A124" s="206" t="s">
        <v>175</v>
      </c>
      <c r="B124" s="206" t="s">
        <v>187</v>
      </c>
      <c r="C124" s="207">
        <v>408806</v>
      </c>
      <c r="D124" s="206" t="s">
        <v>197</v>
      </c>
      <c r="E124" s="208">
        <v>21</v>
      </c>
    </row>
    <row r="125" spans="1:5" s="156" customFormat="1" ht="19.7" customHeight="1" x14ac:dyDescent="0.2">
      <c r="A125" s="206" t="s">
        <v>175</v>
      </c>
      <c r="B125" s="206" t="s">
        <v>187</v>
      </c>
      <c r="C125" s="207">
        <v>408822</v>
      </c>
      <c r="D125" s="206" t="s">
        <v>187</v>
      </c>
      <c r="E125" s="208">
        <v>8</v>
      </c>
    </row>
    <row r="126" spans="1:5" s="156" customFormat="1" ht="19.7" customHeight="1" x14ac:dyDescent="0.2">
      <c r="A126" s="206" t="s">
        <v>175</v>
      </c>
      <c r="B126" s="206" t="s">
        <v>187</v>
      </c>
      <c r="C126" s="207">
        <v>408840</v>
      </c>
      <c r="D126" s="206" t="s">
        <v>194</v>
      </c>
      <c r="E126" s="208">
        <v>9</v>
      </c>
    </row>
    <row r="127" spans="1:5" s="156" customFormat="1" ht="19.7" customHeight="1" x14ac:dyDescent="0.2">
      <c r="A127" s="206" t="s">
        <v>175</v>
      </c>
      <c r="B127" s="206" t="s">
        <v>187</v>
      </c>
      <c r="C127" s="207">
        <v>408862</v>
      </c>
      <c r="D127" s="206" t="s">
        <v>195</v>
      </c>
      <c r="E127" s="208">
        <v>10</v>
      </c>
    </row>
    <row r="128" spans="1:5" s="156" customFormat="1" ht="19.7" customHeight="1" x14ac:dyDescent="0.2">
      <c r="A128" s="206" t="s">
        <v>175</v>
      </c>
      <c r="B128" s="206" t="s">
        <v>187</v>
      </c>
      <c r="C128" s="207">
        <v>508802</v>
      </c>
      <c r="D128" s="206" t="s">
        <v>191</v>
      </c>
      <c r="E128" s="208">
        <v>8</v>
      </c>
    </row>
    <row r="129" spans="1:5" s="156" customFormat="1" ht="19.7" customHeight="1" x14ac:dyDescent="0.2">
      <c r="A129" s="206" t="s">
        <v>175</v>
      </c>
      <c r="B129" s="206" t="s">
        <v>187</v>
      </c>
      <c r="C129" s="207">
        <v>508815</v>
      </c>
      <c r="D129" s="206" t="s">
        <v>188</v>
      </c>
      <c r="E129" s="208">
        <v>6</v>
      </c>
    </row>
    <row r="130" spans="1:5" s="156" customFormat="1" ht="19.7" customHeight="1" x14ac:dyDescent="0.2">
      <c r="A130" s="206" t="s">
        <v>175</v>
      </c>
      <c r="B130" s="206" t="s">
        <v>187</v>
      </c>
      <c r="C130" s="207">
        <v>508817</v>
      </c>
      <c r="D130" s="206" t="s">
        <v>190</v>
      </c>
      <c r="E130" s="208">
        <v>2</v>
      </c>
    </row>
    <row r="131" spans="1:5" s="156" customFormat="1" ht="19.7" customHeight="1" x14ac:dyDescent="0.2">
      <c r="A131" s="206" t="s">
        <v>175</v>
      </c>
      <c r="B131" s="206" t="s">
        <v>187</v>
      </c>
      <c r="C131" s="207">
        <v>508819</v>
      </c>
      <c r="D131" s="206" t="s">
        <v>193</v>
      </c>
      <c r="E131" s="208">
        <v>0</v>
      </c>
    </row>
    <row r="132" spans="1:5" s="156" customFormat="1" ht="19.7" customHeight="1" x14ac:dyDescent="0.2">
      <c r="A132" s="206" t="s">
        <v>175</v>
      </c>
      <c r="B132" s="206" t="s">
        <v>187</v>
      </c>
      <c r="C132" s="207">
        <v>508820</v>
      </c>
      <c r="D132" s="206" t="s">
        <v>199</v>
      </c>
      <c r="E132" s="208">
        <v>9</v>
      </c>
    </row>
    <row r="133" spans="1:5" s="156" customFormat="1" ht="19.7" customHeight="1" x14ac:dyDescent="0.2">
      <c r="A133" s="206" t="s">
        <v>175</v>
      </c>
      <c r="B133" s="206" t="s">
        <v>187</v>
      </c>
      <c r="C133" s="207">
        <v>508833</v>
      </c>
      <c r="D133" s="206" t="s">
        <v>198</v>
      </c>
      <c r="E133" s="208">
        <v>8</v>
      </c>
    </row>
    <row r="134" spans="1:5" s="156" customFormat="1" ht="19.7" customHeight="1" x14ac:dyDescent="0.2">
      <c r="A134" s="206" t="s">
        <v>175</v>
      </c>
      <c r="B134" s="206" t="s">
        <v>187</v>
      </c>
      <c r="C134" s="207">
        <v>508839</v>
      </c>
      <c r="D134" s="206" t="s">
        <v>192</v>
      </c>
      <c r="E134" s="208">
        <v>8</v>
      </c>
    </row>
    <row r="135" spans="1:5" s="156" customFormat="1" ht="19.7" customHeight="1" x14ac:dyDescent="0.2">
      <c r="A135" s="206" t="s">
        <v>175</v>
      </c>
      <c r="B135" s="206" t="s">
        <v>187</v>
      </c>
      <c r="C135" s="207">
        <v>508860</v>
      </c>
      <c r="D135" s="206" t="s">
        <v>196</v>
      </c>
      <c r="E135" s="208">
        <v>1</v>
      </c>
    </row>
    <row r="136" spans="1:5" s="156" customFormat="1" ht="19.7" customHeight="1" x14ac:dyDescent="0.2">
      <c r="A136" s="206" t="s">
        <v>175</v>
      </c>
      <c r="B136" s="206" t="s">
        <v>201</v>
      </c>
      <c r="C136" s="207">
        <v>451301</v>
      </c>
      <c r="D136" s="206" t="s">
        <v>213</v>
      </c>
      <c r="E136" s="208">
        <v>9</v>
      </c>
    </row>
    <row r="137" spans="1:5" s="156" customFormat="1" ht="19.7" customHeight="1" x14ac:dyDescent="0.2">
      <c r="A137" s="206" t="s">
        <v>175</v>
      </c>
      <c r="B137" s="206" t="s">
        <v>201</v>
      </c>
      <c r="C137" s="207">
        <v>451308</v>
      </c>
      <c r="D137" s="206" t="s">
        <v>218</v>
      </c>
      <c r="E137" s="208">
        <v>22</v>
      </c>
    </row>
    <row r="138" spans="1:5" s="156" customFormat="1" ht="19.7" customHeight="1" x14ac:dyDescent="0.2">
      <c r="A138" s="206" t="s">
        <v>175</v>
      </c>
      <c r="B138" s="206" t="s">
        <v>201</v>
      </c>
      <c r="C138" s="207">
        <v>451336</v>
      </c>
      <c r="D138" s="206" t="s">
        <v>219</v>
      </c>
      <c r="E138" s="208">
        <v>23</v>
      </c>
    </row>
    <row r="139" spans="1:5" s="156" customFormat="1" ht="19.7" customHeight="1" x14ac:dyDescent="0.2">
      <c r="A139" s="206" t="s">
        <v>175</v>
      </c>
      <c r="B139" s="206" t="s">
        <v>201</v>
      </c>
      <c r="C139" s="207">
        <v>451350</v>
      </c>
      <c r="D139" s="206" t="s">
        <v>209</v>
      </c>
      <c r="E139" s="208">
        <v>44</v>
      </c>
    </row>
    <row r="140" spans="1:5" s="156" customFormat="1" ht="19.7" customHeight="1" x14ac:dyDescent="0.2">
      <c r="A140" s="206" t="s">
        <v>175</v>
      </c>
      <c r="B140" s="206" t="s">
        <v>201</v>
      </c>
      <c r="C140" s="207">
        <v>451361</v>
      </c>
      <c r="D140" s="206" t="s">
        <v>208</v>
      </c>
      <c r="E140" s="208">
        <v>3</v>
      </c>
    </row>
    <row r="141" spans="1:5" s="156" customFormat="1" ht="19.7" customHeight="1" x14ac:dyDescent="0.2">
      <c r="A141" s="206" t="s">
        <v>175</v>
      </c>
      <c r="B141" s="206" t="s">
        <v>201</v>
      </c>
      <c r="C141" s="207">
        <v>451370</v>
      </c>
      <c r="D141" s="206" t="s">
        <v>206</v>
      </c>
      <c r="E141" s="208">
        <v>15</v>
      </c>
    </row>
    <row r="142" spans="1:5" s="156" customFormat="1" ht="19.7" customHeight="1" x14ac:dyDescent="0.2">
      <c r="A142" s="206" t="s">
        <v>175</v>
      </c>
      <c r="B142" s="206" t="s">
        <v>201</v>
      </c>
      <c r="C142" s="207">
        <v>551305</v>
      </c>
      <c r="D142" s="206" t="s">
        <v>212</v>
      </c>
      <c r="E142" s="208">
        <v>5</v>
      </c>
    </row>
    <row r="143" spans="1:5" s="156" customFormat="1" ht="19.7" customHeight="1" x14ac:dyDescent="0.2">
      <c r="A143" s="206" t="s">
        <v>175</v>
      </c>
      <c r="B143" s="206" t="s">
        <v>201</v>
      </c>
      <c r="C143" s="207">
        <v>551306</v>
      </c>
      <c r="D143" s="206" t="s">
        <v>216</v>
      </c>
      <c r="E143" s="208">
        <v>9</v>
      </c>
    </row>
    <row r="144" spans="1:5" s="156" customFormat="1" ht="19.7" customHeight="1" x14ac:dyDescent="0.2">
      <c r="A144" s="206" t="s">
        <v>175</v>
      </c>
      <c r="B144" s="206" t="s">
        <v>201</v>
      </c>
      <c r="C144" s="207">
        <v>551307</v>
      </c>
      <c r="D144" s="206" t="s">
        <v>215</v>
      </c>
      <c r="E144" s="208">
        <v>9</v>
      </c>
    </row>
    <row r="145" spans="1:5" s="156" customFormat="1" ht="19.7" customHeight="1" x14ac:dyDescent="0.2">
      <c r="A145" s="206" t="s">
        <v>175</v>
      </c>
      <c r="B145" s="206" t="s">
        <v>201</v>
      </c>
      <c r="C145" s="207">
        <v>551309</v>
      </c>
      <c r="D145" s="206" t="s">
        <v>211</v>
      </c>
      <c r="E145" s="208">
        <v>2</v>
      </c>
    </row>
    <row r="146" spans="1:5" s="156" customFormat="1" ht="19.7" customHeight="1" x14ac:dyDescent="0.2">
      <c r="A146" s="206" t="s">
        <v>175</v>
      </c>
      <c r="B146" s="206" t="s">
        <v>201</v>
      </c>
      <c r="C146" s="207">
        <v>551310</v>
      </c>
      <c r="D146" s="206" t="s">
        <v>210</v>
      </c>
      <c r="E146" s="208">
        <v>8</v>
      </c>
    </row>
    <row r="147" spans="1:5" s="156" customFormat="1" ht="19.7" customHeight="1" x14ac:dyDescent="0.2">
      <c r="A147" s="206" t="s">
        <v>175</v>
      </c>
      <c r="B147" s="206" t="s">
        <v>201</v>
      </c>
      <c r="C147" s="207">
        <v>551314</v>
      </c>
      <c r="D147" s="206" t="s">
        <v>207</v>
      </c>
      <c r="E147" s="208">
        <v>4</v>
      </c>
    </row>
    <row r="148" spans="1:5" s="156" customFormat="1" ht="19.7" customHeight="1" x14ac:dyDescent="0.2">
      <c r="A148" s="206" t="s">
        <v>175</v>
      </c>
      <c r="B148" s="206" t="s">
        <v>201</v>
      </c>
      <c r="C148" s="207">
        <v>551340</v>
      </c>
      <c r="D148" s="206" t="s">
        <v>203</v>
      </c>
      <c r="E148" s="208">
        <v>6</v>
      </c>
    </row>
    <row r="149" spans="1:5" s="156" customFormat="1" ht="19.7" customHeight="1" x14ac:dyDescent="0.2">
      <c r="A149" s="206" t="s">
        <v>175</v>
      </c>
      <c r="B149" s="206" t="s">
        <v>201</v>
      </c>
      <c r="C149" s="207">
        <v>551341</v>
      </c>
      <c r="D149" s="206" t="s">
        <v>214</v>
      </c>
      <c r="E149" s="208">
        <v>13</v>
      </c>
    </row>
    <row r="150" spans="1:5" s="156" customFormat="1" ht="19.7" customHeight="1" x14ac:dyDescent="0.2">
      <c r="A150" s="206" t="s">
        <v>175</v>
      </c>
      <c r="B150" s="206" t="s">
        <v>201</v>
      </c>
      <c r="C150" s="207">
        <v>551349</v>
      </c>
      <c r="D150" s="206" t="s">
        <v>217</v>
      </c>
      <c r="E150" s="208">
        <v>15</v>
      </c>
    </row>
    <row r="151" spans="1:5" s="156" customFormat="1" ht="19.7" customHeight="1" x14ac:dyDescent="0.2">
      <c r="A151" s="206" t="s">
        <v>175</v>
      </c>
      <c r="B151" s="206" t="s">
        <v>201</v>
      </c>
      <c r="C151" s="207">
        <v>551365</v>
      </c>
      <c r="D151" s="206" t="s">
        <v>205</v>
      </c>
      <c r="E151" s="208">
        <v>6</v>
      </c>
    </row>
    <row r="152" spans="1:5" s="156" customFormat="1" ht="19.7" customHeight="1" x14ac:dyDescent="0.2">
      <c r="A152" s="206" t="s">
        <v>175</v>
      </c>
      <c r="B152" s="206" t="s">
        <v>201</v>
      </c>
      <c r="C152" s="207">
        <v>551367</v>
      </c>
      <c r="D152" s="206" t="s">
        <v>202</v>
      </c>
      <c r="E152" s="208">
        <v>10</v>
      </c>
    </row>
    <row r="153" spans="1:5" s="156" customFormat="1" ht="19.7" customHeight="1" x14ac:dyDescent="0.2">
      <c r="A153" s="206" t="s">
        <v>175</v>
      </c>
      <c r="B153" s="206" t="s">
        <v>201</v>
      </c>
      <c r="C153" s="207">
        <v>551369</v>
      </c>
      <c r="D153" s="206" t="s">
        <v>204</v>
      </c>
      <c r="E153" s="208">
        <v>5</v>
      </c>
    </row>
    <row r="154" spans="1:5" s="156" customFormat="1" ht="19.7" customHeight="1" x14ac:dyDescent="0.2">
      <c r="A154" s="206" t="s">
        <v>220</v>
      </c>
      <c r="B154" s="206" t="s">
        <v>221</v>
      </c>
      <c r="C154" s="207">
        <v>454171</v>
      </c>
      <c r="D154" s="206" t="s">
        <v>225</v>
      </c>
      <c r="E154" s="208">
        <v>1</v>
      </c>
    </row>
    <row r="155" spans="1:5" s="156" customFormat="1" ht="19.7" customHeight="1" x14ac:dyDescent="0.2">
      <c r="A155" s="206" t="s">
        <v>220</v>
      </c>
      <c r="B155" s="206" t="s">
        <v>221</v>
      </c>
      <c r="C155" s="207">
        <v>454426</v>
      </c>
      <c r="D155" s="206" t="s">
        <v>229</v>
      </c>
      <c r="E155" s="208">
        <v>26</v>
      </c>
    </row>
    <row r="156" spans="1:5" s="156" customFormat="1" ht="19.7" customHeight="1" x14ac:dyDescent="0.2">
      <c r="A156" s="206" t="s">
        <v>220</v>
      </c>
      <c r="B156" s="206" t="s">
        <v>221</v>
      </c>
      <c r="C156" s="207">
        <v>454481</v>
      </c>
      <c r="D156" s="206" t="s">
        <v>233</v>
      </c>
      <c r="E156" s="208">
        <v>15</v>
      </c>
    </row>
    <row r="157" spans="1:5" s="156" customFormat="1" ht="19.7" customHeight="1" x14ac:dyDescent="0.2">
      <c r="A157" s="206" t="s">
        <v>220</v>
      </c>
      <c r="B157" s="206" t="s">
        <v>221</v>
      </c>
      <c r="C157" s="207">
        <v>454671</v>
      </c>
      <c r="D157" s="206" t="s">
        <v>239</v>
      </c>
      <c r="E157" s="208">
        <v>14</v>
      </c>
    </row>
    <row r="158" spans="1:5" s="156" customFormat="1" ht="19.7" customHeight="1" x14ac:dyDescent="0.2">
      <c r="A158" s="206" t="s">
        <v>220</v>
      </c>
      <c r="B158" s="206" t="s">
        <v>221</v>
      </c>
      <c r="C158" s="207">
        <v>554116</v>
      </c>
      <c r="D158" s="206" t="s">
        <v>222</v>
      </c>
      <c r="E158" s="208">
        <v>2</v>
      </c>
    </row>
    <row r="159" spans="1:5" s="156" customFormat="1" ht="19.7" customHeight="1" x14ac:dyDescent="0.2">
      <c r="A159" s="206" t="s">
        <v>220</v>
      </c>
      <c r="B159" s="206" t="s">
        <v>221</v>
      </c>
      <c r="C159" s="207">
        <v>554166</v>
      </c>
      <c r="D159" s="206" t="s">
        <v>224</v>
      </c>
      <c r="E159" s="208">
        <v>2</v>
      </c>
    </row>
    <row r="160" spans="1:5" s="156" customFormat="1" ht="19.7" customHeight="1" x14ac:dyDescent="0.2">
      <c r="A160" s="206" t="s">
        <v>220</v>
      </c>
      <c r="B160" s="206" t="s">
        <v>221</v>
      </c>
      <c r="C160" s="207">
        <v>554266</v>
      </c>
      <c r="D160" s="206" t="s">
        <v>226</v>
      </c>
      <c r="E160" s="208">
        <v>3</v>
      </c>
    </row>
    <row r="161" spans="1:5" s="156" customFormat="1" ht="19.7" customHeight="1" x14ac:dyDescent="0.2">
      <c r="A161" s="206" t="s">
        <v>220</v>
      </c>
      <c r="B161" s="206" t="s">
        <v>221</v>
      </c>
      <c r="C161" s="207">
        <v>554296</v>
      </c>
      <c r="D161" s="206" t="s">
        <v>227</v>
      </c>
      <c r="E161" s="208">
        <v>4</v>
      </c>
    </row>
    <row r="162" spans="1:5" s="156" customFormat="1" ht="19.7" customHeight="1" x14ac:dyDescent="0.2">
      <c r="A162" s="206" t="s">
        <v>220</v>
      </c>
      <c r="B162" s="206" t="s">
        <v>221</v>
      </c>
      <c r="C162" s="207">
        <v>554356</v>
      </c>
      <c r="D162" s="206" t="s">
        <v>228</v>
      </c>
      <c r="E162" s="208">
        <v>12</v>
      </c>
    </row>
    <row r="163" spans="1:5" s="156" customFormat="1" ht="19.7" customHeight="1" x14ac:dyDescent="0.2">
      <c r="A163" s="206" t="s">
        <v>220</v>
      </c>
      <c r="B163" s="206" t="s">
        <v>221</v>
      </c>
      <c r="C163" s="207">
        <v>554471</v>
      </c>
      <c r="D163" s="206" t="s">
        <v>232</v>
      </c>
      <c r="E163" s="208">
        <v>6</v>
      </c>
    </row>
    <row r="164" spans="1:5" s="156" customFormat="1" ht="19.7" customHeight="1" x14ac:dyDescent="0.2">
      <c r="A164" s="206" t="s">
        <v>220</v>
      </c>
      <c r="B164" s="206" t="s">
        <v>221</v>
      </c>
      <c r="C164" s="207">
        <v>554476</v>
      </c>
      <c r="D164" s="206" t="s">
        <v>231</v>
      </c>
      <c r="E164" s="208">
        <v>6</v>
      </c>
    </row>
    <row r="165" spans="1:5" s="156" customFormat="1" ht="19.7" customHeight="1" x14ac:dyDescent="0.2">
      <c r="A165" s="206" t="s">
        <v>220</v>
      </c>
      <c r="B165" s="206" t="s">
        <v>221</v>
      </c>
      <c r="C165" s="207">
        <v>554486</v>
      </c>
      <c r="D165" s="206" t="s">
        <v>234</v>
      </c>
      <c r="E165" s="208">
        <v>4</v>
      </c>
    </row>
    <row r="166" spans="1:5" s="156" customFormat="1" ht="19.7" customHeight="1" x14ac:dyDescent="0.2">
      <c r="A166" s="206" t="s">
        <v>220</v>
      </c>
      <c r="B166" s="206" t="s">
        <v>221</v>
      </c>
      <c r="C166" s="207">
        <v>554491</v>
      </c>
      <c r="D166" s="206" t="s">
        <v>235</v>
      </c>
      <c r="E166" s="208">
        <v>5</v>
      </c>
    </row>
    <row r="167" spans="1:5" s="156" customFormat="1" ht="19.7" customHeight="1" x14ac:dyDescent="0.2">
      <c r="A167" s="206" t="s">
        <v>220</v>
      </c>
      <c r="B167" s="206" t="s">
        <v>221</v>
      </c>
      <c r="C167" s="207">
        <v>554601</v>
      </c>
      <c r="D167" s="206" t="s">
        <v>236</v>
      </c>
      <c r="E167" s="208">
        <v>10</v>
      </c>
    </row>
    <row r="168" spans="1:5" s="156" customFormat="1" ht="19.7" customHeight="1" x14ac:dyDescent="0.2">
      <c r="A168" s="206" t="s">
        <v>220</v>
      </c>
      <c r="B168" s="206" t="s">
        <v>221</v>
      </c>
      <c r="C168" s="207">
        <v>554611</v>
      </c>
      <c r="D168" s="206" t="s">
        <v>237</v>
      </c>
      <c r="E168" s="208">
        <v>2</v>
      </c>
    </row>
    <row r="169" spans="1:5" s="156" customFormat="1" ht="19.7" customHeight="1" x14ac:dyDescent="0.2">
      <c r="A169" s="206" t="s">
        <v>220</v>
      </c>
      <c r="B169" s="206" t="s">
        <v>221</v>
      </c>
      <c r="C169" s="207">
        <v>554636</v>
      </c>
      <c r="D169" s="206" t="s">
        <v>238</v>
      </c>
      <c r="E169" s="208">
        <v>5</v>
      </c>
    </row>
    <row r="170" spans="1:5" s="156" customFormat="1" ht="19.7" customHeight="1" x14ac:dyDescent="0.2">
      <c r="A170" s="206" t="s">
        <v>220</v>
      </c>
      <c r="B170" s="206" t="s">
        <v>240</v>
      </c>
      <c r="C170" s="207">
        <v>454355</v>
      </c>
      <c r="D170" s="206" t="s">
        <v>246</v>
      </c>
      <c r="E170" s="208">
        <v>10</v>
      </c>
    </row>
    <row r="171" spans="1:5" s="156" customFormat="1" ht="19.7" customHeight="1" x14ac:dyDescent="0.2">
      <c r="A171" s="206" t="s">
        <v>220</v>
      </c>
      <c r="B171" s="206" t="s">
        <v>240</v>
      </c>
      <c r="C171" s="207">
        <v>454466</v>
      </c>
      <c r="D171" s="206" t="s">
        <v>251</v>
      </c>
      <c r="E171" s="208">
        <v>10</v>
      </c>
    </row>
    <row r="172" spans="1:5" s="156" customFormat="1" ht="19.7" customHeight="1" x14ac:dyDescent="0.2">
      <c r="A172" s="206" t="s">
        <v>220</v>
      </c>
      <c r="B172" s="206" t="s">
        <v>240</v>
      </c>
      <c r="C172" s="207">
        <v>454535</v>
      </c>
      <c r="D172" s="206" t="s">
        <v>256</v>
      </c>
      <c r="E172" s="208">
        <v>7</v>
      </c>
    </row>
    <row r="173" spans="1:5" s="156" customFormat="1" ht="19.7" customHeight="1" x14ac:dyDescent="0.2">
      <c r="A173" s="206" t="s">
        <v>220</v>
      </c>
      <c r="B173" s="206" t="s">
        <v>240</v>
      </c>
      <c r="C173" s="207">
        <v>454651</v>
      </c>
      <c r="D173" s="206" t="s">
        <v>257</v>
      </c>
      <c r="E173" s="208">
        <v>59</v>
      </c>
    </row>
    <row r="174" spans="1:5" s="156" customFormat="1" ht="19.7" customHeight="1" x14ac:dyDescent="0.2">
      <c r="A174" s="206" t="s">
        <v>220</v>
      </c>
      <c r="B174" s="206" t="s">
        <v>240</v>
      </c>
      <c r="C174" s="207">
        <v>454696</v>
      </c>
      <c r="D174" s="206" t="s">
        <v>259</v>
      </c>
      <c r="E174" s="208">
        <v>16</v>
      </c>
    </row>
    <row r="175" spans="1:5" s="156" customFormat="1" ht="19.7" customHeight="1" x14ac:dyDescent="0.2">
      <c r="A175" s="206" t="s">
        <v>220</v>
      </c>
      <c r="B175" s="206" t="s">
        <v>240</v>
      </c>
      <c r="C175" s="207">
        <v>554184</v>
      </c>
      <c r="D175" s="206" t="s">
        <v>241</v>
      </c>
      <c r="E175" s="208">
        <v>10</v>
      </c>
    </row>
    <row r="176" spans="1:5" s="156" customFormat="1" ht="19.7" customHeight="1" x14ac:dyDescent="0.2">
      <c r="A176" s="206" t="s">
        <v>220</v>
      </c>
      <c r="B176" s="206" t="s">
        <v>240</v>
      </c>
      <c r="C176" s="207">
        <v>554196</v>
      </c>
      <c r="D176" s="206" t="s">
        <v>243</v>
      </c>
      <c r="E176" s="208">
        <v>11</v>
      </c>
    </row>
    <row r="177" spans="1:5" s="156" customFormat="1" ht="19.7" customHeight="1" x14ac:dyDescent="0.2">
      <c r="A177" s="206" t="s">
        <v>220</v>
      </c>
      <c r="B177" s="206" t="s">
        <v>240</v>
      </c>
      <c r="C177" s="207">
        <v>554257</v>
      </c>
      <c r="D177" s="206" t="s">
        <v>244</v>
      </c>
      <c r="E177" s="208">
        <v>4</v>
      </c>
    </row>
    <row r="178" spans="1:5" s="156" customFormat="1" ht="19.7" customHeight="1" x14ac:dyDescent="0.2">
      <c r="A178" s="206" t="s">
        <v>220</v>
      </c>
      <c r="B178" s="206" t="s">
        <v>240</v>
      </c>
      <c r="C178" s="207">
        <v>554321</v>
      </c>
      <c r="D178" s="206" t="s">
        <v>245</v>
      </c>
      <c r="E178" s="208">
        <v>4</v>
      </c>
    </row>
    <row r="179" spans="1:5" s="156" customFormat="1" ht="19.7" customHeight="1" x14ac:dyDescent="0.2">
      <c r="A179" s="206" t="s">
        <v>220</v>
      </c>
      <c r="B179" s="206" t="s">
        <v>240</v>
      </c>
      <c r="C179" s="207">
        <v>554357</v>
      </c>
      <c r="D179" s="206" t="s">
        <v>247</v>
      </c>
      <c r="E179" s="208">
        <v>4</v>
      </c>
    </row>
    <row r="180" spans="1:5" s="156" customFormat="1" ht="19.7" customHeight="1" x14ac:dyDescent="0.2">
      <c r="A180" s="206" t="s">
        <v>220</v>
      </c>
      <c r="B180" s="206" t="s">
        <v>240</v>
      </c>
      <c r="C180" s="207">
        <v>554376</v>
      </c>
      <c r="D180" s="206" t="s">
        <v>249</v>
      </c>
      <c r="E180" s="208">
        <v>4</v>
      </c>
    </row>
    <row r="181" spans="1:5" s="156" customFormat="1" ht="19.7" customHeight="1" x14ac:dyDescent="0.2">
      <c r="A181" s="206" t="s">
        <v>220</v>
      </c>
      <c r="B181" s="206" t="s">
        <v>240</v>
      </c>
      <c r="C181" s="207">
        <v>554381</v>
      </c>
      <c r="D181" s="206" t="s">
        <v>248</v>
      </c>
      <c r="E181" s="208">
        <v>7</v>
      </c>
    </row>
    <row r="182" spans="1:5" s="156" customFormat="1" ht="19.7" customHeight="1" x14ac:dyDescent="0.2">
      <c r="A182" s="206" t="s">
        <v>220</v>
      </c>
      <c r="B182" s="206" t="s">
        <v>240</v>
      </c>
      <c r="C182" s="207">
        <v>554416</v>
      </c>
      <c r="D182" s="206" t="s">
        <v>250</v>
      </c>
      <c r="E182" s="208">
        <v>4</v>
      </c>
    </row>
    <row r="183" spans="1:5" s="156" customFormat="1" ht="19.7" customHeight="1" x14ac:dyDescent="0.2">
      <c r="A183" s="206" t="s">
        <v>220</v>
      </c>
      <c r="B183" s="206" t="s">
        <v>240</v>
      </c>
      <c r="C183" s="207">
        <v>554496</v>
      </c>
      <c r="D183" s="206" t="s">
        <v>252</v>
      </c>
      <c r="E183" s="208">
        <v>3</v>
      </c>
    </row>
    <row r="184" spans="1:5" s="156" customFormat="1" ht="19.7" customHeight="1" x14ac:dyDescent="0.2">
      <c r="A184" s="206" t="s">
        <v>220</v>
      </c>
      <c r="B184" s="206" t="s">
        <v>240</v>
      </c>
      <c r="C184" s="207">
        <v>554506</v>
      </c>
      <c r="D184" s="206" t="s">
        <v>242</v>
      </c>
      <c r="E184" s="208">
        <v>19</v>
      </c>
    </row>
    <row r="185" spans="1:5" s="156" customFormat="1" ht="19.7" customHeight="1" x14ac:dyDescent="0.2">
      <c r="A185" s="206" t="s">
        <v>220</v>
      </c>
      <c r="B185" s="206" t="s">
        <v>240</v>
      </c>
      <c r="C185" s="207">
        <v>554516</v>
      </c>
      <c r="D185" s="206" t="s">
        <v>253</v>
      </c>
      <c r="E185" s="208">
        <v>6</v>
      </c>
    </row>
    <row r="186" spans="1:5" s="156" customFormat="1" ht="19.7" customHeight="1" x14ac:dyDescent="0.2">
      <c r="A186" s="206" t="s">
        <v>220</v>
      </c>
      <c r="B186" s="206" t="s">
        <v>240</v>
      </c>
      <c r="C186" s="207">
        <v>554531</v>
      </c>
      <c r="D186" s="206" t="s">
        <v>254</v>
      </c>
      <c r="E186" s="208">
        <v>12</v>
      </c>
    </row>
    <row r="187" spans="1:5" s="156" customFormat="1" ht="19.7" customHeight="1" x14ac:dyDescent="0.2">
      <c r="A187" s="206" t="s">
        <v>220</v>
      </c>
      <c r="B187" s="206" t="s">
        <v>240</v>
      </c>
      <c r="C187" s="207">
        <v>554533</v>
      </c>
      <c r="D187" s="206" t="s">
        <v>255</v>
      </c>
      <c r="E187" s="208">
        <v>3</v>
      </c>
    </row>
    <row r="188" spans="1:5" s="156" customFormat="1" ht="19.7" customHeight="1" x14ac:dyDescent="0.2">
      <c r="A188" s="206" t="s">
        <v>220</v>
      </c>
      <c r="B188" s="206" t="s">
        <v>240</v>
      </c>
      <c r="C188" s="207">
        <v>554686</v>
      </c>
      <c r="D188" s="206" t="s">
        <v>258</v>
      </c>
      <c r="E188" s="208">
        <v>2</v>
      </c>
    </row>
    <row r="189" spans="1:5" s="156" customFormat="1" ht="19.7" customHeight="1" x14ac:dyDescent="0.2">
      <c r="A189" s="206" t="s">
        <v>220</v>
      </c>
      <c r="B189" s="206" t="s">
        <v>260</v>
      </c>
      <c r="C189" s="207">
        <v>454414</v>
      </c>
      <c r="D189" s="206" t="s">
        <v>267</v>
      </c>
      <c r="E189" s="208">
        <v>10</v>
      </c>
    </row>
    <row r="190" spans="1:5" s="156" customFormat="1" ht="19.7" customHeight="1" x14ac:dyDescent="0.2">
      <c r="A190" s="206" t="s">
        <v>220</v>
      </c>
      <c r="B190" s="206" t="s">
        <v>260</v>
      </c>
      <c r="C190" s="207">
        <v>455151</v>
      </c>
      <c r="D190" s="206" t="s">
        <v>261</v>
      </c>
      <c r="E190" s="208">
        <v>10</v>
      </c>
    </row>
    <row r="191" spans="1:5" s="156" customFormat="1" ht="19.7" customHeight="1" x14ac:dyDescent="0.2">
      <c r="A191" s="206" t="s">
        <v>220</v>
      </c>
      <c r="B191" s="206" t="s">
        <v>260</v>
      </c>
      <c r="C191" s="207">
        <v>455231</v>
      </c>
      <c r="D191" s="206" t="s">
        <v>262</v>
      </c>
      <c r="E191" s="208">
        <v>9</v>
      </c>
    </row>
    <row r="192" spans="1:5" s="156" customFormat="1" ht="19.7" customHeight="1" x14ac:dyDescent="0.2">
      <c r="A192" s="206" t="s">
        <v>220</v>
      </c>
      <c r="B192" s="206" t="s">
        <v>260</v>
      </c>
      <c r="C192" s="207">
        <v>455298</v>
      </c>
      <c r="D192" s="206" t="s">
        <v>263</v>
      </c>
      <c r="E192" s="208">
        <v>2</v>
      </c>
    </row>
    <row r="193" spans="1:5" s="156" customFormat="1" ht="19.7" customHeight="1" x14ac:dyDescent="0.2">
      <c r="A193" s="206" t="s">
        <v>220</v>
      </c>
      <c r="B193" s="206" t="s">
        <v>260</v>
      </c>
      <c r="C193" s="207">
        <v>455456</v>
      </c>
      <c r="D193" s="206" t="s">
        <v>268</v>
      </c>
      <c r="E193" s="208">
        <v>3</v>
      </c>
    </row>
    <row r="194" spans="1:5" s="156" customFormat="1" ht="19.7" customHeight="1" x14ac:dyDescent="0.2">
      <c r="A194" s="206" t="s">
        <v>220</v>
      </c>
      <c r="B194" s="206" t="s">
        <v>260</v>
      </c>
      <c r="C194" s="207">
        <v>455566</v>
      </c>
      <c r="D194" s="206" t="s">
        <v>269</v>
      </c>
      <c r="E194" s="208">
        <v>1</v>
      </c>
    </row>
    <row r="195" spans="1:5" s="156" customFormat="1" ht="19.7" customHeight="1" x14ac:dyDescent="0.2">
      <c r="A195" s="206" t="s">
        <v>220</v>
      </c>
      <c r="B195" s="206" t="s">
        <v>260</v>
      </c>
      <c r="C195" s="207">
        <v>455676</v>
      </c>
      <c r="D195" s="206" t="s">
        <v>271</v>
      </c>
      <c r="E195" s="208">
        <v>1</v>
      </c>
    </row>
    <row r="196" spans="1:5" s="156" customFormat="1" ht="19.7" customHeight="1" x14ac:dyDescent="0.2">
      <c r="A196" s="206" t="s">
        <v>220</v>
      </c>
      <c r="B196" s="206" t="s">
        <v>260</v>
      </c>
      <c r="C196" s="207">
        <v>455678</v>
      </c>
      <c r="D196" s="206" t="s">
        <v>272</v>
      </c>
      <c r="E196" s="208">
        <v>15</v>
      </c>
    </row>
    <row r="197" spans="1:5" s="156" customFormat="1" ht="19.7" customHeight="1" x14ac:dyDescent="0.2">
      <c r="A197" s="206" t="s">
        <v>220</v>
      </c>
      <c r="B197" s="206" t="s">
        <v>260</v>
      </c>
      <c r="C197" s="207">
        <v>554412</v>
      </c>
      <c r="D197" s="206" t="s">
        <v>265</v>
      </c>
      <c r="E197" s="208">
        <v>7</v>
      </c>
    </row>
    <row r="198" spans="1:5" s="156" customFormat="1" ht="19.7" customHeight="1" x14ac:dyDescent="0.2">
      <c r="A198" s="206" t="s">
        <v>220</v>
      </c>
      <c r="B198" s="206" t="s">
        <v>260</v>
      </c>
      <c r="C198" s="207">
        <v>554413</v>
      </c>
      <c r="D198" s="206" t="s">
        <v>266</v>
      </c>
      <c r="E198" s="208">
        <v>5</v>
      </c>
    </row>
    <row r="199" spans="1:5" s="156" customFormat="1" ht="19.7" customHeight="1" x14ac:dyDescent="0.2">
      <c r="A199" s="206" t="s">
        <v>220</v>
      </c>
      <c r="B199" s="206" t="s">
        <v>260</v>
      </c>
      <c r="C199" s="207">
        <v>554700</v>
      </c>
      <c r="D199" s="206" t="s">
        <v>274</v>
      </c>
      <c r="E199" s="208">
        <v>6</v>
      </c>
    </row>
    <row r="200" spans="1:5" s="156" customFormat="1" ht="19.7" customHeight="1" x14ac:dyDescent="0.2">
      <c r="A200" s="206" t="s">
        <v>220</v>
      </c>
      <c r="B200" s="206" t="s">
        <v>260</v>
      </c>
      <c r="C200" s="207">
        <v>555406</v>
      </c>
      <c r="D200" s="206" t="s">
        <v>264</v>
      </c>
      <c r="E200" s="208">
        <v>1</v>
      </c>
    </row>
    <row r="201" spans="1:5" s="156" customFormat="1" ht="19.7" customHeight="1" x14ac:dyDescent="0.2">
      <c r="A201" s="206" t="s">
        <v>220</v>
      </c>
      <c r="B201" s="206" t="s">
        <v>260</v>
      </c>
      <c r="C201" s="207">
        <v>555624</v>
      </c>
      <c r="D201" s="206" t="s">
        <v>270</v>
      </c>
      <c r="E201" s="208">
        <v>5</v>
      </c>
    </row>
    <row r="202" spans="1:5" s="156" customFormat="1" ht="19.7" customHeight="1" x14ac:dyDescent="0.2">
      <c r="A202" s="206" t="s">
        <v>220</v>
      </c>
      <c r="B202" s="206" t="s">
        <v>260</v>
      </c>
      <c r="C202" s="207">
        <v>555679</v>
      </c>
      <c r="D202" s="206" t="s">
        <v>273</v>
      </c>
      <c r="E202" s="208">
        <v>4</v>
      </c>
    </row>
    <row r="203" spans="1:5" s="156" customFormat="1" ht="19.7" customHeight="1" x14ac:dyDescent="0.2">
      <c r="A203" s="206" t="s">
        <v>275</v>
      </c>
      <c r="B203" s="206" t="s">
        <v>276</v>
      </c>
      <c r="C203" s="207">
        <v>457443</v>
      </c>
      <c r="D203" s="206" t="s">
        <v>287</v>
      </c>
      <c r="E203" s="208">
        <v>11</v>
      </c>
    </row>
    <row r="204" spans="1:5" s="156" customFormat="1" ht="19.7" customHeight="1" x14ac:dyDescent="0.2">
      <c r="A204" s="206" t="s">
        <v>275</v>
      </c>
      <c r="B204" s="206" t="s">
        <v>276</v>
      </c>
      <c r="C204" s="207">
        <v>457446</v>
      </c>
      <c r="D204" s="206" t="s">
        <v>289</v>
      </c>
      <c r="E204" s="208">
        <v>8</v>
      </c>
    </row>
    <row r="205" spans="1:5" s="156" customFormat="1" ht="19.7" customHeight="1" x14ac:dyDescent="0.2">
      <c r="A205" s="206" t="s">
        <v>275</v>
      </c>
      <c r="B205" s="206" t="s">
        <v>276</v>
      </c>
      <c r="C205" s="207">
        <v>457453</v>
      </c>
      <c r="D205" s="206" t="s">
        <v>292</v>
      </c>
      <c r="E205" s="208">
        <v>10</v>
      </c>
    </row>
    <row r="206" spans="1:5" s="156" customFormat="1" ht="19.7" customHeight="1" x14ac:dyDescent="0.2">
      <c r="A206" s="206" t="s">
        <v>275</v>
      </c>
      <c r="B206" s="206" t="s">
        <v>276</v>
      </c>
      <c r="C206" s="207">
        <v>457574</v>
      </c>
      <c r="D206" s="206" t="s">
        <v>295</v>
      </c>
      <c r="E206" s="208">
        <v>9</v>
      </c>
    </row>
    <row r="207" spans="1:5" s="156" customFormat="1" ht="19.7" customHeight="1" x14ac:dyDescent="0.2">
      <c r="A207" s="206" t="s">
        <v>275</v>
      </c>
      <c r="B207" s="206" t="s">
        <v>276</v>
      </c>
      <c r="C207" s="207">
        <v>557105</v>
      </c>
      <c r="D207" s="206" t="s">
        <v>277</v>
      </c>
      <c r="E207" s="208">
        <v>8</v>
      </c>
    </row>
    <row r="208" spans="1:5" s="156" customFormat="1" ht="19.7" customHeight="1" x14ac:dyDescent="0.2">
      <c r="A208" s="206" t="s">
        <v>275</v>
      </c>
      <c r="B208" s="206" t="s">
        <v>276</v>
      </c>
      <c r="C208" s="207">
        <v>557178</v>
      </c>
      <c r="D208" s="206" t="s">
        <v>278</v>
      </c>
      <c r="E208" s="208">
        <v>2</v>
      </c>
    </row>
    <row r="209" spans="1:5" s="156" customFormat="1" ht="19.7" customHeight="1" x14ac:dyDescent="0.2">
      <c r="A209" s="206" t="s">
        <v>275</v>
      </c>
      <c r="B209" s="206" t="s">
        <v>276</v>
      </c>
      <c r="C209" s="207">
        <v>557224</v>
      </c>
      <c r="D209" s="206" t="s">
        <v>279</v>
      </c>
      <c r="E209" s="208">
        <v>6</v>
      </c>
    </row>
    <row r="210" spans="1:5" s="156" customFormat="1" ht="19.7" customHeight="1" x14ac:dyDescent="0.2">
      <c r="A210" s="206" t="s">
        <v>275</v>
      </c>
      <c r="B210" s="206" t="s">
        <v>276</v>
      </c>
      <c r="C210" s="207">
        <v>557432</v>
      </c>
      <c r="D210" s="206" t="s">
        <v>280</v>
      </c>
      <c r="E210" s="208">
        <v>4</v>
      </c>
    </row>
    <row r="211" spans="1:5" s="156" customFormat="1" ht="19.7" customHeight="1" x14ac:dyDescent="0.2">
      <c r="A211" s="206" t="s">
        <v>275</v>
      </c>
      <c r="B211" s="206" t="s">
        <v>276</v>
      </c>
      <c r="C211" s="207">
        <v>557433</v>
      </c>
      <c r="D211" s="206" t="s">
        <v>281</v>
      </c>
      <c r="E211" s="208">
        <v>3</v>
      </c>
    </row>
    <row r="212" spans="1:5" s="156" customFormat="1" ht="19.7" customHeight="1" x14ac:dyDescent="0.2">
      <c r="A212" s="206" t="s">
        <v>275</v>
      </c>
      <c r="B212" s="206" t="s">
        <v>276</v>
      </c>
      <c r="C212" s="207">
        <v>557434</v>
      </c>
      <c r="D212" s="206" t="s">
        <v>282</v>
      </c>
      <c r="E212" s="208">
        <v>4</v>
      </c>
    </row>
    <row r="213" spans="1:5" s="156" customFormat="1" ht="19.7" customHeight="1" x14ac:dyDescent="0.2">
      <c r="A213" s="206" t="s">
        <v>275</v>
      </c>
      <c r="B213" s="206" t="s">
        <v>276</v>
      </c>
      <c r="C213" s="207">
        <v>557436</v>
      </c>
      <c r="D213" s="206" t="s">
        <v>283</v>
      </c>
      <c r="E213" s="208">
        <v>16</v>
      </c>
    </row>
    <row r="214" spans="1:5" s="156" customFormat="1" ht="19.7" customHeight="1" x14ac:dyDescent="0.2">
      <c r="A214" s="206" t="s">
        <v>275</v>
      </c>
      <c r="B214" s="206" t="s">
        <v>276</v>
      </c>
      <c r="C214" s="207">
        <v>557437</v>
      </c>
      <c r="D214" s="206" t="s">
        <v>291</v>
      </c>
      <c r="E214" s="208">
        <v>16</v>
      </c>
    </row>
    <row r="215" spans="1:5" s="156" customFormat="1" ht="19.7" customHeight="1" x14ac:dyDescent="0.2">
      <c r="A215" s="206" t="s">
        <v>275</v>
      </c>
      <c r="B215" s="206" t="s">
        <v>276</v>
      </c>
      <c r="C215" s="207">
        <v>557439</v>
      </c>
      <c r="D215" s="206" t="s">
        <v>286</v>
      </c>
      <c r="E215" s="208">
        <v>9</v>
      </c>
    </row>
    <row r="216" spans="1:5" s="156" customFormat="1" ht="19.7" customHeight="1" x14ac:dyDescent="0.2">
      <c r="A216" s="206" t="s">
        <v>275</v>
      </c>
      <c r="B216" s="206" t="s">
        <v>276</v>
      </c>
      <c r="C216" s="207">
        <v>557440</v>
      </c>
      <c r="D216" s="206" t="s">
        <v>284</v>
      </c>
      <c r="E216" s="208">
        <v>2</v>
      </c>
    </row>
    <row r="217" spans="1:5" s="156" customFormat="1" ht="19.7" customHeight="1" x14ac:dyDescent="0.2">
      <c r="A217" s="206" t="s">
        <v>275</v>
      </c>
      <c r="B217" s="206" t="s">
        <v>276</v>
      </c>
      <c r="C217" s="207">
        <v>557441</v>
      </c>
      <c r="D217" s="206" t="s">
        <v>285</v>
      </c>
      <c r="E217" s="208">
        <v>6</v>
      </c>
    </row>
    <row r="218" spans="1:5" s="156" customFormat="1" ht="19.7" customHeight="1" x14ac:dyDescent="0.2">
      <c r="A218" s="206" t="s">
        <v>275</v>
      </c>
      <c r="B218" s="206" t="s">
        <v>276</v>
      </c>
      <c r="C218" s="207">
        <v>557444</v>
      </c>
      <c r="D218" s="206" t="s">
        <v>297</v>
      </c>
      <c r="E218" s="208">
        <v>13</v>
      </c>
    </row>
    <row r="219" spans="1:5" s="156" customFormat="1" ht="19.7" customHeight="1" x14ac:dyDescent="0.2">
      <c r="A219" s="206" t="s">
        <v>275</v>
      </c>
      <c r="B219" s="206" t="s">
        <v>276</v>
      </c>
      <c r="C219" s="207">
        <v>557445</v>
      </c>
      <c r="D219" s="206" t="s">
        <v>288</v>
      </c>
      <c r="E219" s="208">
        <v>3</v>
      </c>
    </row>
    <row r="220" spans="1:5" s="156" customFormat="1" ht="19.7" customHeight="1" x14ac:dyDescent="0.2">
      <c r="A220" s="206" t="s">
        <v>275</v>
      </c>
      <c r="B220" s="206" t="s">
        <v>276</v>
      </c>
      <c r="C220" s="207">
        <v>557447</v>
      </c>
      <c r="D220" s="206" t="s">
        <v>290</v>
      </c>
      <c r="E220" s="208">
        <v>3</v>
      </c>
    </row>
    <row r="221" spans="1:5" s="156" customFormat="1" ht="19.7" customHeight="1" x14ac:dyDescent="0.2">
      <c r="A221" s="206" t="s">
        <v>275</v>
      </c>
      <c r="B221" s="206" t="s">
        <v>276</v>
      </c>
      <c r="C221" s="207">
        <v>557459</v>
      </c>
      <c r="D221" s="206" t="s">
        <v>293</v>
      </c>
      <c r="E221" s="208">
        <v>9</v>
      </c>
    </row>
    <row r="222" spans="1:5" s="156" customFormat="1" ht="19.7" customHeight="1" x14ac:dyDescent="0.2">
      <c r="A222" s="206" t="s">
        <v>275</v>
      </c>
      <c r="B222" s="206" t="s">
        <v>276</v>
      </c>
      <c r="C222" s="207">
        <v>557559</v>
      </c>
      <c r="D222" s="206" t="s">
        <v>294</v>
      </c>
      <c r="E222" s="208">
        <v>4</v>
      </c>
    </row>
    <row r="223" spans="1:5" s="156" customFormat="1" ht="19.7" customHeight="1" x14ac:dyDescent="0.2">
      <c r="A223" s="206" t="s">
        <v>275</v>
      </c>
      <c r="B223" s="206" t="s">
        <v>276</v>
      </c>
      <c r="C223" s="207">
        <v>557612</v>
      </c>
      <c r="D223" s="206" t="s">
        <v>296</v>
      </c>
      <c r="E223" s="208">
        <v>2</v>
      </c>
    </row>
    <row r="224" spans="1:5" s="156" customFormat="1" ht="19.7" customHeight="1" x14ac:dyDescent="0.2">
      <c r="A224" s="206" t="s">
        <v>275</v>
      </c>
      <c r="B224" s="206" t="s">
        <v>276</v>
      </c>
      <c r="C224" s="207">
        <v>557712</v>
      </c>
      <c r="D224" s="206" t="s">
        <v>298</v>
      </c>
      <c r="E224" s="208">
        <v>12</v>
      </c>
    </row>
    <row r="225" spans="1:5" s="156" customFormat="1" ht="19.7" customHeight="1" x14ac:dyDescent="0.2">
      <c r="A225" s="206" t="s">
        <v>275</v>
      </c>
      <c r="B225" s="206" t="s">
        <v>299</v>
      </c>
      <c r="C225" s="207">
        <v>457163</v>
      </c>
      <c r="D225" s="206" t="s">
        <v>300</v>
      </c>
      <c r="E225" s="208">
        <v>4</v>
      </c>
    </row>
    <row r="226" spans="1:5" s="156" customFormat="1" ht="19.7" customHeight="1" x14ac:dyDescent="0.2">
      <c r="A226" s="206" t="s">
        <v>275</v>
      </c>
      <c r="B226" s="206" t="s">
        <v>299</v>
      </c>
      <c r="C226" s="207">
        <v>457165</v>
      </c>
      <c r="D226" s="206" t="s">
        <v>301</v>
      </c>
      <c r="E226" s="208">
        <v>14</v>
      </c>
    </row>
    <row r="227" spans="1:5" s="156" customFormat="1" ht="19.7" customHeight="1" x14ac:dyDescent="0.2">
      <c r="A227" s="206" t="s">
        <v>275</v>
      </c>
      <c r="B227" s="206" t="s">
        <v>299</v>
      </c>
      <c r="C227" s="207">
        <v>457258</v>
      </c>
      <c r="D227" s="206" t="s">
        <v>304</v>
      </c>
      <c r="E227" s="208">
        <v>9</v>
      </c>
    </row>
    <row r="228" spans="1:5" s="156" customFormat="1" ht="19.7" customHeight="1" x14ac:dyDescent="0.2">
      <c r="A228" s="206" t="s">
        <v>275</v>
      </c>
      <c r="B228" s="206" t="s">
        <v>299</v>
      </c>
      <c r="C228" s="207">
        <v>457308</v>
      </c>
      <c r="D228" s="206" t="s">
        <v>306</v>
      </c>
      <c r="E228" s="208">
        <v>30</v>
      </c>
    </row>
    <row r="229" spans="1:5" s="156" customFormat="1" ht="19.7" customHeight="1" x14ac:dyDescent="0.2">
      <c r="A229" s="206" t="s">
        <v>275</v>
      </c>
      <c r="B229" s="206" t="s">
        <v>299</v>
      </c>
      <c r="C229" s="207">
        <v>457345</v>
      </c>
      <c r="D229" s="206" t="s">
        <v>307</v>
      </c>
      <c r="E229" s="208">
        <v>3</v>
      </c>
    </row>
    <row r="230" spans="1:5" s="156" customFormat="1" ht="19.7" customHeight="1" x14ac:dyDescent="0.2">
      <c r="A230" s="206" t="s">
        <v>275</v>
      </c>
      <c r="B230" s="206" t="s">
        <v>299</v>
      </c>
      <c r="C230" s="207">
        <v>457435</v>
      </c>
      <c r="D230" s="206" t="s">
        <v>309</v>
      </c>
      <c r="E230" s="208">
        <v>8</v>
      </c>
    </row>
    <row r="231" spans="1:5" s="156" customFormat="1" ht="19.7" customHeight="1" x14ac:dyDescent="0.2">
      <c r="A231" s="206" t="s">
        <v>275</v>
      </c>
      <c r="B231" s="206" t="s">
        <v>299</v>
      </c>
      <c r="C231" s="207">
        <v>457543</v>
      </c>
      <c r="D231" s="206" t="s">
        <v>313</v>
      </c>
      <c r="E231" s="208">
        <v>1</v>
      </c>
    </row>
    <row r="232" spans="1:5" s="156" customFormat="1" ht="19.7" customHeight="1" x14ac:dyDescent="0.2">
      <c r="A232" s="206" t="s">
        <v>275</v>
      </c>
      <c r="B232" s="206" t="s">
        <v>299</v>
      </c>
      <c r="C232" s="207">
        <v>457583</v>
      </c>
      <c r="D232" s="206" t="s">
        <v>314</v>
      </c>
      <c r="E232" s="208">
        <v>14</v>
      </c>
    </row>
    <row r="233" spans="1:5" s="156" customFormat="1" ht="19.7" customHeight="1" x14ac:dyDescent="0.2">
      <c r="A233" s="206" t="s">
        <v>275</v>
      </c>
      <c r="B233" s="206" t="s">
        <v>299</v>
      </c>
      <c r="C233" s="207">
        <v>457614</v>
      </c>
      <c r="D233" s="206" t="s">
        <v>315</v>
      </c>
      <c r="E233" s="208">
        <v>11</v>
      </c>
    </row>
    <row r="234" spans="1:5" s="156" customFormat="1" ht="19.7" customHeight="1" x14ac:dyDescent="0.2">
      <c r="A234" s="206" t="s">
        <v>275</v>
      </c>
      <c r="B234" s="206" t="s">
        <v>299</v>
      </c>
      <c r="C234" s="207">
        <v>457617</v>
      </c>
      <c r="D234" s="206" t="s">
        <v>316</v>
      </c>
      <c r="E234" s="208">
        <v>11</v>
      </c>
    </row>
    <row r="235" spans="1:5" s="156" customFormat="1" ht="19.7" customHeight="1" x14ac:dyDescent="0.2">
      <c r="A235" s="206" t="s">
        <v>275</v>
      </c>
      <c r="B235" s="206" t="s">
        <v>299</v>
      </c>
      <c r="C235" s="207">
        <v>557210</v>
      </c>
      <c r="D235" s="206" t="s">
        <v>302</v>
      </c>
      <c r="E235" s="208">
        <v>4</v>
      </c>
    </row>
    <row r="236" spans="1:5" s="156" customFormat="1" ht="19.7" customHeight="1" x14ac:dyDescent="0.2">
      <c r="A236" s="206" t="s">
        <v>275</v>
      </c>
      <c r="B236" s="206" t="s">
        <v>299</v>
      </c>
      <c r="C236" s="207">
        <v>557250</v>
      </c>
      <c r="D236" s="206" t="s">
        <v>303</v>
      </c>
      <c r="E236" s="208">
        <v>12</v>
      </c>
    </row>
    <row r="237" spans="1:5" s="156" customFormat="1" ht="19.7" customHeight="1" x14ac:dyDescent="0.2">
      <c r="A237" s="206" t="s">
        <v>275</v>
      </c>
      <c r="B237" s="206" t="s">
        <v>299</v>
      </c>
      <c r="C237" s="207">
        <v>557305</v>
      </c>
      <c r="D237" s="206" t="s">
        <v>305</v>
      </c>
      <c r="E237" s="208">
        <v>4</v>
      </c>
    </row>
    <row r="238" spans="1:5" s="156" customFormat="1" ht="19.7" customHeight="1" x14ac:dyDescent="0.2">
      <c r="A238" s="206" t="s">
        <v>275</v>
      </c>
      <c r="B238" s="206" t="s">
        <v>299</v>
      </c>
      <c r="C238" s="207">
        <v>557458</v>
      </c>
      <c r="D238" s="206" t="s">
        <v>310</v>
      </c>
      <c r="E238" s="208">
        <v>5</v>
      </c>
    </row>
    <row r="239" spans="1:5" s="156" customFormat="1" ht="19.7" customHeight="1" x14ac:dyDescent="0.2">
      <c r="A239" s="206" t="s">
        <v>275</v>
      </c>
      <c r="B239" s="206" t="s">
        <v>299</v>
      </c>
      <c r="C239" s="207">
        <v>557503</v>
      </c>
      <c r="D239" s="206" t="s">
        <v>311</v>
      </c>
      <c r="E239" s="208">
        <v>2</v>
      </c>
    </row>
    <row r="240" spans="1:5" s="156" customFormat="1" ht="19.7" customHeight="1" x14ac:dyDescent="0.2">
      <c r="A240" s="206" t="s">
        <v>275</v>
      </c>
      <c r="B240" s="206" t="s">
        <v>299</v>
      </c>
      <c r="C240" s="207">
        <v>557523</v>
      </c>
      <c r="D240" s="206" t="s">
        <v>312</v>
      </c>
      <c r="E240" s="208">
        <v>6</v>
      </c>
    </row>
    <row r="241" spans="1:5" s="156" customFormat="1" ht="19.7" customHeight="1" x14ac:dyDescent="0.2">
      <c r="A241" s="206" t="s">
        <v>275</v>
      </c>
      <c r="B241" s="206" t="s">
        <v>299</v>
      </c>
      <c r="C241" s="207">
        <v>557668</v>
      </c>
      <c r="D241" s="206" t="s">
        <v>317</v>
      </c>
      <c r="E241" s="208">
        <v>5</v>
      </c>
    </row>
    <row r="242" spans="1:5" s="156" customFormat="1" ht="19.7" customHeight="1" x14ac:dyDescent="0.2">
      <c r="A242" s="206" t="s">
        <v>275</v>
      </c>
      <c r="B242" s="206" t="s">
        <v>318</v>
      </c>
      <c r="C242" s="207">
        <v>457158</v>
      </c>
      <c r="D242" s="206" t="s">
        <v>338</v>
      </c>
      <c r="E242" s="208">
        <v>3</v>
      </c>
    </row>
    <row r="243" spans="1:5" s="156" customFormat="1" ht="19.7" customHeight="1" x14ac:dyDescent="0.2">
      <c r="A243" s="206" t="s">
        <v>275</v>
      </c>
      <c r="B243" s="206" t="s">
        <v>318</v>
      </c>
      <c r="C243" s="207">
        <v>457180</v>
      </c>
      <c r="D243" s="206" t="s">
        <v>320</v>
      </c>
      <c r="E243" s="208">
        <v>2</v>
      </c>
    </row>
    <row r="244" spans="1:5" s="156" customFormat="1" ht="19.7" customHeight="1" x14ac:dyDescent="0.2">
      <c r="A244" s="206" t="s">
        <v>275</v>
      </c>
      <c r="B244" s="206" t="s">
        <v>318</v>
      </c>
      <c r="C244" s="207">
        <v>457192</v>
      </c>
      <c r="D244" s="206" t="s">
        <v>322</v>
      </c>
      <c r="E244" s="208">
        <v>4</v>
      </c>
    </row>
    <row r="245" spans="1:5" s="156" customFormat="1" ht="19.7" customHeight="1" x14ac:dyDescent="0.2">
      <c r="A245" s="206" t="s">
        <v>275</v>
      </c>
      <c r="B245" s="206" t="s">
        <v>318</v>
      </c>
      <c r="C245" s="207">
        <v>457306</v>
      </c>
      <c r="D245" s="206" t="s">
        <v>324</v>
      </c>
      <c r="E245" s="208">
        <v>12</v>
      </c>
    </row>
    <row r="246" spans="1:5" s="156" customFormat="1" ht="19.7" customHeight="1" x14ac:dyDescent="0.2">
      <c r="A246" s="206" t="s">
        <v>275</v>
      </c>
      <c r="B246" s="206" t="s">
        <v>318</v>
      </c>
      <c r="C246" s="207">
        <v>457348</v>
      </c>
      <c r="D246" s="206" t="s">
        <v>327</v>
      </c>
      <c r="E246" s="208">
        <v>16</v>
      </c>
    </row>
    <row r="247" spans="1:5" s="156" customFormat="1" ht="19.7" customHeight="1" x14ac:dyDescent="0.2">
      <c r="A247" s="206" t="s">
        <v>275</v>
      </c>
      <c r="B247" s="206" t="s">
        <v>318</v>
      </c>
      <c r="C247" s="207">
        <v>457350</v>
      </c>
      <c r="D247" s="206" t="s">
        <v>328</v>
      </c>
      <c r="E247" s="208">
        <v>22</v>
      </c>
    </row>
    <row r="248" spans="1:5" s="156" customFormat="1" ht="19.7" customHeight="1" x14ac:dyDescent="0.2">
      <c r="A248" s="206" t="s">
        <v>275</v>
      </c>
      <c r="B248" s="206" t="s">
        <v>318</v>
      </c>
      <c r="C248" s="207">
        <v>457449</v>
      </c>
      <c r="D248" s="206" t="s">
        <v>330</v>
      </c>
      <c r="E248" s="208">
        <v>8</v>
      </c>
    </row>
    <row r="249" spans="1:5" s="156" customFormat="1" ht="19.7" customHeight="1" x14ac:dyDescent="0.2">
      <c r="A249" s="206" t="s">
        <v>275</v>
      </c>
      <c r="B249" s="206" t="s">
        <v>318</v>
      </c>
      <c r="C249" s="207">
        <v>457632</v>
      </c>
      <c r="D249" s="206" t="s">
        <v>334</v>
      </c>
      <c r="E249" s="208">
        <v>35</v>
      </c>
    </row>
    <row r="250" spans="1:5" s="156" customFormat="1" ht="19.7" customHeight="1" x14ac:dyDescent="0.2">
      <c r="A250" s="206" t="s">
        <v>275</v>
      </c>
      <c r="B250" s="206" t="s">
        <v>318</v>
      </c>
      <c r="C250" s="207">
        <v>557113</v>
      </c>
      <c r="D250" s="206" t="s">
        <v>319</v>
      </c>
      <c r="E250" s="208">
        <v>14</v>
      </c>
    </row>
    <row r="251" spans="1:5" s="156" customFormat="1" ht="19.7" customHeight="1" x14ac:dyDescent="0.2">
      <c r="A251" s="206" t="s">
        <v>275</v>
      </c>
      <c r="B251" s="206" t="s">
        <v>318</v>
      </c>
      <c r="C251" s="207">
        <v>557182</v>
      </c>
      <c r="D251" s="206" t="s">
        <v>321</v>
      </c>
      <c r="E251" s="208">
        <v>6</v>
      </c>
    </row>
    <row r="252" spans="1:5" s="156" customFormat="1" ht="19.7" customHeight="1" x14ac:dyDescent="0.2">
      <c r="A252" s="206" t="s">
        <v>275</v>
      </c>
      <c r="B252" s="206" t="s">
        <v>318</v>
      </c>
      <c r="C252" s="207">
        <v>557303</v>
      </c>
      <c r="D252" s="206" t="s">
        <v>323</v>
      </c>
      <c r="E252" s="208">
        <v>2</v>
      </c>
    </row>
    <row r="253" spans="1:5" s="156" customFormat="1" ht="19.7" customHeight="1" x14ac:dyDescent="0.2">
      <c r="A253" s="206" t="s">
        <v>275</v>
      </c>
      <c r="B253" s="206" t="s">
        <v>318</v>
      </c>
      <c r="C253" s="207">
        <v>557307</v>
      </c>
      <c r="D253" s="206" t="s">
        <v>325</v>
      </c>
      <c r="E253" s="208">
        <v>5</v>
      </c>
    </row>
    <row r="254" spans="1:5" s="156" customFormat="1" ht="19.7" customHeight="1" x14ac:dyDescent="0.2">
      <c r="A254" s="206" t="s">
        <v>275</v>
      </c>
      <c r="B254" s="206" t="s">
        <v>318</v>
      </c>
      <c r="C254" s="207">
        <v>557347</v>
      </c>
      <c r="D254" s="206" t="s">
        <v>326</v>
      </c>
      <c r="E254" s="208">
        <v>15</v>
      </c>
    </row>
    <row r="255" spans="1:5" s="156" customFormat="1" ht="19.7" customHeight="1" x14ac:dyDescent="0.2">
      <c r="A255" s="206" t="s">
        <v>275</v>
      </c>
      <c r="B255" s="206" t="s">
        <v>318</v>
      </c>
      <c r="C255" s="207">
        <v>557352</v>
      </c>
      <c r="D255" s="206" t="s">
        <v>329</v>
      </c>
      <c r="E255" s="208">
        <v>12</v>
      </c>
    </row>
    <row r="256" spans="1:5" s="156" customFormat="1" ht="19.7" customHeight="1" x14ac:dyDescent="0.2">
      <c r="A256" s="206" t="s">
        <v>275</v>
      </c>
      <c r="B256" s="206" t="s">
        <v>318</v>
      </c>
      <c r="C256" s="207">
        <v>557508</v>
      </c>
      <c r="D256" s="206" t="s">
        <v>331</v>
      </c>
      <c r="E256" s="208">
        <v>9</v>
      </c>
    </row>
    <row r="257" spans="1:5" s="156" customFormat="1" ht="19.7" customHeight="1" x14ac:dyDescent="0.2">
      <c r="A257" s="206" t="s">
        <v>275</v>
      </c>
      <c r="B257" s="206" t="s">
        <v>318</v>
      </c>
      <c r="C257" s="207">
        <v>557622</v>
      </c>
      <c r="D257" s="206" t="s">
        <v>332</v>
      </c>
      <c r="E257" s="208">
        <v>3</v>
      </c>
    </row>
    <row r="258" spans="1:5" s="156" customFormat="1" ht="19.7" customHeight="1" x14ac:dyDescent="0.2">
      <c r="A258" s="206" t="s">
        <v>275</v>
      </c>
      <c r="B258" s="206" t="s">
        <v>318</v>
      </c>
      <c r="C258" s="207">
        <v>557628</v>
      </c>
      <c r="D258" s="206" t="s">
        <v>333</v>
      </c>
      <c r="E258" s="208">
        <v>1</v>
      </c>
    </row>
    <row r="259" spans="1:5" s="156" customFormat="1" ht="19.7" customHeight="1" x14ac:dyDescent="0.2">
      <c r="A259" s="206" t="s">
        <v>275</v>
      </c>
      <c r="B259" s="206" t="s">
        <v>318</v>
      </c>
      <c r="C259" s="207">
        <v>557633</v>
      </c>
      <c r="D259" s="206" t="s">
        <v>335</v>
      </c>
      <c r="E259" s="208">
        <v>3</v>
      </c>
    </row>
    <row r="260" spans="1:5" s="156" customFormat="1" ht="19.7" customHeight="1" x14ac:dyDescent="0.2">
      <c r="A260" s="206" t="s">
        <v>275</v>
      </c>
      <c r="B260" s="206" t="s">
        <v>318</v>
      </c>
      <c r="C260" s="207">
        <v>557660</v>
      </c>
      <c r="D260" s="206" t="s">
        <v>337</v>
      </c>
      <c r="E260" s="208">
        <v>8</v>
      </c>
    </row>
    <row r="261" spans="1:5" s="156" customFormat="1" ht="19.7" customHeight="1" x14ac:dyDescent="0.2">
      <c r="A261" s="206" t="s">
        <v>339</v>
      </c>
      <c r="B261" s="206" t="s">
        <v>340</v>
      </c>
      <c r="C261" s="207">
        <v>488256</v>
      </c>
      <c r="D261" s="206" t="s">
        <v>344</v>
      </c>
      <c r="E261" s="208">
        <v>3</v>
      </c>
    </row>
    <row r="262" spans="1:5" s="156" customFormat="1" ht="19.7" customHeight="1" x14ac:dyDescent="0.2">
      <c r="A262" s="206" t="s">
        <v>339</v>
      </c>
      <c r="B262" s="206" t="s">
        <v>340</v>
      </c>
      <c r="C262" s="207">
        <v>488281</v>
      </c>
      <c r="D262" s="206" t="s">
        <v>345</v>
      </c>
      <c r="E262" s="208">
        <v>2</v>
      </c>
    </row>
    <row r="263" spans="1:5" s="156" customFormat="1" ht="19.7" customHeight="1" x14ac:dyDescent="0.2">
      <c r="A263" s="206" t="s">
        <v>339</v>
      </c>
      <c r="B263" s="206" t="s">
        <v>340</v>
      </c>
      <c r="C263" s="207">
        <v>488286</v>
      </c>
      <c r="D263" s="206" t="s">
        <v>346</v>
      </c>
      <c r="E263" s="208">
        <v>43</v>
      </c>
    </row>
    <row r="264" spans="1:5" s="156" customFormat="1" ht="19.7" customHeight="1" x14ac:dyDescent="0.2">
      <c r="A264" s="206" t="s">
        <v>339</v>
      </c>
      <c r="B264" s="206" t="s">
        <v>340</v>
      </c>
      <c r="C264" s="207">
        <v>488288</v>
      </c>
      <c r="D264" s="206" t="s">
        <v>348</v>
      </c>
      <c r="E264" s="208">
        <v>2</v>
      </c>
    </row>
    <row r="265" spans="1:5" s="156" customFormat="1" ht="19.7" customHeight="1" x14ac:dyDescent="0.2">
      <c r="A265" s="206" t="s">
        <v>339</v>
      </c>
      <c r="B265" s="206" t="s">
        <v>340</v>
      </c>
      <c r="C265" s="207">
        <v>488291</v>
      </c>
      <c r="D265" s="206" t="s">
        <v>347</v>
      </c>
      <c r="E265" s="208">
        <v>5</v>
      </c>
    </row>
    <row r="266" spans="1:5" s="156" customFormat="1" ht="19.7" customHeight="1" x14ac:dyDescent="0.2">
      <c r="A266" s="206" t="s">
        <v>339</v>
      </c>
      <c r="B266" s="206" t="s">
        <v>340</v>
      </c>
      <c r="C266" s="207">
        <v>488451</v>
      </c>
      <c r="D266" s="206" t="s">
        <v>351</v>
      </c>
      <c r="E266" s="208">
        <v>2</v>
      </c>
    </row>
    <row r="267" spans="1:5" s="156" customFormat="1" ht="19.7" customHeight="1" x14ac:dyDescent="0.2">
      <c r="A267" s="206" t="s">
        <v>339</v>
      </c>
      <c r="B267" s="206" t="s">
        <v>340</v>
      </c>
      <c r="C267" s="207">
        <v>488561</v>
      </c>
      <c r="D267" s="206" t="s">
        <v>353</v>
      </c>
      <c r="E267" s="208">
        <v>4</v>
      </c>
    </row>
    <row r="268" spans="1:5" s="156" customFormat="1" ht="19.7" customHeight="1" x14ac:dyDescent="0.2">
      <c r="A268" s="206" t="s">
        <v>339</v>
      </c>
      <c r="B268" s="206" t="s">
        <v>340</v>
      </c>
      <c r="C268" s="207">
        <v>488706</v>
      </c>
      <c r="D268" s="206" t="s">
        <v>355</v>
      </c>
      <c r="E268" s="208">
        <v>11</v>
      </c>
    </row>
    <row r="269" spans="1:5" s="156" customFormat="1" ht="19.7" customHeight="1" x14ac:dyDescent="0.2">
      <c r="A269" s="206" t="s">
        <v>339</v>
      </c>
      <c r="B269" s="206" t="s">
        <v>340</v>
      </c>
      <c r="C269" s="207">
        <v>588201</v>
      </c>
      <c r="D269" s="206" t="s">
        <v>341</v>
      </c>
      <c r="E269" s="208">
        <v>5</v>
      </c>
    </row>
    <row r="270" spans="1:5" s="156" customFormat="1" ht="19.7" customHeight="1" x14ac:dyDescent="0.2">
      <c r="A270" s="206" t="s">
        <v>339</v>
      </c>
      <c r="B270" s="206" t="s">
        <v>340</v>
      </c>
      <c r="C270" s="207">
        <v>588206</v>
      </c>
      <c r="D270" s="206" t="s">
        <v>342</v>
      </c>
      <c r="E270" s="208">
        <v>5</v>
      </c>
    </row>
    <row r="271" spans="1:5" s="156" customFormat="1" ht="19.7" customHeight="1" x14ac:dyDescent="0.2">
      <c r="A271" s="206" t="s">
        <v>339</v>
      </c>
      <c r="B271" s="206" t="s">
        <v>340</v>
      </c>
      <c r="C271" s="207">
        <v>588216</v>
      </c>
      <c r="D271" s="206" t="s">
        <v>343</v>
      </c>
      <c r="E271" s="208">
        <v>2</v>
      </c>
    </row>
    <row r="272" spans="1:5" s="156" customFormat="1" ht="19.7" customHeight="1" x14ac:dyDescent="0.2">
      <c r="A272" s="206" t="s">
        <v>339</v>
      </c>
      <c r="B272" s="206" t="s">
        <v>340</v>
      </c>
      <c r="C272" s="207">
        <v>588336</v>
      </c>
      <c r="D272" s="206" t="s">
        <v>349</v>
      </c>
      <c r="E272" s="208">
        <v>5</v>
      </c>
    </row>
    <row r="273" spans="1:5" s="156" customFormat="1" ht="19.7" customHeight="1" x14ac:dyDescent="0.2">
      <c r="A273" s="206" t="s">
        <v>339</v>
      </c>
      <c r="B273" s="206" t="s">
        <v>340</v>
      </c>
      <c r="C273" s="207">
        <v>588396</v>
      </c>
      <c r="D273" s="206" t="s">
        <v>350</v>
      </c>
      <c r="E273" s="208">
        <v>8</v>
      </c>
    </row>
    <row r="274" spans="1:5" s="156" customFormat="1" ht="19.7" customHeight="1" x14ac:dyDescent="0.2">
      <c r="A274" s="206" t="s">
        <v>339</v>
      </c>
      <c r="B274" s="206" t="s">
        <v>340</v>
      </c>
      <c r="C274" s="207">
        <v>588501</v>
      </c>
      <c r="D274" s="206" t="s">
        <v>352</v>
      </c>
      <c r="E274" s="208">
        <v>4</v>
      </c>
    </row>
    <row r="275" spans="1:5" s="156" customFormat="1" ht="19.7" customHeight="1" x14ac:dyDescent="0.2">
      <c r="A275" s="206" t="s">
        <v>339</v>
      </c>
      <c r="B275" s="206" t="s">
        <v>340</v>
      </c>
      <c r="C275" s="207">
        <v>588631</v>
      </c>
      <c r="D275" s="206" t="s">
        <v>354</v>
      </c>
      <c r="E275" s="208">
        <v>12</v>
      </c>
    </row>
    <row r="276" spans="1:5" s="156" customFormat="1" ht="19.7" customHeight="1" x14ac:dyDescent="0.2">
      <c r="A276" s="206" t="s">
        <v>339</v>
      </c>
      <c r="B276" s="206" t="s">
        <v>340</v>
      </c>
      <c r="C276" s="207">
        <v>588716</v>
      </c>
      <c r="D276" s="206" t="s">
        <v>356</v>
      </c>
      <c r="E276" s="208">
        <v>10</v>
      </c>
    </row>
    <row r="277" spans="1:5" s="156" customFormat="1" ht="19.7" customHeight="1" x14ac:dyDescent="0.2">
      <c r="A277" s="206" t="s">
        <v>339</v>
      </c>
      <c r="B277" s="206" t="s">
        <v>357</v>
      </c>
      <c r="C277" s="207">
        <v>488246</v>
      </c>
      <c r="D277" s="206" t="s">
        <v>359</v>
      </c>
      <c r="E277" s="208">
        <v>15</v>
      </c>
    </row>
    <row r="278" spans="1:5" s="156" customFormat="1" ht="19.7" customHeight="1" x14ac:dyDescent="0.2">
      <c r="A278" s="206" t="s">
        <v>339</v>
      </c>
      <c r="B278" s="206" t="s">
        <v>357</v>
      </c>
      <c r="C278" s="207">
        <v>488326</v>
      </c>
      <c r="D278" s="206" t="s">
        <v>361</v>
      </c>
      <c r="E278" s="208">
        <v>15</v>
      </c>
    </row>
    <row r="279" spans="1:5" s="156" customFormat="1" ht="19.7" customHeight="1" x14ac:dyDescent="0.2">
      <c r="A279" s="206" t="s">
        <v>339</v>
      </c>
      <c r="B279" s="206" t="s">
        <v>357</v>
      </c>
      <c r="C279" s="207">
        <v>488556</v>
      </c>
      <c r="D279" s="206" t="s">
        <v>366</v>
      </c>
      <c r="E279" s="208">
        <v>1</v>
      </c>
    </row>
    <row r="280" spans="1:5" s="156" customFormat="1" ht="19.7" customHeight="1" x14ac:dyDescent="0.2">
      <c r="A280" s="206" t="s">
        <v>339</v>
      </c>
      <c r="B280" s="206" t="s">
        <v>357</v>
      </c>
      <c r="C280" s="207">
        <v>488586</v>
      </c>
      <c r="D280" s="206" t="s">
        <v>357</v>
      </c>
      <c r="E280" s="208">
        <v>11</v>
      </c>
    </row>
    <row r="281" spans="1:5" s="156" customFormat="1" ht="19.7" customHeight="1" x14ac:dyDescent="0.2">
      <c r="A281" s="206" t="s">
        <v>339</v>
      </c>
      <c r="B281" s="206" t="s">
        <v>357</v>
      </c>
      <c r="C281" s="207">
        <v>488616</v>
      </c>
      <c r="D281" s="206" t="s">
        <v>368</v>
      </c>
      <c r="E281" s="208">
        <v>8</v>
      </c>
    </row>
    <row r="282" spans="1:5" s="156" customFormat="1" ht="19.7" customHeight="1" x14ac:dyDescent="0.2">
      <c r="A282" s="206" t="s">
        <v>339</v>
      </c>
      <c r="B282" s="206" t="s">
        <v>357</v>
      </c>
      <c r="C282" s="207">
        <v>588186</v>
      </c>
      <c r="D282" s="206" t="s">
        <v>358</v>
      </c>
      <c r="E282" s="208">
        <v>9</v>
      </c>
    </row>
    <row r="283" spans="1:5" s="156" customFormat="1" ht="19.7" customHeight="1" x14ac:dyDescent="0.2">
      <c r="A283" s="206" t="s">
        <v>339</v>
      </c>
      <c r="B283" s="206" t="s">
        <v>357</v>
      </c>
      <c r="C283" s="207">
        <v>588316</v>
      </c>
      <c r="D283" s="206" t="s">
        <v>360</v>
      </c>
      <c r="E283" s="208">
        <v>2</v>
      </c>
    </row>
    <row r="284" spans="1:5" s="156" customFormat="1" ht="19.7" customHeight="1" x14ac:dyDescent="0.2">
      <c r="A284" s="206" t="s">
        <v>339</v>
      </c>
      <c r="B284" s="206" t="s">
        <v>357</v>
      </c>
      <c r="C284" s="207">
        <v>588386</v>
      </c>
      <c r="D284" s="206" t="s">
        <v>363</v>
      </c>
      <c r="E284" s="208">
        <v>1</v>
      </c>
    </row>
    <row r="285" spans="1:5" s="156" customFormat="1" ht="19.7" customHeight="1" x14ac:dyDescent="0.2">
      <c r="A285" s="206" t="s">
        <v>339</v>
      </c>
      <c r="B285" s="206" t="s">
        <v>357</v>
      </c>
      <c r="C285" s="207">
        <v>588461</v>
      </c>
      <c r="D285" s="206" t="s">
        <v>364</v>
      </c>
      <c r="E285" s="208">
        <v>5</v>
      </c>
    </row>
    <row r="286" spans="1:5" s="156" customFormat="1" ht="19.7" customHeight="1" x14ac:dyDescent="0.2">
      <c r="A286" s="206" t="s">
        <v>339</v>
      </c>
      <c r="B286" s="206" t="s">
        <v>357</v>
      </c>
      <c r="C286" s="207">
        <v>588551</v>
      </c>
      <c r="D286" s="206" t="s">
        <v>365</v>
      </c>
      <c r="E286" s="208">
        <v>3</v>
      </c>
    </row>
    <row r="287" spans="1:5" s="156" customFormat="1" ht="19.7" customHeight="1" x14ac:dyDescent="0.2">
      <c r="A287" s="206" t="s">
        <v>339</v>
      </c>
      <c r="B287" s="206" t="s">
        <v>357</v>
      </c>
      <c r="C287" s="207">
        <v>588587</v>
      </c>
      <c r="D287" s="206" t="s">
        <v>367</v>
      </c>
      <c r="E287" s="208">
        <v>8</v>
      </c>
    </row>
    <row r="288" spans="1:5" s="156" customFormat="1" ht="19.7" customHeight="1" x14ac:dyDescent="0.2">
      <c r="A288" s="206" t="s">
        <v>339</v>
      </c>
      <c r="B288" s="206" t="s">
        <v>357</v>
      </c>
      <c r="C288" s="207">
        <v>588666</v>
      </c>
      <c r="D288" s="206" t="s">
        <v>369</v>
      </c>
      <c r="E288" s="208">
        <v>4</v>
      </c>
    </row>
    <row r="289" s="156" customFormat="1" ht="28.7" customHeight="1" x14ac:dyDescent="0.2"/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Z297"/>
  <sheetViews>
    <sheetView workbookViewId="0">
      <selection sqref="A1:XFD1048576"/>
    </sheetView>
  </sheetViews>
  <sheetFormatPr baseColWidth="10" defaultRowHeight="15" x14ac:dyDescent="0.25"/>
  <cols>
    <col min="1" max="1" width="5.5703125" bestFit="1" customWidth="1"/>
    <col min="2" max="2" width="35.28515625" bestFit="1" customWidth="1"/>
    <col min="3" max="3" width="7" bestFit="1" customWidth="1"/>
    <col min="4" max="4" width="31.28515625" bestFit="1" customWidth="1"/>
    <col min="5" max="5" width="9.85546875" bestFit="1" customWidth="1"/>
    <col min="6" max="6" width="40.85546875" bestFit="1" customWidth="1"/>
    <col min="7" max="8" width="8.42578125" bestFit="1" customWidth="1"/>
    <col min="9" max="9" width="9.5703125" bestFit="1" customWidth="1"/>
    <col min="10" max="10" width="9.85546875" bestFit="1" customWidth="1"/>
    <col min="11" max="11" width="5.28515625" bestFit="1" customWidth="1"/>
  </cols>
  <sheetData>
    <row r="1" spans="1:26" x14ac:dyDescent="0.25">
      <c r="A1" s="265" t="s">
        <v>445</v>
      </c>
      <c r="B1" s="265"/>
      <c r="C1" s="265"/>
      <c r="D1" s="265"/>
      <c r="E1" s="265"/>
      <c r="F1" s="265"/>
      <c r="G1" s="265"/>
      <c r="H1" s="265"/>
      <c r="I1" s="265"/>
      <c r="J1" s="265"/>
      <c r="K1" s="265"/>
      <c r="M1" s="266" t="s">
        <v>446</v>
      </c>
      <c r="N1" s="266"/>
      <c r="O1" s="266"/>
      <c r="P1" s="266"/>
      <c r="Q1" s="266"/>
      <c r="R1" s="266"/>
      <c r="S1" s="266"/>
      <c r="U1" s="267" t="s">
        <v>447</v>
      </c>
      <c r="V1" s="267"/>
      <c r="W1" s="267"/>
      <c r="X1" s="267"/>
      <c r="Y1" s="267"/>
      <c r="Z1" s="267"/>
    </row>
    <row r="2" spans="1:26" x14ac:dyDescent="0.25">
      <c r="M2" t="s">
        <v>448</v>
      </c>
      <c r="O2">
        <v>47</v>
      </c>
    </row>
    <row r="3" spans="1:26" ht="15.75" thickBot="1" x14ac:dyDescent="0.3">
      <c r="M3" s="55" t="s">
        <v>449</v>
      </c>
      <c r="N3" s="55"/>
      <c r="O3">
        <f>50-O2</f>
        <v>3</v>
      </c>
    </row>
    <row r="4" spans="1:26" ht="30.75" thickBot="1" x14ac:dyDescent="0.3">
      <c r="A4" s="79"/>
      <c r="B4" s="80" t="s">
        <v>450</v>
      </c>
      <c r="C4" s="79" t="s">
        <v>451</v>
      </c>
      <c r="D4" s="80" t="s">
        <v>452</v>
      </c>
      <c r="E4" s="79" t="s">
        <v>451</v>
      </c>
      <c r="F4" s="80" t="s">
        <v>453</v>
      </c>
      <c r="G4" s="80" t="s">
        <v>697</v>
      </c>
      <c r="H4" s="81" t="s">
        <v>455</v>
      </c>
      <c r="I4" s="82" t="s">
        <v>456</v>
      </c>
      <c r="J4" s="82" t="s">
        <v>457</v>
      </c>
      <c r="K4" s="83" t="s">
        <v>458</v>
      </c>
      <c r="M4" s="84" t="s">
        <v>456</v>
      </c>
      <c r="N4" s="84" t="s">
        <v>459</v>
      </c>
      <c r="O4" s="84" t="s">
        <v>460</v>
      </c>
      <c r="P4" s="84" t="s">
        <v>461</v>
      </c>
      <c r="Q4" s="84" t="s">
        <v>462</v>
      </c>
      <c r="R4" s="84" t="s">
        <v>463</v>
      </c>
      <c r="S4" s="84" t="s">
        <v>464</v>
      </c>
      <c r="U4" s="84" t="s">
        <v>465</v>
      </c>
      <c r="V4" s="84" t="s">
        <v>466</v>
      </c>
      <c r="W4" s="84" t="s">
        <v>467</v>
      </c>
      <c r="X4" s="84" t="s">
        <v>468</v>
      </c>
      <c r="Y4" s="84" t="s">
        <v>469</v>
      </c>
      <c r="Z4" s="84" t="s">
        <v>470</v>
      </c>
    </row>
    <row r="5" spans="1:26" ht="19.5" thickBot="1" x14ac:dyDescent="0.35">
      <c r="A5" s="85">
        <v>50</v>
      </c>
      <c r="B5" s="86" t="s">
        <v>4</v>
      </c>
      <c r="C5" s="85">
        <v>21</v>
      </c>
      <c r="D5" s="86" t="s">
        <v>0</v>
      </c>
      <c r="E5" s="85">
        <v>410560</v>
      </c>
      <c r="F5" s="86" t="s">
        <v>5</v>
      </c>
      <c r="G5" s="87">
        <v>1.909956709956709</v>
      </c>
      <c r="H5" s="88">
        <v>160.86531408189035</v>
      </c>
      <c r="I5" s="89">
        <v>0.77828052873705822</v>
      </c>
      <c r="J5" s="90">
        <v>0.9370574812011998</v>
      </c>
      <c r="K5" s="91">
        <v>187</v>
      </c>
      <c r="M5" s="89">
        <f t="shared" ref="M5:M68" si="0">I5</f>
        <v>0.77828052873705822</v>
      </c>
      <c r="N5" s="89">
        <f>VLOOKUP(1,$K$5:$M$297,3,0)</f>
        <v>12.364940958668676</v>
      </c>
      <c r="O5" s="89">
        <f>VLOOKUP(10,$K$5:$M$297,3,0)</f>
        <v>2.8979256356460135</v>
      </c>
      <c r="P5" s="89">
        <f>VLOOKUP(30,$K$5:$M$297,3,0)</f>
        <v>2.040491675408469</v>
      </c>
      <c r="Q5" s="89">
        <f>VLOOKUP(50,$K$5:$M$297,3,0)</f>
        <v>1.7291924487809196</v>
      </c>
      <c r="R5" s="89">
        <f>VLOOKUP(100,$K$5:$M$297,3,0)</f>
        <v>1.304287507917034</v>
      </c>
      <c r="S5" s="89">
        <f>VLOOKUP(150,$K$5:$M$297,3,0)</f>
        <v>0.9618174588876568</v>
      </c>
      <c r="U5" s="92">
        <f>((((($N$5-$M5)))/0.003)*G5*1000)+(((((($N$5/$O$2)-($M5/$O$2))))/0.003)*G5*1000)*$O$3</f>
        <v>7847524.7638786463</v>
      </c>
      <c r="V5" s="92">
        <f>((((($O$5-$M5)))/0.003)*G5*1000)+(((((($O$5/$O$2)-($M5/$O$2))))/0.003)*G5*1000)*$O$3</f>
        <v>1435613.6151303775</v>
      </c>
      <c r="W5" s="92">
        <f>((((($P$5-$M5)))/0.003)*G5*1000)+(((((($P$5/$O$2)-($M5/$O$2))))/0.003)*G5*1000)*$O$3</f>
        <v>854882.49963376322</v>
      </c>
      <c r="X5" s="92">
        <f>((((($Q$5-$M5)))/0.003)*G5*1000)+(((((($Q$5/$O$2)-($M5/$O$2))))/0.003)*G5*1000)*$O$3</f>
        <v>644042.76676084788</v>
      </c>
      <c r="Y5" s="92">
        <f>((((($R$5-$M5)))/0.003)*G5*1000)+(((((($R$5/$O$2)-($M5/$O$2))))/0.003)*G5*1000)*$O$3</f>
        <v>356259.06360597647</v>
      </c>
      <c r="Z5" s="92">
        <f>((((($S$5-$M5)))/0.003)*G5*1000)+(((((($S$5/$O$2)-($M5/$O$2))))/0.003)*G5*1000)*$O$3</f>
        <v>124307.65647730196</v>
      </c>
    </row>
    <row r="6" spans="1:26" ht="19.5" thickBot="1" x14ac:dyDescent="0.35">
      <c r="A6" s="93">
        <v>50</v>
      </c>
      <c r="B6" s="94" t="s">
        <v>4</v>
      </c>
      <c r="C6" s="93">
        <v>21</v>
      </c>
      <c r="D6" s="94" t="s">
        <v>0</v>
      </c>
      <c r="E6" s="93">
        <v>410566</v>
      </c>
      <c r="F6" s="94" t="s">
        <v>56</v>
      </c>
      <c r="G6" s="95">
        <v>9.1868593771819587</v>
      </c>
      <c r="H6" s="96">
        <v>195.37448069119932</v>
      </c>
      <c r="I6" s="97">
        <v>1.2101592495922453</v>
      </c>
      <c r="J6" s="98">
        <v>0.90212979959731721</v>
      </c>
      <c r="K6" s="99">
        <v>113</v>
      </c>
      <c r="M6" s="89">
        <f t="shared" si="0"/>
        <v>1.2101592495922453</v>
      </c>
      <c r="N6" s="100"/>
      <c r="U6" s="92">
        <f>((((($N$5-$M6)))/0.003)*G6*1000)+(((((($N$5/$O$2)-($M6/$O$2))))/0.003)*G6*1000)*$O$3</f>
        <v>36339507.42710872</v>
      </c>
      <c r="V6" s="92">
        <f>((((($O$5-$M6)))/0.003)*G6*1000)+(((((($O$5/$O$2)-($M6/$O$2))))/0.003)*G6*1000)*$O$3</f>
        <v>5498323.5639044559</v>
      </c>
      <c r="W6" s="92">
        <f>((((($P$5-$M6)))/0.003)*G6*1000)+(((((($P$5/$O$2)-($M6/$O$2))))/0.003)*G6*1000)*$O$3</f>
        <v>2705016.7490383042</v>
      </c>
      <c r="X6" s="92">
        <f>((((($Q$5-$M6)))/0.003)*G6*1000)+(((((($Q$5/$O$2)-($M6/$O$2))))/0.003)*G6*1000)*$O$3</f>
        <v>1690881.2102961785</v>
      </c>
      <c r="Y6" s="92">
        <f t="shared" ref="Y6:Y69" si="1">((((($R$5-$M6)))/0.003)*G6*1000)+(((((($R$5/$O$2)-($M6/$O$2))))/0.003)*G6*1000)*$O$3</f>
        <v>306646.4796627271</v>
      </c>
      <c r="Z6" s="92">
        <f>((((($S$5-$M6)))/0.003)*G6*1000)+(((((($S$5/$O$2)-($M6/$O$2))))/0.003)*G6*1000)*$O$3</f>
        <v>-809035.85414205969</v>
      </c>
    </row>
    <row r="7" spans="1:26" ht="19.5" thickBot="1" x14ac:dyDescent="0.35">
      <c r="A7" s="93">
        <v>50</v>
      </c>
      <c r="B7" s="94" t="s">
        <v>4</v>
      </c>
      <c r="C7" s="93">
        <v>21</v>
      </c>
      <c r="D7" s="94" t="s">
        <v>0</v>
      </c>
      <c r="E7" s="93">
        <v>510590</v>
      </c>
      <c r="F7" s="94" t="s">
        <v>57</v>
      </c>
      <c r="G7" s="95">
        <v>2.4723326229637603</v>
      </c>
      <c r="H7" s="96">
        <v>133.28550136792427</v>
      </c>
      <c r="I7" s="97">
        <v>0.88290007959499228</v>
      </c>
      <c r="J7" s="98">
        <v>0.92859649855618442</v>
      </c>
      <c r="K7" s="99">
        <v>168</v>
      </c>
      <c r="M7" s="89">
        <f t="shared" si="0"/>
        <v>0.88290007959499228</v>
      </c>
      <c r="N7" s="100"/>
      <c r="U7" s="92">
        <f t="shared" ref="U7:U70" si="2">((((($N$5-$M7)))/0.003)*G7*1000)+(((((($N$5/$O$2)-($M7/$O$2))))/0.003)*G7*1000)*$O$3</f>
        <v>10066462.497708283</v>
      </c>
      <c r="V7" s="92">
        <f t="shared" ref="V7:V70" si="3">((((($O$5-$M7)))/0.003)*G7*1000)+(((((($O$5/$O$2)-($M7/$O$2))))/0.003)*G7*1000)*$O$3</f>
        <v>1766600.5029541245</v>
      </c>
      <c r="W7" s="92">
        <f t="shared" ref="W7:W70" si="4">((((($P$5-$M7)))/0.003)*G7*1000)+(((((($P$5/$O$2)-($M7/$O$2))))/0.003)*G7*1000)*$O$3</f>
        <v>1014876.4065242334</v>
      </c>
      <c r="X7" s="92">
        <f t="shared" ref="X7:X70" si="5">((((($Q$5-$M7)))/0.003)*G7*1000)+(((((($Q$5/$O$2)-($M7/$O$2))))/0.003)*G7*1000)*$O$3</f>
        <v>741956.11095874419</v>
      </c>
      <c r="Y7" s="92">
        <f t="shared" si="1"/>
        <v>369436.12976857682</v>
      </c>
      <c r="Z7" s="92">
        <f t="shared" ref="Z7:Z70" si="6">((((($S$5-$M7)))/0.003)*G7*1000)+(((((($S$5/$O$2)-($M7/$O$2))))/0.003)*G7*1000)*$O$3</f>
        <v>69187.947285127375</v>
      </c>
    </row>
    <row r="8" spans="1:26" ht="19.5" thickBot="1" x14ac:dyDescent="0.35">
      <c r="A8" s="93">
        <v>50</v>
      </c>
      <c r="B8" s="94" t="s">
        <v>4</v>
      </c>
      <c r="C8" s="93">
        <v>21</v>
      </c>
      <c r="D8" s="94" t="s">
        <v>0</v>
      </c>
      <c r="E8" s="93">
        <v>451154</v>
      </c>
      <c r="F8" s="94" t="s">
        <v>58</v>
      </c>
      <c r="G8" s="95">
        <v>2.7250147437103958</v>
      </c>
      <c r="H8" s="96">
        <v>42.053358355032366</v>
      </c>
      <c r="I8" s="97">
        <v>0.13136865972789935</v>
      </c>
      <c r="J8" s="98">
        <v>0.9893757147594141</v>
      </c>
      <c r="K8" s="99">
        <v>293</v>
      </c>
      <c r="M8" s="89">
        <f t="shared" si="0"/>
        <v>0.13136865972789935</v>
      </c>
      <c r="N8" s="100"/>
      <c r="U8" s="92">
        <f t="shared" si="2"/>
        <v>11821512.36980876</v>
      </c>
      <c r="V8" s="92">
        <f t="shared" si="3"/>
        <v>2673371.825777201</v>
      </c>
      <c r="W8" s="92">
        <f t="shared" si="4"/>
        <v>1844818.5692504982</v>
      </c>
      <c r="X8" s="92">
        <f t="shared" si="5"/>
        <v>1544004.7457520177</v>
      </c>
      <c r="Y8" s="92">
        <f t="shared" si="1"/>
        <v>1133411.7569117756</v>
      </c>
      <c r="Z8" s="92">
        <f t="shared" si="6"/>
        <v>802477.02893862862</v>
      </c>
    </row>
    <row r="9" spans="1:26" ht="19.5" thickBot="1" x14ac:dyDescent="0.35">
      <c r="A9" s="93">
        <v>50</v>
      </c>
      <c r="B9" s="94" t="s">
        <v>4</v>
      </c>
      <c r="C9" s="93">
        <v>21</v>
      </c>
      <c r="D9" s="94" t="s">
        <v>0</v>
      </c>
      <c r="E9" s="93">
        <v>410541</v>
      </c>
      <c r="F9" s="94" t="s">
        <v>59</v>
      </c>
      <c r="G9" s="95">
        <v>6.6645704356326227</v>
      </c>
      <c r="H9" s="96">
        <v>183.22167488565071</v>
      </c>
      <c r="I9" s="97">
        <v>0.92911006982886268</v>
      </c>
      <c r="J9" s="98">
        <v>0.92485932015894567</v>
      </c>
      <c r="K9" s="99">
        <v>158</v>
      </c>
      <c r="M9" s="89">
        <f t="shared" si="0"/>
        <v>0.92911006982886268</v>
      </c>
      <c r="N9" s="100"/>
      <c r="U9" s="92">
        <f t="shared" si="2"/>
        <v>27026560.44278587</v>
      </c>
      <c r="V9" s="92">
        <f t="shared" si="3"/>
        <v>4652946.8131767008</v>
      </c>
      <c r="W9" s="92">
        <f t="shared" si="4"/>
        <v>2626553.542997078</v>
      </c>
      <c r="X9" s="92">
        <f t="shared" si="5"/>
        <v>1890852.9676718067</v>
      </c>
      <c r="Y9" s="92">
        <f t="shared" si="1"/>
        <v>886665.41205631744</v>
      </c>
      <c r="Z9" s="92">
        <f t="shared" si="6"/>
        <v>77298.119910628797</v>
      </c>
    </row>
    <row r="10" spans="1:26" ht="19.5" thickBot="1" x14ac:dyDescent="0.35">
      <c r="A10" s="93">
        <v>50</v>
      </c>
      <c r="B10" s="94" t="s">
        <v>4</v>
      </c>
      <c r="C10" s="93">
        <v>21</v>
      </c>
      <c r="D10" s="94" t="s">
        <v>0</v>
      </c>
      <c r="E10" s="93">
        <v>410582</v>
      </c>
      <c r="F10" s="94" t="s">
        <v>471</v>
      </c>
      <c r="G10" s="95">
        <v>2.0710526315789468</v>
      </c>
      <c r="H10" s="96">
        <v>70.201366099110558</v>
      </c>
      <c r="I10" s="97">
        <v>0.43211249118170275</v>
      </c>
      <c r="J10" s="98">
        <v>0.96505341249698706</v>
      </c>
      <c r="K10" s="99">
        <v>253</v>
      </c>
      <c r="M10" s="89">
        <f t="shared" si="0"/>
        <v>0.43211249118170275</v>
      </c>
      <c r="N10" s="100"/>
      <c r="U10" s="92">
        <f t="shared" si="2"/>
        <v>8763658.085024491</v>
      </c>
      <c r="V10" s="92">
        <f t="shared" si="3"/>
        <v>1810932.1992286411</v>
      </c>
      <c r="W10" s="92">
        <f t="shared" si="4"/>
        <v>1181219.1283934908</v>
      </c>
      <c r="X10" s="92">
        <f t="shared" si="5"/>
        <v>952596.04948729323</v>
      </c>
      <c r="Y10" s="92">
        <f t="shared" si="1"/>
        <v>640539.13603089354</v>
      </c>
      <c r="Z10" s="92">
        <f t="shared" si="6"/>
        <v>389023.71181838895</v>
      </c>
    </row>
    <row r="11" spans="1:26" ht="19.5" thickBot="1" x14ac:dyDescent="0.35">
      <c r="A11" s="93">
        <v>50</v>
      </c>
      <c r="B11" s="94" t="s">
        <v>4</v>
      </c>
      <c r="C11" s="93">
        <v>21</v>
      </c>
      <c r="D11" s="94" t="s">
        <v>0</v>
      </c>
      <c r="E11" s="93">
        <v>451156</v>
      </c>
      <c r="F11" s="94" t="s">
        <v>61</v>
      </c>
      <c r="G11" s="95">
        <v>5.6138556674741817</v>
      </c>
      <c r="H11" s="96">
        <v>163.32029979183937</v>
      </c>
      <c r="I11" s="97">
        <v>0.97678470673386231</v>
      </c>
      <c r="J11" s="98">
        <v>0.92100369019157591</v>
      </c>
      <c r="K11" s="99">
        <v>147</v>
      </c>
      <c r="M11" s="89">
        <f t="shared" si="0"/>
        <v>0.97678470673386231</v>
      </c>
      <c r="N11" s="100"/>
      <c r="U11" s="92">
        <f t="shared" si="2"/>
        <v>22670732.452838928</v>
      </c>
      <c r="V11" s="92">
        <f t="shared" si="3"/>
        <v>3824470.8836135082</v>
      </c>
      <c r="W11" s="92">
        <f t="shared" si="4"/>
        <v>2117552.267597774</v>
      </c>
      <c r="X11" s="92">
        <f t="shared" si="5"/>
        <v>1497839.8818944416</v>
      </c>
      <c r="Y11" s="92">
        <f t="shared" si="1"/>
        <v>651969.31082830427</v>
      </c>
      <c r="Z11" s="92">
        <f t="shared" si="6"/>
        <v>-29795.733740394171</v>
      </c>
    </row>
    <row r="12" spans="1:26" ht="19.5" thickBot="1" x14ac:dyDescent="0.35">
      <c r="A12" s="93">
        <v>50</v>
      </c>
      <c r="B12" s="94" t="s">
        <v>4</v>
      </c>
      <c r="C12" s="93">
        <v>21</v>
      </c>
      <c r="D12" s="94" t="s">
        <v>0</v>
      </c>
      <c r="E12" s="93">
        <v>551157</v>
      </c>
      <c r="F12" s="94" t="s">
        <v>62</v>
      </c>
      <c r="G12" s="95">
        <v>2.497158525102761</v>
      </c>
      <c r="H12" s="96">
        <v>403.33399054373331</v>
      </c>
      <c r="I12" s="97">
        <v>5.5891844518063394</v>
      </c>
      <c r="J12" s="98">
        <v>0.5479813069476942</v>
      </c>
      <c r="K12" s="99">
        <v>3</v>
      </c>
      <c r="M12" s="89">
        <f t="shared" si="0"/>
        <v>5.5891844518063394</v>
      </c>
      <c r="N12" s="100"/>
      <c r="U12" s="92">
        <f t="shared" si="2"/>
        <v>6000048.980543186</v>
      </c>
      <c r="V12" s="92">
        <f t="shared" si="3"/>
        <v>-2383155.9915009649</v>
      </c>
      <c r="W12" s="92">
        <f t="shared" si="4"/>
        <v>-3142428.5175718185</v>
      </c>
      <c r="X12" s="92">
        <f t="shared" si="5"/>
        <v>-3418089.3394267415</v>
      </c>
      <c r="Y12" s="92">
        <f t="shared" si="1"/>
        <v>-3794349.9761063633</v>
      </c>
      <c r="Z12" s="92">
        <f t="shared" si="6"/>
        <v>-4097613.0975695094</v>
      </c>
    </row>
    <row r="13" spans="1:26" ht="19.5" thickBot="1" x14ac:dyDescent="0.35">
      <c r="A13" s="93">
        <v>50</v>
      </c>
      <c r="B13" s="94" t="s">
        <v>4</v>
      </c>
      <c r="C13" s="93">
        <v>21</v>
      </c>
      <c r="D13" s="94" t="s">
        <v>0</v>
      </c>
      <c r="E13" s="93">
        <v>451151</v>
      </c>
      <c r="F13" s="94" t="s">
        <v>63</v>
      </c>
      <c r="G13" s="95">
        <v>2.8322348251931855</v>
      </c>
      <c r="H13" s="96">
        <v>136.10610364333266</v>
      </c>
      <c r="I13" s="97">
        <v>1.093720726807569</v>
      </c>
      <c r="J13" s="98">
        <v>0.91154662764153394</v>
      </c>
      <c r="K13" s="99">
        <v>128</v>
      </c>
      <c r="M13" s="89">
        <f t="shared" si="0"/>
        <v>1.093720726807569</v>
      </c>
      <c r="N13" s="100"/>
      <c r="U13" s="92">
        <f t="shared" si="2"/>
        <v>11320121.440815262</v>
      </c>
      <c r="V13" s="92">
        <f t="shared" si="3"/>
        <v>1812032.6151052262</v>
      </c>
      <c r="W13" s="92">
        <f t="shared" si="4"/>
        <v>950878.60003853054</v>
      </c>
      <c r="X13" s="92">
        <f t="shared" si="5"/>
        <v>638228.77354553365</v>
      </c>
      <c r="Y13" s="92">
        <f t="shared" si="1"/>
        <v>211480.34414434651</v>
      </c>
      <c r="Z13" s="92">
        <f t="shared" si="6"/>
        <v>-132475.54218424205</v>
      </c>
    </row>
    <row r="14" spans="1:26" ht="19.5" thickBot="1" x14ac:dyDescent="0.35">
      <c r="A14" s="93">
        <v>50</v>
      </c>
      <c r="B14" s="94" t="s">
        <v>4</v>
      </c>
      <c r="C14" s="93">
        <v>14</v>
      </c>
      <c r="D14" s="94" t="s">
        <v>64</v>
      </c>
      <c r="E14" s="93">
        <v>510530</v>
      </c>
      <c r="F14" s="94" t="s">
        <v>65</v>
      </c>
      <c r="G14" s="95">
        <v>3.7165962368627157</v>
      </c>
      <c r="H14" s="96">
        <v>200.90083763316809</v>
      </c>
      <c r="I14" s="97">
        <v>2.1199713930913715</v>
      </c>
      <c r="J14" s="98">
        <v>0.82854981676195338</v>
      </c>
      <c r="K14" s="99">
        <v>29</v>
      </c>
      <c r="M14" s="89">
        <f t="shared" si="0"/>
        <v>2.1199713930913715</v>
      </c>
      <c r="N14" s="100"/>
      <c r="U14" s="92">
        <f t="shared" si="2"/>
        <v>13502274.941204842</v>
      </c>
      <c r="V14" s="92">
        <f t="shared" si="3"/>
        <v>1025298.5143014068</v>
      </c>
      <c r="W14" s="92">
        <f t="shared" si="4"/>
        <v>-104749.65235715835</v>
      </c>
      <c r="X14" s="92">
        <f t="shared" si="5"/>
        <v>-515023.95527284051</v>
      </c>
      <c r="Y14" s="92">
        <f t="shared" si="1"/>
        <v>-1075023.9922370575</v>
      </c>
      <c r="Z14" s="92">
        <f t="shared" si="6"/>
        <v>-1526379.6289252748</v>
      </c>
    </row>
    <row r="15" spans="1:26" ht="19.5" thickBot="1" x14ac:dyDescent="0.35">
      <c r="A15" s="93">
        <v>50</v>
      </c>
      <c r="B15" s="94" t="s">
        <v>4</v>
      </c>
      <c r="C15" s="93">
        <v>14</v>
      </c>
      <c r="D15" s="94" t="s">
        <v>64</v>
      </c>
      <c r="E15" s="93">
        <v>410550</v>
      </c>
      <c r="F15" s="94" t="s">
        <v>66</v>
      </c>
      <c r="G15" s="95">
        <v>2.9867510944988345</v>
      </c>
      <c r="H15" s="96">
        <v>217.57466215946624</v>
      </c>
      <c r="I15" s="97">
        <v>1.4951286652292353</v>
      </c>
      <c r="J15" s="98">
        <v>0.87908323458826976</v>
      </c>
      <c r="K15" s="99">
        <v>73</v>
      </c>
      <c r="M15" s="89">
        <f t="shared" si="0"/>
        <v>1.4951286652292353</v>
      </c>
      <c r="N15" s="100"/>
      <c r="U15" s="92">
        <f t="shared" si="2"/>
        <v>11512561.618591184</v>
      </c>
      <c r="V15" s="92">
        <f t="shared" si="3"/>
        <v>1485746.5910467948</v>
      </c>
      <c r="W15" s="92">
        <f t="shared" si="4"/>
        <v>577611.19416737766</v>
      </c>
      <c r="X15" s="92">
        <f t="shared" si="5"/>
        <v>247904.34812252887</v>
      </c>
      <c r="Y15" s="92">
        <f t="shared" si="1"/>
        <v>-202125.89910554665</v>
      </c>
      <c r="Z15" s="92">
        <f t="shared" si="6"/>
        <v>-564846.74796071043</v>
      </c>
    </row>
    <row r="16" spans="1:26" ht="19.5" thickBot="1" x14ac:dyDescent="0.35">
      <c r="A16" s="93">
        <v>50</v>
      </c>
      <c r="B16" s="94" t="s">
        <v>4</v>
      </c>
      <c r="C16" s="93">
        <v>14</v>
      </c>
      <c r="D16" s="94" t="s">
        <v>64</v>
      </c>
      <c r="E16" s="93">
        <v>510556</v>
      </c>
      <c r="F16" s="94" t="s">
        <v>67</v>
      </c>
      <c r="G16" s="95">
        <v>3.7586928362379339</v>
      </c>
      <c r="H16" s="96">
        <v>187.05192187869804</v>
      </c>
      <c r="I16" s="97">
        <v>2.1421721164581764</v>
      </c>
      <c r="J16" s="98">
        <v>0.82675435947339748</v>
      </c>
      <c r="K16" s="99">
        <v>27</v>
      </c>
      <c r="M16" s="89">
        <f t="shared" si="0"/>
        <v>2.1421721164581764</v>
      </c>
      <c r="N16" s="100"/>
      <c r="U16" s="92">
        <f t="shared" si="2"/>
        <v>13625619.863025872</v>
      </c>
      <c r="V16" s="92">
        <f t="shared" si="3"/>
        <v>1007321.0420329543</v>
      </c>
      <c r="W16" s="92">
        <f t="shared" si="4"/>
        <v>-135526.78913441449</v>
      </c>
      <c r="X16" s="92">
        <f t="shared" si="5"/>
        <v>-550448.1270958964</v>
      </c>
      <c r="Y16" s="92">
        <f t="shared" si="1"/>
        <v>-1116791.0906800064</v>
      </c>
      <c r="Z16" s="92">
        <f t="shared" si="6"/>
        <v>-1573259.0764646779</v>
      </c>
    </row>
    <row r="17" spans="1:26" ht="19.5" thickBot="1" x14ac:dyDescent="0.35">
      <c r="A17" s="93">
        <v>50</v>
      </c>
      <c r="B17" s="94" t="s">
        <v>4</v>
      </c>
      <c r="C17" s="93">
        <v>14</v>
      </c>
      <c r="D17" s="94" t="s">
        <v>64</v>
      </c>
      <c r="E17" s="93">
        <v>410551</v>
      </c>
      <c r="F17" s="94" t="s">
        <v>472</v>
      </c>
      <c r="G17" s="95">
        <v>2.3547797948533069</v>
      </c>
      <c r="H17" s="96">
        <v>108.95430831823612</v>
      </c>
      <c r="I17" s="97">
        <v>0.67502992629891423</v>
      </c>
      <c r="J17" s="98">
        <v>0.94540775175916458</v>
      </c>
      <c r="K17" s="99">
        <v>211</v>
      </c>
      <c r="M17" s="89">
        <f t="shared" si="0"/>
        <v>0.67502992629891423</v>
      </c>
      <c r="N17" s="100"/>
      <c r="U17" s="92">
        <f t="shared" si="2"/>
        <v>9761406.490303928</v>
      </c>
      <c r="V17" s="92">
        <f t="shared" si="3"/>
        <v>1856180.8164669001</v>
      </c>
      <c r="W17" s="92">
        <f t="shared" si="4"/>
        <v>1140199.1976766791</v>
      </c>
      <c r="X17" s="92">
        <f t="shared" si="5"/>
        <v>880255.53490504296</v>
      </c>
      <c r="Y17" s="92">
        <f t="shared" si="1"/>
        <v>525447.88615340565</v>
      </c>
      <c r="Z17" s="92">
        <f t="shared" si="6"/>
        <v>239475.70466517919</v>
      </c>
    </row>
    <row r="18" spans="1:26" ht="19.5" thickBot="1" x14ac:dyDescent="0.35">
      <c r="A18" s="93">
        <v>50</v>
      </c>
      <c r="B18" s="94" t="s">
        <v>4</v>
      </c>
      <c r="C18" s="93">
        <v>14</v>
      </c>
      <c r="D18" s="94" t="s">
        <v>64</v>
      </c>
      <c r="E18" s="93">
        <v>510523</v>
      </c>
      <c r="F18" s="94" t="s">
        <v>69</v>
      </c>
      <c r="G18" s="95">
        <v>5.7377038062451815</v>
      </c>
      <c r="H18" s="96">
        <v>158.36283347024559</v>
      </c>
      <c r="I18" s="97">
        <v>0.73563003069552957</v>
      </c>
      <c r="J18" s="98">
        <v>0.94050678987029024</v>
      </c>
      <c r="K18" s="99">
        <v>197</v>
      </c>
      <c r="M18" s="89">
        <f t="shared" si="0"/>
        <v>0.73563003069552957</v>
      </c>
      <c r="N18" s="100"/>
      <c r="U18" s="92">
        <f t="shared" si="2"/>
        <v>23661539.565758936</v>
      </c>
      <c r="V18" s="92">
        <f t="shared" si="3"/>
        <v>4399507.7031034101</v>
      </c>
      <c r="W18" s="92">
        <f t="shared" si="4"/>
        <v>2654932.4913094966</v>
      </c>
      <c r="X18" s="92">
        <f t="shared" si="5"/>
        <v>2021548.5347484781</v>
      </c>
      <c r="Y18" s="92">
        <f t="shared" si="1"/>
        <v>1157017.0820934782</v>
      </c>
      <c r="Z18" s="92">
        <f t="shared" si="6"/>
        <v>460211.51335559471</v>
      </c>
    </row>
    <row r="19" spans="1:26" ht="19.5" thickBot="1" x14ac:dyDescent="0.35">
      <c r="A19" s="93">
        <v>50</v>
      </c>
      <c r="B19" s="94" t="s">
        <v>4</v>
      </c>
      <c r="C19" s="93">
        <v>14</v>
      </c>
      <c r="D19" s="94" t="s">
        <v>64</v>
      </c>
      <c r="E19" s="93">
        <v>510570</v>
      </c>
      <c r="F19" s="94" t="s">
        <v>70</v>
      </c>
      <c r="G19" s="95">
        <v>3.8211716883116864</v>
      </c>
      <c r="H19" s="96">
        <v>251.14292025543821</v>
      </c>
      <c r="I19" s="97">
        <v>2.8551465204172448</v>
      </c>
      <c r="J19" s="98">
        <v>0.76909339640513286</v>
      </c>
      <c r="K19" s="99">
        <v>12</v>
      </c>
      <c r="M19" s="89">
        <f t="shared" si="0"/>
        <v>2.8551465204172448</v>
      </c>
      <c r="N19" s="100"/>
      <c r="U19" s="92">
        <f t="shared" si="2"/>
        <v>12886013.215996563</v>
      </c>
      <c r="V19" s="92">
        <f t="shared" si="3"/>
        <v>57966.788639430531</v>
      </c>
      <c r="W19" s="92">
        <f t="shared" si="4"/>
        <v>-1103878.0246430777</v>
      </c>
      <c r="X19" s="92">
        <f t="shared" si="5"/>
        <v>-1525696.3903815583</v>
      </c>
      <c r="Y19" s="92">
        <f t="shared" si="1"/>
        <v>-2101453.3869251157</v>
      </c>
      <c r="Z19" s="92">
        <f t="shared" si="6"/>
        <v>-2565509.0094236163</v>
      </c>
    </row>
    <row r="20" spans="1:26" ht="19.5" thickBot="1" x14ac:dyDescent="0.35">
      <c r="A20" s="93">
        <v>50</v>
      </c>
      <c r="B20" s="94" t="s">
        <v>4</v>
      </c>
      <c r="C20" s="93">
        <v>14</v>
      </c>
      <c r="D20" s="94" t="s">
        <v>64</v>
      </c>
      <c r="E20" s="93">
        <v>410571</v>
      </c>
      <c r="F20" s="94" t="s">
        <v>473</v>
      </c>
      <c r="G20" s="95">
        <v>6.5513831117223136</v>
      </c>
      <c r="H20" s="96">
        <v>197.77122264177518</v>
      </c>
      <c r="I20" s="97">
        <v>1.3283112139220068</v>
      </c>
      <c r="J20" s="98">
        <v>0.89257439899130542</v>
      </c>
      <c r="K20" s="99">
        <v>97</v>
      </c>
      <c r="M20" s="89">
        <f t="shared" si="0"/>
        <v>1.3283112139220068</v>
      </c>
      <c r="N20" s="100"/>
      <c r="U20" s="92">
        <f t="shared" si="2"/>
        <v>25640138.198604777</v>
      </c>
      <c r="V20" s="92">
        <f t="shared" si="3"/>
        <v>3646505.4660987379</v>
      </c>
      <c r="W20" s="92">
        <f t="shared" si="4"/>
        <v>1654527.3219436214</v>
      </c>
      <c r="X20" s="92">
        <f t="shared" si="5"/>
        <v>931321.47229115875</v>
      </c>
      <c r="Y20" s="92">
        <f t="shared" si="1"/>
        <v>-55811.525461688281</v>
      </c>
      <c r="Z20" s="92">
        <f t="shared" si="6"/>
        <v>-851432.97776018979</v>
      </c>
    </row>
    <row r="21" spans="1:26" ht="19.5" thickBot="1" x14ac:dyDescent="0.35">
      <c r="A21" s="93">
        <v>50</v>
      </c>
      <c r="B21" s="94" t="s">
        <v>4</v>
      </c>
      <c r="C21" s="93">
        <v>14</v>
      </c>
      <c r="D21" s="94" t="s">
        <v>64</v>
      </c>
      <c r="E21" s="93">
        <v>510520</v>
      </c>
      <c r="F21" s="94" t="s">
        <v>72</v>
      </c>
      <c r="G21" s="95">
        <v>4.4635059956406362</v>
      </c>
      <c r="H21" s="96">
        <v>446.73800811458386</v>
      </c>
      <c r="I21" s="97">
        <v>1.5908097603173201</v>
      </c>
      <c r="J21" s="98">
        <v>0.87134513899946664</v>
      </c>
      <c r="K21" s="99">
        <v>61</v>
      </c>
      <c r="M21" s="89">
        <f t="shared" si="0"/>
        <v>1.5908097603173201</v>
      </c>
      <c r="N21" s="100"/>
      <c r="U21" s="92">
        <f t="shared" si="2"/>
        <v>17053333.050234079</v>
      </c>
      <c r="V21" s="92">
        <f t="shared" si="3"/>
        <v>2068907.6406122982</v>
      </c>
      <c r="W21" s="92">
        <f t="shared" si="4"/>
        <v>711758.12912783911</v>
      </c>
      <c r="X21" s="92">
        <f t="shared" si="5"/>
        <v>219032.60980501652</v>
      </c>
      <c r="Y21" s="92">
        <f t="shared" si="1"/>
        <v>-453508.43669260171</v>
      </c>
      <c r="Z21" s="92">
        <f t="shared" si="6"/>
        <v>-995571.24419968249</v>
      </c>
    </row>
    <row r="22" spans="1:26" ht="19.5" thickBot="1" x14ac:dyDescent="0.35">
      <c r="A22" s="93">
        <v>50</v>
      </c>
      <c r="B22" s="94" t="s">
        <v>4</v>
      </c>
      <c r="C22" s="93">
        <v>14</v>
      </c>
      <c r="D22" s="94" t="s">
        <v>64</v>
      </c>
      <c r="E22" s="93">
        <v>410524</v>
      </c>
      <c r="F22" s="94" t="s">
        <v>74</v>
      </c>
      <c r="G22" s="95">
        <v>5.2387683996292607</v>
      </c>
      <c r="H22" s="96">
        <v>389.75553825294082</v>
      </c>
      <c r="I22" s="97">
        <v>1.9990694162278932</v>
      </c>
      <c r="J22" s="98">
        <v>0.83832762138452366</v>
      </c>
      <c r="K22" s="99">
        <v>31</v>
      </c>
      <c r="M22" s="89">
        <f t="shared" si="0"/>
        <v>1.9990694162278932</v>
      </c>
      <c r="N22" s="100"/>
      <c r="U22" s="92">
        <f t="shared" si="2"/>
        <v>19256879.528778367</v>
      </c>
      <c r="V22" s="92">
        <f t="shared" si="3"/>
        <v>1669822.5383325792</v>
      </c>
      <c r="W22" s="92">
        <f t="shared" si="4"/>
        <v>76950.929942004674</v>
      </c>
      <c r="X22" s="92">
        <f t="shared" si="5"/>
        <v>-501355.64852800709</v>
      </c>
      <c r="Y22" s="92">
        <f t="shared" si="1"/>
        <v>-1290709.7538627817</v>
      </c>
      <c r="Z22" s="92">
        <f t="shared" si="6"/>
        <v>-1926922.9704140525</v>
      </c>
    </row>
    <row r="23" spans="1:26" ht="19.5" thickBot="1" x14ac:dyDescent="0.35">
      <c r="A23" s="93">
        <v>50</v>
      </c>
      <c r="B23" s="94" t="s">
        <v>4</v>
      </c>
      <c r="C23" s="93">
        <v>14</v>
      </c>
      <c r="D23" s="94" t="s">
        <v>64</v>
      </c>
      <c r="E23" s="93">
        <v>410521</v>
      </c>
      <c r="F23" s="94" t="s">
        <v>73</v>
      </c>
      <c r="G23" s="95">
        <v>4.4850023982562579</v>
      </c>
      <c r="H23" s="96">
        <v>216.40856807063486</v>
      </c>
      <c r="I23" s="97">
        <v>1.428888081061364</v>
      </c>
      <c r="J23" s="98">
        <v>0.88444036361858924</v>
      </c>
      <c r="K23" s="99">
        <v>86</v>
      </c>
      <c r="M23" s="89">
        <f t="shared" si="0"/>
        <v>1.428888081061364</v>
      </c>
      <c r="N23" s="100"/>
      <c r="U23" s="92">
        <f t="shared" si="2"/>
        <v>17392987.015434768</v>
      </c>
      <c r="V23" s="92">
        <f t="shared" si="3"/>
        <v>2336396.0834895959</v>
      </c>
      <c r="W23" s="92">
        <f t="shared" si="4"/>
        <v>972710.49199606851</v>
      </c>
      <c r="X23" s="92">
        <f t="shared" si="5"/>
        <v>477611.98915923259</v>
      </c>
      <c r="Y23" s="92">
        <f t="shared" si="1"/>
        <v>-198168.03878596611</v>
      </c>
      <c r="Z23" s="92">
        <f t="shared" si="6"/>
        <v>-742841.43993053876</v>
      </c>
    </row>
    <row r="24" spans="1:26" ht="19.5" thickBot="1" x14ac:dyDescent="0.35">
      <c r="A24" s="93">
        <v>50</v>
      </c>
      <c r="B24" s="94" t="s">
        <v>4</v>
      </c>
      <c r="C24" s="93">
        <v>14</v>
      </c>
      <c r="D24" s="94" t="s">
        <v>64</v>
      </c>
      <c r="E24" s="93">
        <v>510513</v>
      </c>
      <c r="F24" s="94" t="s">
        <v>474</v>
      </c>
      <c r="G24" s="95">
        <v>4.1535167486323861</v>
      </c>
      <c r="H24" s="96">
        <v>210.74384605965923</v>
      </c>
      <c r="I24" s="97">
        <v>1.3065173348889978</v>
      </c>
      <c r="J24" s="98">
        <v>0.89433695322475126</v>
      </c>
      <c r="K24" s="99">
        <v>99</v>
      </c>
      <c r="M24" s="89">
        <f t="shared" si="0"/>
        <v>1.3065173348889978</v>
      </c>
      <c r="N24" s="100"/>
      <c r="U24" s="92">
        <f t="shared" si="2"/>
        <v>16287711.962709552</v>
      </c>
      <c r="V24" s="92">
        <f t="shared" si="3"/>
        <v>2343950.7202506629</v>
      </c>
      <c r="W24" s="92">
        <f t="shared" si="4"/>
        <v>1081054.8639766076</v>
      </c>
      <c r="X24" s="92">
        <f t="shared" si="5"/>
        <v>622548.99460290722</v>
      </c>
      <c r="Y24" s="92">
        <f t="shared" si="1"/>
        <v>-3284.263714398583</v>
      </c>
      <c r="Z24" s="92">
        <f t="shared" si="6"/>
        <v>-507700.96036279312</v>
      </c>
    </row>
    <row r="25" spans="1:26" ht="19.5" thickBot="1" x14ac:dyDescent="0.35">
      <c r="A25" s="93">
        <v>50</v>
      </c>
      <c r="B25" s="94" t="s">
        <v>4</v>
      </c>
      <c r="C25" s="93">
        <v>14</v>
      </c>
      <c r="D25" s="94" t="s">
        <v>64</v>
      </c>
      <c r="E25" s="93">
        <v>510511</v>
      </c>
      <c r="F25" s="94" t="s">
        <v>76</v>
      </c>
      <c r="G25" s="95">
        <v>3.2214728245429014</v>
      </c>
      <c r="H25" s="96">
        <v>131.26604846030372</v>
      </c>
      <c r="I25" s="97">
        <v>0.89998695367277626</v>
      </c>
      <c r="J25" s="98">
        <v>0.92721461779064751</v>
      </c>
      <c r="K25" s="99">
        <v>164</v>
      </c>
      <c r="M25" s="89">
        <f t="shared" si="0"/>
        <v>0.89998695367277626</v>
      </c>
      <c r="N25" s="100"/>
      <c r="U25" s="92">
        <f t="shared" si="2"/>
        <v>13097176.511251273</v>
      </c>
      <c r="V25" s="92">
        <f t="shared" si="3"/>
        <v>2282377.7195318602</v>
      </c>
      <c r="W25" s="92">
        <f t="shared" si="4"/>
        <v>1302874.1018916303</v>
      </c>
      <c r="X25" s="92">
        <f t="shared" si="5"/>
        <v>947256.37179167569</v>
      </c>
      <c r="Y25" s="92">
        <f t="shared" si="1"/>
        <v>461859.30795940041</v>
      </c>
      <c r="Z25" s="92">
        <f t="shared" si="6"/>
        <v>70633.082367906289</v>
      </c>
    </row>
    <row r="26" spans="1:26" ht="19.5" thickBot="1" x14ac:dyDescent="0.35">
      <c r="A26" s="93">
        <v>50</v>
      </c>
      <c r="B26" s="94" t="s">
        <v>4</v>
      </c>
      <c r="C26" s="93">
        <v>14</v>
      </c>
      <c r="D26" s="94" t="s">
        <v>64</v>
      </c>
      <c r="E26" s="93">
        <v>510522</v>
      </c>
      <c r="F26" s="94" t="s">
        <v>77</v>
      </c>
      <c r="G26" s="95">
        <v>2.5875001669672071</v>
      </c>
      <c r="H26" s="96">
        <v>40.882591719400132</v>
      </c>
      <c r="I26" s="97">
        <v>0.28430104395402855</v>
      </c>
      <c r="J26" s="98">
        <v>0.97700748876162535</v>
      </c>
      <c r="K26" s="99">
        <v>276</v>
      </c>
      <c r="M26" s="89">
        <f t="shared" si="0"/>
        <v>0.28430104395402855</v>
      </c>
      <c r="N26" s="100"/>
      <c r="U26" s="92">
        <f t="shared" si="2"/>
        <v>11084630.424253495</v>
      </c>
      <c r="V26" s="92">
        <f t="shared" si="3"/>
        <v>2398139.7402101452</v>
      </c>
      <c r="W26" s="92">
        <f t="shared" si="4"/>
        <v>1611398.4227356771</v>
      </c>
      <c r="X26" s="92">
        <f t="shared" si="5"/>
        <v>1325764.8054039229</v>
      </c>
      <c r="Y26" s="92">
        <f t="shared" si="1"/>
        <v>935891.89567679702</v>
      </c>
      <c r="Z26" s="92">
        <f t="shared" si="6"/>
        <v>621657.3889233286</v>
      </c>
    </row>
    <row r="27" spans="1:26" ht="19.5" thickBot="1" x14ac:dyDescent="0.35">
      <c r="A27" s="93">
        <v>50</v>
      </c>
      <c r="B27" s="94" t="s">
        <v>4</v>
      </c>
      <c r="C27" s="93">
        <v>14</v>
      </c>
      <c r="D27" s="94" t="s">
        <v>64</v>
      </c>
      <c r="E27" s="93">
        <v>410510</v>
      </c>
      <c r="F27" s="94" t="s">
        <v>78</v>
      </c>
      <c r="G27" s="95">
        <v>9.7042865224070027</v>
      </c>
      <c r="H27" s="96">
        <v>278.86164536172197</v>
      </c>
      <c r="I27" s="97">
        <v>2.884804339171168</v>
      </c>
      <c r="J27" s="98">
        <v>0.76669485533218651</v>
      </c>
      <c r="K27" s="99">
        <v>11</v>
      </c>
      <c r="M27" s="89">
        <f t="shared" si="0"/>
        <v>2.884804339171168</v>
      </c>
      <c r="N27" s="100"/>
      <c r="U27" s="92">
        <f t="shared" si="2"/>
        <v>32623390.789775439</v>
      </c>
      <c r="V27" s="92">
        <f t="shared" si="3"/>
        <v>45153.482460053085</v>
      </c>
      <c r="W27" s="92">
        <f t="shared" si="4"/>
        <v>-2905479.4339184095</v>
      </c>
      <c r="X27" s="92">
        <f t="shared" si="5"/>
        <v>-3976733.6500167968</v>
      </c>
      <c r="Y27" s="92">
        <f t="shared" si="1"/>
        <v>-5438931.9801336583</v>
      </c>
      <c r="Z27" s="92">
        <f t="shared" si="6"/>
        <v>-6617452.3635109114</v>
      </c>
    </row>
    <row r="28" spans="1:26" ht="19.5" thickBot="1" x14ac:dyDescent="0.35">
      <c r="A28" s="93">
        <v>50</v>
      </c>
      <c r="B28" s="94" t="s">
        <v>4</v>
      </c>
      <c r="C28" s="93">
        <v>14</v>
      </c>
      <c r="D28" s="94" t="s">
        <v>64</v>
      </c>
      <c r="E28" s="93">
        <v>410512</v>
      </c>
      <c r="F28" s="94" t="s">
        <v>79</v>
      </c>
      <c r="G28" s="95">
        <v>4.4939813465565059</v>
      </c>
      <c r="H28" s="96">
        <v>215.48206587951489</v>
      </c>
      <c r="I28" s="97">
        <v>1.4018295043808295</v>
      </c>
      <c r="J28" s="98">
        <v>0.88662869405793232</v>
      </c>
      <c r="K28" s="99">
        <v>88</v>
      </c>
      <c r="M28" s="89">
        <f t="shared" si="0"/>
        <v>1.4018295043808295</v>
      </c>
      <c r="N28" s="100"/>
      <c r="U28" s="92">
        <f t="shared" si="2"/>
        <v>17470928.502053034</v>
      </c>
      <c r="V28" s="92">
        <f t="shared" si="3"/>
        <v>2384194.3640287556</v>
      </c>
      <c r="W28" s="92">
        <f t="shared" si="4"/>
        <v>1017778.6820388271</v>
      </c>
      <c r="X28" s="92">
        <f t="shared" si="5"/>
        <v>521688.99492475868</v>
      </c>
      <c r="Y28" s="92">
        <f t="shared" si="1"/>
        <v>-155443.94064332554</v>
      </c>
      <c r="Z28" s="92">
        <f t="shared" si="6"/>
        <v>-701207.77471861383</v>
      </c>
    </row>
    <row r="29" spans="1:26" ht="19.5" thickBot="1" x14ac:dyDescent="0.35">
      <c r="A29" s="93">
        <v>262</v>
      </c>
      <c r="B29" s="94" t="s">
        <v>475</v>
      </c>
      <c r="C29" s="93">
        <v>5060</v>
      </c>
      <c r="D29" s="94" t="s">
        <v>81</v>
      </c>
      <c r="E29" s="93">
        <v>4057</v>
      </c>
      <c r="F29" s="94" t="s">
        <v>82</v>
      </c>
      <c r="G29" s="95">
        <v>6.1500901777138246</v>
      </c>
      <c r="H29" s="96">
        <v>138.42361212603564</v>
      </c>
      <c r="I29" s="97">
        <v>1.0331955773471382</v>
      </c>
      <c r="J29" s="98">
        <v>0.91644152763844811</v>
      </c>
      <c r="K29" s="99">
        <v>140</v>
      </c>
      <c r="M29" s="89">
        <f t="shared" si="0"/>
        <v>1.0331955773471382</v>
      </c>
      <c r="N29" s="100"/>
      <c r="U29" s="92">
        <f t="shared" si="2"/>
        <v>24713211.335467935</v>
      </c>
      <c r="V29" s="92">
        <f t="shared" si="3"/>
        <v>4066758.1615715041</v>
      </c>
      <c r="W29" s="92">
        <f t="shared" si="4"/>
        <v>2196794.9782753377</v>
      </c>
      <c r="X29" s="92">
        <f t="shared" si="5"/>
        <v>1517887.7740157626</v>
      </c>
      <c r="Y29" s="92">
        <f t="shared" si="1"/>
        <v>591219.79413311847</v>
      </c>
      <c r="Z29" s="92">
        <f t="shared" si="6"/>
        <v>-155667.32809976963</v>
      </c>
    </row>
    <row r="30" spans="1:26" ht="19.5" thickBot="1" x14ac:dyDescent="0.35">
      <c r="A30" s="93">
        <v>262</v>
      </c>
      <c r="B30" s="94" t="s">
        <v>475</v>
      </c>
      <c r="C30" s="93">
        <v>5060</v>
      </c>
      <c r="D30" s="94" t="s">
        <v>81</v>
      </c>
      <c r="E30" s="93">
        <v>4082</v>
      </c>
      <c r="F30" s="94" t="s">
        <v>476</v>
      </c>
      <c r="G30" s="95">
        <v>2.8153302611367135</v>
      </c>
      <c r="H30" s="96">
        <v>143.50877709703286</v>
      </c>
      <c r="I30" s="97">
        <v>0.64116827557246348</v>
      </c>
      <c r="J30" s="98">
        <v>0.94814627277917085</v>
      </c>
      <c r="K30" s="99">
        <v>217</v>
      </c>
      <c r="M30" s="89">
        <f t="shared" si="0"/>
        <v>0.64116827557246348</v>
      </c>
      <c r="N30" s="100"/>
      <c r="U30" s="92">
        <f t="shared" si="2"/>
        <v>11704358.868584655</v>
      </c>
      <c r="V30" s="92">
        <f t="shared" si="3"/>
        <v>2253020.3148432863</v>
      </c>
      <c r="W30" s="92">
        <f t="shared" si="4"/>
        <v>1397006.210168445</v>
      </c>
      <c r="X30" s="92">
        <f t="shared" si="5"/>
        <v>1086222.4750645459</v>
      </c>
      <c r="Y30" s="92">
        <f t="shared" si="1"/>
        <v>662021.14948986401</v>
      </c>
      <c r="Z30" s="92">
        <f t="shared" si="6"/>
        <v>320118.208863843</v>
      </c>
    </row>
    <row r="31" spans="1:26" ht="19.5" thickBot="1" x14ac:dyDescent="0.35">
      <c r="A31" s="93">
        <v>262</v>
      </c>
      <c r="B31" s="94" t="s">
        <v>475</v>
      </c>
      <c r="C31" s="93">
        <v>5060</v>
      </c>
      <c r="D31" s="94" t="s">
        <v>81</v>
      </c>
      <c r="E31" s="93">
        <v>4030</v>
      </c>
      <c r="F31" s="94" t="s">
        <v>477</v>
      </c>
      <c r="G31" s="95">
        <v>7.2509326679234718</v>
      </c>
      <c r="H31" s="96">
        <v>167.44747114686825</v>
      </c>
      <c r="I31" s="97">
        <v>0.87879931560926383</v>
      </c>
      <c r="J31" s="98">
        <v>0.92892814300151061</v>
      </c>
      <c r="K31" s="99">
        <v>170</v>
      </c>
      <c r="M31" s="89">
        <f t="shared" si="0"/>
        <v>0.87879931560926383</v>
      </c>
      <c r="N31" s="100"/>
      <c r="U31" s="92">
        <f t="shared" si="2"/>
        <v>29533772.931934636</v>
      </c>
      <c r="V31" s="92">
        <f t="shared" si="3"/>
        <v>5191684.0406448832</v>
      </c>
      <c r="W31" s="92">
        <f t="shared" si="4"/>
        <v>2987004.6389167248</v>
      </c>
      <c r="X31" s="92">
        <f t="shared" si="5"/>
        <v>2186575.6559901256</v>
      </c>
      <c r="Y31" s="92">
        <f t="shared" si="1"/>
        <v>1094037.6714255726</v>
      </c>
      <c r="Z31" s="92">
        <f t="shared" si="6"/>
        <v>213460.62664101095</v>
      </c>
    </row>
    <row r="32" spans="1:26" ht="19.5" thickBot="1" x14ac:dyDescent="0.35">
      <c r="A32" s="93">
        <v>262</v>
      </c>
      <c r="B32" s="94" t="s">
        <v>475</v>
      </c>
      <c r="C32" s="93">
        <v>5060</v>
      </c>
      <c r="D32" s="94" t="s">
        <v>81</v>
      </c>
      <c r="E32" s="93">
        <v>4060</v>
      </c>
      <c r="F32" s="94" t="s">
        <v>478</v>
      </c>
      <c r="G32" s="95">
        <v>8.0197973171155397</v>
      </c>
      <c r="H32" s="96">
        <v>206.66061660472292</v>
      </c>
      <c r="I32" s="97">
        <v>1.9108970102142064</v>
      </c>
      <c r="J32" s="98">
        <v>0.84545846061039731</v>
      </c>
      <c r="K32" s="99">
        <v>35</v>
      </c>
      <c r="M32" s="89">
        <f t="shared" si="0"/>
        <v>1.9108970102142064</v>
      </c>
      <c r="N32" s="100"/>
      <c r="U32" s="92">
        <f t="shared" si="2"/>
        <v>29730253.053483367</v>
      </c>
      <c r="V32" s="92">
        <f t="shared" si="3"/>
        <v>2807010.4688490229</v>
      </c>
      <c r="W32" s="92">
        <f t="shared" si="4"/>
        <v>368554.23696362885</v>
      </c>
      <c r="X32" s="92">
        <f t="shared" si="5"/>
        <v>-516749.55825898214</v>
      </c>
      <c r="Y32" s="92">
        <f t="shared" si="1"/>
        <v>-1725136.6166878215</v>
      </c>
      <c r="Z32" s="92">
        <f t="shared" si="6"/>
        <v>-2699087.1061907383</v>
      </c>
    </row>
    <row r="33" spans="1:26" ht="19.5" thickBot="1" x14ac:dyDescent="0.35">
      <c r="A33" s="93">
        <v>262</v>
      </c>
      <c r="B33" s="94" t="s">
        <v>475</v>
      </c>
      <c r="C33" s="93">
        <v>5060</v>
      </c>
      <c r="D33" s="94" t="s">
        <v>81</v>
      </c>
      <c r="E33" s="93">
        <v>4064</v>
      </c>
      <c r="F33" s="94" t="s">
        <v>86</v>
      </c>
      <c r="G33" s="95">
        <v>1.3816109882720979</v>
      </c>
      <c r="H33" s="96">
        <v>159.98995634541598</v>
      </c>
      <c r="I33" s="97">
        <v>0.61871563874074276</v>
      </c>
      <c r="J33" s="98">
        <v>0.94996210327175246</v>
      </c>
      <c r="K33" s="99">
        <v>219</v>
      </c>
      <c r="M33" s="89">
        <f t="shared" si="0"/>
        <v>0.61871563874074276</v>
      </c>
      <c r="N33" s="100"/>
      <c r="U33" s="92">
        <f t="shared" si="2"/>
        <v>5754863.110898003</v>
      </c>
      <c r="V33" s="92">
        <f t="shared" si="3"/>
        <v>1116660.133441112</v>
      </c>
      <c r="W33" s="92">
        <f t="shared" si="4"/>
        <v>696574.96280924941</v>
      </c>
      <c r="X33" s="92">
        <f t="shared" si="5"/>
        <v>544059.20672796294</v>
      </c>
      <c r="Y33" s="92">
        <f t="shared" si="1"/>
        <v>335884.26514333516</v>
      </c>
      <c r="Z33" s="92">
        <f t="shared" si="6"/>
        <v>168096.89532309701</v>
      </c>
    </row>
    <row r="34" spans="1:26" ht="19.5" thickBot="1" x14ac:dyDescent="0.35">
      <c r="A34" s="93">
        <v>262</v>
      </c>
      <c r="B34" s="94" t="s">
        <v>475</v>
      </c>
      <c r="C34" s="93">
        <v>5060</v>
      </c>
      <c r="D34" s="94" t="s">
        <v>81</v>
      </c>
      <c r="E34" s="93">
        <v>4092</v>
      </c>
      <c r="F34" s="94" t="s">
        <v>479</v>
      </c>
      <c r="G34" s="95">
        <v>2.426816116831668</v>
      </c>
      <c r="H34" s="96">
        <v>102.47210321178584</v>
      </c>
      <c r="I34" s="97">
        <v>0.74907580026018661</v>
      </c>
      <c r="J34" s="98">
        <v>0.93941937913298057</v>
      </c>
      <c r="K34" s="99">
        <v>194</v>
      </c>
      <c r="M34" s="89">
        <f t="shared" si="0"/>
        <v>0.74907580026018661</v>
      </c>
      <c r="N34" s="100"/>
      <c r="U34" s="92">
        <f t="shared" si="2"/>
        <v>9996300.9848826807</v>
      </c>
      <c r="V34" s="92">
        <f t="shared" si="3"/>
        <v>1849242.3450941141</v>
      </c>
      <c r="W34" s="92">
        <f t="shared" si="4"/>
        <v>1111357.7515397607</v>
      </c>
      <c r="X34" s="92">
        <f t="shared" si="5"/>
        <v>843462.01383161487</v>
      </c>
      <c r="Y34" s="92">
        <f t="shared" si="1"/>
        <v>477800.25545931543</v>
      </c>
      <c r="Z34" s="92">
        <f t="shared" si="6"/>
        <v>183079.74676547712</v>
      </c>
    </row>
    <row r="35" spans="1:26" ht="19.5" thickBot="1" x14ac:dyDescent="0.35">
      <c r="A35" s="93">
        <v>262</v>
      </c>
      <c r="B35" s="94" t="s">
        <v>475</v>
      </c>
      <c r="C35" s="93">
        <v>5060</v>
      </c>
      <c r="D35" s="94" t="s">
        <v>81</v>
      </c>
      <c r="E35" s="93">
        <v>4041</v>
      </c>
      <c r="F35" s="94" t="s">
        <v>480</v>
      </c>
      <c r="G35" s="95">
        <v>2.4661802025144461</v>
      </c>
      <c r="H35" s="96">
        <v>245.61419240670909</v>
      </c>
      <c r="I35" s="97">
        <v>1.6648624630608069</v>
      </c>
      <c r="J35" s="98">
        <v>0.86535621410358421</v>
      </c>
      <c r="K35" s="99">
        <v>52</v>
      </c>
      <c r="M35" s="89">
        <f t="shared" si="0"/>
        <v>1.6648624630608069</v>
      </c>
      <c r="N35" s="100"/>
      <c r="U35" s="92">
        <f t="shared" si="2"/>
        <v>9357560.9046874754</v>
      </c>
      <c r="V35" s="92">
        <f t="shared" si="3"/>
        <v>1078353.1860564861</v>
      </c>
      <c r="W35" s="92">
        <f t="shared" si="4"/>
        <v>328499.76133968058</v>
      </c>
      <c r="X35" s="92">
        <f t="shared" si="5"/>
        <v>56258.630216659236</v>
      </c>
      <c r="Y35" s="92">
        <f t="shared" si="1"/>
        <v>-315334.33187876147</v>
      </c>
      <c r="Z35" s="92">
        <f t="shared" si="6"/>
        <v>-614835.34424415207</v>
      </c>
    </row>
    <row r="36" spans="1:26" ht="19.5" thickBot="1" x14ac:dyDescent="0.35">
      <c r="A36" s="93">
        <v>262</v>
      </c>
      <c r="B36" s="94" t="s">
        <v>475</v>
      </c>
      <c r="C36" s="93">
        <v>5060</v>
      </c>
      <c r="D36" s="94" t="s">
        <v>81</v>
      </c>
      <c r="E36" s="93">
        <v>4085</v>
      </c>
      <c r="F36" s="94" t="s">
        <v>481</v>
      </c>
      <c r="G36" s="95">
        <v>3.6840844159487083</v>
      </c>
      <c r="H36" s="96">
        <v>257.07421347621636</v>
      </c>
      <c r="I36" s="97">
        <v>1.5740496405907372</v>
      </c>
      <c r="J36" s="98">
        <v>0.87270059389266885</v>
      </c>
      <c r="K36" s="99">
        <v>66</v>
      </c>
      <c r="M36" s="89">
        <f t="shared" si="0"/>
        <v>1.5740496405907372</v>
      </c>
      <c r="N36" s="100"/>
      <c r="U36" s="92">
        <f t="shared" si="2"/>
        <v>14097359.765647925</v>
      </c>
      <c r="V36" s="92">
        <f t="shared" si="3"/>
        <v>1729528.6957559336</v>
      </c>
      <c r="W36" s="92">
        <f t="shared" si="4"/>
        <v>609365.89766503929</v>
      </c>
      <c r="X36" s="92">
        <f t="shared" si="5"/>
        <v>202680.56804963504</v>
      </c>
      <c r="Y36" s="92">
        <f t="shared" si="1"/>
        <v>-352420.73368662334</v>
      </c>
      <c r="Z36" s="92">
        <f t="shared" si="6"/>
        <v>-799828.02821084985</v>
      </c>
    </row>
    <row r="37" spans="1:26" ht="19.5" thickBot="1" x14ac:dyDescent="0.35">
      <c r="A37" s="93">
        <v>262</v>
      </c>
      <c r="B37" s="94" t="s">
        <v>475</v>
      </c>
      <c r="C37" s="93">
        <v>5060</v>
      </c>
      <c r="D37" s="94" t="s">
        <v>81</v>
      </c>
      <c r="E37" s="93">
        <v>4066</v>
      </c>
      <c r="F37" s="94" t="s">
        <v>482</v>
      </c>
      <c r="G37" s="95">
        <v>5.7444507926436632</v>
      </c>
      <c r="H37" s="96">
        <v>157.2411117920478</v>
      </c>
      <c r="I37" s="97">
        <v>1.0440252400612782</v>
      </c>
      <c r="J37" s="98">
        <v>0.9155656914536785</v>
      </c>
      <c r="K37" s="99">
        <v>136</v>
      </c>
      <c r="M37" s="89">
        <f t="shared" si="0"/>
        <v>1.0440252400612782</v>
      </c>
      <c r="N37" s="100"/>
      <c r="U37" s="92">
        <f t="shared" si="2"/>
        <v>23061150.096881691</v>
      </c>
      <c r="V37" s="92">
        <f t="shared" si="3"/>
        <v>3776467.9421628132</v>
      </c>
      <c r="W37" s="92">
        <f t="shared" si="4"/>
        <v>2029841.2781464451</v>
      </c>
      <c r="X37" s="92">
        <f t="shared" si="5"/>
        <v>1395712.52312872</v>
      </c>
      <c r="Y37" s="92">
        <f t="shared" si="1"/>
        <v>530164.46485079208</v>
      </c>
      <c r="Z37" s="92">
        <f t="shared" si="6"/>
        <v>-167460.48004407313</v>
      </c>
    </row>
    <row r="38" spans="1:26" ht="19.5" thickBot="1" x14ac:dyDescent="0.35">
      <c r="A38" s="93">
        <v>262</v>
      </c>
      <c r="B38" s="94" t="s">
        <v>475</v>
      </c>
      <c r="C38" s="93">
        <v>5060</v>
      </c>
      <c r="D38" s="94" t="s">
        <v>81</v>
      </c>
      <c r="E38" s="93">
        <v>4067</v>
      </c>
      <c r="F38" s="94" t="s">
        <v>483</v>
      </c>
      <c r="G38" s="95">
        <v>2.9198757763975163</v>
      </c>
      <c r="H38" s="96">
        <v>170.99680475654108</v>
      </c>
      <c r="I38" s="97">
        <v>0.92064976732216497</v>
      </c>
      <c r="J38" s="98">
        <v>0.92554353713458493</v>
      </c>
      <c r="K38" s="99">
        <v>162</v>
      </c>
      <c r="M38" s="89">
        <f t="shared" si="0"/>
        <v>0.92064976732216497</v>
      </c>
      <c r="N38" s="100"/>
      <c r="U38" s="92">
        <f t="shared" si="2"/>
        <v>11849612.988529133</v>
      </c>
      <c r="V38" s="92">
        <f t="shared" si="3"/>
        <v>2047304.9330404857</v>
      </c>
      <c r="W38" s="92">
        <f t="shared" si="4"/>
        <v>1159503.2839772953</v>
      </c>
      <c r="X38" s="92">
        <f t="shared" si="5"/>
        <v>837178.79070032295</v>
      </c>
      <c r="Y38" s="92">
        <f t="shared" si="1"/>
        <v>397225.01619674894</v>
      </c>
      <c r="Z38" s="92">
        <f t="shared" si="6"/>
        <v>42625.725309320536</v>
      </c>
    </row>
    <row r="39" spans="1:26" ht="19.5" thickBot="1" x14ac:dyDescent="0.35">
      <c r="A39" s="93">
        <v>262</v>
      </c>
      <c r="B39" s="94" t="s">
        <v>475</v>
      </c>
      <c r="C39" s="93">
        <v>5060</v>
      </c>
      <c r="D39" s="94" t="s">
        <v>81</v>
      </c>
      <c r="E39" s="93">
        <v>4095</v>
      </c>
      <c r="F39" s="94" t="s">
        <v>92</v>
      </c>
      <c r="G39" s="95">
        <v>4.1744809966610887</v>
      </c>
      <c r="H39" s="96">
        <v>203.36243125289326</v>
      </c>
      <c r="I39" s="97">
        <v>0.79007692135573182</v>
      </c>
      <c r="J39" s="98">
        <v>0.93610346187687743</v>
      </c>
      <c r="K39" s="99">
        <v>184</v>
      </c>
      <c r="M39" s="89">
        <f t="shared" si="0"/>
        <v>0.79007692135573182</v>
      </c>
      <c r="N39" s="100"/>
      <c r="U39" s="92">
        <f t="shared" si="2"/>
        <v>17134414.88038962</v>
      </c>
      <c r="V39" s="92">
        <f t="shared" si="3"/>
        <v>3120274.6105110953</v>
      </c>
      <c r="W39" s="92">
        <f t="shared" si="4"/>
        <v>1851004.4782758157</v>
      </c>
      <c r="X39" s="92">
        <f t="shared" si="5"/>
        <v>1390184.3698247527</v>
      </c>
      <c r="Y39" s="92">
        <f t="shared" si="1"/>
        <v>761192.31272415153</v>
      </c>
      <c r="Z39" s="92">
        <f t="shared" si="6"/>
        <v>254229.64903666</v>
      </c>
    </row>
    <row r="40" spans="1:26" ht="19.5" thickBot="1" x14ac:dyDescent="0.35">
      <c r="A40" s="93">
        <v>262</v>
      </c>
      <c r="B40" s="94" t="s">
        <v>475</v>
      </c>
      <c r="C40" s="93">
        <v>5060</v>
      </c>
      <c r="D40" s="94" t="s">
        <v>81</v>
      </c>
      <c r="E40" s="93">
        <v>4087</v>
      </c>
      <c r="F40" s="94" t="s">
        <v>93</v>
      </c>
      <c r="G40" s="95">
        <v>7.6530726035315553</v>
      </c>
      <c r="H40" s="96">
        <v>300.30969074557578</v>
      </c>
      <c r="I40" s="97">
        <v>1.4658320470242674</v>
      </c>
      <c r="J40" s="98">
        <v>0.88145256399331062</v>
      </c>
      <c r="K40" s="99">
        <v>79</v>
      </c>
      <c r="M40" s="89">
        <f t="shared" si="0"/>
        <v>1.4658320470242674</v>
      </c>
      <c r="N40" s="100"/>
      <c r="U40" s="92">
        <f t="shared" si="2"/>
        <v>29578607.026458316</v>
      </c>
      <c r="V40" s="92">
        <f t="shared" si="3"/>
        <v>3886495.1094944235</v>
      </c>
      <c r="W40" s="92">
        <f t="shared" si="4"/>
        <v>1559543.2121782827</v>
      </c>
      <c r="X40" s="92">
        <f t="shared" si="5"/>
        <v>714722.08352443215</v>
      </c>
      <c r="Y40" s="92">
        <f t="shared" si="1"/>
        <v>-438408.54130911356</v>
      </c>
      <c r="Z40" s="92">
        <f t="shared" si="6"/>
        <v>-1367822.7788115372</v>
      </c>
    </row>
    <row r="41" spans="1:26" ht="19.5" thickBot="1" x14ac:dyDescent="0.35">
      <c r="A41" s="93">
        <v>262</v>
      </c>
      <c r="B41" s="94" t="s">
        <v>475</v>
      </c>
      <c r="C41" s="93">
        <v>5060</v>
      </c>
      <c r="D41" s="94" t="s">
        <v>81</v>
      </c>
      <c r="E41" s="93">
        <v>4073</v>
      </c>
      <c r="F41" s="94" t="s">
        <v>484</v>
      </c>
      <c r="G41" s="95">
        <v>2.3872319148454464</v>
      </c>
      <c r="H41" s="96">
        <v>163.29485475450244</v>
      </c>
      <c r="I41" s="97">
        <v>0.55690854672830226</v>
      </c>
      <c r="J41" s="98">
        <v>0.95496067885889335</v>
      </c>
      <c r="K41" s="99">
        <v>231</v>
      </c>
      <c r="M41" s="89">
        <f t="shared" si="0"/>
        <v>0.55690854672830226</v>
      </c>
      <c r="N41" s="100"/>
      <c r="U41" s="92">
        <f t="shared" si="2"/>
        <v>9995926.1791891884</v>
      </c>
      <c r="V41" s="92">
        <f t="shared" si="3"/>
        <v>1981755.5701641634</v>
      </c>
      <c r="W41" s="92">
        <f t="shared" si="4"/>
        <v>1255906.7351459407</v>
      </c>
      <c r="X41" s="92">
        <f t="shared" si="5"/>
        <v>992380.68944665301</v>
      </c>
      <c r="Y41" s="92">
        <f t="shared" si="1"/>
        <v>632683.30093396327</v>
      </c>
      <c r="Z41" s="92">
        <f t="shared" si="6"/>
        <v>342770.02755750448</v>
      </c>
    </row>
    <row r="42" spans="1:26" ht="19.5" thickBot="1" x14ac:dyDescent="0.35">
      <c r="A42" s="93">
        <v>262</v>
      </c>
      <c r="B42" s="94" t="s">
        <v>475</v>
      </c>
      <c r="C42" s="93">
        <v>5060</v>
      </c>
      <c r="D42" s="94" t="s">
        <v>81</v>
      </c>
      <c r="E42" s="93">
        <v>4074</v>
      </c>
      <c r="F42" s="94" t="s">
        <v>485</v>
      </c>
      <c r="G42" s="95">
        <v>1.6229675712103162</v>
      </c>
      <c r="H42" s="96">
        <v>155.77801459794995</v>
      </c>
      <c r="I42" s="97">
        <v>1.0344855915685027</v>
      </c>
      <c r="J42" s="98">
        <v>0.91633719926149282</v>
      </c>
      <c r="K42" s="99">
        <v>139</v>
      </c>
      <c r="M42" s="89">
        <f t="shared" si="0"/>
        <v>1.0344855915685027</v>
      </c>
      <c r="N42" s="100"/>
      <c r="U42" s="92">
        <f t="shared" si="2"/>
        <v>6520908.378670021</v>
      </c>
      <c r="V42" s="92">
        <f t="shared" si="3"/>
        <v>1072447.7880966391</v>
      </c>
      <c r="W42" s="92">
        <f t="shared" si="4"/>
        <v>578977.03918884823</v>
      </c>
      <c r="X42" s="92">
        <f t="shared" si="5"/>
        <v>399817.97899049224</v>
      </c>
      <c r="Y42" s="92">
        <f t="shared" si="1"/>
        <v>155276.51095179596</v>
      </c>
      <c r="Z42" s="92">
        <f t="shared" si="6"/>
        <v>-41821.993901213311</v>
      </c>
    </row>
    <row r="43" spans="1:26" ht="19.5" thickBot="1" x14ac:dyDescent="0.35">
      <c r="A43" s="93">
        <v>262</v>
      </c>
      <c r="B43" s="94" t="s">
        <v>475</v>
      </c>
      <c r="C43" s="93">
        <v>5060</v>
      </c>
      <c r="D43" s="94" t="s">
        <v>81</v>
      </c>
      <c r="E43" s="93">
        <v>4079</v>
      </c>
      <c r="F43" s="94" t="s">
        <v>486</v>
      </c>
      <c r="G43" s="95">
        <v>2.3989256105838992</v>
      </c>
      <c r="H43" s="96">
        <v>114.97043444497173</v>
      </c>
      <c r="I43" s="97">
        <v>1.0390350321631308</v>
      </c>
      <c r="J43" s="98">
        <v>0.91596926862520145</v>
      </c>
      <c r="K43" s="99">
        <v>137</v>
      </c>
      <c r="M43" s="89">
        <f t="shared" si="0"/>
        <v>1.0390350321631308</v>
      </c>
      <c r="N43" s="100"/>
      <c r="U43" s="92">
        <f t="shared" si="2"/>
        <v>9634753.8262972031</v>
      </c>
      <c r="V43" s="92">
        <f t="shared" si="3"/>
        <v>1581326.3389960451</v>
      </c>
      <c r="W43" s="92">
        <f t="shared" si="4"/>
        <v>851921.98204632103</v>
      </c>
      <c r="X43" s="92">
        <f t="shared" si="5"/>
        <v>587105.07165206934</v>
      </c>
      <c r="Y43" s="92">
        <f t="shared" si="1"/>
        <v>225645.72955915716</v>
      </c>
      <c r="Z43" s="92">
        <f t="shared" si="6"/>
        <v>-65687.664580735232</v>
      </c>
    </row>
    <row r="44" spans="1:26" ht="19.5" thickBot="1" x14ac:dyDescent="0.35">
      <c r="A44" s="93">
        <v>262</v>
      </c>
      <c r="B44" s="94" t="s">
        <v>475</v>
      </c>
      <c r="C44" s="93">
        <v>5060</v>
      </c>
      <c r="D44" s="94" t="s">
        <v>81</v>
      </c>
      <c r="E44" s="93">
        <v>4031</v>
      </c>
      <c r="F44" s="94" t="s">
        <v>487</v>
      </c>
      <c r="G44" s="95">
        <v>2.9626703856415242</v>
      </c>
      <c r="H44" s="96">
        <v>208.2731391384221</v>
      </c>
      <c r="I44" s="97">
        <v>1.2412517500503879</v>
      </c>
      <c r="J44" s="98">
        <v>0.89961523033555735</v>
      </c>
      <c r="K44" s="99">
        <v>110</v>
      </c>
      <c r="M44" s="89">
        <f t="shared" si="0"/>
        <v>1.2412517500503879</v>
      </c>
      <c r="N44" s="100"/>
      <c r="U44" s="92">
        <f t="shared" si="2"/>
        <v>11686462.623210497</v>
      </c>
      <c r="V44" s="92">
        <f t="shared" si="3"/>
        <v>1740488.8863545512</v>
      </c>
      <c r="W44" s="92">
        <f t="shared" si="4"/>
        <v>839675.33967401739</v>
      </c>
      <c r="X44" s="92">
        <f t="shared" si="5"/>
        <v>512626.75818375149</v>
      </c>
      <c r="Y44" s="92">
        <f t="shared" si="1"/>
        <v>66224.884066660292</v>
      </c>
      <c r="Z44" s="92">
        <f t="shared" si="6"/>
        <v>-293571.52452501934</v>
      </c>
    </row>
    <row r="45" spans="1:26" ht="19.5" thickBot="1" x14ac:dyDescent="0.35">
      <c r="A45" s="93">
        <v>262</v>
      </c>
      <c r="B45" s="94" t="s">
        <v>475</v>
      </c>
      <c r="C45" s="93">
        <v>5060</v>
      </c>
      <c r="D45" s="94" t="s">
        <v>81</v>
      </c>
      <c r="E45" s="93">
        <v>4071</v>
      </c>
      <c r="F45" s="94" t="s">
        <v>98</v>
      </c>
      <c r="G45" s="95">
        <v>8.6589570983189468</v>
      </c>
      <c r="H45" s="96">
        <v>198.71376745983051</v>
      </c>
      <c r="I45" s="97">
        <v>1.1593761209174918</v>
      </c>
      <c r="J45" s="98">
        <v>0.90623682516618176</v>
      </c>
      <c r="K45" s="99">
        <v>123</v>
      </c>
      <c r="M45" s="89">
        <f t="shared" si="0"/>
        <v>1.1593761209174918</v>
      </c>
      <c r="N45" s="100"/>
      <c r="U45" s="92">
        <f t="shared" si="2"/>
        <v>34407271.34486483</v>
      </c>
      <c r="V45" s="92">
        <f t="shared" si="3"/>
        <v>5338306.9721054938</v>
      </c>
      <c r="W45" s="92">
        <f t="shared" si="4"/>
        <v>2705511.2712761988</v>
      </c>
      <c r="X45" s="92">
        <f t="shared" si="5"/>
        <v>1749650.7577627888</v>
      </c>
      <c r="Y45" s="92">
        <f t="shared" si="1"/>
        <v>444957.97272586165</v>
      </c>
      <c r="Z45" s="92">
        <f t="shared" si="6"/>
        <v>-606614.17692114657</v>
      </c>
    </row>
    <row r="46" spans="1:26" ht="19.5" thickBot="1" x14ac:dyDescent="0.35">
      <c r="A46" s="93">
        <v>262</v>
      </c>
      <c r="B46" s="94" t="s">
        <v>475</v>
      </c>
      <c r="C46" s="93">
        <v>5060</v>
      </c>
      <c r="D46" s="94" t="s">
        <v>81</v>
      </c>
      <c r="E46" s="93">
        <v>4080</v>
      </c>
      <c r="F46" s="94" t="s">
        <v>488</v>
      </c>
      <c r="G46" s="95">
        <v>2.3189639595885949</v>
      </c>
      <c r="H46" s="96">
        <v>82.442135596586454</v>
      </c>
      <c r="I46" s="97">
        <v>0.39969877055115516</v>
      </c>
      <c r="J46" s="98">
        <v>0.96767483388014575</v>
      </c>
      <c r="K46" s="99">
        <v>263</v>
      </c>
      <c r="M46" s="89">
        <f t="shared" si="0"/>
        <v>0.39969877055115516</v>
      </c>
      <c r="N46" s="100"/>
      <c r="U46" s="92">
        <f t="shared" si="2"/>
        <v>9839349.4333310314</v>
      </c>
      <c r="V46" s="92">
        <f t="shared" si="3"/>
        <v>2054361.0152592112</v>
      </c>
      <c r="W46" s="92">
        <f t="shared" si="4"/>
        <v>1349269.3657846767</v>
      </c>
      <c r="X46" s="92">
        <f t="shared" si="5"/>
        <v>1093279.4057857092</v>
      </c>
      <c r="Y46" s="92">
        <f t="shared" si="1"/>
        <v>743868.32631249144</v>
      </c>
      <c r="Z46" s="92">
        <f t="shared" si="6"/>
        <v>462245.73732750403</v>
      </c>
    </row>
    <row r="47" spans="1:26" ht="19.5" thickBot="1" x14ac:dyDescent="0.35">
      <c r="A47" s="93">
        <v>262</v>
      </c>
      <c r="B47" s="94" t="s">
        <v>475</v>
      </c>
      <c r="C47" s="93">
        <v>5101</v>
      </c>
      <c r="D47" s="94" t="s">
        <v>100</v>
      </c>
      <c r="E47" s="93">
        <v>4113</v>
      </c>
      <c r="F47" s="94" t="s">
        <v>489</v>
      </c>
      <c r="G47" s="95">
        <v>2.9363854938889999</v>
      </c>
      <c r="H47" s="96">
        <v>221.10049305554227</v>
      </c>
      <c r="I47" s="97">
        <v>1.4621591789413397</v>
      </c>
      <c r="J47" s="98">
        <v>0.88174960286274029</v>
      </c>
      <c r="K47" s="99">
        <v>81</v>
      </c>
      <c r="M47" s="89">
        <f t="shared" si="0"/>
        <v>1.4621591789413397</v>
      </c>
      <c r="N47" s="100"/>
      <c r="U47" s="92">
        <f t="shared" si="2"/>
        <v>11352755.411712287</v>
      </c>
      <c r="V47" s="92">
        <f t="shared" si="3"/>
        <v>1495022.6227234087</v>
      </c>
      <c r="W47" s="92">
        <f t="shared" si="4"/>
        <v>602201.11818109546</v>
      </c>
      <c r="X47" s="92">
        <f t="shared" si="5"/>
        <v>278054.12054705294</v>
      </c>
      <c r="Y47" s="92">
        <f t="shared" si="1"/>
        <v>-164387.26407510208</v>
      </c>
      <c r="Z47" s="92">
        <f t="shared" si="6"/>
        <v>-520991.54920322885</v>
      </c>
    </row>
    <row r="48" spans="1:26" ht="19.5" thickBot="1" x14ac:dyDescent="0.35">
      <c r="A48" s="93">
        <v>262</v>
      </c>
      <c r="B48" s="94" t="s">
        <v>475</v>
      </c>
      <c r="C48" s="93">
        <v>5101</v>
      </c>
      <c r="D48" s="94" t="s">
        <v>100</v>
      </c>
      <c r="E48" s="93">
        <v>4111</v>
      </c>
      <c r="F48" s="94" t="s">
        <v>490</v>
      </c>
      <c r="G48" s="95">
        <v>3.6697588771486496</v>
      </c>
      <c r="H48" s="96">
        <v>130.03546413130465</v>
      </c>
      <c r="I48" s="97">
        <v>0.94920472505989706</v>
      </c>
      <c r="J48" s="98">
        <v>0.92323418864410844</v>
      </c>
      <c r="K48" s="99">
        <v>154</v>
      </c>
      <c r="M48" s="89">
        <f t="shared" si="0"/>
        <v>0.94920472505989706</v>
      </c>
      <c r="N48" s="100"/>
      <c r="U48" s="92">
        <f t="shared" si="2"/>
        <v>14855673.53988415</v>
      </c>
      <c r="V48" s="92">
        <f t="shared" si="3"/>
        <v>2535934.7023789366</v>
      </c>
      <c r="W48" s="92">
        <f t="shared" si="4"/>
        <v>1420127.6501979253</v>
      </c>
      <c r="X48" s="92">
        <f t="shared" si="5"/>
        <v>1015023.71389794</v>
      </c>
      <c r="Y48" s="92">
        <f t="shared" si="1"/>
        <v>462080.92003993772</v>
      </c>
      <c r="Z48" s="92">
        <f t="shared" si="6"/>
        <v>16413.36593245899</v>
      </c>
    </row>
    <row r="49" spans="1:26" ht="19.5" thickBot="1" x14ac:dyDescent="0.35">
      <c r="A49" s="93">
        <v>262</v>
      </c>
      <c r="B49" s="94" t="s">
        <v>475</v>
      </c>
      <c r="C49" s="93">
        <v>5101</v>
      </c>
      <c r="D49" s="94" t="s">
        <v>100</v>
      </c>
      <c r="E49" s="93">
        <v>4104</v>
      </c>
      <c r="F49" s="94" t="s">
        <v>491</v>
      </c>
      <c r="G49" s="95">
        <v>4.5862475960000726</v>
      </c>
      <c r="H49" s="96">
        <v>153.07728928815314</v>
      </c>
      <c r="I49" s="97">
        <v>0.75100710284459438</v>
      </c>
      <c r="J49" s="98">
        <v>0.93926318731687219</v>
      </c>
      <c r="K49" s="99">
        <v>193</v>
      </c>
      <c r="M49" s="89">
        <f t="shared" si="0"/>
        <v>0.75100710284459438</v>
      </c>
      <c r="N49" s="100"/>
      <c r="U49" s="92">
        <f t="shared" si="2"/>
        <v>18888076.676020227</v>
      </c>
      <c r="V49" s="92">
        <f t="shared" si="3"/>
        <v>3491595.7304498269</v>
      </c>
      <c r="W49" s="92">
        <f t="shared" si="4"/>
        <v>2097126.0712766848</v>
      </c>
      <c r="X49" s="92">
        <f t="shared" si="5"/>
        <v>1590851.1316464436</v>
      </c>
      <c r="Y49" s="92">
        <f t="shared" si="1"/>
        <v>899815.93180050445</v>
      </c>
      <c r="Z49" s="92">
        <f t="shared" si="6"/>
        <v>342846.98177816108</v>
      </c>
    </row>
    <row r="50" spans="1:26" ht="19.5" thickBot="1" x14ac:dyDescent="0.35">
      <c r="A50" s="93">
        <v>262</v>
      </c>
      <c r="B50" s="94" t="s">
        <v>475</v>
      </c>
      <c r="C50" s="93">
        <v>5101</v>
      </c>
      <c r="D50" s="94" t="s">
        <v>100</v>
      </c>
      <c r="E50" s="93">
        <v>4008</v>
      </c>
      <c r="F50" s="94" t="s">
        <v>492</v>
      </c>
      <c r="G50" s="95">
        <v>2.288852638164327</v>
      </c>
      <c r="H50" s="96">
        <v>206.76690877729743</v>
      </c>
      <c r="I50" s="97">
        <v>1.5279354147302335</v>
      </c>
      <c r="J50" s="98">
        <v>0.87643002745928633</v>
      </c>
      <c r="K50" s="99">
        <v>69</v>
      </c>
      <c r="M50" s="89">
        <f t="shared" si="0"/>
        <v>1.5279354147302335</v>
      </c>
      <c r="N50" s="100"/>
      <c r="U50" s="92">
        <f t="shared" si="2"/>
        <v>8795854.1592357941</v>
      </c>
      <c r="V50" s="92">
        <f t="shared" si="3"/>
        <v>1111952.3870221321</v>
      </c>
      <c r="W50" s="92">
        <f t="shared" si="4"/>
        <v>416016.22321312828</v>
      </c>
      <c r="X50" s="92">
        <f t="shared" si="5"/>
        <v>163350.2458638442</v>
      </c>
      <c r="Y50" s="92">
        <f t="shared" si="1"/>
        <v>-181523.7948685537</v>
      </c>
      <c r="Z50" s="92">
        <f t="shared" si="6"/>
        <v>-459489.56622073677</v>
      </c>
    </row>
    <row r="51" spans="1:26" ht="19.5" thickBot="1" x14ac:dyDescent="0.35">
      <c r="A51" s="93">
        <v>262</v>
      </c>
      <c r="B51" s="94" t="s">
        <v>475</v>
      </c>
      <c r="C51" s="93">
        <v>5101</v>
      </c>
      <c r="D51" s="94" t="s">
        <v>100</v>
      </c>
      <c r="E51" s="93">
        <v>4007</v>
      </c>
      <c r="F51" s="94" t="s">
        <v>493</v>
      </c>
      <c r="G51" s="95">
        <v>7.7189326177869759</v>
      </c>
      <c r="H51" s="96">
        <v>274.56016641554879</v>
      </c>
      <c r="I51" s="97">
        <v>2.1215073643945019</v>
      </c>
      <c r="J51" s="98">
        <v>0.82842559689642681</v>
      </c>
      <c r="K51" s="99">
        <v>28</v>
      </c>
      <c r="M51" s="89">
        <f t="shared" si="0"/>
        <v>2.1215073643945019</v>
      </c>
      <c r="N51" s="100"/>
      <c r="U51" s="92">
        <f t="shared" si="2"/>
        <v>28038430.386162341</v>
      </c>
      <c r="V51" s="92">
        <f t="shared" si="3"/>
        <v>2125219.9712798111</v>
      </c>
      <c r="W51" s="92">
        <f t="shared" si="4"/>
        <v>-221756.96605204782</v>
      </c>
      <c r="X51" s="92">
        <f t="shared" si="5"/>
        <v>-1073848.3682886616</v>
      </c>
      <c r="Y51" s="92">
        <f t="shared" si="1"/>
        <v>-2236902.484420964</v>
      </c>
      <c r="Z51" s="92">
        <f t="shared" si="6"/>
        <v>-3174314.9780620863</v>
      </c>
    </row>
    <row r="52" spans="1:26" ht="19.5" thickBot="1" x14ac:dyDescent="0.35">
      <c r="A52" s="93">
        <v>262</v>
      </c>
      <c r="B52" s="94" t="s">
        <v>475</v>
      </c>
      <c r="C52" s="93">
        <v>5101</v>
      </c>
      <c r="D52" s="94" t="s">
        <v>100</v>
      </c>
      <c r="E52" s="93">
        <v>4015</v>
      </c>
      <c r="F52" s="94" t="s">
        <v>106</v>
      </c>
      <c r="G52" s="95">
        <v>4.7786252672268894</v>
      </c>
      <c r="H52" s="96">
        <v>158.5764850608908</v>
      </c>
      <c r="I52" s="97">
        <v>0.70085787807411748</v>
      </c>
      <c r="J52" s="98">
        <v>0.94331894665596705</v>
      </c>
      <c r="K52" s="99">
        <v>205</v>
      </c>
      <c r="M52" s="89">
        <f t="shared" si="0"/>
        <v>0.70085787807411748</v>
      </c>
      <c r="N52" s="100"/>
      <c r="U52" s="92">
        <f t="shared" si="2"/>
        <v>19765348.272327233</v>
      </c>
      <c r="V52" s="92">
        <f t="shared" si="3"/>
        <v>3723036.7021782217</v>
      </c>
      <c r="W52" s="92">
        <f t="shared" si="4"/>
        <v>2270073.7279337011</v>
      </c>
      <c r="X52" s="92">
        <f t="shared" si="5"/>
        <v>1742562.2562916456</v>
      </c>
      <c r="Y52" s="92">
        <f t="shared" si="1"/>
        <v>1022540.4525392656</v>
      </c>
      <c r="Z52" s="92">
        <f t="shared" si="6"/>
        <v>442208.52716330369</v>
      </c>
    </row>
    <row r="53" spans="1:26" ht="19.5" thickBot="1" x14ac:dyDescent="0.35">
      <c r="A53" s="93">
        <v>262</v>
      </c>
      <c r="B53" s="94" t="s">
        <v>475</v>
      </c>
      <c r="C53" s="93">
        <v>5101</v>
      </c>
      <c r="D53" s="94" t="s">
        <v>100</v>
      </c>
      <c r="E53" s="93">
        <v>4109</v>
      </c>
      <c r="F53" s="94" t="s">
        <v>494</v>
      </c>
      <c r="G53" s="95">
        <v>2.5538709473014682</v>
      </c>
      <c r="H53" s="96">
        <v>101.74800141901072</v>
      </c>
      <c r="I53" s="97">
        <v>0.54950181636736506</v>
      </c>
      <c r="J53" s="98">
        <v>0.95555968943126046</v>
      </c>
      <c r="K53" s="99">
        <v>233</v>
      </c>
      <c r="M53" s="89">
        <f t="shared" si="0"/>
        <v>0.54950181636736506</v>
      </c>
      <c r="N53" s="100"/>
      <c r="U53" s="92">
        <f t="shared" si="2"/>
        <v>10700392.466358829</v>
      </c>
      <c r="V53" s="92">
        <f t="shared" si="3"/>
        <v>2126798.3560306714</v>
      </c>
      <c r="W53" s="92">
        <f t="shared" si="4"/>
        <v>1350282.1573497117</v>
      </c>
      <c r="X53" s="92">
        <f t="shared" si="5"/>
        <v>1068360.8627392456</v>
      </c>
      <c r="Y53" s="92">
        <f t="shared" si="1"/>
        <v>683555.05286792433</v>
      </c>
      <c r="Z53" s="92">
        <f t="shared" si="6"/>
        <v>373404.58884769888</v>
      </c>
    </row>
    <row r="54" spans="1:26" ht="19.5" thickBot="1" x14ac:dyDescent="0.35">
      <c r="A54" s="93">
        <v>262</v>
      </c>
      <c r="B54" s="94" t="s">
        <v>475</v>
      </c>
      <c r="C54" s="93">
        <v>5101</v>
      </c>
      <c r="D54" s="94" t="s">
        <v>100</v>
      </c>
      <c r="E54" s="93">
        <v>4129</v>
      </c>
      <c r="F54" s="94" t="s">
        <v>495</v>
      </c>
      <c r="G54" s="95">
        <v>2.477880892814083</v>
      </c>
      <c r="H54" s="96">
        <v>129.70605085662388</v>
      </c>
      <c r="I54" s="97">
        <v>1.246890951966277</v>
      </c>
      <c r="J54" s="98">
        <v>0.89915916653915595</v>
      </c>
      <c r="K54" s="99">
        <v>108</v>
      </c>
      <c r="M54" s="89">
        <f t="shared" si="0"/>
        <v>1.246890951966277</v>
      </c>
      <c r="N54" s="100"/>
      <c r="U54" s="92">
        <f t="shared" si="2"/>
        <v>9769221.1620423272</v>
      </c>
      <c r="V54" s="92">
        <f t="shared" si="3"/>
        <v>1450733.0837104123</v>
      </c>
      <c r="W54" s="92">
        <f t="shared" si="4"/>
        <v>697322.01033363165</v>
      </c>
      <c r="X54" s="92">
        <f t="shared" si="5"/>
        <v>423789.24238745926</v>
      </c>
      <c r="Y54" s="92">
        <f t="shared" si="1"/>
        <v>50433.272802735883</v>
      </c>
      <c r="Z54" s="92">
        <f t="shared" si="6"/>
        <v>-250488.70976853927</v>
      </c>
    </row>
    <row r="55" spans="1:26" ht="19.5" thickBot="1" x14ac:dyDescent="0.35">
      <c r="A55" s="93">
        <v>262</v>
      </c>
      <c r="B55" s="94" t="s">
        <v>475</v>
      </c>
      <c r="C55" s="93">
        <v>5101</v>
      </c>
      <c r="D55" s="94" t="s">
        <v>100</v>
      </c>
      <c r="E55" s="93">
        <v>4116</v>
      </c>
      <c r="F55" s="94" t="s">
        <v>109</v>
      </c>
      <c r="G55" s="95">
        <v>5.1910156439624657</v>
      </c>
      <c r="H55" s="96">
        <v>163.54876620675017</v>
      </c>
      <c r="I55" s="97">
        <v>1.2242137536247328</v>
      </c>
      <c r="J55" s="98">
        <v>0.90099315817869108</v>
      </c>
      <c r="K55" s="99">
        <v>112</v>
      </c>
      <c r="M55" s="89">
        <f t="shared" si="0"/>
        <v>1.2242137536247328</v>
      </c>
      <c r="N55" s="100"/>
      <c r="U55" s="92">
        <f t="shared" si="2"/>
        <v>20507691.207979195</v>
      </c>
      <c r="V55" s="92">
        <f t="shared" si="3"/>
        <v>3080944.8805171382</v>
      </c>
      <c r="W55" s="92">
        <f t="shared" si="4"/>
        <v>1502592.7169505476</v>
      </c>
      <c r="X55" s="92">
        <f t="shared" si="5"/>
        <v>929557.55546933273</v>
      </c>
      <c r="Y55" s="92">
        <f t="shared" si="1"/>
        <v>147398.62099366728</v>
      </c>
      <c r="Z55" s="92">
        <f t="shared" si="6"/>
        <v>-483015.34429005242</v>
      </c>
    </row>
    <row r="56" spans="1:26" ht="19.5" thickBot="1" x14ac:dyDescent="0.35">
      <c r="A56" s="93">
        <v>262</v>
      </c>
      <c r="B56" s="94" t="s">
        <v>475</v>
      </c>
      <c r="C56" s="93">
        <v>5101</v>
      </c>
      <c r="D56" s="94" t="s">
        <v>100</v>
      </c>
      <c r="E56" s="93">
        <v>4126</v>
      </c>
      <c r="F56" s="94" t="s">
        <v>496</v>
      </c>
      <c r="G56" s="95">
        <v>2.571719621634732</v>
      </c>
      <c r="H56" s="96">
        <v>283.57950939318323</v>
      </c>
      <c r="I56" s="97">
        <v>1.493480705862702</v>
      </c>
      <c r="J56" s="98">
        <v>0.87921651135619305</v>
      </c>
      <c r="K56" s="99">
        <v>74</v>
      </c>
      <c r="M56" s="89">
        <f t="shared" si="0"/>
        <v>1.493480705862702</v>
      </c>
      <c r="N56" s="100"/>
      <c r="U56" s="92">
        <f t="shared" si="2"/>
        <v>9914307.6765826978</v>
      </c>
      <c r="V56" s="92">
        <f t="shared" si="3"/>
        <v>1280793.8239110478</v>
      </c>
      <c r="W56" s="92">
        <f t="shared" si="4"/>
        <v>498850.65376960556</v>
      </c>
      <c r="X56" s="92">
        <f t="shared" si="5"/>
        <v>214959.04762854674</v>
      </c>
      <c r="Y56" s="92">
        <f t="shared" si="1"/>
        <v>-172536.12036762352</v>
      </c>
      <c r="Z56" s="92">
        <f t="shared" si="6"/>
        <v>-484854.18593892065</v>
      </c>
    </row>
    <row r="57" spans="1:26" ht="19.5" thickBot="1" x14ac:dyDescent="0.35">
      <c r="A57" s="93">
        <v>262</v>
      </c>
      <c r="B57" s="94" t="s">
        <v>475</v>
      </c>
      <c r="C57" s="93">
        <v>5101</v>
      </c>
      <c r="D57" s="94" t="s">
        <v>100</v>
      </c>
      <c r="E57" s="93">
        <v>4119</v>
      </c>
      <c r="F57" s="94" t="s">
        <v>497</v>
      </c>
      <c r="G57" s="95">
        <v>5.3424844601759665</v>
      </c>
      <c r="H57" s="96">
        <v>288.44576393007293</v>
      </c>
      <c r="I57" s="97">
        <v>3.4833481843365153</v>
      </c>
      <c r="J57" s="98">
        <v>0.71828832859129443</v>
      </c>
      <c r="K57" s="99">
        <v>7</v>
      </c>
      <c r="M57" s="89">
        <f t="shared" si="0"/>
        <v>3.4833481843365153</v>
      </c>
      <c r="N57" s="100"/>
      <c r="U57" s="92">
        <f t="shared" si="2"/>
        <v>16826160.063291032</v>
      </c>
      <c r="V57" s="92">
        <f t="shared" si="3"/>
        <v>-1109081.8684452532</v>
      </c>
      <c r="W57" s="92">
        <f t="shared" si="4"/>
        <v>-2733488.8217063239</v>
      </c>
      <c r="X57" s="92">
        <f t="shared" si="5"/>
        <v>-3323244.5950121675</v>
      </c>
      <c r="Y57" s="92">
        <f t="shared" si="1"/>
        <v>-4128226.1707629813</v>
      </c>
      <c r="Z57" s="92">
        <f t="shared" si="6"/>
        <v>-4777035.0058747372</v>
      </c>
    </row>
    <row r="58" spans="1:26" ht="19.5" thickBot="1" x14ac:dyDescent="0.35">
      <c r="A58" s="93">
        <v>262</v>
      </c>
      <c r="B58" s="94" t="s">
        <v>475</v>
      </c>
      <c r="C58" s="93">
        <v>5101</v>
      </c>
      <c r="D58" s="94" t="s">
        <v>100</v>
      </c>
      <c r="E58" s="93">
        <v>4127</v>
      </c>
      <c r="F58" s="94" t="s">
        <v>498</v>
      </c>
      <c r="G58" s="95">
        <v>1.3966856334735849</v>
      </c>
      <c r="H58" s="96">
        <v>161.5526283025001</v>
      </c>
      <c r="I58" s="97">
        <v>0.60378849383786481</v>
      </c>
      <c r="J58" s="98">
        <v>0.95116931849039144</v>
      </c>
      <c r="K58" s="99">
        <v>223</v>
      </c>
      <c r="M58" s="89">
        <f t="shared" si="0"/>
        <v>0.60378849383786481</v>
      </c>
      <c r="N58" s="100"/>
      <c r="U58" s="92">
        <f t="shared" si="2"/>
        <v>5825047.0499012899</v>
      </c>
      <c r="V58" s="92">
        <f t="shared" si="3"/>
        <v>1136237.0167310615</v>
      </c>
      <c r="W58" s="92">
        <f t="shared" si="4"/>
        <v>711568.33094519656</v>
      </c>
      <c r="X58" s="92">
        <f t="shared" si="5"/>
        <v>557388.48784514831</v>
      </c>
      <c r="Y58" s="92">
        <f t="shared" si="1"/>
        <v>346942.16639247729</v>
      </c>
      <c r="Z58" s="92">
        <f t="shared" si="6"/>
        <v>177324.08221718465</v>
      </c>
    </row>
    <row r="59" spans="1:26" ht="19.5" thickBot="1" x14ac:dyDescent="0.35">
      <c r="A59" s="93">
        <v>262</v>
      </c>
      <c r="B59" s="94" t="s">
        <v>475</v>
      </c>
      <c r="C59" s="93">
        <v>5101</v>
      </c>
      <c r="D59" s="94" t="s">
        <v>100</v>
      </c>
      <c r="E59" s="93">
        <v>4121</v>
      </c>
      <c r="F59" s="94" t="s">
        <v>499</v>
      </c>
      <c r="G59" s="95">
        <v>3.0012799530382757</v>
      </c>
      <c r="H59" s="96">
        <v>115.1037991308618</v>
      </c>
      <c r="I59" s="97">
        <v>0.42248787996813342</v>
      </c>
      <c r="J59" s="98">
        <v>0.96583179156452492</v>
      </c>
      <c r="K59" s="99">
        <v>257</v>
      </c>
      <c r="M59" s="89">
        <f t="shared" si="0"/>
        <v>0.42248787996813342</v>
      </c>
      <c r="N59" s="100"/>
      <c r="U59" s="92">
        <f t="shared" si="2"/>
        <v>12710157.806809992</v>
      </c>
      <c r="V59" s="92">
        <f t="shared" si="3"/>
        <v>2634567.9826631499</v>
      </c>
      <c r="W59" s="92">
        <f t="shared" si="4"/>
        <v>1722015.0195726675</v>
      </c>
      <c r="X59" s="92">
        <f t="shared" si="5"/>
        <v>1390704.3357877089</v>
      </c>
      <c r="Y59" s="92">
        <f t="shared" si="1"/>
        <v>938484.94537576078</v>
      </c>
      <c r="Z59" s="92">
        <f t="shared" si="6"/>
        <v>573999.66428785108</v>
      </c>
    </row>
    <row r="60" spans="1:26" ht="19.5" thickBot="1" x14ac:dyDescent="0.35">
      <c r="A60" s="93">
        <v>262</v>
      </c>
      <c r="B60" s="94" t="s">
        <v>475</v>
      </c>
      <c r="C60" s="93">
        <v>5101</v>
      </c>
      <c r="D60" s="94" t="s">
        <v>100</v>
      </c>
      <c r="E60" s="93">
        <v>4101</v>
      </c>
      <c r="F60" s="94" t="s">
        <v>500</v>
      </c>
      <c r="G60" s="95">
        <v>8.0058416650620607</v>
      </c>
      <c r="H60" s="96">
        <v>206.17162788182682</v>
      </c>
      <c r="I60" s="97">
        <v>1.1648666181655876</v>
      </c>
      <c r="J60" s="98">
        <v>0.90579278768420357</v>
      </c>
      <c r="K60" s="99">
        <v>121</v>
      </c>
      <c r="M60" s="89">
        <f t="shared" si="0"/>
        <v>1.1648666181655876</v>
      </c>
      <c r="N60" s="100"/>
      <c r="U60" s="92">
        <f t="shared" si="2"/>
        <v>31796461.633685142</v>
      </c>
      <c r="V60" s="92">
        <f t="shared" si="3"/>
        <v>4920069.5355164222</v>
      </c>
      <c r="W60" s="92">
        <f t="shared" si="4"/>
        <v>2485856.5837756777</v>
      </c>
      <c r="X60" s="92">
        <f t="shared" si="5"/>
        <v>1602093.3501457374</v>
      </c>
      <c r="Y60" s="92">
        <f t="shared" si="1"/>
        <v>395809.06672062183</v>
      </c>
      <c r="Z60" s="92">
        <f t="shared" si="6"/>
        <v>-576446.602625206</v>
      </c>
    </row>
    <row r="61" spans="1:26" ht="19.5" thickBot="1" x14ac:dyDescent="0.35">
      <c r="A61" s="93">
        <v>262</v>
      </c>
      <c r="B61" s="94" t="s">
        <v>475</v>
      </c>
      <c r="C61" s="93">
        <v>5101</v>
      </c>
      <c r="D61" s="94" t="s">
        <v>100</v>
      </c>
      <c r="E61" s="93">
        <v>4110</v>
      </c>
      <c r="F61" s="94" t="s">
        <v>115</v>
      </c>
      <c r="G61" s="95">
        <v>1.8928348539332513</v>
      </c>
      <c r="H61" s="96">
        <v>380.71030232910744</v>
      </c>
      <c r="I61" s="97">
        <v>1.4033043152076639</v>
      </c>
      <c r="J61" s="98">
        <v>0.8865094204737104</v>
      </c>
      <c r="K61" s="99">
        <v>87</v>
      </c>
      <c r="M61" s="89">
        <f t="shared" si="0"/>
        <v>1.4033043152076639</v>
      </c>
      <c r="N61" s="100"/>
      <c r="U61" s="92">
        <f t="shared" si="2"/>
        <v>7357648.1896790434</v>
      </c>
      <c r="V61" s="92">
        <f t="shared" si="3"/>
        <v>1003216.7832473215</v>
      </c>
      <c r="W61" s="92">
        <f t="shared" si="4"/>
        <v>427691.6467637606</v>
      </c>
      <c r="X61" s="92">
        <f t="shared" si="5"/>
        <v>218741.99209599767</v>
      </c>
      <c r="Y61" s="92">
        <f t="shared" si="1"/>
        <v>-66461.866654218553</v>
      </c>
      <c r="Z61" s="92">
        <f t="shared" si="6"/>
        <v>-296333.93943118112</v>
      </c>
    </row>
    <row r="62" spans="1:26" ht="19.5" thickBot="1" x14ac:dyDescent="0.35">
      <c r="A62" s="93">
        <v>262</v>
      </c>
      <c r="B62" s="94" t="s">
        <v>475</v>
      </c>
      <c r="C62" s="93">
        <v>5101</v>
      </c>
      <c r="D62" s="94" t="s">
        <v>100</v>
      </c>
      <c r="E62" s="93">
        <v>4107</v>
      </c>
      <c r="F62" s="94" t="s">
        <v>116</v>
      </c>
      <c r="G62" s="95">
        <v>2.086636581425513</v>
      </c>
      <c r="H62" s="96">
        <v>162.36055540565329</v>
      </c>
      <c r="I62" s="97">
        <v>0.48949450611673795</v>
      </c>
      <c r="J62" s="98">
        <v>0.96041270979352567</v>
      </c>
      <c r="K62" s="99">
        <v>243</v>
      </c>
      <c r="M62" s="89">
        <f t="shared" si="0"/>
        <v>0.48949450611673795</v>
      </c>
      <c r="N62" s="100"/>
      <c r="U62" s="92">
        <f t="shared" si="2"/>
        <v>8787142.1945584081</v>
      </c>
      <c r="V62" s="92">
        <f t="shared" si="3"/>
        <v>1782099.4676311186</v>
      </c>
      <c r="W62" s="92">
        <f t="shared" si="4"/>
        <v>1147648.0252239523</v>
      </c>
      <c r="X62" s="92">
        <f t="shared" si="5"/>
        <v>917304.63726277649</v>
      </c>
      <c r="Y62" s="92">
        <f t="shared" si="1"/>
        <v>602899.60420070973</v>
      </c>
      <c r="Z62" s="92">
        <f t="shared" si="6"/>
        <v>349491.6140066362</v>
      </c>
    </row>
    <row r="63" spans="1:26" ht="19.5" thickBot="1" x14ac:dyDescent="0.35">
      <c r="A63" s="93">
        <v>262</v>
      </c>
      <c r="B63" s="94" t="s">
        <v>475</v>
      </c>
      <c r="C63" s="93">
        <v>5101</v>
      </c>
      <c r="D63" s="94" t="s">
        <v>100</v>
      </c>
      <c r="E63" s="93">
        <v>4120</v>
      </c>
      <c r="F63" s="94" t="s">
        <v>501</v>
      </c>
      <c r="G63" s="95">
        <v>2.4806793823103108</v>
      </c>
      <c r="H63" s="96">
        <v>148.3144971992904</v>
      </c>
      <c r="I63" s="97">
        <v>0.44814012396259656</v>
      </c>
      <c r="J63" s="98">
        <v>0.96375719662062598</v>
      </c>
      <c r="K63" s="99">
        <v>251</v>
      </c>
      <c r="M63" s="89">
        <f t="shared" si="0"/>
        <v>0.44814012396259656</v>
      </c>
      <c r="N63" s="100"/>
      <c r="U63" s="92">
        <f t="shared" si="2"/>
        <v>10482894.373671517</v>
      </c>
      <c r="V63" s="92">
        <f t="shared" si="3"/>
        <v>2155011.4928778606</v>
      </c>
      <c r="W63" s="92">
        <f t="shared" si="4"/>
        <v>1400749.5259083728</v>
      </c>
      <c r="X63" s="92">
        <f t="shared" si="5"/>
        <v>1126907.8332757109</v>
      </c>
      <c r="Y63" s="92">
        <f t="shared" si="1"/>
        <v>753130.19985627022</v>
      </c>
      <c r="Z63" s="92">
        <f t="shared" si="6"/>
        <v>451868.359542094</v>
      </c>
    </row>
    <row r="64" spans="1:26" ht="19.5" thickBot="1" x14ac:dyDescent="0.35">
      <c r="A64" s="93">
        <v>262</v>
      </c>
      <c r="B64" s="94" t="s">
        <v>475</v>
      </c>
      <c r="C64" s="93">
        <v>5006</v>
      </c>
      <c r="D64" s="94" t="s">
        <v>118</v>
      </c>
      <c r="E64" s="93">
        <v>4028</v>
      </c>
      <c r="F64" s="94" t="s">
        <v>502</v>
      </c>
      <c r="G64" s="95">
        <v>2.8737187409873672</v>
      </c>
      <c r="H64" s="96">
        <v>217.08031064503621</v>
      </c>
      <c r="I64" s="97">
        <v>1.076079146819189</v>
      </c>
      <c r="J64" s="98">
        <v>0.91297336959261544</v>
      </c>
      <c r="K64" s="99">
        <v>133</v>
      </c>
      <c r="M64" s="89">
        <f t="shared" si="0"/>
        <v>1.076079146819189</v>
      </c>
      <c r="N64" s="100"/>
      <c r="U64" s="92">
        <f t="shared" si="2"/>
        <v>11503905.58621577</v>
      </c>
      <c r="V64" s="92">
        <f t="shared" si="3"/>
        <v>1856551.2050154884</v>
      </c>
      <c r="W64" s="92">
        <f t="shared" si="4"/>
        <v>982783.81469859183</v>
      </c>
      <c r="X64" s="92">
        <f t="shared" si="5"/>
        <v>665554.58717573271</v>
      </c>
      <c r="Y64" s="92">
        <f t="shared" si="1"/>
        <v>232555.54756627281</v>
      </c>
      <c r="Z64" s="92">
        <f t="shared" si="6"/>
        <v>-116438.28155521073</v>
      </c>
    </row>
    <row r="65" spans="1:26" ht="19.5" thickBot="1" x14ac:dyDescent="0.35">
      <c r="A65" s="93">
        <v>262</v>
      </c>
      <c r="B65" s="94" t="s">
        <v>475</v>
      </c>
      <c r="C65" s="93">
        <v>5006</v>
      </c>
      <c r="D65" s="94" t="s">
        <v>118</v>
      </c>
      <c r="E65" s="93">
        <v>4033</v>
      </c>
      <c r="F65" s="94" t="s">
        <v>503</v>
      </c>
      <c r="G65" s="95">
        <v>1.4674692663476883</v>
      </c>
      <c r="H65" s="96">
        <v>742.88968300049282</v>
      </c>
      <c r="I65" s="97">
        <v>12.364940958668676</v>
      </c>
      <c r="J65" s="98">
        <v>0</v>
      </c>
      <c r="K65" s="99">
        <v>1</v>
      </c>
      <c r="M65" s="89">
        <f t="shared" si="0"/>
        <v>12.364940958668676</v>
      </c>
      <c r="N65" s="100"/>
      <c r="U65" s="92">
        <f t="shared" si="2"/>
        <v>0</v>
      </c>
      <c r="V65" s="92">
        <f t="shared" si="3"/>
        <v>-4926437.599495884</v>
      </c>
      <c r="W65" s="92">
        <f t="shared" si="4"/>
        <v>-5372628.3741665864</v>
      </c>
      <c r="X65" s="92">
        <f t="shared" si="5"/>
        <v>-5534622.0081076249</v>
      </c>
      <c r="Y65" s="92">
        <f t="shared" si="1"/>
        <v>-5755733.6896101208</v>
      </c>
      <c r="Z65" s="92">
        <f t="shared" si="6"/>
        <v>-5933947.9703176366</v>
      </c>
    </row>
    <row r="66" spans="1:26" ht="19.5" thickBot="1" x14ac:dyDescent="0.35">
      <c r="A66" s="93">
        <v>262</v>
      </c>
      <c r="B66" s="94" t="s">
        <v>475</v>
      </c>
      <c r="C66" s="93">
        <v>5006</v>
      </c>
      <c r="D66" s="94" t="s">
        <v>118</v>
      </c>
      <c r="E66" s="93">
        <v>4037</v>
      </c>
      <c r="F66" s="94" t="s">
        <v>121</v>
      </c>
      <c r="G66" s="95">
        <v>4.3960267679558456</v>
      </c>
      <c r="H66" s="96">
        <v>209.28774811073691</v>
      </c>
      <c r="I66" s="97">
        <v>2.2740261681455731</v>
      </c>
      <c r="J66" s="98">
        <v>0.81609081873121891</v>
      </c>
      <c r="K66" s="99">
        <v>22</v>
      </c>
      <c r="M66" s="89">
        <f t="shared" si="0"/>
        <v>2.2740261681455731</v>
      </c>
      <c r="N66" s="100"/>
      <c r="U66" s="92">
        <f t="shared" si="2"/>
        <v>15730472.174574863</v>
      </c>
      <c r="V66" s="92">
        <f t="shared" si="3"/>
        <v>972581.12044160767</v>
      </c>
      <c r="W66" s="92">
        <f t="shared" si="4"/>
        <v>-364051.02174230485</v>
      </c>
      <c r="X66" s="92">
        <f t="shared" si="5"/>
        <v>-849327.5228411206</v>
      </c>
      <c r="Y66" s="92">
        <f t="shared" si="1"/>
        <v>-1511701.1022291833</v>
      </c>
      <c r="Z66" s="92">
        <f t="shared" si="6"/>
        <v>-2045569.0110080107</v>
      </c>
    </row>
    <row r="67" spans="1:26" ht="19.5" thickBot="1" x14ac:dyDescent="0.35">
      <c r="A67" s="93">
        <v>262</v>
      </c>
      <c r="B67" s="94" t="s">
        <v>475</v>
      </c>
      <c r="C67" s="93">
        <v>5006</v>
      </c>
      <c r="D67" s="94" t="s">
        <v>118</v>
      </c>
      <c r="E67" s="93">
        <v>4038</v>
      </c>
      <c r="F67" s="94" t="s">
        <v>122</v>
      </c>
      <c r="G67" s="95">
        <v>4.5922940930037708</v>
      </c>
      <c r="H67" s="96">
        <v>255.09626602196758</v>
      </c>
      <c r="I67" s="97">
        <v>1.89886219832586</v>
      </c>
      <c r="J67" s="98">
        <v>0.84643176181163837</v>
      </c>
      <c r="K67" s="99">
        <v>38</v>
      </c>
      <c r="M67" s="89">
        <f t="shared" si="0"/>
        <v>1.89886219832586</v>
      </c>
      <c r="N67" s="100"/>
      <c r="U67" s="92">
        <f t="shared" si="2"/>
        <v>17043727.541856222</v>
      </c>
      <c r="V67" s="92">
        <f t="shared" si="3"/>
        <v>1626947.9155111287</v>
      </c>
      <c r="W67" s="92">
        <f t="shared" si="4"/>
        <v>230639.79113534681</v>
      </c>
      <c r="X67" s="92">
        <f t="shared" si="5"/>
        <v>-276302.6200697372</v>
      </c>
      <c r="Y67" s="92">
        <f t="shared" si="1"/>
        <v>-968248.87894113385</v>
      </c>
      <c r="Z67" s="92">
        <f t="shared" si="6"/>
        <v>-1525952.1353908929</v>
      </c>
    </row>
    <row r="68" spans="1:26" ht="19.5" thickBot="1" x14ac:dyDescent="0.35">
      <c r="A68" s="93">
        <v>262</v>
      </c>
      <c r="B68" s="94" t="s">
        <v>475</v>
      </c>
      <c r="C68" s="93">
        <v>5006</v>
      </c>
      <c r="D68" s="94" t="s">
        <v>118</v>
      </c>
      <c r="E68" s="93">
        <v>4039</v>
      </c>
      <c r="F68" s="94" t="s">
        <v>504</v>
      </c>
      <c r="G68" s="95">
        <v>1.4446997006972997</v>
      </c>
      <c r="H68" s="96">
        <v>104.02421868535305</v>
      </c>
      <c r="I68" s="97">
        <v>0.44690538281995418</v>
      </c>
      <c r="J68" s="98">
        <v>0.96385705485260376</v>
      </c>
      <c r="K68" s="99">
        <v>252</v>
      </c>
      <c r="M68" s="89">
        <f t="shared" si="0"/>
        <v>0.44690538281995418</v>
      </c>
      <c r="N68" s="100"/>
      <c r="U68" s="92">
        <f t="shared" si="2"/>
        <v>6105667.5281306449</v>
      </c>
      <c r="V68" s="92">
        <f t="shared" si="3"/>
        <v>1255669.5835676694</v>
      </c>
      <c r="W68" s="92">
        <f t="shared" si="4"/>
        <v>816401.99997799541</v>
      </c>
      <c r="X68" s="92">
        <f t="shared" si="5"/>
        <v>656921.89375951246</v>
      </c>
      <c r="Y68" s="92">
        <f t="shared" si="1"/>
        <v>439241.02819537802</v>
      </c>
      <c r="Z68" s="92">
        <f t="shared" si="6"/>
        <v>263791.95822001243</v>
      </c>
    </row>
    <row r="69" spans="1:26" ht="19.5" thickBot="1" x14ac:dyDescent="0.35">
      <c r="A69" s="93">
        <v>262</v>
      </c>
      <c r="B69" s="94" t="s">
        <v>475</v>
      </c>
      <c r="C69" s="93">
        <v>5006</v>
      </c>
      <c r="D69" s="94" t="s">
        <v>118</v>
      </c>
      <c r="E69" s="93">
        <v>4027</v>
      </c>
      <c r="F69" s="94" t="s">
        <v>505</v>
      </c>
      <c r="G69" s="95">
        <v>3.1259549303427177</v>
      </c>
      <c r="H69" s="96">
        <v>228.31929435135874</v>
      </c>
      <c r="I69" s="97">
        <v>1.6352827173005851</v>
      </c>
      <c r="J69" s="98">
        <v>0.86774844111535043</v>
      </c>
      <c r="K69" s="99">
        <v>56</v>
      </c>
      <c r="M69" s="89">
        <f t="shared" ref="M69:M132" si="7">I69</f>
        <v>1.6352827173005851</v>
      </c>
      <c r="N69" s="100"/>
      <c r="U69" s="92">
        <f t="shared" si="2"/>
        <v>11893768.822871262</v>
      </c>
      <c r="V69" s="92">
        <f t="shared" si="3"/>
        <v>1399632.9276114218</v>
      </c>
      <c r="W69" s="92">
        <f t="shared" si="4"/>
        <v>449171.96468665794</v>
      </c>
      <c r="X69" s="92">
        <f t="shared" si="5"/>
        <v>104098.43550642286</v>
      </c>
      <c r="Y69" s="92">
        <f t="shared" si="1"/>
        <v>-366906.42081288365</v>
      </c>
      <c r="Z69" s="92">
        <f t="shared" si="6"/>
        <v>-746532.64005334233</v>
      </c>
    </row>
    <row r="70" spans="1:26" ht="19.5" thickBot="1" x14ac:dyDescent="0.35">
      <c r="A70" s="93">
        <v>262</v>
      </c>
      <c r="B70" s="94" t="s">
        <v>475</v>
      </c>
      <c r="C70" s="93">
        <v>5006</v>
      </c>
      <c r="D70" s="94" t="s">
        <v>118</v>
      </c>
      <c r="E70" s="93">
        <v>4029</v>
      </c>
      <c r="F70" s="94" t="s">
        <v>506</v>
      </c>
      <c r="G70" s="95">
        <v>2.2744243073960568</v>
      </c>
      <c r="H70" s="96">
        <v>246.71521054153371</v>
      </c>
      <c r="I70" s="97">
        <v>1.2486918125895001</v>
      </c>
      <c r="J70" s="98">
        <v>0.89901352406263768</v>
      </c>
      <c r="K70" s="99">
        <v>107</v>
      </c>
      <c r="M70" s="89">
        <f t="shared" si="7"/>
        <v>1.2486918125895001</v>
      </c>
      <c r="N70" s="100"/>
      <c r="U70" s="92">
        <f t="shared" si="2"/>
        <v>8965626.6896855086</v>
      </c>
      <c r="V70" s="92">
        <f t="shared" si="3"/>
        <v>1330162.2325317238</v>
      </c>
      <c r="W70" s="92">
        <f t="shared" si="4"/>
        <v>638613.06900295254</v>
      </c>
      <c r="X70" s="92">
        <f t="shared" si="5"/>
        <v>387539.83215355809</v>
      </c>
      <c r="Y70" s="92">
        <f t="shared" ref="Y70:Y133" si="8">((((($R$5-$M70)))/0.003)*G70*1000)+(((((($R$5/$O$2)-($M70/$O$2))))/0.003)*G70*1000)*$O$3</f>
        <v>44839.787531747628</v>
      </c>
      <c r="Z70" s="92">
        <f t="shared" si="6"/>
        <v>-231373.76000993137</v>
      </c>
    </row>
    <row r="71" spans="1:26" ht="19.5" thickBot="1" x14ac:dyDescent="0.35">
      <c r="A71" s="93">
        <v>262</v>
      </c>
      <c r="B71" s="94" t="s">
        <v>475</v>
      </c>
      <c r="C71" s="93">
        <v>5006</v>
      </c>
      <c r="D71" s="94" t="s">
        <v>118</v>
      </c>
      <c r="E71" s="93">
        <v>4019</v>
      </c>
      <c r="F71" s="94" t="s">
        <v>126</v>
      </c>
      <c r="G71" s="95">
        <v>4.5979315814718493</v>
      </c>
      <c r="H71" s="96">
        <v>494.62876895875456</v>
      </c>
      <c r="I71" s="97">
        <v>3.1588241400170398</v>
      </c>
      <c r="J71" s="98">
        <v>0.74453382749049957</v>
      </c>
      <c r="K71" s="99">
        <v>8</v>
      </c>
      <c r="M71" s="89">
        <f t="shared" si="7"/>
        <v>3.1588241400170398</v>
      </c>
      <c r="N71" s="100"/>
      <c r="U71" s="92">
        <f t="shared" ref="U71:U134" si="9">((((($N$5-$M71)))/0.003)*G71*1000)+(((((($N$5/$O$2)-($M71/$O$2))))/0.003)*G71*1000)*$O$3</f>
        <v>15010317.469218975</v>
      </c>
      <c r="V71" s="92">
        <f t="shared" ref="V71:V134" si="10">((((($O$5-$M71)))/0.003)*G71*1000)+(((((($O$5/$O$2)-($M71/$O$2))))/0.003)*G71*1000)*$O$3</f>
        <v>-425387.75631429546</v>
      </c>
      <c r="W71" s="92">
        <f t="shared" ref="W71:W134" si="11">((((($P$5-$M71)))/0.003)*G71*1000)+(((((($P$5/$O$2)-($M71/$O$2))))/0.003)*G71*1000)*$O$3</f>
        <v>-1823409.9849677293</v>
      </c>
      <c r="X71" s="92">
        <f t="shared" ref="X71:X134" si="12">((((($Q$5-$M71)))/0.003)*G71*1000)+(((((($Q$5/$O$2)-($M71/$O$2))))/0.003)*G71*1000)*$O$3</f>
        <v>-2330974.7173785702</v>
      </c>
      <c r="Y71" s="92">
        <f t="shared" si="8"/>
        <v>-3023770.4077053396</v>
      </c>
      <c r="Z71" s="92">
        <f t="shared" ref="Z71:Z134" si="13">((((($S$5-$M71)))/0.003)*G71*1000)+(((((($S$5/$O$2)-($M71/$O$2))))/0.003)*G71*1000)*$O$3</f>
        <v>-3582158.2992444835</v>
      </c>
    </row>
    <row r="72" spans="1:26" ht="19.5" thickBot="1" x14ac:dyDescent="0.35">
      <c r="A72" s="93">
        <v>262</v>
      </c>
      <c r="B72" s="94" t="s">
        <v>475</v>
      </c>
      <c r="C72" s="93">
        <v>5006</v>
      </c>
      <c r="D72" s="94" t="s">
        <v>118</v>
      </c>
      <c r="E72" s="93">
        <v>4024</v>
      </c>
      <c r="F72" s="94" t="s">
        <v>507</v>
      </c>
      <c r="G72" s="95">
        <v>2.741125293470831</v>
      </c>
      <c r="H72" s="96">
        <v>184.77271123155595</v>
      </c>
      <c r="I72" s="97">
        <v>1.2538787647127208</v>
      </c>
      <c r="J72" s="98">
        <v>0.89859403543421978</v>
      </c>
      <c r="K72" s="99">
        <v>106</v>
      </c>
      <c r="M72" s="89">
        <f t="shared" si="7"/>
        <v>1.2538787647127208</v>
      </c>
      <c r="N72" s="100"/>
      <c r="U72" s="92">
        <f t="shared" si="9"/>
        <v>10800288.51673056</v>
      </c>
      <c r="V72" s="92">
        <f t="shared" si="10"/>
        <v>1598063.2842435543</v>
      </c>
      <c r="W72" s="92">
        <f t="shared" si="11"/>
        <v>764611.54102086066</v>
      </c>
      <c r="X72" s="92">
        <f t="shared" si="12"/>
        <v>462019.27720997995</v>
      </c>
      <c r="Y72" s="92">
        <f t="shared" si="8"/>
        <v>48998.82305298539</v>
      </c>
      <c r="Z72" s="92">
        <f t="shared" si="13"/>
        <v>-283892.42292241228</v>
      </c>
    </row>
    <row r="73" spans="1:26" ht="19.5" thickBot="1" x14ac:dyDescent="0.35">
      <c r="A73" s="93">
        <v>262</v>
      </c>
      <c r="B73" s="94" t="s">
        <v>475</v>
      </c>
      <c r="C73" s="93">
        <v>5006</v>
      </c>
      <c r="D73" s="94" t="s">
        <v>118</v>
      </c>
      <c r="E73" s="93">
        <v>4047</v>
      </c>
      <c r="F73" s="94" t="s">
        <v>128</v>
      </c>
      <c r="G73" s="95">
        <v>5.6126775106429232</v>
      </c>
      <c r="H73" s="96">
        <v>121.40937470714276</v>
      </c>
      <c r="I73" s="97">
        <v>0.84274165084859498</v>
      </c>
      <c r="J73" s="98">
        <v>0.93184426406356802</v>
      </c>
      <c r="K73" s="99">
        <v>175</v>
      </c>
      <c r="M73" s="89">
        <f t="shared" si="7"/>
        <v>0.84274165084859498</v>
      </c>
      <c r="N73" s="100"/>
      <c r="U73" s="92">
        <f t="shared" si="9"/>
        <v>22932762.031257883</v>
      </c>
      <c r="V73" s="92">
        <f t="shared" si="10"/>
        <v>4090455.6495411266</v>
      </c>
      <c r="W73" s="92">
        <f t="shared" si="11"/>
        <v>2383895.2575245434</v>
      </c>
      <c r="X73" s="92">
        <f t="shared" si="12"/>
        <v>1764312.928314267</v>
      </c>
      <c r="Y73" s="92">
        <f t="shared" si="8"/>
        <v>918619.8766306527</v>
      </c>
      <c r="Z73" s="92">
        <f t="shared" si="13"/>
        <v>236997.91129165815</v>
      </c>
    </row>
    <row r="74" spans="1:26" ht="19.5" thickBot="1" x14ac:dyDescent="0.35">
      <c r="A74" s="93">
        <v>262</v>
      </c>
      <c r="B74" s="94" t="s">
        <v>475</v>
      </c>
      <c r="C74" s="93">
        <v>5006</v>
      </c>
      <c r="D74" s="94" t="s">
        <v>118</v>
      </c>
      <c r="E74" s="93">
        <v>4026</v>
      </c>
      <c r="F74" s="94" t="s">
        <v>129</v>
      </c>
      <c r="G74" s="95">
        <v>4.1459520961535112</v>
      </c>
      <c r="H74" s="96">
        <v>191.82744026344685</v>
      </c>
      <c r="I74" s="97">
        <v>1.3160216200380277</v>
      </c>
      <c r="J74" s="98">
        <v>0.89356830538560672</v>
      </c>
      <c r="K74" s="99">
        <v>98</v>
      </c>
      <c r="M74" s="89">
        <f t="shared" si="7"/>
        <v>1.3160216200380277</v>
      </c>
      <c r="N74" s="100"/>
      <c r="U74" s="92">
        <f t="shared" si="9"/>
        <v>16244074.571711633</v>
      </c>
      <c r="V74" s="92">
        <f t="shared" si="10"/>
        <v>2325708.6061785761</v>
      </c>
      <c r="W74" s="92">
        <f t="shared" si="11"/>
        <v>1065112.8172565715</v>
      </c>
      <c r="X74" s="92">
        <f t="shared" si="12"/>
        <v>607442.00833194179</v>
      </c>
      <c r="Y74" s="92">
        <f t="shared" si="8"/>
        <v>-17251.442107990886</v>
      </c>
      <c r="Z74" s="92">
        <f t="shared" si="13"/>
        <v>-520749.46254882147</v>
      </c>
    </row>
    <row r="75" spans="1:26" ht="19.5" thickBot="1" x14ac:dyDescent="0.35">
      <c r="A75" s="93">
        <v>262</v>
      </c>
      <c r="B75" s="94" t="s">
        <v>475</v>
      </c>
      <c r="C75" s="93">
        <v>5006</v>
      </c>
      <c r="D75" s="94" t="s">
        <v>118</v>
      </c>
      <c r="E75" s="93">
        <v>4045</v>
      </c>
      <c r="F75" s="94" t="s">
        <v>508</v>
      </c>
      <c r="G75" s="95">
        <v>5.8692347533858378</v>
      </c>
      <c r="H75" s="96">
        <v>264.15817370494568</v>
      </c>
      <c r="I75" s="97">
        <v>1.9096016093298023</v>
      </c>
      <c r="J75" s="98">
        <v>0.84556322462736544</v>
      </c>
      <c r="K75" s="99">
        <v>36</v>
      </c>
      <c r="M75" s="89">
        <f t="shared" si="7"/>
        <v>1.9096016093298023</v>
      </c>
      <c r="N75" s="100"/>
      <c r="U75" s="92">
        <f t="shared" si="9"/>
        <v>21760581.93885893</v>
      </c>
      <c r="V75" s="92">
        <f t="shared" si="10"/>
        <v>2056987.844986286</v>
      </c>
      <c r="W75" s="92">
        <f t="shared" si="11"/>
        <v>272420.04422052455</v>
      </c>
      <c r="X75" s="92">
        <f t="shared" si="12"/>
        <v>-375483.5868520097</v>
      </c>
      <c r="Y75" s="92">
        <f t="shared" si="8"/>
        <v>-1259833.5321724608</v>
      </c>
      <c r="Z75" s="92">
        <f t="shared" si="13"/>
        <v>-1972612.6505259972</v>
      </c>
    </row>
    <row r="76" spans="1:26" ht="19.5" thickBot="1" x14ac:dyDescent="0.35">
      <c r="A76" s="93">
        <v>262</v>
      </c>
      <c r="B76" s="94" t="s">
        <v>475</v>
      </c>
      <c r="C76" s="93">
        <v>5006</v>
      </c>
      <c r="D76" s="94" t="s">
        <v>118</v>
      </c>
      <c r="E76" s="93">
        <v>4043</v>
      </c>
      <c r="F76" s="94" t="s">
        <v>131</v>
      </c>
      <c r="G76" s="95">
        <v>8.4237180108253167</v>
      </c>
      <c r="H76" s="96">
        <v>359.38944313300789</v>
      </c>
      <c r="I76" s="97">
        <v>1.8860709424012865</v>
      </c>
      <c r="J76" s="98">
        <v>0.84746623953113009</v>
      </c>
      <c r="K76" s="99">
        <v>39</v>
      </c>
      <c r="M76" s="89">
        <f t="shared" si="7"/>
        <v>1.8860709424012865</v>
      </c>
      <c r="N76" s="100"/>
      <c r="U76" s="92">
        <f t="shared" si="9"/>
        <v>31301789.393308152</v>
      </c>
      <c r="V76" s="92">
        <f t="shared" si="10"/>
        <v>3022545.6041928129</v>
      </c>
      <c r="W76" s="92">
        <f t="shared" si="11"/>
        <v>461275.42903455702</v>
      </c>
      <c r="X76" s="92">
        <f t="shared" si="12"/>
        <v>-468617.08944008121</v>
      </c>
      <c r="Y76" s="92">
        <f t="shared" si="8"/>
        <v>-1737865.1047747547</v>
      </c>
      <c r="Z76" s="92">
        <f t="shared" si="13"/>
        <v>-2760869.0480999295</v>
      </c>
    </row>
    <row r="77" spans="1:26" ht="19.5" thickBot="1" x14ac:dyDescent="0.35">
      <c r="A77" s="93">
        <v>262</v>
      </c>
      <c r="B77" s="94" t="s">
        <v>475</v>
      </c>
      <c r="C77" s="93">
        <v>5006</v>
      </c>
      <c r="D77" s="94" t="s">
        <v>118</v>
      </c>
      <c r="E77" s="93">
        <v>4048</v>
      </c>
      <c r="F77" s="94" t="s">
        <v>509</v>
      </c>
      <c r="G77" s="95">
        <v>2.8112321713374335</v>
      </c>
      <c r="H77" s="96">
        <v>87.880502727195847</v>
      </c>
      <c r="I77" s="97">
        <v>0.47374584820093196</v>
      </c>
      <c r="J77" s="98">
        <v>0.96168636390707518</v>
      </c>
      <c r="K77" s="99">
        <v>247</v>
      </c>
      <c r="M77" s="89">
        <f t="shared" si="7"/>
        <v>0.47374584820093196</v>
      </c>
      <c r="N77" s="100"/>
      <c r="U77" s="92">
        <f t="shared" si="9"/>
        <v>11854223.492977766</v>
      </c>
      <c r="V77" s="92">
        <f t="shared" si="10"/>
        <v>2416642.6267984235</v>
      </c>
      <c r="W77" s="92">
        <f t="shared" si="11"/>
        <v>1561874.5651611728</v>
      </c>
      <c r="X77" s="92">
        <f t="shared" si="12"/>
        <v>1251543.217356978</v>
      </c>
      <c r="Y77" s="92">
        <f t="shared" si="8"/>
        <v>827959.37355669972</v>
      </c>
      <c r="Z77" s="92">
        <f t="shared" si="13"/>
        <v>486554.11839680851</v>
      </c>
    </row>
    <row r="78" spans="1:26" ht="19.5" thickBot="1" x14ac:dyDescent="0.35">
      <c r="A78" s="93">
        <v>262</v>
      </c>
      <c r="B78" s="94" t="s">
        <v>475</v>
      </c>
      <c r="C78" s="93">
        <v>5006</v>
      </c>
      <c r="D78" s="94" t="s">
        <v>118</v>
      </c>
      <c r="E78" s="93">
        <v>4010</v>
      </c>
      <c r="F78" s="94" t="s">
        <v>133</v>
      </c>
      <c r="G78" s="95">
        <v>2.5527409768204761</v>
      </c>
      <c r="H78" s="96">
        <v>248.13520685085393</v>
      </c>
      <c r="I78" s="97">
        <v>1.3757725235696654</v>
      </c>
      <c r="J78" s="98">
        <v>0.88873602161398479</v>
      </c>
      <c r="K78" s="99">
        <v>92</v>
      </c>
      <c r="M78" s="89">
        <f t="shared" si="7"/>
        <v>1.3757725235696654</v>
      </c>
      <c r="N78" s="100"/>
      <c r="U78" s="92">
        <f t="shared" si="9"/>
        <v>9947695.2359785065</v>
      </c>
      <c r="V78" s="92">
        <f t="shared" si="10"/>
        <v>1377894.5468766328</v>
      </c>
      <c r="W78" s="92">
        <f t="shared" si="11"/>
        <v>601721.9209135694</v>
      </c>
      <c r="X78" s="92">
        <f t="shared" si="12"/>
        <v>319925.36351475061</v>
      </c>
      <c r="Y78" s="92">
        <f t="shared" si="8"/>
        <v>-64710.187476994819</v>
      </c>
      <c r="Z78" s="92">
        <f t="shared" si="13"/>
        <v>-374723.42417593399</v>
      </c>
    </row>
    <row r="79" spans="1:26" ht="19.5" thickBot="1" x14ac:dyDescent="0.35">
      <c r="A79" s="93">
        <v>262</v>
      </c>
      <c r="B79" s="94" t="s">
        <v>475</v>
      </c>
      <c r="C79" s="93">
        <v>5006</v>
      </c>
      <c r="D79" s="94" t="s">
        <v>118</v>
      </c>
      <c r="E79" s="93">
        <v>4054</v>
      </c>
      <c r="F79" s="94" t="s">
        <v>510</v>
      </c>
      <c r="G79" s="95">
        <v>2.6966891074729142</v>
      </c>
      <c r="H79" s="96">
        <v>177.47459192969168</v>
      </c>
      <c r="I79" s="97">
        <v>1.1102877370746649</v>
      </c>
      <c r="J79" s="98">
        <v>0.91020679024785189</v>
      </c>
      <c r="K79" s="99">
        <v>126</v>
      </c>
      <c r="M79" s="89">
        <f t="shared" si="7"/>
        <v>1.1102877370746649</v>
      </c>
      <c r="N79" s="100"/>
      <c r="U79" s="92">
        <f t="shared" si="9"/>
        <v>10762517.996828906</v>
      </c>
      <c r="V79" s="92">
        <f t="shared" si="10"/>
        <v>1709469.3791429524</v>
      </c>
      <c r="W79" s="92">
        <f t="shared" si="11"/>
        <v>889528.66249403404</v>
      </c>
      <c r="X79" s="92">
        <f t="shared" si="12"/>
        <v>591841.70022053947</v>
      </c>
      <c r="Y79" s="92">
        <f t="shared" si="8"/>
        <v>185516.69109321211</v>
      </c>
      <c r="Z79" s="92">
        <f t="shared" si="13"/>
        <v>-141978.07871290002</v>
      </c>
    </row>
    <row r="80" spans="1:26" ht="19.5" thickBot="1" x14ac:dyDescent="0.35">
      <c r="A80" s="93">
        <v>262</v>
      </c>
      <c r="B80" s="94" t="s">
        <v>475</v>
      </c>
      <c r="C80" s="93">
        <v>5006</v>
      </c>
      <c r="D80" s="94" t="s">
        <v>118</v>
      </c>
      <c r="E80" s="93">
        <v>4006</v>
      </c>
      <c r="F80" s="94" t="s">
        <v>135</v>
      </c>
      <c r="G80" s="95">
        <v>5.6576315338785204</v>
      </c>
      <c r="H80" s="96">
        <v>182.66436690187427</v>
      </c>
      <c r="I80" s="97">
        <v>1.1733395851513111</v>
      </c>
      <c r="J80" s="98">
        <v>0.90510754648377689</v>
      </c>
      <c r="K80" s="99">
        <v>119</v>
      </c>
      <c r="M80" s="89">
        <f t="shared" si="7"/>
        <v>1.1733395851513111</v>
      </c>
      <c r="N80" s="100"/>
      <c r="U80" s="92">
        <f t="shared" si="9"/>
        <v>22453176.186315604</v>
      </c>
      <c r="V80" s="92">
        <f t="shared" si="10"/>
        <v>3459954.7596332771</v>
      </c>
      <c r="W80" s="92">
        <f t="shared" si="11"/>
        <v>1739725.890250911</v>
      </c>
      <c r="X80" s="92">
        <f t="shared" si="12"/>
        <v>1115181.0955558687</v>
      </c>
      <c r="Y80" s="92">
        <f t="shared" si="8"/>
        <v>262714.57345221372</v>
      </c>
      <c r="Z80" s="92">
        <f t="shared" si="13"/>
        <v>-424366.75590861158</v>
      </c>
    </row>
    <row r="81" spans="1:26" ht="19.5" thickBot="1" x14ac:dyDescent="0.35">
      <c r="A81" s="93">
        <v>262</v>
      </c>
      <c r="B81" s="94" t="s">
        <v>475</v>
      </c>
      <c r="C81" s="93">
        <v>5006</v>
      </c>
      <c r="D81" s="94" t="s">
        <v>118</v>
      </c>
      <c r="E81" s="93">
        <v>4020</v>
      </c>
      <c r="F81" s="94" t="s">
        <v>136</v>
      </c>
      <c r="G81" s="95">
        <v>4.6944637314758273</v>
      </c>
      <c r="H81" s="96">
        <v>286.07960736716478</v>
      </c>
      <c r="I81" s="97">
        <v>1.4589273148238542</v>
      </c>
      <c r="J81" s="98">
        <v>0.88201097605718493</v>
      </c>
      <c r="K81" s="99">
        <v>82</v>
      </c>
      <c r="M81" s="89">
        <f t="shared" si="7"/>
        <v>1.4589273148238542</v>
      </c>
      <c r="N81" s="100"/>
      <c r="U81" s="92">
        <f t="shared" si="9"/>
        <v>18155278.548230514</v>
      </c>
      <c r="V81" s="92">
        <f t="shared" si="10"/>
        <v>2395505.4704802283</v>
      </c>
      <c r="W81" s="92">
        <f t="shared" si="11"/>
        <v>968132.1979728383</v>
      </c>
      <c r="X81" s="92">
        <f t="shared" si="12"/>
        <v>449911.30115031905</v>
      </c>
      <c r="Y81" s="92">
        <f t="shared" si="8"/>
        <v>-257429.42020088393</v>
      </c>
      <c r="Z81" s="92">
        <f t="shared" si="13"/>
        <v>-827540.49264242989</v>
      </c>
    </row>
    <row r="82" spans="1:26" ht="19.5" thickBot="1" x14ac:dyDescent="0.35">
      <c r="A82" s="93">
        <v>262</v>
      </c>
      <c r="B82" s="94" t="s">
        <v>475</v>
      </c>
      <c r="C82" s="93">
        <v>5006</v>
      </c>
      <c r="D82" s="94" t="s">
        <v>118</v>
      </c>
      <c r="E82" s="93">
        <v>4012</v>
      </c>
      <c r="F82" s="94" t="s">
        <v>511</v>
      </c>
      <c r="G82" s="95">
        <v>2.7150367024280069</v>
      </c>
      <c r="H82" s="96">
        <v>101.57544653203918</v>
      </c>
      <c r="I82" s="97">
        <v>0.80599227047024646</v>
      </c>
      <c r="J82" s="98">
        <v>0.9348163268094547</v>
      </c>
      <c r="K82" s="99">
        <v>183</v>
      </c>
      <c r="M82" s="89">
        <f t="shared" si="7"/>
        <v>0.80599227047024646</v>
      </c>
      <c r="N82" s="100"/>
      <c r="U82" s="92">
        <f t="shared" si="9"/>
        <v>11128712.74111376</v>
      </c>
      <c r="V82" s="92">
        <f t="shared" si="10"/>
        <v>2014069.4558460773</v>
      </c>
      <c r="W82" s="92">
        <f t="shared" si="11"/>
        <v>1188550.0686286555</v>
      </c>
      <c r="X82" s="92">
        <f t="shared" si="12"/>
        <v>888837.71907856653</v>
      </c>
      <c r="Y82" s="92">
        <f t="shared" si="8"/>
        <v>479748.17670677532</v>
      </c>
      <c r="Z82" s="92">
        <f t="shared" si="13"/>
        <v>150025.21479291792</v>
      </c>
    </row>
    <row r="83" spans="1:26" ht="19.5" thickBot="1" x14ac:dyDescent="0.35">
      <c r="A83" s="93">
        <v>262</v>
      </c>
      <c r="B83" s="94" t="s">
        <v>475</v>
      </c>
      <c r="C83" s="93">
        <v>5006</v>
      </c>
      <c r="D83" s="94" t="s">
        <v>118</v>
      </c>
      <c r="E83" s="93">
        <v>4023</v>
      </c>
      <c r="F83" s="94" t="s">
        <v>138</v>
      </c>
      <c r="G83" s="95">
        <v>3.2678846701127418</v>
      </c>
      <c r="H83" s="96">
        <v>176.46590584853934</v>
      </c>
      <c r="I83" s="97">
        <v>2.040491675408469</v>
      </c>
      <c r="J83" s="98">
        <v>0.83497764508305694</v>
      </c>
      <c r="K83" s="99">
        <v>30</v>
      </c>
      <c r="M83" s="89">
        <f t="shared" si="7"/>
        <v>2.040491675408469</v>
      </c>
      <c r="N83" s="100"/>
      <c r="U83" s="92">
        <f t="shared" si="9"/>
        <v>11964223.241178198</v>
      </c>
      <c r="V83" s="92">
        <f t="shared" si="10"/>
        <v>993615.35258664167</v>
      </c>
      <c r="W83" s="92">
        <f t="shared" si="11"/>
        <v>0</v>
      </c>
      <c r="X83" s="92">
        <f t="shared" si="12"/>
        <v>-360741.12429578754</v>
      </c>
      <c r="Y83" s="92">
        <f t="shared" si="8"/>
        <v>-853131.31667318207</v>
      </c>
      <c r="Z83" s="92">
        <f t="shared" si="13"/>
        <v>-1249993.94901214</v>
      </c>
    </row>
    <row r="84" spans="1:26" ht="19.5" thickBot="1" x14ac:dyDescent="0.35">
      <c r="A84" s="93">
        <v>264</v>
      </c>
      <c r="B84" s="94" t="s">
        <v>512</v>
      </c>
      <c r="C84" s="93">
        <v>5130</v>
      </c>
      <c r="D84" s="94" t="s">
        <v>140</v>
      </c>
      <c r="E84" s="93">
        <v>4132</v>
      </c>
      <c r="F84" s="94" t="s">
        <v>141</v>
      </c>
      <c r="G84" s="95">
        <v>3.879630535638257</v>
      </c>
      <c r="H84" s="96">
        <v>284.49251296255727</v>
      </c>
      <c r="I84" s="97">
        <v>1.6264858427715936</v>
      </c>
      <c r="J84" s="98">
        <v>0.86845987795588175</v>
      </c>
      <c r="K84" s="99">
        <v>58</v>
      </c>
      <c r="M84" s="89">
        <f t="shared" si="7"/>
        <v>1.6264858427715936</v>
      </c>
      <c r="N84" s="100"/>
      <c r="U84" s="92">
        <f t="shared" si="9"/>
        <v>14773488.784828076</v>
      </c>
      <c r="V84" s="92">
        <f t="shared" si="10"/>
        <v>1749190.2995252411</v>
      </c>
      <c r="W84" s="92">
        <f t="shared" si="11"/>
        <v>569570.80504622811</v>
      </c>
      <c r="X84" s="92">
        <f t="shared" si="12"/>
        <v>141299.17903742869</v>
      </c>
      <c r="Y84" s="92">
        <f t="shared" si="8"/>
        <v>-443266.13419629424</v>
      </c>
      <c r="Z84" s="92">
        <f t="shared" si="13"/>
        <v>-914421.19084732363</v>
      </c>
    </row>
    <row r="85" spans="1:26" ht="19.5" thickBot="1" x14ac:dyDescent="0.35">
      <c r="A85" s="93">
        <v>264</v>
      </c>
      <c r="B85" s="94" t="s">
        <v>512</v>
      </c>
      <c r="C85" s="93">
        <v>5130</v>
      </c>
      <c r="D85" s="94" t="s">
        <v>140</v>
      </c>
      <c r="E85" s="93">
        <v>4130</v>
      </c>
      <c r="F85" s="94" t="s">
        <v>142</v>
      </c>
      <c r="G85" s="95">
        <v>7.9105611499017217</v>
      </c>
      <c r="H85" s="96">
        <v>584.98901837671667</v>
      </c>
      <c r="I85" s="97">
        <v>6.0765456195856844</v>
      </c>
      <c r="J85" s="98">
        <v>0.50856654796029521</v>
      </c>
      <c r="K85" s="99">
        <v>2</v>
      </c>
      <c r="M85" s="89">
        <f t="shared" si="7"/>
        <v>6.0765456195856844</v>
      </c>
      <c r="N85" s="100"/>
      <c r="U85" s="92">
        <f t="shared" si="9"/>
        <v>17639977.256940771</v>
      </c>
      <c r="V85" s="92">
        <f t="shared" si="10"/>
        <v>-8916548.8493809924</v>
      </c>
      <c r="W85" s="92">
        <f t="shared" si="11"/>
        <v>-11321791.322594287</v>
      </c>
      <c r="X85" s="92">
        <f t="shared" si="12"/>
        <v>-12195036.559528453</v>
      </c>
      <c r="Y85" s="92">
        <f t="shared" si="8"/>
        <v>-13386964.402648713</v>
      </c>
      <c r="Z85" s="92">
        <f t="shared" si="13"/>
        <v>-14347648.893732663</v>
      </c>
    </row>
    <row r="86" spans="1:26" ht="19.5" thickBot="1" x14ac:dyDescent="0.35">
      <c r="A86" s="93">
        <v>264</v>
      </c>
      <c r="B86" s="94" t="s">
        <v>512</v>
      </c>
      <c r="C86" s="93">
        <v>5130</v>
      </c>
      <c r="D86" s="94" t="s">
        <v>140</v>
      </c>
      <c r="E86" s="93">
        <v>4134</v>
      </c>
      <c r="F86" s="94" t="s">
        <v>513</v>
      </c>
      <c r="G86" s="95">
        <v>0.90801949255786807</v>
      </c>
      <c r="H86" s="96">
        <v>166.82749582090713</v>
      </c>
      <c r="I86" s="97">
        <v>0.78879011978297819</v>
      </c>
      <c r="J86" s="98">
        <v>0.93620753043466964</v>
      </c>
      <c r="K86" s="99">
        <v>186</v>
      </c>
      <c r="M86" s="89">
        <f t="shared" si="7"/>
        <v>0.78879011978297819</v>
      </c>
      <c r="N86" s="100"/>
      <c r="U86" s="92">
        <f t="shared" si="9"/>
        <v>3727436.386701535</v>
      </c>
      <c r="V86" s="92">
        <f t="shared" si="10"/>
        <v>679126.29817366344</v>
      </c>
      <c r="W86" s="92">
        <f t="shared" si="11"/>
        <v>403038.7983592028</v>
      </c>
      <c r="X86" s="92">
        <f t="shared" si="12"/>
        <v>302802.7111974993</v>
      </c>
      <c r="Y86" s="92">
        <f t="shared" si="8"/>
        <v>165986.41020864953</v>
      </c>
      <c r="Z86" s="92">
        <f t="shared" si="13"/>
        <v>55713.544912222846</v>
      </c>
    </row>
    <row r="87" spans="1:26" ht="19.5" thickBot="1" x14ac:dyDescent="0.35">
      <c r="A87" s="93">
        <v>264</v>
      </c>
      <c r="B87" s="94" t="s">
        <v>512</v>
      </c>
      <c r="C87" s="93">
        <v>5130</v>
      </c>
      <c r="D87" s="94" t="s">
        <v>140</v>
      </c>
      <c r="E87" s="93">
        <v>4135</v>
      </c>
      <c r="F87" s="94" t="s">
        <v>514</v>
      </c>
      <c r="G87" s="95">
        <v>6.669059139075534</v>
      </c>
      <c r="H87" s="96">
        <v>178.32965440832177</v>
      </c>
      <c r="I87" s="97">
        <v>1.1680351818832138</v>
      </c>
      <c r="J87" s="98">
        <v>0.905536533834855</v>
      </c>
      <c r="K87" s="99">
        <v>120</v>
      </c>
      <c r="M87" s="89">
        <f t="shared" si="7"/>
        <v>1.1680351818832138</v>
      </c>
      <c r="N87" s="100"/>
      <c r="U87" s="92">
        <f t="shared" si="9"/>
        <v>26479725.81561657</v>
      </c>
      <c r="V87" s="92">
        <f t="shared" si="10"/>
        <v>4091043.1703072065</v>
      </c>
      <c r="W87" s="92">
        <f t="shared" si="11"/>
        <v>2063285.089216453</v>
      </c>
      <c r="X87" s="92">
        <f t="shared" si="12"/>
        <v>1327089.006830778</v>
      </c>
      <c r="Y87" s="92">
        <f t="shared" si="8"/>
        <v>322225.11353054893</v>
      </c>
      <c r="Z87" s="92">
        <f t="shared" si="13"/>
        <v>-487687.30148328579</v>
      </c>
    </row>
    <row r="88" spans="1:26" ht="19.5" thickBot="1" x14ac:dyDescent="0.35">
      <c r="A88" s="93">
        <v>264</v>
      </c>
      <c r="B88" s="94" t="s">
        <v>512</v>
      </c>
      <c r="C88" s="93">
        <v>5130</v>
      </c>
      <c r="D88" s="94" t="s">
        <v>140</v>
      </c>
      <c r="E88" s="93">
        <v>4133</v>
      </c>
      <c r="F88" s="94" t="s">
        <v>515</v>
      </c>
      <c r="G88" s="95">
        <v>1.4672043010752684</v>
      </c>
      <c r="H88" s="96">
        <v>78.80649437522905</v>
      </c>
      <c r="I88" s="97">
        <v>0.26722424560278496</v>
      </c>
      <c r="J88" s="98">
        <v>0.97838855466467534</v>
      </c>
      <c r="K88" s="99">
        <v>280</v>
      </c>
      <c r="M88" s="89">
        <f t="shared" si="7"/>
        <v>0.26722424560278496</v>
      </c>
      <c r="N88" s="100"/>
      <c r="U88" s="92">
        <f t="shared" si="9"/>
        <v>6294263.1186526362</v>
      </c>
      <c r="V88" s="92">
        <f t="shared" si="10"/>
        <v>1368715.03344543</v>
      </c>
      <c r="W88" s="92">
        <f t="shared" si="11"/>
        <v>922604.82268354122</v>
      </c>
      <c r="X88" s="92">
        <f t="shared" si="12"/>
        <v>760640.43820504996</v>
      </c>
      <c r="Y88" s="92">
        <f t="shared" si="8"/>
        <v>539568.68048036005</v>
      </c>
      <c r="Z88" s="92">
        <f t="shared" si="13"/>
        <v>361386.57802455849</v>
      </c>
    </row>
    <row r="89" spans="1:26" ht="19.5" thickBot="1" x14ac:dyDescent="0.35">
      <c r="A89" s="93">
        <v>264</v>
      </c>
      <c r="B89" s="94" t="s">
        <v>512</v>
      </c>
      <c r="C89" s="93">
        <v>5130</v>
      </c>
      <c r="D89" s="94" t="s">
        <v>140</v>
      </c>
      <c r="E89" s="93">
        <v>4162</v>
      </c>
      <c r="F89" s="94" t="s">
        <v>516</v>
      </c>
      <c r="G89" s="95">
        <v>4.5305552577094907</v>
      </c>
      <c r="H89" s="96">
        <v>107.85059062430084</v>
      </c>
      <c r="I89" s="97">
        <v>0.82226084868091776</v>
      </c>
      <c r="J89" s="98">
        <v>0.93350062475595919</v>
      </c>
      <c r="K89" s="99">
        <v>179</v>
      </c>
      <c r="M89" s="89">
        <f t="shared" si="7"/>
        <v>0.82226084868091776</v>
      </c>
      <c r="N89" s="100"/>
      <c r="U89" s="92">
        <f t="shared" si="9"/>
        <v>18544237.610058084</v>
      </c>
      <c r="V89" s="92">
        <f t="shared" si="10"/>
        <v>3334721.2814989942</v>
      </c>
      <c r="W89" s="92">
        <f t="shared" si="11"/>
        <v>1957185.1337355629</v>
      </c>
      <c r="X89" s="92">
        <f t="shared" si="12"/>
        <v>1457058.0600056541</v>
      </c>
      <c r="Y89" s="92">
        <f t="shared" si="8"/>
        <v>774414.33168735018</v>
      </c>
      <c r="Z89" s="92">
        <f t="shared" si="13"/>
        <v>224208.84188661541</v>
      </c>
    </row>
    <row r="90" spans="1:26" ht="19.5" thickBot="1" x14ac:dyDescent="0.35">
      <c r="A90" s="93">
        <v>264</v>
      </c>
      <c r="B90" s="94" t="s">
        <v>512</v>
      </c>
      <c r="C90" s="93">
        <v>5130</v>
      </c>
      <c r="D90" s="94" t="s">
        <v>140</v>
      </c>
      <c r="E90" s="93">
        <v>4147</v>
      </c>
      <c r="F90" s="94" t="s">
        <v>517</v>
      </c>
      <c r="G90" s="95">
        <v>5.8922408078588093</v>
      </c>
      <c r="H90" s="96">
        <v>162.18789337757482</v>
      </c>
      <c r="I90" s="97">
        <v>1.2841979219362067</v>
      </c>
      <c r="J90" s="98">
        <v>0.89614200939342981</v>
      </c>
      <c r="K90" s="99">
        <v>103</v>
      </c>
      <c r="M90" s="89">
        <f t="shared" si="7"/>
        <v>1.2841979219362067</v>
      </c>
      <c r="N90" s="100"/>
      <c r="U90" s="92">
        <f t="shared" si="9"/>
        <v>23152626.348380283</v>
      </c>
      <c r="V90" s="92">
        <f t="shared" si="10"/>
        <v>3371798.6835083761</v>
      </c>
      <c r="W90" s="92">
        <f t="shared" si="11"/>
        <v>1580235.7861482177</v>
      </c>
      <c r="X90" s="92">
        <f t="shared" si="12"/>
        <v>929792.52140008495</v>
      </c>
      <c r="Y90" s="92">
        <f t="shared" si="8"/>
        <v>41976.127067098714</v>
      </c>
      <c r="Z90" s="92">
        <f t="shared" si="13"/>
        <v>-673596.92199683865</v>
      </c>
    </row>
    <row r="91" spans="1:26" ht="19.5" thickBot="1" x14ac:dyDescent="0.35">
      <c r="A91" s="93">
        <v>264</v>
      </c>
      <c r="B91" s="94" t="s">
        <v>512</v>
      </c>
      <c r="C91" s="93">
        <v>5130</v>
      </c>
      <c r="D91" s="94" t="s">
        <v>140</v>
      </c>
      <c r="E91" s="93">
        <v>4141</v>
      </c>
      <c r="F91" s="94" t="s">
        <v>518</v>
      </c>
      <c r="G91" s="95">
        <v>3.321253647314768</v>
      </c>
      <c r="H91" s="96">
        <v>207.32264603057627</v>
      </c>
      <c r="I91" s="97">
        <v>1.0794455869995241</v>
      </c>
      <c r="J91" s="98">
        <v>0.91270111271799004</v>
      </c>
      <c r="K91" s="99">
        <v>132</v>
      </c>
      <c r="M91" s="89">
        <f t="shared" si="7"/>
        <v>1.0794455869995241</v>
      </c>
      <c r="N91" s="100"/>
      <c r="U91" s="92">
        <f t="shared" si="9"/>
        <v>13291486.760606419</v>
      </c>
      <c r="V91" s="92">
        <f t="shared" si="10"/>
        <v>2141714.0050128684</v>
      </c>
      <c r="W91" s="92">
        <f t="shared" si="11"/>
        <v>1131871.5696332622</v>
      </c>
      <c r="X91" s="92">
        <f t="shared" si="12"/>
        <v>765239.05479531363</v>
      </c>
      <c r="Y91" s="92">
        <f t="shared" si="8"/>
        <v>264807.46450941073</v>
      </c>
      <c r="Z91" s="92">
        <f t="shared" si="13"/>
        <v>-138536.47146040711</v>
      </c>
    </row>
    <row r="92" spans="1:26" ht="19.5" thickBot="1" x14ac:dyDescent="0.35">
      <c r="A92" s="93">
        <v>264</v>
      </c>
      <c r="B92" s="94" t="s">
        <v>512</v>
      </c>
      <c r="C92" s="93">
        <v>5130</v>
      </c>
      <c r="D92" s="94" t="s">
        <v>140</v>
      </c>
      <c r="E92" s="93">
        <v>4139</v>
      </c>
      <c r="F92" s="94" t="s">
        <v>519</v>
      </c>
      <c r="G92" s="95">
        <v>5.9620681714662158</v>
      </c>
      <c r="H92" s="96">
        <v>210.11227277395088</v>
      </c>
      <c r="I92" s="97">
        <v>1.6220959830859594</v>
      </c>
      <c r="J92" s="98">
        <v>0.86881490267458505</v>
      </c>
      <c r="K92" s="99">
        <v>59</v>
      </c>
      <c r="M92" s="89">
        <f t="shared" si="7"/>
        <v>1.6220959830859594</v>
      </c>
      <c r="N92" s="100"/>
      <c r="U92" s="92">
        <f t="shared" si="9"/>
        <v>22712614.929048747</v>
      </c>
      <c r="V92" s="92">
        <f t="shared" si="10"/>
        <v>2697369.9871422336</v>
      </c>
      <c r="W92" s="92">
        <f t="shared" si="11"/>
        <v>884575.75896262634</v>
      </c>
      <c r="X92" s="92">
        <f t="shared" si="12"/>
        <v>226424.26574342052</v>
      </c>
      <c r="Y92" s="92">
        <f t="shared" si="8"/>
        <v>-671913.4022790289</v>
      </c>
      <c r="Z92" s="92">
        <f t="shared" si="13"/>
        <v>-1395966.5153990728</v>
      </c>
    </row>
    <row r="93" spans="1:26" ht="19.5" thickBot="1" x14ac:dyDescent="0.35">
      <c r="A93" s="93">
        <v>264</v>
      </c>
      <c r="B93" s="94" t="s">
        <v>512</v>
      </c>
      <c r="C93" s="93">
        <v>5130</v>
      </c>
      <c r="D93" s="94" t="s">
        <v>140</v>
      </c>
      <c r="E93" s="93">
        <v>4143</v>
      </c>
      <c r="F93" s="94" t="s">
        <v>520</v>
      </c>
      <c r="G93" s="95">
        <v>5.3647351548576907</v>
      </c>
      <c r="H93" s="96">
        <v>224.84615521938062</v>
      </c>
      <c r="I93" s="97">
        <v>1.9092210014366873</v>
      </c>
      <c r="J93" s="98">
        <v>0.84559400584131439</v>
      </c>
      <c r="K93" s="99">
        <v>37</v>
      </c>
      <c r="M93" s="89">
        <f t="shared" si="7"/>
        <v>1.9092210014366873</v>
      </c>
      <c r="N93" s="100"/>
      <c r="U93" s="92">
        <f t="shared" si="9"/>
        <v>19890839.866634607</v>
      </c>
      <c r="V93" s="92">
        <f t="shared" si="10"/>
        <v>1880900.1804657751</v>
      </c>
      <c r="W93" s="92">
        <f t="shared" si="11"/>
        <v>249727.80122634032</v>
      </c>
      <c r="X93" s="92">
        <f t="shared" si="12"/>
        <v>-342484.22174132825</v>
      </c>
      <c r="Y93" s="92">
        <f t="shared" si="8"/>
        <v>-1150818.4322821845</v>
      </c>
      <c r="Z93" s="92">
        <f t="shared" si="13"/>
        <v>-1802329.4647338646</v>
      </c>
    </row>
    <row r="94" spans="1:26" ht="19.5" thickBot="1" x14ac:dyDescent="0.35">
      <c r="A94" s="93">
        <v>264</v>
      </c>
      <c r="B94" s="94" t="s">
        <v>512</v>
      </c>
      <c r="C94" s="93">
        <v>5130</v>
      </c>
      <c r="D94" s="94" t="s">
        <v>140</v>
      </c>
      <c r="E94" s="93">
        <v>4159</v>
      </c>
      <c r="F94" s="94" t="s">
        <v>152</v>
      </c>
      <c r="G94" s="95">
        <v>1.8719059011164272</v>
      </c>
      <c r="H94" s="96">
        <v>64.017985433203975</v>
      </c>
      <c r="I94" s="97">
        <v>0.22594350703085583</v>
      </c>
      <c r="J94" s="98">
        <v>0.98172708565401978</v>
      </c>
      <c r="K94" s="99">
        <v>285</v>
      </c>
      <c r="M94" s="89">
        <f t="shared" si="7"/>
        <v>0.22594350703085583</v>
      </c>
      <c r="N94" s="100"/>
      <c r="U94" s="92">
        <f t="shared" si="9"/>
        <v>8057823.0366518106</v>
      </c>
      <c r="V94" s="92">
        <f t="shared" si="10"/>
        <v>1773652.1681674984</v>
      </c>
      <c r="W94" s="92">
        <f t="shared" si="11"/>
        <v>1204490.5759737794</v>
      </c>
      <c r="X94" s="92">
        <f t="shared" si="12"/>
        <v>997851.26415211649</v>
      </c>
      <c r="Y94" s="92">
        <f t="shared" si="8"/>
        <v>715800.88606111147</v>
      </c>
      <c r="Z94" s="92">
        <f t="shared" si="13"/>
        <v>488470.49395695433</v>
      </c>
    </row>
    <row r="95" spans="1:26" ht="19.5" thickBot="1" x14ac:dyDescent="0.35">
      <c r="A95" s="93">
        <v>264</v>
      </c>
      <c r="B95" s="94" t="s">
        <v>512</v>
      </c>
      <c r="C95" s="93">
        <v>5130</v>
      </c>
      <c r="D95" s="94" t="s">
        <v>140</v>
      </c>
      <c r="E95" s="93">
        <v>4157</v>
      </c>
      <c r="F95" s="94" t="s">
        <v>521</v>
      </c>
      <c r="G95" s="95">
        <v>3.3550369469127368</v>
      </c>
      <c r="H95" s="96">
        <v>150.70899258956845</v>
      </c>
      <c r="I95" s="97">
        <v>1.2367585307602049</v>
      </c>
      <c r="J95" s="98">
        <v>0.8999786141402355</v>
      </c>
      <c r="K95" s="99">
        <v>111</v>
      </c>
      <c r="M95" s="89">
        <f t="shared" si="7"/>
        <v>1.2367585307602049</v>
      </c>
      <c r="N95" s="100"/>
      <c r="U95" s="92">
        <f t="shared" si="9"/>
        <v>13239525.956602126</v>
      </c>
      <c r="V95" s="92">
        <f t="shared" si="10"/>
        <v>1976339.3659177138</v>
      </c>
      <c r="W95" s="92">
        <f t="shared" si="11"/>
        <v>956224.96303307975</v>
      </c>
      <c r="X95" s="92">
        <f t="shared" si="12"/>
        <v>585863.11662145238</v>
      </c>
      <c r="Y95" s="92">
        <f t="shared" si="8"/>
        <v>80341.210407229664</v>
      </c>
      <c r="Z95" s="92">
        <f t="shared" si="13"/>
        <v>-327105.4802681522</v>
      </c>
    </row>
    <row r="96" spans="1:26" ht="19.5" thickBot="1" x14ac:dyDescent="0.35">
      <c r="A96" s="93">
        <v>264</v>
      </c>
      <c r="B96" s="94" t="s">
        <v>512</v>
      </c>
      <c r="C96" s="93">
        <v>5130</v>
      </c>
      <c r="D96" s="94" t="s">
        <v>140</v>
      </c>
      <c r="E96" s="93">
        <v>4148</v>
      </c>
      <c r="F96" s="94" t="s">
        <v>154</v>
      </c>
      <c r="G96" s="95">
        <v>3.1138969062267416</v>
      </c>
      <c r="H96" s="96">
        <v>245.00647781704271</v>
      </c>
      <c r="I96" s="97">
        <v>1.8415234487607186</v>
      </c>
      <c r="J96" s="98">
        <v>0.8510689654793957</v>
      </c>
      <c r="K96" s="99">
        <v>44</v>
      </c>
      <c r="M96" s="89">
        <f t="shared" si="7"/>
        <v>1.8415234487607186</v>
      </c>
      <c r="N96" s="100"/>
      <c r="U96" s="92">
        <f t="shared" si="9"/>
        <v>11620155.045047771</v>
      </c>
      <c r="V96" s="92">
        <f t="shared" si="10"/>
        <v>1166499.1139976182</v>
      </c>
      <c r="W96" s="92">
        <f t="shared" si="11"/>
        <v>219704.44872193297</v>
      </c>
      <c r="X96" s="92">
        <f t="shared" si="12"/>
        <v>-124037.99762781998</v>
      </c>
      <c r="Y96" s="92">
        <f t="shared" si="8"/>
        <v>-593226.00500246882</v>
      </c>
      <c r="Z96" s="92">
        <f t="shared" si="13"/>
        <v>-971387.85824640444</v>
      </c>
    </row>
    <row r="97" spans="1:26" ht="19.5" thickBot="1" x14ac:dyDescent="0.35">
      <c r="A97" s="93">
        <v>264</v>
      </c>
      <c r="B97" s="94" t="s">
        <v>512</v>
      </c>
      <c r="C97" s="93">
        <v>5130</v>
      </c>
      <c r="D97" s="94" t="s">
        <v>140</v>
      </c>
      <c r="E97" s="93">
        <v>4144</v>
      </c>
      <c r="F97" s="94" t="s">
        <v>155</v>
      </c>
      <c r="G97" s="95">
        <v>2.7706717927390021</v>
      </c>
      <c r="H97" s="96">
        <v>157.56069183078557</v>
      </c>
      <c r="I97" s="97">
        <v>1.3394190294301616</v>
      </c>
      <c r="J97" s="98">
        <v>0.89167606752775186</v>
      </c>
      <c r="K97" s="99">
        <v>95</v>
      </c>
      <c r="M97" s="89">
        <f t="shared" si="7"/>
        <v>1.3394190294301616</v>
      </c>
      <c r="N97" s="100"/>
      <c r="U97" s="92">
        <f t="shared" si="9"/>
        <v>10832660.499846261</v>
      </c>
      <c r="V97" s="92">
        <f t="shared" si="10"/>
        <v>1531244.7846239901</v>
      </c>
      <c r="W97" s="92">
        <f t="shared" si="11"/>
        <v>688809.29250815348</v>
      </c>
      <c r="X97" s="92">
        <f t="shared" si="12"/>
        <v>382955.3966505588</v>
      </c>
      <c r="Y97" s="92">
        <f t="shared" si="8"/>
        <v>-34516.991380292922</v>
      </c>
      <c r="Z97" s="92">
        <f t="shared" si="13"/>
        <v>-370996.46113335621</v>
      </c>
    </row>
    <row r="98" spans="1:26" ht="19.5" thickBot="1" x14ac:dyDescent="0.35">
      <c r="A98" s="93">
        <v>264</v>
      </c>
      <c r="B98" s="94" t="s">
        <v>512</v>
      </c>
      <c r="C98" s="93">
        <v>5130</v>
      </c>
      <c r="D98" s="94" t="s">
        <v>140</v>
      </c>
      <c r="E98" s="93">
        <v>4153</v>
      </c>
      <c r="F98" s="94" t="s">
        <v>156</v>
      </c>
      <c r="G98" s="95">
        <v>3.7470341111736376</v>
      </c>
      <c r="H98" s="96">
        <v>80.952334059481331</v>
      </c>
      <c r="I98" s="97">
        <v>0.3220389421333672</v>
      </c>
      <c r="J98" s="98">
        <v>0.97395548080578609</v>
      </c>
      <c r="K98" s="99">
        <v>270</v>
      </c>
      <c r="M98" s="89">
        <f t="shared" si="7"/>
        <v>0.3220389421333672</v>
      </c>
      <c r="N98" s="100"/>
      <c r="U98" s="92">
        <f t="shared" si="9"/>
        <v>16001831.437404107</v>
      </c>
      <c r="V98" s="92">
        <f t="shared" si="10"/>
        <v>3422672.0947199143</v>
      </c>
      <c r="W98" s="92">
        <f t="shared" si="11"/>
        <v>2283369.1524898503</v>
      </c>
      <c r="X98" s="92">
        <f t="shared" si="12"/>
        <v>1869734.8188177228</v>
      </c>
      <c r="Y98" s="92">
        <f t="shared" si="8"/>
        <v>1305148.5395896391</v>
      </c>
      <c r="Z98" s="92">
        <f t="shared" si="13"/>
        <v>850096.42761503451</v>
      </c>
    </row>
    <row r="99" spans="1:26" ht="19.5" thickBot="1" x14ac:dyDescent="0.35">
      <c r="A99" s="93">
        <v>264</v>
      </c>
      <c r="B99" s="94" t="s">
        <v>512</v>
      </c>
      <c r="C99" s="93">
        <v>5130</v>
      </c>
      <c r="D99" s="94" t="s">
        <v>140</v>
      </c>
      <c r="E99" s="93">
        <v>4164</v>
      </c>
      <c r="F99" s="94" t="s">
        <v>522</v>
      </c>
      <c r="G99" s="95">
        <v>2.7603896103896099</v>
      </c>
      <c r="H99" s="96">
        <v>59.12400171183252</v>
      </c>
      <c r="I99" s="97">
        <v>0.39100400758198089</v>
      </c>
      <c r="J99" s="98">
        <v>0.96837801256884615</v>
      </c>
      <c r="K99" s="99">
        <v>264</v>
      </c>
      <c r="M99" s="89">
        <f t="shared" si="7"/>
        <v>0.39100400758198089</v>
      </c>
      <c r="N99" s="100"/>
      <c r="U99" s="92">
        <f t="shared" si="9"/>
        <v>11720826.650794312</v>
      </c>
      <c r="V99" s="92">
        <f t="shared" si="10"/>
        <v>2453929.22559183</v>
      </c>
      <c r="W99" s="92">
        <f t="shared" si="11"/>
        <v>1614620.078274477</v>
      </c>
      <c r="X99" s="92">
        <f t="shared" si="12"/>
        <v>1309901.2304358219</v>
      </c>
      <c r="Y99" s="92">
        <f t="shared" si="8"/>
        <v>893978.11548409087</v>
      </c>
      <c r="Z99" s="92">
        <f t="shared" si="13"/>
        <v>558747.34767901548</v>
      </c>
    </row>
    <row r="100" spans="1:26" ht="19.5" thickBot="1" x14ac:dyDescent="0.35">
      <c r="A100" s="93">
        <v>264</v>
      </c>
      <c r="B100" s="94" t="s">
        <v>512</v>
      </c>
      <c r="C100" s="93">
        <v>5130</v>
      </c>
      <c r="D100" s="94" t="s">
        <v>140</v>
      </c>
      <c r="E100" s="93">
        <v>4140</v>
      </c>
      <c r="F100" s="94" t="s">
        <v>158</v>
      </c>
      <c r="G100" s="95">
        <v>2.3824674767676512</v>
      </c>
      <c r="H100" s="96">
        <v>272.05619737541207</v>
      </c>
      <c r="I100" s="97">
        <v>4.084874887569816</v>
      </c>
      <c r="J100" s="98">
        <v>0.66964056672619721</v>
      </c>
      <c r="K100" s="99">
        <v>5</v>
      </c>
      <c r="M100" s="89">
        <f t="shared" si="7"/>
        <v>4.084874887569816</v>
      </c>
      <c r="N100" s="100"/>
      <c r="U100" s="92">
        <f t="shared" si="9"/>
        <v>6995385.8581135953</v>
      </c>
      <c r="V100" s="92">
        <f t="shared" si="10"/>
        <v>-1002790.0671213308</v>
      </c>
      <c r="W100" s="92">
        <f t="shared" si="11"/>
        <v>-1727190.2528454575</v>
      </c>
      <c r="X100" s="92">
        <f t="shared" si="12"/>
        <v>-1990190.3531940603</v>
      </c>
      <c r="Y100" s="92">
        <f t="shared" si="8"/>
        <v>-2349169.8575650137</v>
      </c>
      <c r="Z100" s="92">
        <f t="shared" si="13"/>
        <v>-2638504.5219549122</v>
      </c>
    </row>
    <row r="101" spans="1:26" ht="19.5" thickBot="1" x14ac:dyDescent="0.35">
      <c r="A101" s="93">
        <v>264</v>
      </c>
      <c r="B101" s="94" t="s">
        <v>512</v>
      </c>
      <c r="C101" s="93">
        <v>5169</v>
      </c>
      <c r="D101" s="94" t="s">
        <v>159</v>
      </c>
      <c r="E101" s="93">
        <v>4189</v>
      </c>
      <c r="F101" s="94" t="s">
        <v>160</v>
      </c>
      <c r="G101" s="95">
        <v>3.8384928057491345</v>
      </c>
      <c r="H101" s="96">
        <v>112.44337334787966</v>
      </c>
      <c r="I101" s="97">
        <v>0.55113219328728902</v>
      </c>
      <c r="J101" s="98">
        <v>0.955427834622946</v>
      </c>
      <c r="K101" s="99">
        <v>232</v>
      </c>
      <c r="M101" s="89">
        <f t="shared" si="7"/>
        <v>0.55113219328728902</v>
      </c>
      <c r="N101" s="100"/>
      <c r="U101" s="92">
        <f t="shared" si="9"/>
        <v>16080574.451919332</v>
      </c>
      <c r="V101" s="92">
        <f t="shared" si="10"/>
        <v>3194379.3422245425</v>
      </c>
      <c r="W101" s="92">
        <f t="shared" si="11"/>
        <v>2027267.9635802857</v>
      </c>
      <c r="X101" s="92">
        <f t="shared" si="12"/>
        <v>1603537.5232096766</v>
      </c>
      <c r="Y101" s="92">
        <f t="shared" si="8"/>
        <v>1025170.6584461</v>
      </c>
      <c r="Z101" s="92">
        <f t="shared" si="13"/>
        <v>559011.50263623556</v>
      </c>
    </row>
    <row r="102" spans="1:26" ht="19.5" thickBot="1" x14ac:dyDescent="0.35">
      <c r="A102" s="93">
        <v>264</v>
      </c>
      <c r="B102" s="94" t="s">
        <v>512</v>
      </c>
      <c r="C102" s="93">
        <v>5169</v>
      </c>
      <c r="D102" s="94" t="s">
        <v>159</v>
      </c>
      <c r="E102" s="93">
        <v>4195</v>
      </c>
      <c r="F102" s="94" t="s">
        <v>523</v>
      </c>
      <c r="G102" s="95">
        <v>3.0453563144121931</v>
      </c>
      <c r="H102" s="96">
        <v>169.57909186061195</v>
      </c>
      <c r="I102" s="97">
        <v>1.1811442125268303</v>
      </c>
      <c r="J102" s="98">
        <v>0.90447635646017654</v>
      </c>
      <c r="K102" s="99">
        <v>118</v>
      </c>
      <c r="M102" s="89">
        <f t="shared" si="7"/>
        <v>1.1811442125268303</v>
      </c>
      <c r="N102" s="100"/>
      <c r="U102" s="92">
        <f t="shared" si="9"/>
        <v>12077534.056725394</v>
      </c>
      <c r="V102" s="92">
        <f t="shared" si="10"/>
        <v>1853975.5841707643</v>
      </c>
      <c r="W102" s="92">
        <f t="shared" si="11"/>
        <v>928021.00083712605</v>
      </c>
      <c r="X102" s="92">
        <f t="shared" si="12"/>
        <v>591844.73648186389</v>
      </c>
      <c r="Y102" s="92">
        <f t="shared" si="8"/>
        <v>132984.11779932005</v>
      </c>
      <c r="Z102" s="92">
        <f t="shared" si="13"/>
        <v>-236853.94117538462</v>
      </c>
    </row>
    <row r="103" spans="1:26" ht="19.5" thickBot="1" x14ac:dyDescent="0.35">
      <c r="A103" s="93">
        <v>264</v>
      </c>
      <c r="B103" s="94" t="s">
        <v>512</v>
      </c>
      <c r="C103" s="93">
        <v>5169</v>
      </c>
      <c r="D103" s="94" t="s">
        <v>159</v>
      </c>
      <c r="E103" s="93">
        <v>4193</v>
      </c>
      <c r="F103" s="94" t="s">
        <v>524</v>
      </c>
      <c r="G103" s="95">
        <v>3.5384896612690726</v>
      </c>
      <c r="H103" s="96">
        <v>133.95887485227141</v>
      </c>
      <c r="I103" s="97">
        <v>0.50099640264716749</v>
      </c>
      <c r="J103" s="98">
        <v>0.95948250749261077</v>
      </c>
      <c r="K103" s="99">
        <v>238</v>
      </c>
      <c r="M103" s="89">
        <f t="shared" si="7"/>
        <v>0.50099640264716749</v>
      </c>
      <c r="N103" s="100"/>
      <c r="U103" s="92">
        <f t="shared" si="9"/>
        <v>14886682.678493476</v>
      </c>
      <c r="V103" s="92">
        <f t="shared" si="10"/>
        <v>3007627.4148085201</v>
      </c>
      <c r="W103" s="92">
        <f t="shared" si="11"/>
        <v>1931733.3710065517</v>
      </c>
      <c r="X103" s="92">
        <f t="shared" si="12"/>
        <v>1541120.2167573883</v>
      </c>
      <c r="Y103" s="92">
        <f t="shared" si="8"/>
        <v>1007956.4790733434</v>
      </c>
      <c r="Z103" s="92">
        <f t="shared" si="13"/>
        <v>578230.68907874648</v>
      </c>
    </row>
    <row r="104" spans="1:26" ht="19.5" thickBot="1" x14ac:dyDescent="0.35">
      <c r="A104" s="93">
        <v>264</v>
      </c>
      <c r="B104" s="94" t="s">
        <v>512</v>
      </c>
      <c r="C104" s="93">
        <v>5169</v>
      </c>
      <c r="D104" s="94" t="s">
        <v>159</v>
      </c>
      <c r="E104" s="93">
        <v>4184</v>
      </c>
      <c r="F104" s="94" t="s">
        <v>525</v>
      </c>
      <c r="G104" s="95">
        <v>3.2184140154597252</v>
      </c>
      <c r="H104" s="96">
        <v>155.09672382181014</v>
      </c>
      <c r="I104" s="97">
        <v>0.75580593342417979</v>
      </c>
      <c r="J104" s="98">
        <v>0.93887508756001725</v>
      </c>
      <c r="K104" s="99">
        <v>191</v>
      </c>
      <c r="M104" s="89">
        <f t="shared" si="7"/>
        <v>0.75580593342417979</v>
      </c>
      <c r="N104" s="100"/>
      <c r="U104" s="92">
        <f t="shared" si="9"/>
        <v>13249291.798798326</v>
      </c>
      <c r="V104" s="92">
        <f t="shared" si="10"/>
        <v>2444761.7278096322</v>
      </c>
      <c r="W104" s="92">
        <f t="shared" si="11"/>
        <v>1466188.1551289051</v>
      </c>
      <c r="X104" s="92">
        <f t="shared" si="12"/>
        <v>1110908.0863417145</v>
      </c>
      <c r="Y104" s="92">
        <f t="shared" si="8"/>
        <v>625971.91013092874</v>
      </c>
      <c r="Z104" s="92">
        <f t="shared" si="13"/>
        <v>235117.15634677038</v>
      </c>
    </row>
    <row r="105" spans="1:26" ht="19.5" thickBot="1" x14ac:dyDescent="0.35">
      <c r="A105" s="93">
        <v>264</v>
      </c>
      <c r="B105" s="94" t="s">
        <v>512</v>
      </c>
      <c r="C105" s="93">
        <v>5169</v>
      </c>
      <c r="D105" s="94" t="s">
        <v>159</v>
      </c>
      <c r="E105" s="93">
        <v>4196</v>
      </c>
      <c r="F105" s="94" t="s">
        <v>164</v>
      </c>
      <c r="G105" s="95">
        <v>2.4702380952380949</v>
      </c>
      <c r="H105" s="96">
        <v>45.201672346987948</v>
      </c>
      <c r="I105" s="97">
        <v>0.54072428142650608</v>
      </c>
      <c r="J105" s="98">
        <v>0.95626956220543691</v>
      </c>
      <c r="K105" s="99">
        <v>234</v>
      </c>
      <c r="M105" s="89">
        <f t="shared" si="7"/>
        <v>0.54072428142650608</v>
      </c>
      <c r="N105" s="100"/>
      <c r="U105" s="92">
        <f t="shared" si="9"/>
        <v>10357670.383855751</v>
      </c>
      <c r="V105" s="92">
        <f t="shared" si="10"/>
        <v>2064839.9231701607</v>
      </c>
      <c r="W105" s="92">
        <f t="shared" si="11"/>
        <v>1313752.6775213494</v>
      </c>
      <c r="X105" s="92">
        <f t="shared" si="12"/>
        <v>1041063.5964456298</v>
      </c>
      <c r="Y105" s="92">
        <f t="shared" si="8"/>
        <v>668859.2092907147</v>
      </c>
      <c r="Z105" s="92">
        <f t="shared" si="13"/>
        <v>368865.39312389714</v>
      </c>
    </row>
    <row r="106" spans="1:26" ht="19.5" thickBot="1" x14ac:dyDescent="0.35">
      <c r="A106" s="93">
        <v>264</v>
      </c>
      <c r="B106" s="94" t="s">
        <v>512</v>
      </c>
      <c r="C106" s="93">
        <v>5169</v>
      </c>
      <c r="D106" s="94" t="s">
        <v>159</v>
      </c>
      <c r="E106" s="93">
        <v>4174</v>
      </c>
      <c r="F106" s="94" t="s">
        <v>526</v>
      </c>
      <c r="G106" s="95">
        <v>5.5325690622723656</v>
      </c>
      <c r="H106" s="96">
        <v>59.591818966754232</v>
      </c>
      <c r="I106" s="97">
        <v>0.37884478410453432</v>
      </c>
      <c r="J106" s="98">
        <v>0.96936137541045531</v>
      </c>
      <c r="K106" s="99">
        <v>266</v>
      </c>
      <c r="M106" s="89">
        <f t="shared" si="7"/>
        <v>0.37884478410453432</v>
      </c>
      <c r="N106" s="100"/>
      <c r="U106" s="92">
        <f t="shared" si="9"/>
        <v>23515569.103835009</v>
      </c>
      <c r="V106" s="92">
        <f t="shared" si="10"/>
        <v>4942194.6044684807</v>
      </c>
      <c r="W106" s="92">
        <f t="shared" si="11"/>
        <v>3259991.5543436878</v>
      </c>
      <c r="X106" s="92">
        <f t="shared" si="12"/>
        <v>2649252.3804611014</v>
      </c>
      <c r="Y106" s="92">
        <f t="shared" si="8"/>
        <v>1815629.7101667037</v>
      </c>
      <c r="Z106" s="92">
        <f t="shared" si="13"/>
        <v>1143736.3775373308</v>
      </c>
    </row>
    <row r="107" spans="1:26" ht="19.5" thickBot="1" x14ac:dyDescent="0.35">
      <c r="A107" s="93">
        <v>264</v>
      </c>
      <c r="B107" s="94" t="s">
        <v>512</v>
      </c>
      <c r="C107" s="93">
        <v>5169</v>
      </c>
      <c r="D107" s="94" t="s">
        <v>159</v>
      </c>
      <c r="E107" s="93">
        <v>4170</v>
      </c>
      <c r="F107" s="94" t="s">
        <v>527</v>
      </c>
      <c r="G107" s="95">
        <v>4.8375503127086148</v>
      </c>
      <c r="H107" s="96">
        <v>98.210880567355687</v>
      </c>
      <c r="I107" s="97">
        <v>0.49854494984045622</v>
      </c>
      <c r="J107" s="98">
        <v>0.95968076584377526</v>
      </c>
      <c r="K107" s="99">
        <v>240</v>
      </c>
      <c r="M107" s="89">
        <f t="shared" si="7"/>
        <v>0.49854494984045622</v>
      </c>
      <c r="N107" s="100"/>
      <c r="U107" s="92">
        <f t="shared" si="9"/>
        <v>20356130.39830894</v>
      </c>
      <c r="V107" s="92">
        <f t="shared" si="10"/>
        <v>4116001.6974913776</v>
      </c>
      <c r="W107" s="92">
        <f t="shared" si="11"/>
        <v>2645122.2923587109</v>
      </c>
      <c r="X107" s="92">
        <f t="shared" si="12"/>
        <v>2111106.0969267776</v>
      </c>
      <c r="Y107" s="92">
        <f t="shared" si="8"/>
        <v>1382205.731839003</v>
      </c>
      <c r="Z107" s="92">
        <f t="shared" si="13"/>
        <v>794717.75567751413</v>
      </c>
    </row>
    <row r="108" spans="1:26" ht="19.5" thickBot="1" x14ac:dyDescent="0.35">
      <c r="A108" s="93">
        <v>264</v>
      </c>
      <c r="B108" s="94" t="s">
        <v>512</v>
      </c>
      <c r="C108" s="93">
        <v>5169</v>
      </c>
      <c r="D108" s="94" t="s">
        <v>159</v>
      </c>
      <c r="E108" s="93">
        <v>4169</v>
      </c>
      <c r="F108" s="94" t="s">
        <v>167</v>
      </c>
      <c r="G108" s="95">
        <v>5.717801751901872</v>
      </c>
      <c r="H108" s="96">
        <v>98.195452161881036</v>
      </c>
      <c r="I108" s="97">
        <v>0.48962622816868279</v>
      </c>
      <c r="J108" s="98">
        <v>0.96040205692810676</v>
      </c>
      <c r="K108" s="99">
        <v>242</v>
      </c>
      <c r="M108" s="89">
        <f t="shared" si="7"/>
        <v>0.48962622816868279</v>
      </c>
      <c r="N108" s="100"/>
      <c r="U108" s="92">
        <f t="shared" si="9"/>
        <v>24078260.769659206</v>
      </c>
      <c r="V108" s="92">
        <f t="shared" si="10"/>
        <v>4883042.0465170639</v>
      </c>
      <c r="W108" s="92">
        <f t="shared" si="11"/>
        <v>3144518.1458126702</v>
      </c>
      <c r="X108" s="92">
        <f t="shared" si="12"/>
        <v>2513331.1729840534</v>
      </c>
      <c r="Y108" s="92">
        <f t="shared" si="8"/>
        <v>1651798.4725360794</v>
      </c>
      <c r="Z108" s="92">
        <f t="shared" si="13"/>
        <v>957409.87455235829</v>
      </c>
    </row>
    <row r="109" spans="1:26" ht="19.5" thickBot="1" x14ac:dyDescent="0.35">
      <c r="A109" s="93">
        <v>264</v>
      </c>
      <c r="B109" s="94" t="s">
        <v>512</v>
      </c>
      <c r="C109" s="93">
        <v>5169</v>
      </c>
      <c r="D109" s="94" t="s">
        <v>159</v>
      </c>
      <c r="E109" s="93">
        <v>4188</v>
      </c>
      <c r="F109" s="94" t="s">
        <v>168</v>
      </c>
      <c r="G109" s="95">
        <v>3.0981008239072763</v>
      </c>
      <c r="H109" s="96">
        <v>96.200789667689705</v>
      </c>
      <c r="I109" s="97">
        <v>0.42960784133274382</v>
      </c>
      <c r="J109" s="98">
        <v>0.96525597309613032</v>
      </c>
      <c r="K109" s="99">
        <v>254</v>
      </c>
      <c r="M109" s="89">
        <f t="shared" si="7"/>
        <v>0.42960784133274382</v>
      </c>
      <c r="N109" s="100"/>
      <c r="U109" s="92">
        <f t="shared" si="9"/>
        <v>13112363.604406472</v>
      </c>
      <c r="V109" s="92">
        <f t="shared" si="10"/>
        <v>2711736.6639102595</v>
      </c>
      <c r="W109" s="92">
        <f t="shared" si="11"/>
        <v>1769744.8700598993</v>
      </c>
      <c r="X109" s="92">
        <f t="shared" si="12"/>
        <v>1427746.1500256765</v>
      </c>
      <c r="Y109" s="92">
        <f t="shared" si="8"/>
        <v>960938.22542543663</v>
      </c>
      <c r="Z109" s="92">
        <f t="shared" si="13"/>
        <v>584694.70022633055</v>
      </c>
    </row>
    <row r="110" spans="1:26" ht="19.5" thickBot="1" x14ac:dyDescent="0.35">
      <c r="A110" s="93">
        <v>264</v>
      </c>
      <c r="B110" s="94" t="s">
        <v>512</v>
      </c>
      <c r="C110" s="93">
        <v>5169</v>
      </c>
      <c r="D110" s="94" t="s">
        <v>159</v>
      </c>
      <c r="E110" s="93">
        <v>4180</v>
      </c>
      <c r="F110" s="94" t="s">
        <v>528</v>
      </c>
      <c r="G110" s="95">
        <v>3.3840418051056504</v>
      </c>
      <c r="H110" s="96">
        <v>206.17987081226889</v>
      </c>
      <c r="I110" s="97">
        <v>1.3570266152361052</v>
      </c>
      <c r="J110" s="98">
        <v>0.89025207481603574</v>
      </c>
      <c r="K110" s="99">
        <v>94</v>
      </c>
      <c r="M110" s="89">
        <f t="shared" si="7"/>
        <v>1.3570266152361052</v>
      </c>
      <c r="N110" s="100"/>
      <c r="U110" s="92">
        <f t="shared" si="9"/>
        <v>13209660.399006361</v>
      </c>
      <c r="V110" s="92">
        <f t="shared" si="10"/>
        <v>1849101.6675579695</v>
      </c>
      <c r="W110" s="92">
        <f t="shared" si="11"/>
        <v>820168.20423841407</v>
      </c>
      <c r="X110" s="92">
        <f t="shared" si="12"/>
        <v>446604.51742824202</v>
      </c>
      <c r="Y110" s="92">
        <f t="shared" si="8"/>
        <v>-63287.710614074676</v>
      </c>
      <c r="Z110" s="92">
        <f t="shared" si="13"/>
        <v>-474256.84639846976</v>
      </c>
    </row>
    <row r="111" spans="1:26" ht="19.5" thickBot="1" x14ac:dyDescent="0.35">
      <c r="A111" s="93">
        <v>264</v>
      </c>
      <c r="B111" s="94" t="s">
        <v>512</v>
      </c>
      <c r="C111" s="93">
        <v>5169</v>
      </c>
      <c r="D111" s="94" t="s">
        <v>159</v>
      </c>
      <c r="E111" s="93">
        <v>4185</v>
      </c>
      <c r="F111" s="94" t="s">
        <v>529</v>
      </c>
      <c r="G111" s="95">
        <v>3.3237792407123892</v>
      </c>
      <c r="H111" s="96">
        <v>93.171340444868321</v>
      </c>
      <c r="I111" s="97">
        <v>0.69628422166328197</v>
      </c>
      <c r="J111" s="98">
        <v>0.94368883571780104</v>
      </c>
      <c r="K111" s="99">
        <v>206</v>
      </c>
      <c r="M111" s="89">
        <f t="shared" si="7"/>
        <v>0.69628422166328197</v>
      </c>
      <c r="N111" s="100"/>
      <c r="U111" s="92">
        <f t="shared" si="9"/>
        <v>13753205.329594783</v>
      </c>
      <c r="V111" s="92">
        <f t="shared" si="10"/>
        <v>2594953.910385984</v>
      </c>
      <c r="W111" s="92">
        <f t="shared" si="11"/>
        <v>1584343.5567266354</v>
      </c>
      <c r="X111" s="92">
        <f t="shared" si="12"/>
        <v>1217432.2421470359</v>
      </c>
      <c r="Y111" s="92">
        <f t="shared" si="8"/>
        <v>716620.10678550822</v>
      </c>
      <c r="Z111" s="92">
        <f t="shared" si="13"/>
        <v>312969.45447004796</v>
      </c>
    </row>
    <row r="112" spans="1:26" ht="19.5" thickBot="1" x14ac:dyDescent="0.35">
      <c r="A112" s="93">
        <v>264</v>
      </c>
      <c r="B112" s="94" t="s">
        <v>512</v>
      </c>
      <c r="C112" s="93">
        <v>5169</v>
      </c>
      <c r="D112" s="94" t="s">
        <v>159</v>
      </c>
      <c r="E112" s="93">
        <v>4178</v>
      </c>
      <c r="F112" s="94" t="s">
        <v>171</v>
      </c>
      <c r="G112" s="95">
        <v>7.6860129277685472</v>
      </c>
      <c r="H112" s="96">
        <v>176.0381979597868</v>
      </c>
      <c r="I112" s="97">
        <v>1.0320693239066687</v>
      </c>
      <c r="J112" s="98">
        <v>0.91653261205561065</v>
      </c>
      <c r="K112" s="99">
        <v>141</v>
      </c>
      <c r="M112" s="89">
        <f t="shared" si="7"/>
        <v>1.0320693239066687</v>
      </c>
      <c r="N112" s="100"/>
      <c r="U112" s="92">
        <f t="shared" si="9"/>
        <v>30888155.281390872</v>
      </c>
      <c r="V112" s="92">
        <f t="shared" si="10"/>
        <v>5085459.4799245195</v>
      </c>
      <c r="W112" s="92">
        <f t="shared" si="11"/>
        <v>2748491.9256360265</v>
      </c>
      <c r="X112" s="92">
        <f t="shared" si="12"/>
        <v>1900034.5212871984</v>
      </c>
      <c r="Y112" s="92">
        <f t="shared" si="8"/>
        <v>741940.59626856179</v>
      </c>
      <c r="Z112" s="92">
        <f t="shared" si="13"/>
        <v>-191474.02224680025</v>
      </c>
    </row>
    <row r="113" spans="1:26" ht="19.5" thickBot="1" x14ac:dyDescent="0.35">
      <c r="A113" s="93">
        <v>264</v>
      </c>
      <c r="B113" s="94" t="s">
        <v>512</v>
      </c>
      <c r="C113" s="93">
        <v>5169</v>
      </c>
      <c r="D113" s="94" t="s">
        <v>159</v>
      </c>
      <c r="E113" s="93">
        <v>4194</v>
      </c>
      <c r="F113" s="94" t="s">
        <v>172</v>
      </c>
      <c r="G113" s="95">
        <v>6.0284288101875241</v>
      </c>
      <c r="H113" s="96">
        <v>120.98299174861002</v>
      </c>
      <c r="I113" s="97">
        <v>0.5680453359941855</v>
      </c>
      <c r="J113" s="98">
        <v>0.95406000417689452</v>
      </c>
      <c r="K113" s="99">
        <v>229</v>
      </c>
      <c r="M113" s="89">
        <f t="shared" si="7"/>
        <v>0.5680453359941855</v>
      </c>
      <c r="N113" s="100"/>
      <c r="U113" s="92">
        <f t="shared" si="9"/>
        <v>25218704.05762624</v>
      </c>
      <c r="V113" s="92">
        <f t="shared" si="10"/>
        <v>4980679.9725919934</v>
      </c>
      <c r="W113" s="92">
        <f t="shared" si="11"/>
        <v>3147708.4872270301</v>
      </c>
      <c r="X113" s="92">
        <f t="shared" si="12"/>
        <v>2482231.4565920602</v>
      </c>
      <c r="Y113" s="92">
        <f t="shared" si="8"/>
        <v>1573894.8654236654</v>
      </c>
      <c r="Z113" s="92">
        <f t="shared" si="13"/>
        <v>841782.69868783862</v>
      </c>
    </row>
    <row r="114" spans="1:26" ht="19.5" thickBot="1" x14ac:dyDescent="0.35">
      <c r="A114" s="93">
        <v>264</v>
      </c>
      <c r="B114" s="94" t="s">
        <v>512</v>
      </c>
      <c r="C114" s="93">
        <v>5169</v>
      </c>
      <c r="D114" s="94" t="s">
        <v>159</v>
      </c>
      <c r="E114" s="93">
        <v>4181</v>
      </c>
      <c r="F114" s="94" t="s">
        <v>173</v>
      </c>
      <c r="G114" s="95">
        <v>3.9875897970733272</v>
      </c>
      <c r="H114" s="96">
        <v>86.763059142624726</v>
      </c>
      <c r="I114" s="97">
        <v>0.60459415859912402</v>
      </c>
      <c r="J114" s="98">
        <v>0.95110416130412156</v>
      </c>
      <c r="K114" s="99">
        <v>222</v>
      </c>
      <c r="M114" s="89">
        <f t="shared" si="7"/>
        <v>0.60459415859912402</v>
      </c>
      <c r="N114" s="100"/>
      <c r="U114" s="92">
        <f t="shared" si="9"/>
        <v>16629588.265957907</v>
      </c>
      <c r="V114" s="92">
        <f t="shared" si="10"/>
        <v>3242859.999708964</v>
      </c>
      <c r="W114" s="92">
        <f t="shared" si="11"/>
        <v>2030414.9956283227</v>
      </c>
      <c r="X114" s="92">
        <f t="shared" si="12"/>
        <v>1590225.7687003678</v>
      </c>
      <c r="Y114" s="92">
        <f t="shared" si="8"/>
        <v>989393.63858870964</v>
      </c>
      <c r="Z114" s="92">
        <f t="shared" si="13"/>
        <v>505127.65514447325</v>
      </c>
    </row>
    <row r="115" spans="1:26" ht="19.5" thickBot="1" x14ac:dyDescent="0.35">
      <c r="A115" s="93">
        <v>264</v>
      </c>
      <c r="B115" s="94" t="s">
        <v>512</v>
      </c>
      <c r="C115" s="93">
        <v>5169</v>
      </c>
      <c r="D115" s="94" t="s">
        <v>159</v>
      </c>
      <c r="E115" s="93">
        <v>4183</v>
      </c>
      <c r="F115" s="94" t="s">
        <v>530</v>
      </c>
      <c r="G115" s="95">
        <v>2.396021284883763</v>
      </c>
      <c r="H115" s="96">
        <v>92.65766656608406</v>
      </c>
      <c r="I115" s="97">
        <v>0.78940536790421634</v>
      </c>
      <c r="J115" s="98">
        <v>0.93615777296932512</v>
      </c>
      <c r="K115" s="99">
        <v>185</v>
      </c>
      <c r="M115" s="89">
        <f t="shared" si="7"/>
        <v>0.78940536790421634</v>
      </c>
      <c r="N115" s="100"/>
      <c r="U115" s="92">
        <f t="shared" si="9"/>
        <v>9835187.8224826902</v>
      </c>
      <c r="V115" s="92">
        <f t="shared" si="10"/>
        <v>1791510.4401128215</v>
      </c>
      <c r="W115" s="92">
        <f t="shared" si="11"/>
        <v>1062989.1567400077</v>
      </c>
      <c r="X115" s="92">
        <f t="shared" si="12"/>
        <v>798492.85426927626</v>
      </c>
      <c r="Y115" s="92">
        <f t="shared" si="8"/>
        <v>437471.12293518183</v>
      </c>
      <c r="Z115" s="92">
        <f t="shared" si="13"/>
        <v>146490.43963391462</v>
      </c>
    </row>
    <row r="116" spans="1:26" ht="19.5" thickBot="1" x14ac:dyDescent="0.35">
      <c r="A116" s="93">
        <v>30</v>
      </c>
      <c r="B116" s="94" t="s">
        <v>531</v>
      </c>
      <c r="C116" s="93">
        <v>6</v>
      </c>
      <c r="D116" s="94" t="s">
        <v>176</v>
      </c>
      <c r="E116" s="93">
        <v>551110</v>
      </c>
      <c r="F116" s="94" t="s">
        <v>177</v>
      </c>
      <c r="G116" s="95">
        <v>5.4250344559601231</v>
      </c>
      <c r="H116" s="96">
        <v>164.07840592091952</v>
      </c>
      <c r="I116" s="97">
        <v>1.114695848863462</v>
      </c>
      <c r="J116" s="98">
        <v>0.90985028941185653</v>
      </c>
      <c r="K116" s="99">
        <v>125</v>
      </c>
      <c r="M116" s="89">
        <f t="shared" si="7"/>
        <v>1.114695848863462</v>
      </c>
      <c r="N116" s="100"/>
      <c r="U116" s="92">
        <f t="shared" si="9"/>
        <v>21642896.226485875</v>
      </c>
      <c r="V116" s="92">
        <f t="shared" si="10"/>
        <v>3430525.8993580728</v>
      </c>
      <c r="W116" s="92">
        <f t="shared" si="11"/>
        <v>1781019.2404931718</v>
      </c>
      <c r="X116" s="92">
        <f t="shared" si="12"/>
        <v>1182150.7899370745</v>
      </c>
      <c r="Y116" s="92">
        <f t="shared" si="8"/>
        <v>364730.95139300433</v>
      </c>
      <c r="Z116" s="92">
        <f t="shared" si="13"/>
        <v>-294103.02595406095</v>
      </c>
    </row>
    <row r="117" spans="1:26" ht="19.5" thickBot="1" x14ac:dyDescent="0.35">
      <c r="A117" s="93">
        <v>30</v>
      </c>
      <c r="B117" s="94" t="s">
        <v>531</v>
      </c>
      <c r="C117" s="93">
        <v>6</v>
      </c>
      <c r="D117" s="94" t="s">
        <v>176</v>
      </c>
      <c r="E117" s="93">
        <v>451101</v>
      </c>
      <c r="F117" s="94" t="s">
        <v>178</v>
      </c>
      <c r="G117" s="95">
        <v>9.6966778931555275</v>
      </c>
      <c r="H117" s="96">
        <v>365.77807966618724</v>
      </c>
      <c r="I117" s="97">
        <v>2.3122926835103415</v>
      </c>
      <c r="J117" s="98">
        <v>0.81299605948467835</v>
      </c>
      <c r="K117" s="99">
        <v>20</v>
      </c>
      <c r="M117" s="89">
        <f t="shared" si="7"/>
        <v>2.3122926835103415</v>
      </c>
      <c r="N117" s="100"/>
      <c r="U117" s="92">
        <f t="shared" si="9"/>
        <v>34566415.708296411</v>
      </c>
      <c r="V117" s="92">
        <f t="shared" si="10"/>
        <v>2013721.3122260212</v>
      </c>
      <c r="W117" s="92">
        <f t="shared" si="11"/>
        <v>-934598.16546057211</v>
      </c>
      <c r="X117" s="92">
        <f t="shared" si="12"/>
        <v>-2005012.4665229018</v>
      </c>
      <c r="Y117" s="92">
        <f t="shared" si="8"/>
        <v>-3466064.3625397091</v>
      </c>
      <c r="Z117" s="92">
        <f t="shared" si="13"/>
        <v>-4643660.7290258976</v>
      </c>
    </row>
    <row r="118" spans="1:26" ht="19.5" thickBot="1" x14ac:dyDescent="0.35">
      <c r="A118" s="93">
        <v>30</v>
      </c>
      <c r="B118" s="94" t="s">
        <v>531</v>
      </c>
      <c r="C118" s="93">
        <v>6</v>
      </c>
      <c r="D118" s="94" t="s">
        <v>176</v>
      </c>
      <c r="E118" s="93">
        <v>551103</v>
      </c>
      <c r="F118" s="94" t="s">
        <v>179</v>
      </c>
      <c r="G118" s="95">
        <v>2.7443158290984373</v>
      </c>
      <c r="H118" s="96">
        <v>194.71254152461944</v>
      </c>
      <c r="I118" s="97">
        <v>0.98503425182591675</v>
      </c>
      <c r="J118" s="98">
        <v>0.92033651797299199</v>
      </c>
      <c r="K118" s="99">
        <v>146</v>
      </c>
      <c r="M118" s="89">
        <f t="shared" si="7"/>
        <v>0.98503425182591675</v>
      </c>
      <c r="N118" s="100"/>
      <c r="U118" s="92">
        <f t="shared" si="9"/>
        <v>11074488.691224132</v>
      </c>
      <c r="V118" s="92">
        <f t="shared" si="10"/>
        <v>1861552.5191359948</v>
      </c>
      <c r="W118" s="92">
        <f t="shared" si="11"/>
        <v>1027130.6788925717</v>
      </c>
      <c r="X118" s="92">
        <f t="shared" si="12"/>
        <v>724186.21250247047</v>
      </c>
      <c r="Y118" s="92">
        <f t="shared" si="8"/>
        <v>310685.02275959932</v>
      </c>
      <c r="Z118" s="92">
        <f t="shared" si="13"/>
        <v>-22593.692326726105</v>
      </c>
    </row>
    <row r="119" spans="1:26" ht="19.5" thickBot="1" x14ac:dyDescent="0.35">
      <c r="A119" s="93">
        <v>30</v>
      </c>
      <c r="B119" s="94" t="s">
        <v>531</v>
      </c>
      <c r="C119" s="93">
        <v>6</v>
      </c>
      <c r="D119" s="94" t="s">
        <v>176</v>
      </c>
      <c r="E119" s="93">
        <v>551330</v>
      </c>
      <c r="F119" s="94" t="s">
        <v>180</v>
      </c>
      <c r="G119" s="95">
        <v>3.0633542255265329</v>
      </c>
      <c r="H119" s="96">
        <v>79.823419542012104</v>
      </c>
      <c r="I119" s="97">
        <v>0.6076138283779674</v>
      </c>
      <c r="J119" s="98">
        <v>0.95085994907626403</v>
      </c>
      <c r="K119" s="99">
        <v>221</v>
      </c>
      <c r="M119" s="89">
        <f t="shared" si="7"/>
        <v>0.6076138283779674</v>
      </c>
      <c r="N119" s="100"/>
      <c r="U119" s="92">
        <f t="shared" si="9"/>
        <v>12771935.370735385</v>
      </c>
      <c r="V119" s="92">
        <f t="shared" si="10"/>
        <v>2487956.1533928644</v>
      </c>
      <c r="W119" s="92">
        <f t="shared" si="11"/>
        <v>1556529.2224695915</v>
      </c>
      <c r="X119" s="92">
        <f t="shared" si="12"/>
        <v>1218366.1723658165</v>
      </c>
      <c r="Y119" s="92">
        <f t="shared" si="8"/>
        <v>756793.70923018339</v>
      </c>
      <c r="Z119" s="92">
        <f t="shared" si="13"/>
        <v>384769.92490024667</v>
      </c>
    </row>
    <row r="120" spans="1:26" ht="19.5" thickBot="1" x14ac:dyDescent="0.35">
      <c r="A120" s="93">
        <v>30</v>
      </c>
      <c r="B120" s="94" t="s">
        <v>531</v>
      </c>
      <c r="C120" s="93">
        <v>6</v>
      </c>
      <c r="D120" s="94" t="s">
        <v>176</v>
      </c>
      <c r="E120" s="93">
        <v>451115</v>
      </c>
      <c r="F120" s="94" t="s">
        <v>532</v>
      </c>
      <c r="G120" s="95">
        <v>2.9594163433574372</v>
      </c>
      <c r="H120" s="96">
        <v>91.396778671277161</v>
      </c>
      <c r="I120" s="97">
        <v>0.40637531933936022</v>
      </c>
      <c r="J120" s="98">
        <v>0.96713487588030389</v>
      </c>
      <c r="K120" s="99">
        <v>261</v>
      </c>
      <c r="M120" s="89">
        <f t="shared" si="7"/>
        <v>0.40637531933936022</v>
      </c>
      <c r="N120" s="100"/>
      <c r="U120" s="92">
        <f t="shared" si="9"/>
        <v>12549778.225582927</v>
      </c>
      <c r="V120" s="92">
        <f t="shared" si="10"/>
        <v>2614728.62637422</v>
      </c>
      <c r="W120" s="92">
        <f t="shared" si="11"/>
        <v>1714904.4862051851</v>
      </c>
      <c r="X120" s="92">
        <f t="shared" si="12"/>
        <v>1388215.1177810358</v>
      </c>
      <c r="Y120" s="92">
        <f t="shared" si="8"/>
        <v>942303.54814773507</v>
      </c>
      <c r="Z120" s="92">
        <f t="shared" si="13"/>
        <v>582902.32112363516</v>
      </c>
    </row>
    <row r="121" spans="1:26" ht="19.5" thickBot="1" x14ac:dyDescent="0.35">
      <c r="A121" s="93">
        <v>30</v>
      </c>
      <c r="B121" s="94" t="s">
        <v>531</v>
      </c>
      <c r="C121" s="93">
        <v>6</v>
      </c>
      <c r="D121" s="94" t="s">
        <v>176</v>
      </c>
      <c r="E121" s="93">
        <v>551128</v>
      </c>
      <c r="F121" s="94" t="s">
        <v>182</v>
      </c>
      <c r="G121" s="95">
        <v>3.2638924002598619</v>
      </c>
      <c r="H121" s="96">
        <v>301.20114787538006</v>
      </c>
      <c r="I121" s="97">
        <v>2.2054217755238787</v>
      </c>
      <c r="J121" s="98">
        <v>0.82163911797915001</v>
      </c>
      <c r="K121" s="99">
        <v>25</v>
      </c>
      <c r="M121" s="89">
        <f t="shared" si="7"/>
        <v>2.2054217755238787</v>
      </c>
      <c r="N121" s="100"/>
      <c r="U121" s="92">
        <f t="shared" si="9"/>
        <v>11758715.408567583</v>
      </c>
      <c r="V121" s="92">
        <f t="shared" si="10"/>
        <v>801509.95964654395</v>
      </c>
      <c r="W121" s="92">
        <f t="shared" si="11"/>
        <v>-190891.52494354048</v>
      </c>
      <c r="X121" s="92">
        <f t="shared" si="12"/>
        <v>-551191.94338199112</v>
      </c>
      <c r="Y121" s="92">
        <f t="shared" si="8"/>
        <v>-1042980.5984594744</v>
      </c>
      <c r="Z121" s="92">
        <f t="shared" si="13"/>
        <v>-1439358.3964536611</v>
      </c>
    </row>
    <row r="122" spans="1:26" ht="19.5" thickBot="1" x14ac:dyDescent="0.35">
      <c r="A122" s="93">
        <v>30</v>
      </c>
      <c r="B122" s="94" t="s">
        <v>531</v>
      </c>
      <c r="C122" s="93">
        <v>6</v>
      </c>
      <c r="D122" s="94" t="s">
        <v>176</v>
      </c>
      <c r="E122" s="93">
        <v>451120</v>
      </c>
      <c r="F122" s="94" t="s">
        <v>183</v>
      </c>
      <c r="G122" s="95">
        <v>2.4787637980425372</v>
      </c>
      <c r="H122" s="96">
        <v>226.38538871397958</v>
      </c>
      <c r="I122" s="97">
        <v>1.5793749331588463</v>
      </c>
      <c r="J122" s="98">
        <v>0.8722699171441175</v>
      </c>
      <c r="K122" s="99">
        <v>65</v>
      </c>
      <c r="M122" s="89">
        <f t="shared" si="7"/>
        <v>1.5793749331588463</v>
      </c>
      <c r="N122" s="100"/>
      <c r="U122" s="92">
        <f t="shared" si="9"/>
        <v>9480450.569301879</v>
      </c>
      <c r="V122" s="92">
        <f t="shared" si="10"/>
        <v>1158998.491917995</v>
      </c>
      <c r="W122" s="92">
        <f t="shared" si="11"/>
        <v>405318.96714882145</v>
      </c>
      <c r="X122" s="92">
        <f t="shared" si="12"/>
        <v>131688.73547399562</v>
      </c>
      <c r="Y122" s="92">
        <f t="shared" si="8"/>
        <v>-241800.26630714085</v>
      </c>
      <c r="Z122" s="92">
        <f t="shared" si="13"/>
        <v>-542829.47178510996</v>
      </c>
    </row>
    <row r="123" spans="1:26" ht="19.5" thickBot="1" x14ac:dyDescent="0.35">
      <c r="A123" s="93">
        <v>30</v>
      </c>
      <c r="B123" s="94" t="s">
        <v>531</v>
      </c>
      <c r="C123" s="93">
        <v>6</v>
      </c>
      <c r="D123" s="94" t="s">
        <v>176</v>
      </c>
      <c r="E123" s="93">
        <v>451381</v>
      </c>
      <c r="F123" s="94" t="s">
        <v>533</v>
      </c>
      <c r="G123" s="95">
        <v>6.43451863436003</v>
      </c>
      <c r="H123" s="96">
        <v>209.73938020683454</v>
      </c>
      <c r="I123" s="97">
        <v>1.2031513001702545</v>
      </c>
      <c r="J123" s="98">
        <v>0.90269655923211156</v>
      </c>
      <c r="K123" s="99">
        <v>114</v>
      </c>
      <c r="M123" s="89">
        <f t="shared" si="7"/>
        <v>1.2031513001702545</v>
      </c>
      <c r="N123" s="100"/>
      <c r="U123" s="92">
        <f t="shared" si="9"/>
        <v>25468348.776742965</v>
      </c>
      <c r="V123" s="92">
        <f t="shared" si="10"/>
        <v>3867041.5044872011</v>
      </c>
      <c r="W123" s="92">
        <f t="shared" si="11"/>
        <v>1910596.5417632309</v>
      </c>
      <c r="X123" s="92">
        <f t="shared" si="12"/>
        <v>1200291.3380054885</v>
      </c>
      <c r="Y123" s="92">
        <f t="shared" si="8"/>
        <v>230766.95509048211</v>
      </c>
      <c r="Z123" s="92">
        <f t="shared" si="13"/>
        <v>-550662.0917853053</v>
      </c>
    </row>
    <row r="124" spans="1:26" ht="19.5" thickBot="1" x14ac:dyDescent="0.35">
      <c r="A124" s="93">
        <v>30</v>
      </c>
      <c r="B124" s="94" t="s">
        <v>531</v>
      </c>
      <c r="C124" s="93">
        <v>6</v>
      </c>
      <c r="D124" s="94" t="s">
        <v>176</v>
      </c>
      <c r="E124" s="93">
        <v>551354</v>
      </c>
      <c r="F124" s="94" t="s">
        <v>185</v>
      </c>
      <c r="G124" s="95">
        <v>2.7579815947493387</v>
      </c>
      <c r="H124" s="96">
        <v>221.41435907787482</v>
      </c>
      <c r="I124" s="97">
        <v>1.1621131582429203</v>
      </c>
      <c r="J124" s="98">
        <v>0.90601547050427289</v>
      </c>
      <c r="K124" s="99">
        <v>122</v>
      </c>
      <c r="M124" s="89">
        <f t="shared" si="7"/>
        <v>1.1621131582429203</v>
      </c>
      <c r="N124" s="100"/>
      <c r="U124" s="92">
        <f t="shared" si="9"/>
        <v>10956451.376851223</v>
      </c>
      <c r="V124" s="92">
        <f t="shared" si="10"/>
        <v>1697637.8952531854</v>
      </c>
      <c r="W124" s="92">
        <f t="shared" si="11"/>
        <v>859060.91615808499</v>
      </c>
      <c r="X124" s="92">
        <f t="shared" si="12"/>
        <v>554607.88867635292</v>
      </c>
      <c r="Y124" s="92">
        <f t="shared" si="8"/>
        <v>139047.60271158235</v>
      </c>
      <c r="Z124" s="92">
        <f t="shared" si="13"/>
        <v>-195890.72777633465</v>
      </c>
    </row>
    <row r="125" spans="1:26" ht="19.5" thickBot="1" x14ac:dyDescent="0.35">
      <c r="A125" s="93">
        <v>30</v>
      </c>
      <c r="B125" s="94" t="s">
        <v>531</v>
      </c>
      <c r="C125" s="93">
        <v>6</v>
      </c>
      <c r="D125" s="94" t="s">
        <v>176</v>
      </c>
      <c r="E125" s="93">
        <v>451166</v>
      </c>
      <c r="F125" s="94" t="s">
        <v>186</v>
      </c>
      <c r="G125" s="95">
        <v>6.4187983828466999</v>
      </c>
      <c r="H125" s="96">
        <v>177.91992320274676</v>
      </c>
      <c r="I125" s="97">
        <v>0.96699165846789925</v>
      </c>
      <c r="J125" s="98">
        <v>0.92179569140684237</v>
      </c>
      <c r="K125" s="99">
        <v>148</v>
      </c>
      <c r="M125" s="89">
        <f t="shared" si="7"/>
        <v>0.96699165846789925</v>
      </c>
      <c r="N125" s="100"/>
      <c r="U125" s="92">
        <f t="shared" si="9"/>
        <v>25943666.147481356</v>
      </c>
      <c r="V125" s="92">
        <f t="shared" si="10"/>
        <v>4395133.2943597957</v>
      </c>
      <c r="W125" s="92">
        <f t="shared" si="11"/>
        <v>2443468.1463560406</v>
      </c>
      <c r="X125" s="92">
        <f t="shared" si="12"/>
        <v>1734898.2979665573</v>
      </c>
      <c r="Y125" s="92">
        <f t="shared" si="8"/>
        <v>767742.57198050001</v>
      </c>
      <c r="Z125" s="92">
        <f t="shared" si="13"/>
        <v>-11777.355992264678</v>
      </c>
    </row>
    <row r="126" spans="1:26" ht="19.5" thickBot="1" x14ac:dyDescent="0.35">
      <c r="A126" s="93">
        <v>30</v>
      </c>
      <c r="B126" s="94" t="s">
        <v>531</v>
      </c>
      <c r="C126" s="93">
        <v>2</v>
      </c>
      <c r="D126" s="94" t="s">
        <v>187</v>
      </c>
      <c r="E126" s="93">
        <v>508815</v>
      </c>
      <c r="F126" s="94" t="s">
        <v>188</v>
      </c>
      <c r="G126" s="95">
        <v>2.9248729531338227</v>
      </c>
      <c r="H126" s="96">
        <v>157.86058663002541</v>
      </c>
      <c r="I126" s="97">
        <v>0.75283054200380317</v>
      </c>
      <c r="J126" s="98">
        <v>0.93911571882791589</v>
      </c>
      <c r="K126" s="99">
        <v>192</v>
      </c>
      <c r="M126" s="89">
        <f t="shared" si="7"/>
        <v>0.75283054200380317</v>
      </c>
      <c r="N126" s="100"/>
      <c r="U126" s="92">
        <f t="shared" si="9"/>
        <v>12043953.080321491</v>
      </c>
      <c r="V126" s="92">
        <f t="shared" si="10"/>
        <v>2224869.0146433213</v>
      </c>
      <c r="W126" s="92">
        <f t="shared" si="11"/>
        <v>1335547.9510272872</v>
      </c>
      <c r="X126" s="92">
        <f t="shared" si="12"/>
        <v>1012671.8204264377</v>
      </c>
      <c r="Y126" s="92">
        <f t="shared" si="8"/>
        <v>571965.09376484004</v>
      </c>
      <c r="Z126" s="92">
        <f t="shared" si="13"/>
        <v>216758.92934482612</v>
      </c>
    </row>
    <row r="127" spans="1:26" ht="19.5" thickBot="1" x14ac:dyDescent="0.35">
      <c r="A127" s="93">
        <v>30</v>
      </c>
      <c r="B127" s="94" t="s">
        <v>531</v>
      </c>
      <c r="C127" s="93">
        <v>2</v>
      </c>
      <c r="D127" s="94" t="s">
        <v>187</v>
      </c>
      <c r="E127" s="93">
        <v>408801</v>
      </c>
      <c r="F127" s="94" t="s">
        <v>189</v>
      </c>
      <c r="G127" s="95">
        <v>8.4911208399423579</v>
      </c>
      <c r="H127" s="96">
        <v>277.72814522752793</v>
      </c>
      <c r="I127" s="97">
        <v>1.8748515388585698</v>
      </c>
      <c r="J127" s="98">
        <v>0.84837359554522018</v>
      </c>
      <c r="K127" s="99">
        <v>42</v>
      </c>
      <c r="M127" s="89">
        <f t="shared" si="7"/>
        <v>1.8748515388585698</v>
      </c>
      <c r="N127" s="100"/>
      <c r="U127" s="92">
        <f t="shared" si="9"/>
        <v>31586034.356527813</v>
      </c>
      <c r="V127" s="92">
        <f t="shared" si="10"/>
        <v>3080512.6893748464</v>
      </c>
      <c r="W127" s="92">
        <f t="shared" si="11"/>
        <v>498748.37425168318</v>
      </c>
      <c r="X127" s="92">
        <f t="shared" si="12"/>
        <v>-438584.72882460174</v>
      </c>
      <c r="Y127" s="92">
        <f t="shared" si="8"/>
        <v>-1717988.6998755997</v>
      </c>
      <c r="Z127" s="92">
        <f t="shared" si="13"/>
        <v>-2749178.2638363894</v>
      </c>
    </row>
    <row r="128" spans="1:26" ht="19.5" thickBot="1" x14ac:dyDescent="0.35">
      <c r="A128" s="93">
        <v>30</v>
      </c>
      <c r="B128" s="94" t="s">
        <v>531</v>
      </c>
      <c r="C128" s="93">
        <v>2</v>
      </c>
      <c r="D128" s="94" t="s">
        <v>187</v>
      </c>
      <c r="E128" s="93">
        <v>408822</v>
      </c>
      <c r="F128" s="94" t="s">
        <v>187</v>
      </c>
      <c r="G128" s="95">
        <v>4.1714948070162663</v>
      </c>
      <c r="H128" s="96">
        <v>204.75940752062147</v>
      </c>
      <c r="I128" s="97">
        <v>0.92315544867103627</v>
      </c>
      <c r="J128" s="98">
        <v>0.92534089311410417</v>
      </c>
      <c r="K128" s="99">
        <v>160</v>
      </c>
      <c r="M128" s="89">
        <f t="shared" si="7"/>
        <v>0.92315544867103627</v>
      </c>
      <c r="N128" s="100"/>
      <c r="U128" s="92">
        <f t="shared" si="9"/>
        <v>16925301.006364934</v>
      </c>
      <c r="V128" s="92">
        <f t="shared" si="10"/>
        <v>2921185.6666725744</v>
      </c>
      <c r="W128" s="92">
        <f t="shared" si="11"/>
        <v>1652823.4991228189</v>
      </c>
      <c r="X128" s="92">
        <f t="shared" si="12"/>
        <v>1192333.035539485</v>
      </c>
      <c r="Y128" s="92">
        <f t="shared" si="8"/>
        <v>563790.92408939556</v>
      </c>
      <c r="Z128" s="92">
        <f t="shared" si="13"/>
        <v>57190.913066468907</v>
      </c>
    </row>
    <row r="129" spans="1:26" ht="19.5" thickBot="1" x14ac:dyDescent="0.35">
      <c r="A129" s="93">
        <v>30</v>
      </c>
      <c r="B129" s="94" t="s">
        <v>531</v>
      </c>
      <c r="C129" s="93">
        <v>2</v>
      </c>
      <c r="D129" s="94" t="s">
        <v>187</v>
      </c>
      <c r="E129" s="93">
        <v>508817</v>
      </c>
      <c r="F129" s="94" t="s">
        <v>190</v>
      </c>
      <c r="G129" s="95">
        <v>3.2126528654608597</v>
      </c>
      <c r="H129" s="96">
        <v>30.392210540304802</v>
      </c>
      <c r="I129" s="97">
        <v>0.14606145030010456</v>
      </c>
      <c r="J129" s="98">
        <v>0.98818745267055197</v>
      </c>
      <c r="K129" s="99">
        <v>291</v>
      </c>
      <c r="M129" s="89">
        <f t="shared" si="7"/>
        <v>0.14606145030010456</v>
      </c>
      <c r="N129" s="100"/>
      <c r="U129" s="92">
        <f t="shared" si="9"/>
        <v>13920219.243007544</v>
      </c>
      <c r="V129" s="92">
        <f t="shared" si="10"/>
        <v>3135029.9150392367</v>
      </c>
      <c r="W129" s="92">
        <f t="shared" si="11"/>
        <v>2158208.0464929249</v>
      </c>
      <c r="X129" s="92">
        <f t="shared" si="12"/>
        <v>1803563.9498827315</v>
      </c>
      <c r="Y129" s="92">
        <f t="shared" si="8"/>
        <v>1319495.8378916536</v>
      </c>
      <c r="Z129" s="92">
        <f t="shared" si="13"/>
        <v>929340.73705876351</v>
      </c>
    </row>
    <row r="130" spans="1:26" ht="19.5" thickBot="1" x14ac:dyDescent="0.35">
      <c r="A130" s="93">
        <v>30</v>
      </c>
      <c r="B130" s="94" t="s">
        <v>531</v>
      </c>
      <c r="C130" s="93">
        <v>2</v>
      </c>
      <c r="D130" s="94" t="s">
        <v>187</v>
      </c>
      <c r="E130" s="93">
        <v>508802</v>
      </c>
      <c r="F130" s="94" t="s">
        <v>191</v>
      </c>
      <c r="G130" s="95">
        <v>3.5938136066738315</v>
      </c>
      <c r="H130" s="96">
        <v>55.4275103277716</v>
      </c>
      <c r="I130" s="97">
        <v>0.31018055286170299</v>
      </c>
      <c r="J130" s="98">
        <v>0.97491451403621587</v>
      </c>
      <c r="K130" s="99">
        <v>272</v>
      </c>
      <c r="M130" s="89">
        <f t="shared" si="7"/>
        <v>0.31018055286170299</v>
      </c>
      <c r="N130" s="100"/>
      <c r="U130" s="92">
        <f t="shared" si="9"/>
        <v>15362610.62822059</v>
      </c>
      <c r="V130" s="92">
        <f t="shared" si="10"/>
        <v>3297827.4784090621</v>
      </c>
      <c r="W130" s="92">
        <f t="shared" si="11"/>
        <v>2205111.93474739</v>
      </c>
      <c r="X130" s="92">
        <f t="shared" si="12"/>
        <v>1808391.5814136565</v>
      </c>
      <c r="Y130" s="92">
        <f t="shared" si="8"/>
        <v>1266891.8799882764</v>
      </c>
      <c r="Z130" s="92">
        <f t="shared" si="13"/>
        <v>830447.3686123793</v>
      </c>
    </row>
    <row r="131" spans="1:26" ht="19.5" thickBot="1" x14ac:dyDescent="0.35">
      <c r="A131" s="93">
        <v>30</v>
      </c>
      <c r="B131" s="94" t="s">
        <v>531</v>
      </c>
      <c r="C131" s="93">
        <v>2</v>
      </c>
      <c r="D131" s="94" t="s">
        <v>187</v>
      </c>
      <c r="E131" s="93">
        <v>508839</v>
      </c>
      <c r="F131" s="94" t="s">
        <v>192</v>
      </c>
      <c r="G131" s="95">
        <v>2.8551411182552848</v>
      </c>
      <c r="H131" s="96">
        <v>184.36790798686317</v>
      </c>
      <c r="I131" s="97">
        <v>2.3870916261767108</v>
      </c>
      <c r="J131" s="98">
        <v>0.80694678331616343</v>
      </c>
      <c r="K131" s="99">
        <v>17</v>
      </c>
      <c r="M131" s="89">
        <f t="shared" si="7"/>
        <v>2.3870916261767108</v>
      </c>
      <c r="N131" s="100"/>
      <c r="U131" s="92">
        <f t="shared" si="9"/>
        <v>10102187.198919807</v>
      </c>
      <c r="V131" s="92">
        <f t="shared" si="10"/>
        <v>517199.71100674313</v>
      </c>
      <c r="W131" s="92">
        <f t="shared" si="11"/>
        <v>-350919.06773888809</v>
      </c>
      <c r="X131" s="92">
        <f t="shared" si="12"/>
        <v>-666097.51526562101</v>
      </c>
      <c r="Y131" s="92">
        <f t="shared" si="8"/>
        <v>-1096297.3620777878</v>
      </c>
      <c r="Z131" s="92">
        <f t="shared" si="13"/>
        <v>-1443035.0637638438</v>
      </c>
    </row>
    <row r="132" spans="1:26" ht="19.5" thickBot="1" x14ac:dyDescent="0.35">
      <c r="A132" s="93">
        <v>30</v>
      </c>
      <c r="B132" s="94" t="s">
        <v>531</v>
      </c>
      <c r="C132" s="93">
        <v>2</v>
      </c>
      <c r="D132" s="94" t="s">
        <v>187</v>
      </c>
      <c r="E132" s="93">
        <v>508819</v>
      </c>
      <c r="F132" s="94" t="s">
        <v>193</v>
      </c>
      <c r="G132" s="95">
        <v>1.959072087332957</v>
      </c>
      <c r="H132" s="96">
        <v>84.659059547823645</v>
      </c>
      <c r="I132" s="97">
        <v>0.28824337049728344</v>
      </c>
      <c r="J132" s="98">
        <v>0.97668865775738256</v>
      </c>
      <c r="K132" s="99">
        <v>274</v>
      </c>
      <c r="M132" s="89">
        <f t="shared" si="7"/>
        <v>0.28824337049728344</v>
      </c>
      <c r="N132" s="100"/>
      <c r="U132" s="92">
        <f t="shared" si="9"/>
        <v>8389759.2738112826</v>
      </c>
      <c r="V132" s="92">
        <f t="shared" si="10"/>
        <v>1812963.0079647948</v>
      </c>
      <c r="W132" s="92">
        <f t="shared" si="11"/>
        <v>1217298.1362510608</v>
      </c>
      <c r="X132" s="92">
        <f t="shared" si="12"/>
        <v>1001036.5668558949</v>
      </c>
      <c r="Y132" s="92">
        <f t="shared" si="8"/>
        <v>705852.37911961868</v>
      </c>
      <c r="Z132" s="92">
        <f t="shared" si="13"/>
        <v>467936.23947387317</v>
      </c>
    </row>
    <row r="133" spans="1:26" ht="19.5" thickBot="1" x14ac:dyDescent="0.35">
      <c r="A133" s="93">
        <v>30</v>
      </c>
      <c r="B133" s="94" t="s">
        <v>531</v>
      </c>
      <c r="C133" s="93">
        <v>2</v>
      </c>
      <c r="D133" s="94" t="s">
        <v>187</v>
      </c>
      <c r="E133" s="93">
        <v>408840</v>
      </c>
      <c r="F133" s="94" t="s">
        <v>194</v>
      </c>
      <c r="G133" s="95">
        <v>5.9522628003132896</v>
      </c>
      <c r="H133" s="96">
        <v>126.30199658698383</v>
      </c>
      <c r="I133" s="97">
        <v>0.76232941338900051</v>
      </c>
      <c r="J133" s="98">
        <v>0.93834750882052897</v>
      </c>
      <c r="K133" s="99">
        <v>189</v>
      </c>
      <c r="M133" s="89">
        <f t="shared" ref="M133:M196" si="14">I133</f>
        <v>0.76232941338900051</v>
      </c>
      <c r="N133" s="100"/>
      <c r="U133" s="92">
        <f t="shared" si="9"/>
        <v>24489997.548742451</v>
      </c>
      <c r="V133" s="92">
        <f t="shared" si="10"/>
        <v>4507670.1951170247</v>
      </c>
      <c r="W133" s="92">
        <f t="shared" si="11"/>
        <v>2697857.3351002731</v>
      </c>
      <c r="X133" s="92">
        <f t="shared" si="12"/>
        <v>2040788.2548089756</v>
      </c>
      <c r="Y133" s="92">
        <f t="shared" si="8"/>
        <v>1143928.0160949954</v>
      </c>
      <c r="Z133" s="92">
        <f t="shared" si="13"/>
        <v>421065.69940739602</v>
      </c>
    </row>
    <row r="134" spans="1:26" ht="19.5" thickBot="1" x14ac:dyDescent="0.35">
      <c r="A134" s="93">
        <v>30</v>
      </c>
      <c r="B134" s="94" t="s">
        <v>531</v>
      </c>
      <c r="C134" s="93">
        <v>2</v>
      </c>
      <c r="D134" s="94" t="s">
        <v>187</v>
      </c>
      <c r="E134" s="93">
        <v>408862</v>
      </c>
      <c r="F134" s="94" t="s">
        <v>195</v>
      </c>
      <c r="G134" s="95">
        <v>3.864050781102955</v>
      </c>
      <c r="H134" s="96">
        <v>71.77626028010792</v>
      </c>
      <c r="I134" s="97">
        <v>0.22686896302894183</v>
      </c>
      <c r="J134" s="98">
        <v>0.98165224049291633</v>
      </c>
      <c r="K134" s="99">
        <v>284</v>
      </c>
      <c r="M134" s="89">
        <f t="shared" si="14"/>
        <v>0.22686896302894183</v>
      </c>
      <c r="N134" s="100"/>
      <c r="U134" s="92">
        <f t="shared" si="9"/>
        <v>16631959.778665112</v>
      </c>
      <c r="V134" s="92">
        <f t="shared" si="10"/>
        <v>3659964.0504242042</v>
      </c>
      <c r="W134" s="92">
        <f t="shared" si="11"/>
        <v>2485081.6519135362</v>
      </c>
      <c r="X134" s="92">
        <f t="shared" si="12"/>
        <v>2058529.8718401573</v>
      </c>
      <c r="Y134" s="92">
        <f t="shared" ref="Y134:Y197" si="15">((((($R$5-$M134)))/0.003)*G134*1000)+(((((($R$5/$O$2)-($M134/$O$2))))/0.003)*G134*1000)*$O$3</f>
        <v>1476312.0460814333</v>
      </c>
      <c r="Z134" s="92">
        <f t="shared" si="13"/>
        <v>1007049.0459196133</v>
      </c>
    </row>
    <row r="135" spans="1:26" ht="19.5" thickBot="1" x14ac:dyDescent="0.35">
      <c r="A135" s="93">
        <v>30</v>
      </c>
      <c r="B135" s="94" t="s">
        <v>531</v>
      </c>
      <c r="C135" s="93">
        <v>2</v>
      </c>
      <c r="D135" s="94" t="s">
        <v>187</v>
      </c>
      <c r="E135" s="93">
        <v>508860</v>
      </c>
      <c r="F135" s="94" t="s">
        <v>196</v>
      </c>
      <c r="G135" s="95">
        <v>2.8689487577336168</v>
      </c>
      <c r="H135" s="96">
        <v>88.994687110304497</v>
      </c>
      <c r="I135" s="97">
        <v>0.68221241577913549</v>
      </c>
      <c r="J135" s="98">
        <v>0.94482687640325069</v>
      </c>
      <c r="K135" s="99">
        <v>210</v>
      </c>
      <c r="M135" s="89">
        <f t="shared" si="14"/>
        <v>0.68221241577913549</v>
      </c>
      <c r="N135" s="100"/>
      <c r="U135" s="92">
        <f t="shared" ref="U135:U198" si="16">((((($N$5-$M135)))/0.003)*G135*1000)+(((((($N$5/$O$2)-($M135/$O$2))))/0.003)*G135*1000)*$O$3</f>
        <v>11885514.021298587</v>
      </c>
      <c r="V135" s="92">
        <f t="shared" ref="V135:V198" si="17">((((($O$5-$M135)))/0.003)*G135*1000)+(((((($O$5/$O$2)-($M135/$O$2))))/0.003)*G135*1000)*$O$3</f>
        <v>2254172.9395854725</v>
      </c>
      <c r="W135" s="92">
        <f t="shared" ref="W135:W198" si="18">((((($P$5-$M135)))/0.003)*G135*1000)+(((((($P$5/$O$2)-($M135/$O$2))))/0.003)*G135*1000)*$O$3</f>
        <v>1381855.8845989055</v>
      </c>
      <c r="X135" s="92">
        <f t="shared" ref="X135:X198" si="19">((((($Q$5-$M135)))/0.003)*G135*1000)+(((((($Q$5/$O$2)-($M135/$O$2))))/0.003)*G135*1000)*$O$3</f>
        <v>1065153.2145575779</v>
      </c>
      <c r="Y135" s="92">
        <f t="shared" si="15"/>
        <v>632872.89461207413</v>
      </c>
      <c r="Z135" s="92">
        <f t="shared" ref="Z135:Z198" si="20">((((($S$5-$M135)))/0.003)*G135*1000)+(((((($S$5/$O$2)-($M135/$O$2))))/0.003)*G135*1000)*$O$3</f>
        <v>284458.34790150588</v>
      </c>
    </row>
    <row r="136" spans="1:26" ht="19.5" thickBot="1" x14ac:dyDescent="0.35">
      <c r="A136" s="93">
        <v>30</v>
      </c>
      <c r="B136" s="94" t="s">
        <v>531</v>
      </c>
      <c r="C136" s="93">
        <v>2</v>
      </c>
      <c r="D136" s="94" t="s">
        <v>187</v>
      </c>
      <c r="E136" s="93">
        <v>408806</v>
      </c>
      <c r="F136" s="94" t="s">
        <v>534</v>
      </c>
      <c r="G136" s="95">
        <v>8.6557671709969206</v>
      </c>
      <c r="H136" s="96">
        <v>363.71155415879889</v>
      </c>
      <c r="I136" s="97">
        <v>2.3180851858898897</v>
      </c>
      <c r="J136" s="98">
        <v>0.81252759769428962</v>
      </c>
      <c r="K136" s="99">
        <v>19</v>
      </c>
      <c r="M136" s="89">
        <f t="shared" si="14"/>
        <v>2.3180851858898897</v>
      </c>
      <c r="N136" s="100"/>
      <c r="U136" s="92">
        <f t="shared" si="16"/>
        <v>30838029.918354437</v>
      </c>
      <c r="V136" s="92">
        <f t="shared" si="17"/>
        <v>1779774.443055016</v>
      </c>
      <c r="W136" s="92">
        <f t="shared" si="18"/>
        <v>-852051.34571165626</v>
      </c>
      <c r="X136" s="92">
        <f t="shared" si="19"/>
        <v>-1807559.7237965756</v>
      </c>
      <c r="Y136" s="92">
        <f t="shared" si="15"/>
        <v>-3111771.8649043804</v>
      </c>
      <c r="Z136" s="92">
        <f t="shared" si="20"/>
        <v>-4162956.6193150859</v>
      </c>
    </row>
    <row r="137" spans="1:26" ht="19.5" thickBot="1" x14ac:dyDescent="0.35">
      <c r="A137" s="93">
        <v>30</v>
      </c>
      <c r="B137" s="94" t="s">
        <v>531</v>
      </c>
      <c r="C137" s="93">
        <v>2</v>
      </c>
      <c r="D137" s="94" t="s">
        <v>187</v>
      </c>
      <c r="E137" s="93">
        <v>508833</v>
      </c>
      <c r="F137" s="94" t="s">
        <v>198</v>
      </c>
      <c r="G137" s="95">
        <v>2.89958394564762</v>
      </c>
      <c r="H137" s="96">
        <v>88.313451653770443</v>
      </c>
      <c r="I137" s="97">
        <v>0.46134244942552449</v>
      </c>
      <c r="J137" s="98">
        <v>0.96268947413759454</v>
      </c>
      <c r="K137" s="99">
        <v>249</v>
      </c>
      <c r="M137" s="89">
        <f t="shared" si="14"/>
        <v>0.46134244942552449</v>
      </c>
      <c r="N137" s="100"/>
      <c r="U137" s="92">
        <f t="shared" si="16"/>
        <v>12239533.025828503</v>
      </c>
      <c r="V137" s="92">
        <f t="shared" si="17"/>
        <v>2505346.6273049125</v>
      </c>
      <c r="W137" s="92">
        <f t="shared" si="18"/>
        <v>1623714.8026390111</v>
      </c>
      <c r="X137" s="92">
        <f t="shared" si="19"/>
        <v>1303630.3204327126</v>
      </c>
      <c r="Y137" s="92">
        <f t="shared" si="15"/>
        <v>866734.02789538109</v>
      </c>
      <c r="Z137" s="92">
        <f t="shared" si="20"/>
        <v>514599.04348731902</v>
      </c>
    </row>
    <row r="138" spans="1:26" ht="19.5" thickBot="1" x14ac:dyDescent="0.35">
      <c r="A138" s="93">
        <v>30</v>
      </c>
      <c r="B138" s="94" t="s">
        <v>531</v>
      </c>
      <c r="C138" s="93">
        <v>2</v>
      </c>
      <c r="D138" s="94" t="s">
        <v>187</v>
      </c>
      <c r="E138" s="93">
        <v>508820</v>
      </c>
      <c r="F138" s="94" t="s">
        <v>199</v>
      </c>
      <c r="G138" s="95">
        <v>2.7614788437369091</v>
      </c>
      <c r="H138" s="96">
        <v>161.41234683761576</v>
      </c>
      <c r="I138" s="97">
        <v>0.64251314716899566</v>
      </c>
      <c r="J138" s="98">
        <v>0.94803750787677232</v>
      </c>
      <c r="K138" s="99">
        <v>216</v>
      </c>
      <c r="M138" s="89">
        <f t="shared" si="14"/>
        <v>0.64251314716899566</v>
      </c>
      <c r="N138" s="100"/>
      <c r="U138" s="92">
        <f t="shared" si="16"/>
        <v>11479161.843506923</v>
      </c>
      <c r="V138" s="92">
        <f t="shared" si="17"/>
        <v>2208607.7556132269</v>
      </c>
      <c r="W138" s="92">
        <f t="shared" si="18"/>
        <v>1368967.4218906974</v>
      </c>
      <c r="X138" s="92">
        <f t="shared" si="19"/>
        <v>1064128.3338043008</v>
      </c>
      <c r="Y138" s="92">
        <f t="shared" si="15"/>
        <v>648041.09806142724</v>
      </c>
      <c r="Z138" s="92">
        <f t="shared" si="20"/>
        <v>312678.05018619075</v>
      </c>
    </row>
    <row r="139" spans="1:26" ht="19.5" thickBot="1" x14ac:dyDescent="0.35">
      <c r="A139" s="93">
        <v>30</v>
      </c>
      <c r="B139" s="94" t="s">
        <v>531</v>
      </c>
      <c r="C139" s="93">
        <v>2</v>
      </c>
      <c r="D139" s="94" t="s">
        <v>187</v>
      </c>
      <c r="E139" s="93">
        <v>408814</v>
      </c>
      <c r="F139" s="94" t="s">
        <v>200</v>
      </c>
      <c r="G139" s="95">
        <v>0.5621150677279716</v>
      </c>
      <c r="H139" s="96">
        <v>278.62797546603878</v>
      </c>
      <c r="I139" s="97">
        <v>2.9349172520285132</v>
      </c>
      <c r="J139" s="98">
        <v>0.76264203267619057</v>
      </c>
      <c r="K139" s="99">
        <v>9</v>
      </c>
      <c r="M139" s="89">
        <f t="shared" si="14"/>
        <v>2.9349172520285132</v>
      </c>
      <c r="N139" s="100"/>
      <c r="U139" s="92">
        <f t="shared" si="16"/>
        <v>1879701.5654377353</v>
      </c>
      <c r="V139" s="92">
        <f t="shared" si="17"/>
        <v>-7373.5974993673644</v>
      </c>
      <c r="W139" s="92">
        <f t="shared" si="18"/>
        <v>-178287.26722673979</v>
      </c>
      <c r="X139" s="92">
        <f t="shared" si="19"/>
        <v>-240339.03526199164</v>
      </c>
      <c r="Y139" s="92">
        <f t="shared" si="15"/>
        <v>-325036.01030158479</v>
      </c>
      <c r="Z139" s="92">
        <f t="shared" si="20"/>
        <v>-393301.10775014863</v>
      </c>
    </row>
    <row r="140" spans="1:26" ht="19.5" thickBot="1" x14ac:dyDescent="0.35">
      <c r="A140" s="93">
        <v>30</v>
      </c>
      <c r="B140" s="94" t="s">
        <v>531</v>
      </c>
      <c r="C140" s="93">
        <v>11</v>
      </c>
      <c r="D140" s="94" t="s">
        <v>201</v>
      </c>
      <c r="E140" s="93">
        <v>551367</v>
      </c>
      <c r="F140" s="94" t="s">
        <v>202</v>
      </c>
      <c r="G140" s="95">
        <v>2.714268410411468</v>
      </c>
      <c r="H140" s="96">
        <v>253.8949158294667</v>
      </c>
      <c r="I140" s="97">
        <v>0.95838316830488268</v>
      </c>
      <c r="J140" s="98">
        <v>0.92249189288421229</v>
      </c>
      <c r="K140" s="99">
        <v>152</v>
      </c>
      <c r="M140" s="89">
        <f t="shared" si="14"/>
        <v>0.95838316830488268</v>
      </c>
      <c r="N140" s="100"/>
      <c r="U140" s="92">
        <f t="shared" si="16"/>
        <v>10978886.341105416</v>
      </c>
      <c r="V140" s="92">
        <f t="shared" si="17"/>
        <v>1866822.2871473574</v>
      </c>
      <c r="W140" s="92">
        <f t="shared" si="18"/>
        <v>1041536.5026485028</v>
      </c>
      <c r="X140" s="92">
        <f t="shared" si="19"/>
        <v>741908.96469790791</v>
      </c>
      <c r="Y140" s="92">
        <f t="shared" si="15"/>
        <v>332935.18511826324</v>
      </c>
      <c r="Z140" s="92">
        <f t="shared" si="20"/>
        <v>3305.5271067366502</v>
      </c>
    </row>
    <row r="141" spans="1:26" ht="19.5" thickBot="1" x14ac:dyDescent="0.35">
      <c r="A141" s="93">
        <v>30</v>
      </c>
      <c r="B141" s="94" t="s">
        <v>531</v>
      </c>
      <c r="C141" s="93">
        <v>11</v>
      </c>
      <c r="D141" s="94" t="s">
        <v>201</v>
      </c>
      <c r="E141" s="93">
        <v>551340</v>
      </c>
      <c r="F141" s="94" t="s">
        <v>203</v>
      </c>
      <c r="G141" s="95">
        <v>2.981780538302278</v>
      </c>
      <c r="H141" s="96">
        <v>274.65528498159972</v>
      </c>
      <c r="I141" s="97">
        <v>1.3875454740393689</v>
      </c>
      <c r="J141" s="98">
        <v>0.88778389814578096</v>
      </c>
      <c r="K141" s="99">
        <v>89</v>
      </c>
      <c r="M141" s="89">
        <f t="shared" si="14"/>
        <v>1.3875454740393689</v>
      </c>
      <c r="N141" s="100"/>
      <c r="U141" s="92">
        <f t="shared" si="16"/>
        <v>11607157.523870558</v>
      </c>
      <c r="V141" s="92">
        <f t="shared" si="17"/>
        <v>1597029.1387647314</v>
      </c>
      <c r="W141" s="92">
        <f t="shared" si="18"/>
        <v>690405.06234070309</v>
      </c>
      <c r="X141" s="92">
        <f t="shared" si="19"/>
        <v>361246.91498376091</v>
      </c>
      <c r="Y141" s="92">
        <f t="shared" si="15"/>
        <v>-88034.391149719391</v>
      </c>
      <c r="Z141" s="92">
        <f t="shared" si="20"/>
        <v>-450151.59935795481</v>
      </c>
    </row>
    <row r="142" spans="1:26" ht="19.5" thickBot="1" x14ac:dyDescent="0.35">
      <c r="A142" s="93">
        <v>30</v>
      </c>
      <c r="B142" s="94" t="s">
        <v>531</v>
      </c>
      <c r="C142" s="93">
        <v>11</v>
      </c>
      <c r="D142" s="94" t="s">
        <v>201</v>
      </c>
      <c r="E142" s="93">
        <v>551369</v>
      </c>
      <c r="F142" s="94" t="s">
        <v>204</v>
      </c>
      <c r="G142" s="95">
        <v>2.932298136645962</v>
      </c>
      <c r="H142" s="96">
        <v>196.50850399512817</v>
      </c>
      <c r="I142" s="97">
        <v>0.93663421736560071</v>
      </c>
      <c r="J142" s="98">
        <v>0.92425081361112726</v>
      </c>
      <c r="K142" s="99">
        <v>157</v>
      </c>
      <c r="M142" s="89">
        <f t="shared" si="14"/>
        <v>0.93663421736560071</v>
      </c>
      <c r="N142" s="100"/>
      <c r="U142" s="92">
        <f t="shared" si="16"/>
        <v>11883405.164021805</v>
      </c>
      <c r="V142" s="92">
        <f t="shared" si="17"/>
        <v>2039394.0323558049</v>
      </c>
      <c r="W142" s="92">
        <f t="shared" si="18"/>
        <v>1147815.3075680321</v>
      </c>
      <c r="X142" s="92">
        <f t="shared" si="19"/>
        <v>824119.51246899238</v>
      </c>
      <c r="Y142" s="92">
        <f t="shared" si="15"/>
        <v>382293.99248784548</v>
      </c>
      <c r="Z142" s="92">
        <f t="shared" si="20"/>
        <v>26186.089429017826</v>
      </c>
    </row>
    <row r="143" spans="1:26" ht="19.5" thickBot="1" x14ac:dyDescent="0.35">
      <c r="A143" s="93">
        <v>30</v>
      </c>
      <c r="B143" s="94" t="s">
        <v>531</v>
      </c>
      <c r="C143" s="93">
        <v>11</v>
      </c>
      <c r="D143" s="94" t="s">
        <v>201</v>
      </c>
      <c r="E143" s="93">
        <v>551365</v>
      </c>
      <c r="F143" s="94" t="s">
        <v>205</v>
      </c>
      <c r="G143" s="95">
        <v>2.6795987322635288</v>
      </c>
      <c r="H143" s="96">
        <v>122.70175155451766</v>
      </c>
      <c r="I143" s="97">
        <v>0.94524150132748364</v>
      </c>
      <c r="J143" s="98">
        <v>0.92355470968384978</v>
      </c>
      <c r="K143" s="99">
        <v>155</v>
      </c>
      <c r="M143" s="89">
        <f t="shared" si="14"/>
        <v>0.94524150132748364</v>
      </c>
      <c r="N143" s="100"/>
      <c r="U143" s="92">
        <f t="shared" si="16"/>
        <v>10851139.074014882</v>
      </c>
      <c r="V143" s="92">
        <f t="shared" si="17"/>
        <v>1855464.5144790919</v>
      </c>
      <c r="W143" s="92">
        <f t="shared" si="18"/>
        <v>1040720.2049570275</v>
      </c>
      <c r="X143" s="92">
        <f t="shared" si="19"/>
        <v>744919.84572802112</v>
      </c>
      <c r="Y143" s="92">
        <f t="shared" si="15"/>
        <v>341169.93761760346</v>
      </c>
      <c r="Z143" s="92">
        <f t="shared" si="20"/>
        <v>15750.679029891506</v>
      </c>
    </row>
    <row r="144" spans="1:26" ht="19.5" thickBot="1" x14ac:dyDescent="0.35">
      <c r="A144" s="93">
        <v>30</v>
      </c>
      <c r="B144" s="94" t="s">
        <v>531</v>
      </c>
      <c r="C144" s="93">
        <v>11</v>
      </c>
      <c r="D144" s="94" t="s">
        <v>201</v>
      </c>
      <c r="E144" s="93">
        <v>451370</v>
      </c>
      <c r="F144" s="94" t="s">
        <v>535</v>
      </c>
      <c r="G144" s="95">
        <v>10.612858166942914</v>
      </c>
      <c r="H144" s="96">
        <v>273.42889773451998</v>
      </c>
      <c r="I144" s="97">
        <v>1.8769749275955956</v>
      </c>
      <c r="J144" s="98">
        <v>0.8482018689883265</v>
      </c>
      <c r="K144" s="99">
        <v>41</v>
      </c>
      <c r="M144" s="89">
        <f t="shared" si="14"/>
        <v>1.8769749275955956</v>
      </c>
      <c r="N144" s="100"/>
      <c r="U144" s="92">
        <f t="shared" si="16"/>
        <v>39470672.321806312</v>
      </c>
      <c r="V144" s="92">
        <f t="shared" si="17"/>
        <v>3842271.2978649032</v>
      </c>
      <c r="W144" s="92">
        <f t="shared" si="18"/>
        <v>615382.99732546031</v>
      </c>
      <c r="X144" s="92">
        <f t="shared" si="19"/>
        <v>-556168.25787922065</v>
      </c>
      <c r="Y144" s="92">
        <f t="shared" si="15"/>
        <v>-2155266.0847663428</v>
      </c>
      <c r="Z144" s="92">
        <f t="shared" si="20"/>
        <v>-3444126.3885871815</v>
      </c>
    </row>
    <row r="145" spans="1:26" ht="19.5" thickBot="1" x14ac:dyDescent="0.35">
      <c r="A145" s="93">
        <v>30</v>
      </c>
      <c r="B145" s="94" t="s">
        <v>531</v>
      </c>
      <c r="C145" s="93">
        <v>11</v>
      </c>
      <c r="D145" s="94" t="s">
        <v>201</v>
      </c>
      <c r="E145" s="93">
        <v>551314</v>
      </c>
      <c r="F145" s="94" t="s">
        <v>207</v>
      </c>
      <c r="G145" s="95">
        <v>2.424654620741578</v>
      </c>
      <c r="H145" s="96">
        <v>50.057632419778756</v>
      </c>
      <c r="I145" s="97">
        <v>0.18037522767520497</v>
      </c>
      <c r="J145" s="98">
        <v>0.98541236644168939</v>
      </c>
      <c r="K145" s="99">
        <v>289</v>
      </c>
      <c r="M145" s="89">
        <f t="shared" si="14"/>
        <v>0.18037522767520497</v>
      </c>
      <c r="N145" s="100"/>
      <c r="U145" s="92">
        <f t="shared" si="16"/>
        <v>10476370.071412342</v>
      </c>
      <c r="V145" s="92">
        <f t="shared" si="17"/>
        <v>2336567.7850299934</v>
      </c>
      <c r="W145" s="92">
        <f t="shared" si="18"/>
        <v>1599340.4042956976</v>
      </c>
      <c r="X145" s="92">
        <f t="shared" si="19"/>
        <v>1331683.2737014543</v>
      </c>
      <c r="Y145" s="92">
        <f t="shared" si="15"/>
        <v>966347.19985693414</v>
      </c>
      <c r="Z145" s="92">
        <f t="shared" si="20"/>
        <v>671889.19033754594</v>
      </c>
    </row>
    <row r="146" spans="1:26" ht="19.5" thickBot="1" x14ac:dyDescent="0.35">
      <c r="A146" s="93">
        <v>30</v>
      </c>
      <c r="B146" s="94" t="s">
        <v>531</v>
      </c>
      <c r="C146" s="93">
        <v>11</v>
      </c>
      <c r="D146" s="94" t="s">
        <v>201</v>
      </c>
      <c r="E146" s="93">
        <v>451361</v>
      </c>
      <c r="F146" s="94" t="s">
        <v>208</v>
      </c>
      <c r="G146" s="95">
        <v>1.900911944530457</v>
      </c>
      <c r="H146" s="96">
        <v>146.88345679208624</v>
      </c>
      <c r="I146" s="97">
        <v>0.70459003908823103</v>
      </c>
      <c r="J146" s="98">
        <v>0.94301711254073839</v>
      </c>
      <c r="K146" s="99">
        <v>204</v>
      </c>
      <c r="M146" s="89">
        <f t="shared" si="14"/>
        <v>0.70459003908823103</v>
      </c>
      <c r="N146" s="100"/>
      <c r="U146" s="92">
        <f t="shared" si="16"/>
        <v>7860035.5817188527</v>
      </c>
      <c r="V146" s="92">
        <f t="shared" si="17"/>
        <v>1478488.5935675621</v>
      </c>
      <c r="W146" s="92">
        <f t="shared" si="18"/>
        <v>900507.58056699403</v>
      </c>
      <c r="X146" s="92">
        <f t="shared" si="19"/>
        <v>690666.29751046817</v>
      </c>
      <c r="Y146" s="92">
        <f t="shared" si="15"/>
        <v>404245.41900757194</v>
      </c>
      <c r="Z146" s="92">
        <f t="shared" si="20"/>
        <v>173392.43785726192</v>
      </c>
    </row>
    <row r="147" spans="1:26" ht="19.5" thickBot="1" x14ac:dyDescent="0.35">
      <c r="A147" s="93">
        <v>30</v>
      </c>
      <c r="B147" s="94" t="s">
        <v>531</v>
      </c>
      <c r="C147" s="93">
        <v>11</v>
      </c>
      <c r="D147" s="94" t="s">
        <v>201</v>
      </c>
      <c r="E147" s="93">
        <v>451350</v>
      </c>
      <c r="F147" s="94" t="s">
        <v>209</v>
      </c>
      <c r="G147" s="95">
        <v>7.976325185191234</v>
      </c>
      <c r="H147" s="96">
        <v>194.06236646091415</v>
      </c>
      <c r="I147" s="97">
        <v>0.96196314658102045</v>
      </c>
      <c r="J147" s="98">
        <v>0.92220236636822617</v>
      </c>
      <c r="K147" s="99">
        <v>149</v>
      </c>
      <c r="M147" s="89">
        <f t="shared" si="14"/>
        <v>0.96196314658102045</v>
      </c>
      <c r="N147" s="100"/>
      <c r="U147" s="92">
        <f t="shared" si="16"/>
        <v>32253141.527919009</v>
      </c>
      <c r="V147" s="92">
        <f t="shared" si="17"/>
        <v>5475839.134437805</v>
      </c>
      <c r="W147" s="92">
        <f t="shared" si="18"/>
        <v>3050600.8040544773</v>
      </c>
      <c r="X147" s="92">
        <f t="shared" si="19"/>
        <v>2170095.8886360819</v>
      </c>
      <c r="Y147" s="92">
        <f t="shared" si="15"/>
        <v>968259.01589679031</v>
      </c>
      <c r="Z147" s="92">
        <f t="shared" si="20"/>
        <v>-412.07532544287716</v>
      </c>
    </row>
    <row r="148" spans="1:26" ht="19.5" thickBot="1" x14ac:dyDescent="0.35">
      <c r="A148" s="93">
        <v>30</v>
      </c>
      <c r="B148" s="94" t="s">
        <v>531</v>
      </c>
      <c r="C148" s="93">
        <v>11</v>
      </c>
      <c r="D148" s="94" t="s">
        <v>201</v>
      </c>
      <c r="E148" s="93">
        <v>551310</v>
      </c>
      <c r="F148" s="94" t="s">
        <v>210</v>
      </c>
      <c r="G148" s="95">
        <v>3.6432673006563321</v>
      </c>
      <c r="H148" s="96">
        <v>146.5055074640951</v>
      </c>
      <c r="I148" s="97">
        <v>0.70680513440946291</v>
      </c>
      <c r="J148" s="98">
        <v>0.9428379693221306</v>
      </c>
      <c r="K148" s="99">
        <v>202</v>
      </c>
      <c r="M148" s="89">
        <f t="shared" si="14"/>
        <v>0.70680513440946291</v>
      </c>
      <c r="N148" s="100"/>
      <c r="U148" s="92">
        <f t="shared" si="16"/>
        <v>15061597.530189274</v>
      </c>
      <c r="V148" s="92">
        <f t="shared" si="17"/>
        <v>2830793.501401715</v>
      </c>
      <c r="W148" s="92">
        <f t="shared" si="18"/>
        <v>1723041.3348039468</v>
      </c>
      <c r="X148" s="92">
        <f t="shared" si="19"/>
        <v>1320861.7982465862</v>
      </c>
      <c r="Y148" s="92">
        <f t="shared" si="15"/>
        <v>771910.63621229306</v>
      </c>
      <c r="Z148" s="92">
        <f t="shared" si="20"/>
        <v>329460.30604105175</v>
      </c>
    </row>
    <row r="149" spans="1:26" ht="19.5" thickBot="1" x14ac:dyDescent="0.35">
      <c r="A149" s="93">
        <v>30</v>
      </c>
      <c r="B149" s="94" t="s">
        <v>531</v>
      </c>
      <c r="C149" s="93">
        <v>11</v>
      </c>
      <c r="D149" s="94" t="s">
        <v>201</v>
      </c>
      <c r="E149" s="93">
        <v>551309</v>
      </c>
      <c r="F149" s="94" t="s">
        <v>211</v>
      </c>
      <c r="G149" s="95">
        <v>2.7951370648986362</v>
      </c>
      <c r="H149" s="96">
        <v>137.20058984438646</v>
      </c>
      <c r="I149" s="97">
        <v>0.59786841689661552</v>
      </c>
      <c r="J149" s="98">
        <v>0.95164809772282266</v>
      </c>
      <c r="K149" s="99">
        <v>225</v>
      </c>
      <c r="M149" s="89">
        <f t="shared" si="14"/>
        <v>0.59786841689661552</v>
      </c>
      <c r="N149" s="100"/>
      <c r="U149" s="92">
        <f t="shared" si="16"/>
        <v>11663326.456332657</v>
      </c>
      <c r="V149" s="92">
        <f t="shared" si="17"/>
        <v>2279778.4338702527</v>
      </c>
      <c r="W149" s="92">
        <f t="shared" si="18"/>
        <v>1429904.1633160741</v>
      </c>
      <c r="X149" s="92">
        <f t="shared" si="19"/>
        <v>1121349.5510391435</v>
      </c>
      <c r="Y149" s="92">
        <f t="shared" si="15"/>
        <v>700190.84562523919</v>
      </c>
      <c r="Z149" s="92">
        <f t="shared" si="20"/>
        <v>360740.2329799679</v>
      </c>
    </row>
    <row r="150" spans="1:26" ht="19.5" thickBot="1" x14ac:dyDescent="0.35">
      <c r="A150" s="93">
        <v>30</v>
      </c>
      <c r="B150" s="94" t="s">
        <v>531</v>
      </c>
      <c r="C150" s="93">
        <v>11</v>
      </c>
      <c r="D150" s="94" t="s">
        <v>201</v>
      </c>
      <c r="E150" s="93">
        <v>551305</v>
      </c>
      <c r="F150" s="94" t="s">
        <v>212</v>
      </c>
      <c r="G150" s="95">
        <v>3.6878874074779828</v>
      </c>
      <c r="H150" s="96">
        <v>75.629400681930989</v>
      </c>
      <c r="I150" s="97">
        <v>0.23214338146387978</v>
      </c>
      <c r="J150" s="98">
        <v>0.98122567812981498</v>
      </c>
      <c r="K150" s="99">
        <v>283</v>
      </c>
      <c r="M150" s="89">
        <f t="shared" si="14"/>
        <v>0.23214338146387978</v>
      </c>
      <c r="N150" s="100"/>
      <c r="U150" s="92">
        <f t="shared" si="16"/>
        <v>15866805.461862747</v>
      </c>
      <c r="V150" s="92">
        <f t="shared" si="17"/>
        <v>3486207.3781122561</v>
      </c>
      <c r="W150" s="92">
        <f t="shared" si="18"/>
        <v>2364888.2629689872</v>
      </c>
      <c r="X150" s="92">
        <f t="shared" si="19"/>
        <v>1957783.1218919042</v>
      </c>
      <c r="Y150" s="92">
        <f t="shared" si="15"/>
        <v>1402108.8024638544</v>
      </c>
      <c r="Z150" s="92">
        <f t="shared" si="20"/>
        <v>954239.66017527017</v>
      </c>
    </row>
    <row r="151" spans="1:26" ht="19.5" thickBot="1" x14ac:dyDescent="0.35">
      <c r="A151" s="93">
        <v>30</v>
      </c>
      <c r="B151" s="94" t="s">
        <v>531</v>
      </c>
      <c r="C151" s="93">
        <v>11</v>
      </c>
      <c r="D151" s="94" t="s">
        <v>201</v>
      </c>
      <c r="E151" s="93">
        <v>451301</v>
      </c>
      <c r="F151" s="94" t="s">
        <v>213</v>
      </c>
      <c r="G151" s="95">
        <v>7.8660762164623588</v>
      </c>
      <c r="H151" s="96">
        <v>242.64253846225529</v>
      </c>
      <c r="I151" s="97">
        <v>1.5024187584105329</v>
      </c>
      <c r="J151" s="98">
        <v>0.87849365691008541</v>
      </c>
      <c r="K151" s="99">
        <v>72</v>
      </c>
      <c r="M151" s="89">
        <f t="shared" si="14"/>
        <v>1.5024187584105329</v>
      </c>
      <c r="N151" s="100"/>
      <c r="U151" s="92">
        <f t="shared" si="16"/>
        <v>30299796.996540759</v>
      </c>
      <c r="V151" s="92">
        <f t="shared" si="17"/>
        <v>3892611.154940309</v>
      </c>
      <c r="W151" s="92">
        <f t="shared" si="18"/>
        <v>1500894.5301843935</v>
      </c>
      <c r="X151" s="92">
        <f t="shared" si="19"/>
        <v>632559.97600776539</v>
      </c>
      <c r="Y151" s="92">
        <f t="shared" si="15"/>
        <v>-552665.07703718357</v>
      </c>
      <c r="Z151" s="92">
        <f t="shared" si="20"/>
        <v>-1507947.1719026733</v>
      </c>
    </row>
    <row r="152" spans="1:26" ht="19.5" thickBot="1" x14ac:dyDescent="0.35">
      <c r="A152" s="93">
        <v>30</v>
      </c>
      <c r="B152" s="94" t="s">
        <v>531</v>
      </c>
      <c r="C152" s="93">
        <v>11</v>
      </c>
      <c r="D152" s="94" t="s">
        <v>201</v>
      </c>
      <c r="E152" s="93">
        <v>551341</v>
      </c>
      <c r="F152" s="94" t="s">
        <v>214</v>
      </c>
      <c r="G152" s="95">
        <v>4.0876529267833606</v>
      </c>
      <c r="H152" s="96">
        <v>126.00140606979107</v>
      </c>
      <c r="I152" s="97">
        <v>0.86076552777898707</v>
      </c>
      <c r="J152" s="98">
        <v>0.93038660429870212</v>
      </c>
      <c r="K152" s="99">
        <v>174</v>
      </c>
      <c r="M152" s="89">
        <f t="shared" si="14"/>
        <v>0.86076552777898707</v>
      </c>
      <c r="N152" s="100"/>
      <c r="U152" s="92">
        <f t="shared" si="16"/>
        <v>16675558.996562222</v>
      </c>
      <c r="V152" s="92">
        <f t="shared" si="17"/>
        <v>2952909.0344854463</v>
      </c>
      <c r="W152" s="92">
        <f t="shared" si="18"/>
        <v>1710039.3759434435</v>
      </c>
      <c r="X152" s="92">
        <f t="shared" si="19"/>
        <v>1258804.2004719898</v>
      </c>
      <c r="Y152" s="92">
        <f t="shared" si="15"/>
        <v>642895.00716455269</v>
      </c>
      <c r="Z152" s="92">
        <f t="shared" si="20"/>
        <v>146477.02906151215</v>
      </c>
    </row>
    <row r="153" spans="1:26" ht="19.5" thickBot="1" x14ac:dyDescent="0.35">
      <c r="A153" s="93">
        <v>30</v>
      </c>
      <c r="B153" s="94" t="s">
        <v>531</v>
      </c>
      <c r="C153" s="93">
        <v>11</v>
      </c>
      <c r="D153" s="94" t="s">
        <v>201</v>
      </c>
      <c r="E153" s="93">
        <v>551306</v>
      </c>
      <c r="F153" s="94" t="s">
        <v>216</v>
      </c>
      <c r="G153" s="95">
        <v>4.8233411048979065</v>
      </c>
      <c r="H153" s="96">
        <v>495.82870529548018</v>
      </c>
      <c r="I153" s="97">
        <v>5.5425089127022984</v>
      </c>
      <c r="J153" s="98">
        <v>0.55175613606010654</v>
      </c>
      <c r="K153" s="99">
        <v>4</v>
      </c>
      <c r="M153" s="89">
        <f t="shared" si="14"/>
        <v>5.5425089127022984</v>
      </c>
      <c r="N153" s="100"/>
      <c r="U153" s="92">
        <f t="shared" si="16"/>
        <v>11669119.476128493</v>
      </c>
      <c r="V153" s="92">
        <f t="shared" si="17"/>
        <v>-4523307.526791201</v>
      </c>
      <c r="W153" s="92">
        <f t="shared" si="18"/>
        <v>-5989866.5569859343</v>
      </c>
      <c r="X153" s="92">
        <f t="shared" si="19"/>
        <v>-6522314.2008567099</v>
      </c>
      <c r="Y153" s="92">
        <f t="shared" si="15"/>
        <v>-7249073.5862974869</v>
      </c>
      <c r="Z153" s="92">
        <f t="shared" si="20"/>
        <v>-7834835.9496591175</v>
      </c>
    </row>
    <row r="154" spans="1:26" ht="19.5" thickBot="1" x14ac:dyDescent="0.35">
      <c r="A154" s="93">
        <v>30</v>
      </c>
      <c r="B154" s="94" t="s">
        <v>531</v>
      </c>
      <c r="C154" s="93">
        <v>11</v>
      </c>
      <c r="D154" s="94" t="s">
        <v>201</v>
      </c>
      <c r="E154" s="93">
        <v>551349</v>
      </c>
      <c r="F154" s="94" t="s">
        <v>217</v>
      </c>
      <c r="G154" s="95">
        <v>2.8270338856545751</v>
      </c>
      <c r="H154" s="96">
        <v>60.894009768878405</v>
      </c>
      <c r="I154" s="97">
        <v>0.21524917696878021</v>
      </c>
      <c r="J154" s="98">
        <v>0.98259197697034883</v>
      </c>
      <c r="K154" s="99">
        <v>287</v>
      </c>
      <c r="M154" s="89">
        <f t="shared" si="14"/>
        <v>0.21524917696878021</v>
      </c>
      <c r="N154" s="100"/>
      <c r="U154" s="92">
        <f t="shared" si="16"/>
        <v>12179996.584086707</v>
      </c>
      <c r="V154" s="92">
        <f t="shared" si="17"/>
        <v>2689367.82018736</v>
      </c>
      <c r="W154" s="92">
        <f t="shared" si="18"/>
        <v>1829795.1746900065</v>
      </c>
      <c r="X154" s="92">
        <f t="shared" si="19"/>
        <v>1517719.4788552034</v>
      </c>
      <c r="Y154" s="92">
        <f t="shared" si="15"/>
        <v>1091754.7036763881</v>
      </c>
      <c r="Z154" s="92">
        <f t="shared" si="20"/>
        <v>748430.43650339788</v>
      </c>
    </row>
    <row r="155" spans="1:26" ht="19.5" thickBot="1" x14ac:dyDescent="0.35">
      <c r="A155" s="93">
        <v>30</v>
      </c>
      <c r="B155" s="94" t="s">
        <v>531</v>
      </c>
      <c r="C155" s="93">
        <v>11</v>
      </c>
      <c r="D155" s="94" t="s">
        <v>201</v>
      </c>
      <c r="E155" s="93">
        <v>451308</v>
      </c>
      <c r="F155" s="94" t="s">
        <v>218</v>
      </c>
      <c r="G155" s="95">
        <v>8.2089189504703022</v>
      </c>
      <c r="H155" s="96">
        <v>219.15570168918899</v>
      </c>
      <c r="I155" s="97">
        <v>1.1099206598425488</v>
      </c>
      <c r="J155" s="98">
        <v>0.91023647718556888</v>
      </c>
      <c r="K155" s="99">
        <v>127</v>
      </c>
      <c r="M155" s="89">
        <f t="shared" si="14"/>
        <v>1.1099206598425488</v>
      </c>
      <c r="N155" s="100"/>
      <c r="U155" s="92">
        <f t="shared" si="16"/>
        <v>32762960.786865853</v>
      </c>
      <c r="V155" s="92">
        <f t="shared" si="17"/>
        <v>5204818.4146837778</v>
      </c>
      <c r="W155" s="92">
        <f t="shared" si="18"/>
        <v>2708858.8810061971</v>
      </c>
      <c r="X155" s="92">
        <f t="shared" si="19"/>
        <v>1802677.9871304389</v>
      </c>
      <c r="Y155" s="92">
        <f t="shared" si="15"/>
        <v>565794.92996518547</v>
      </c>
      <c r="Z155" s="92">
        <f t="shared" si="20"/>
        <v>-431123.11097302294</v>
      </c>
    </row>
    <row r="156" spans="1:26" ht="19.5" thickBot="1" x14ac:dyDescent="0.35">
      <c r="A156" s="93">
        <v>30</v>
      </c>
      <c r="B156" s="94" t="s">
        <v>531</v>
      </c>
      <c r="C156" s="93">
        <v>11</v>
      </c>
      <c r="D156" s="94" t="s">
        <v>201</v>
      </c>
      <c r="E156" s="93">
        <v>551307</v>
      </c>
      <c r="F156" s="94" t="s">
        <v>215</v>
      </c>
      <c r="G156" s="95">
        <v>2.9715644149462772</v>
      </c>
      <c r="H156" s="96">
        <v>121.94312360095726</v>
      </c>
      <c r="I156" s="97">
        <v>0.49640616329922932</v>
      </c>
      <c r="J156" s="98">
        <v>0.95985373767990267</v>
      </c>
      <c r="K156" s="99">
        <v>241</v>
      </c>
      <c r="M156" s="89">
        <f t="shared" si="14"/>
        <v>0.49640616329922932</v>
      </c>
      <c r="N156" s="100"/>
      <c r="U156" s="92">
        <f t="shared" si="16"/>
        <v>12506423.991301965</v>
      </c>
      <c r="V156" s="92">
        <f t="shared" si="17"/>
        <v>2530592.1297256257</v>
      </c>
      <c r="W156" s="92">
        <f t="shared" si="18"/>
        <v>1627074.3125595446</v>
      </c>
      <c r="X156" s="92">
        <f t="shared" si="19"/>
        <v>1299043.9209826926</v>
      </c>
      <c r="Y156" s="92">
        <f t="shared" si="15"/>
        <v>851301.93445575121</v>
      </c>
      <c r="Z156" s="92">
        <f t="shared" si="20"/>
        <v>490425.4057746859</v>
      </c>
    </row>
    <row r="157" spans="1:26" ht="19.5" thickBot="1" x14ac:dyDescent="0.35">
      <c r="A157" s="93">
        <v>30</v>
      </c>
      <c r="B157" s="94" t="s">
        <v>531</v>
      </c>
      <c r="C157" s="93">
        <v>11</v>
      </c>
      <c r="D157" s="94" t="s">
        <v>201</v>
      </c>
      <c r="E157" s="93">
        <v>451336</v>
      </c>
      <c r="F157" s="94" t="s">
        <v>219</v>
      </c>
      <c r="G157" s="95">
        <v>5.1753039335353268</v>
      </c>
      <c r="H157" s="96">
        <v>222.95587618016052</v>
      </c>
      <c r="I157" s="97">
        <v>1.0367094025596471</v>
      </c>
      <c r="J157" s="98">
        <v>0.91615735117337194</v>
      </c>
      <c r="K157" s="99">
        <v>138</v>
      </c>
      <c r="M157" s="89">
        <f t="shared" si="14"/>
        <v>1.0367094025596471</v>
      </c>
      <c r="N157" s="100"/>
      <c r="U157" s="92">
        <f t="shared" si="16"/>
        <v>20789730.968911372</v>
      </c>
      <c r="V157" s="92">
        <f t="shared" si="17"/>
        <v>3415730.3873232892</v>
      </c>
      <c r="W157" s="92">
        <f t="shared" si="18"/>
        <v>1842155.4415204034</v>
      </c>
      <c r="X157" s="92">
        <f t="shared" si="19"/>
        <v>1270854.6925586797</v>
      </c>
      <c r="Y157" s="92">
        <f t="shared" si="15"/>
        <v>491063.12807943783</v>
      </c>
      <c r="Z157" s="92">
        <f t="shared" si="20"/>
        <v>-137442.75555877917</v>
      </c>
    </row>
    <row r="158" spans="1:26" ht="19.5" thickBot="1" x14ac:dyDescent="0.35">
      <c r="A158" s="93">
        <v>110</v>
      </c>
      <c r="B158" s="94" t="s">
        <v>220</v>
      </c>
      <c r="C158" s="93">
        <v>26</v>
      </c>
      <c r="D158" s="94" t="s">
        <v>221</v>
      </c>
      <c r="E158" s="93">
        <v>554116</v>
      </c>
      <c r="F158" s="94" t="s">
        <v>222</v>
      </c>
      <c r="G158" s="95">
        <v>2.4519047283898914</v>
      </c>
      <c r="H158" s="96">
        <v>173.73328163518389</v>
      </c>
      <c r="I158" s="97">
        <v>0.98980398628852617</v>
      </c>
      <c r="J158" s="98">
        <v>0.91995077133024195</v>
      </c>
      <c r="K158" s="99">
        <v>144</v>
      </c>
      <c r="M158" s="89">
        <f t="shared" si="14"/>
        <v>0.98980398628852617</v>
      </c>
      <c r="N158" s="100"/>
      <c r="U158" s="92">
        <f t="shared" si="16"/>
        <v>9890337.63427715</v>
      </c>
      <c r="V158" s="92">
        <f t="shared" si="17"/>
        <v>1659054.0760293407</v>
      </c>
      <c r="W158" s="92">
        <f t="shared" si="18"/>
        <v>913541.17482774321</v>
      </c>
      <c r="X158" s="92">
        <f t="shared" si="19"/>
        <v>642875.91039079125</v>
      </c>
      <c r="Y158" s="92">
        <f t="shared" si="15"/>
        <v>273433.91265306488</v>
      </c>
      <c r="Z158" s="92">
        <f t="shared" si="20"/>
        <v>-24333.439313973369</v>
      </c>
    </row>
    <row r="159" spans="1:26" ht="19.5" thickBot="1" x14ac:dyDescent="0.35">
      <c r="A159" s="93">
        <v>110</v>
      </c>
      <c r="B159" s="94" t="s">
        <v>220</v>
      </c>
      <c r="C159" s="93">
        <v>26</v>
      </c>
      <c r="D159" s="94" t="s">
        <v>221</v>
      </c>
      <c r="E159" s="93">
        <v>454161</v>
      </c>
      <c r="F159" s="94" t="s">
        <v>223</v>
      </c>
      <c r="G159" s="95">
        <v>1.3371805613741101</v>
      </c>
      <c r="H159" s="96">
        <v>262.53120422963161</v>
      </c>
      <c r="I159" s="97">
        <v>1.5335931125432114</v>
      </c>
      <c r="J159" s="98">
        <v>0.87597246782904714</v>
      </c>
      <c r="K159" s="99">
        <v>68</v>
      </c>
      <c r="M159" s="89">
        <f t="shared" si="14"/>
        <v>1.5335931125432114</v>
      </c>
      <c r="N159" s="100"/>
      <c r="U159" s="92">
        <f t="shared" si="16"/>
        <v>5135981.4869930167</v>
      </c>
      <c r="V159" s="92">
        <f t="shared" si="17"/>
        <v>646935.79047643999</v>
      </c>
      <c r="W159" s="92">
        <f t="shared" si="18"/>
        <v>240359.89533755137</v>
      </c>
      <c r="X159" s="92">
        <f t="shared" si="19"/>
        <v>92748.805047780843</v>
      </c>
      <c r="Y159" s="92">
        <f t="shared" si="15"/>
        <v>-108731.55926250415</v>
      </c>
      <c r="Z159" s="92">
        <f t="shared" si="20"/>
        <v>-271123.15231744089</v>
      </c>
    </row>
    <row r="160" spans="1:26" ht="19.5" thickBot="1" x14ac:dyDescent="0.35">
      <c r="A160" s="93">
        <v>110</v>
      </c>
      <c r="B160" s="94" t="s">
        <v>220</v>
      </c>
      <c r="C160" s="93">
        <v>26</v>
      </c>
      <c r="D160" s="94" t="s">
        <v>221</v>
      </c>
      <c r="E160" s="93">
        <v>554166</v>
      </c>
      <c r="F160" s="94" t="s">
        <v>224</v>
      </c>
      <c r="G160" s="95">
        <v>2.7313369804833663</v>
      </c>
      <c r="H160" s="96">
        <v>115.37161714269078</v>
      </c>
      <c r="I160" s="97">
        <v>0.65256419326353954</v>
      </c>
      <c r="J160" s="98">
        <v>0.947224641391753</v>
      </c>
      <c r="K160" s="99">
        <v>213</v>
      </c>
      <c r="M160" s="89">
        <f t="shared" si="14"/>
        <v>0.65256419326353954</v>
      </c>
      <c r="N160" s="100"/>
      <c r="U160" s="92">
        <f t="shared" si="16"/>
        <v>11344130.421526667</v>
      </c>
      <c r="V160" s="92">
        <f t="shared" si="17"/>
        <v>2174765.511393873</v>
      </c>
      <c r="W160" s="92">
        <f t="shared" si="18"/>
        <v>1344289.94972043</v>
      </c>
      <c r="X160" s="92">
        <f t="shared" si="19"/>
        <v>1042778.2157900409</v>
      </c>
      <c r="Y160" s="92">
        <f t="shared" si="15"/>
        <v>631232.62069371843</v>
      </c>
      <c r="Z160" s="92">
        <f t="shared" si="20"/>
        <v>299530.09955120453</v>
      </c>
    </row>
    <row r="161" spans="1:26" ht="19.5" thickBot="1" x14ac:dyDescent="0.35">
      <c r="A161" s="93">
        <v>110</v>
      </c>
      <c r="B161" s="94" t="s">
        <v>220</v>
      </c>
      <c r="C161" s="93">
        <v>26</v>
      </c>
      <c r="D161" s="94" t="s">
        <v>221</v>
      </c>
      <c r="E161" s="93">
        <v>454171</v>
      </c>
      <c r="F161" s="94" t="s">
        <v>225</v>
      </c>
      <c r="G161" s="95">
        <v>1.1206443221981375</v>
      </c>
      <c r="H161" s="96">
        <v>259.36501880443217</v>
      </c>
      <c r="I161" s="97">
        <v>1.88240269041137</v>
      </c>
      <c r="J161" s="98">
        <v>0.84776290507948804</v>
      </c>
      <c r="K161" s="99">
        <v>40</v>
      </c>
      <c r="M161" s="89">
        <f t="shared" si="14"/>
        <v>1.88240269041137</v>
      </c>
      <c r="N161" s="100"/>
      <c r="U161" s="92">
        <f t="shared" si="16"/>
        <v>4165672.6923926403</v>
      </c>
      <c r="V161" s="92">
        <f t="shared" si="17"/>
        <v>403560.29171600472</v>
      </c>
      <c r="W161" s="92">
        <f t="shared" si="18"/>
        <v>62823.235262079979</v>
      </c>
      <c r="X161" s="92">
        <f t="shared" si="19"/>
        <v>-60884.463611974803</v>
      </c>
      <c r="Y161" s="92">
        <f t="shared" si="15"/>
        <v>-229738.11944638926</v>
      </c>
      <c r="Z161" s="92">
        <f t="shared" si="20"/>
        <v>-365832.84142074717</v>
      </c>
    </row>
    <row r="162" spans="1:26" ht="19.5" thickBot="1" x14ac:dyDescent="0.35">
      <c r="A162" s="93">
        <v>110</v>
      </c>
      <c r="B162" s="94" t="s">
        <v>220</v>
      </c>
      <c r="C162" s="93">
        <v>26</v>
      </c>
      <c r="D162" s="94" t="s">
        <v>221</v>
      </c>
      <c r="E162" s="93">
        <v>554266</v>
      </c>
      <c r="F162" s="94" t="s">
        <v>226</v>
      </c>
      <c r="G162" s="95">
        <v>3.1999230109651928</v>
      </c>
      <c r="H162" s="96">
        <v>230.91565542919793</v>
      </c>
      <c r="I162" s="97">
        <v>1.5906697882286542</v>
      </c>
      <c r="J162" s="98">
        <v>0.87135645907686399</v>
      </c>
      <c r="K162" s="99">
        <v>62</v>
      </c>
      <c r="M162" s="89">
        <f t="shared" si="14"/>
        <v>1.5906697882286542</v>
      </c>
      <c r="N162" s="100"/>
      <c r="U162" s="92">
        <f t="shared" si="16"/>
        <v>12225829.164776562</v>
      </c>
      <c r="V162" s="92">
        <f t="shared" si="17"/>
        <v>1483375.2011948973</v>
      </c>
      <c r="W162" s="92">
        <f t="shared" si="18"/>
        <v>510423.9034122263</v>
      </c>
      <c r="X162" s="92">
        <f t="shared" si="19"/>
        <v>157185.05285152988</v>
      </c>
      <c r="Y162" s="92">
        <f t="shared" si="15"/>
        <v>-324964.9818091623</v>
      </c>
      <c r="Z162" s="92">
        <f t="shared" si="20"/>
        <v>-713574.12736075162</v>
      </c>
    </row>
    <row r="163" spans="1:26" ht="19.5" thickBot="1" x14ac:dyDescent="0.35">
      <c r="A163" s="93">
        <v>110</v>
      </c>
      <c r="B163" s="94" t="s">
        <v>220</v>
      </c>
      <c r="C163" s="93">
        <v>26</v>
      </c>
      <c r="D163" s="94" t="s">
        <v>221</v>
      </c>
      <c r="E163" s="93">
        <v>554296</v>
      </c>
      <c r="F163" s="94" t="s">
        <v>227</v>
      </c>
      <c r="G163" s="95">
        <v>3.723699629029221</v>
      </c>
      <c r="H163" s="96">
        <v>135.21399586713252</v>
      </c>
      <c r="I163" s="97">
        <v>0.8338213411588884</v>
      </c>
      <c r="J163" s="98">
        <v>0.93256568357697478</v>
      </c>
      <c r="K163" s="99">
        <v>178</v>
      </c>
      <c r="M163" s="89">
        <f t="shared" si="14"/>
        <v>0.8338213411588884</v>
      </c>
      <c r="N163" s="100"/>
      <c r="U163" s="92">
        <f t="shared" si="16"/>
        <v>15226392.14255772</v>
      </c>
      <c r="V163" s="92">
        <f t="shared" si="17"/>
        <v>2725568.9346309672</v>
      </c>
      <c r="W163" s="92">
        <f t="shared" si="18"/>
        <v>1593360.9489382016</v>
      </c>
      <c r="X163" s="92">
        <f t="shared" si="19"/>
        <v>1182302.5040055462</v>
      </c>
      <c r="Y163" s="92">
        <f t="shared" si="15"/>
        <v>621232.15979720082</v>
      </c>
      <c r="Z163" s="92">
        <f t="shared" si="20"/>
        <v>169013.8638665941</v>
      </c>
    </row>
    <row r="164" spans="1:26" ht="19.5" thickBot="1" x14ac:dyDescent="0.35">
      <c r="A164" s="93">
        <v>110</v>
      </c>
      <c r="B164" s="94" t="s">
        <v>220</v>
      </c>
      <c r="C164" s="93">
        <v>26</v>
      </c>
      <c r="D164" s="94" t="s">
        <v>221</v>
      </c>
      <c r="E164" s="93">
        <v>554356</v>
      </c>
      <c r="F164" s="94" t="s">
        <v>228</v>
      </c>
      <c r="G164" s="95">
        <v>3.6316184890378431</v>
      </c>
      <c r="H164" s="96">
        <v>255.32507092331238</v>
      </c>
      <c r="I164" s="97">
        <v>1.9410603388319032</v>
      </c>
      <c r="J164" s="98">
        <v>0.8430190370241043</v>
      </c>
      <c r="K164" s="99">
        <v>33</v>
      </c>
      <c r="M164" s="89">
        <f t="shared" si="14"/>
        <v>1.9410603388319032</v>
      </c>
      <c r="N164" s="100"/>
      <c r="U164" s="92">
        <f t="shared" si="16"/>
        <v>13423956.590965416</v>
      </c>
      <c r="V164" s="92">
        <f t="shared" si="17"/>
        <v>1232258.7600811373</v>
      </c>
      <c r="W164" s="92">
        <f t="shared" si="18"/>
        <v>128048.46819191522</v>
      </c>
      <c r="X164" s="92">
        <f t="shared" si="19"/>
        <v>-272845.15841935785</v>
      </c>
      <c r="Y164" s="92">
        <f t="shared" si="15"/>
        <v>-820041.12981113745</v>
      </c>
      <c r="Z164" s="92">
        <f t="shared" si="20"/>
        <v>-1261076.7900936846</v>
      </c>
    </row>
    <row r="165" spans="1:26" ht="19.5" thickBot="1" x14ac:dyDescent="0.35">
      <c r="A165" s="93">
        <v>110</v>
      </c>
      <c r="B165" s="94" t="s">
        <v>220</v>
      </c>
      <c r="C165" s="93">
        <v>26</v>
      </c>
      <c r="D165" s="94" t="s">
        <v>221</v>
      </c>
      <c r="E165" s="93">
        <v>454426</v>
      </c>
      <c r="F165" s="94" t="s">
        <v>229</v>
      </c>
      <c r="G165" s="95">
        <v>8.4869231768698743</v>
      </c>
      <c r="H165" s="96">
        <v>327.94159780370467</v>
      </c>
      <c r="I165" s="97">
        <v>2.8194894416053096</v>
      </c>
      <c r="J165" s="98">
        <v>0.7719771205515823</v>
      </c>
      <c r="K165" s="99">
        <v>14</v>
      </c>
      <c r="M165" s="89">
        <f t="shared" si="14"/>
        <v>2.8194894416053096</v>
      </c>
      <c r="N165" s="100"/>
      <c r="U165" s="92">
        <f t="shared" si="16"/>
        <v>28727487.13257191</v>
      </c>
      <c r="V165" s="92">
        <f t="shared" si="17"/>
        <v>236057.43018067826</v>
      </c>
      <c r="W165" s="92">
        <f t="shared" si="18"/>
        <v>-2344430.5661935555</v>
      </c>
      <c r="X165" s="92">
        <f t="shared" si="19"/>
        <v>-3281300.2900967528</v>
      </c>
      <c r="Y165" s="92">
        <f t="shared" si="15"/>
        <v>-4560071.7761195302</v>
      </c>
      <c r="Z165" s="92">
        <f t="shared" si="20"/>
        <v>-5590751.562109312</v>
      </c>
    </row>
    <row r="166" spans="1:26" ht="19.5" thickBot="1" x14ac:dyDescent="0.35">
      <c r="A166" s="93">
        <v>110</v>
      </c>
      <c r="B166" s="94" t="s">
        <v>220</v>
      </c>
      <c r="C166" s="93">
        <v>26</v>
      </c>
      <c r="D166" s="94" t="s">
        <v>221</v>
      </c>
      <c r="E166" s="93">
        <v>554431</v>
      </c>
      <c r="F166" s="94" t="s">
        <v>230</v>
      </c>
      <c r="G166" s="95">
        <v>1.855739421868454</v>
      </c>
      <c r="H166" s="96">
        <v>344.59515752278406</v>
      </c>
      <c r="I166" s="97">
        <v>1.7291924487809196</v>
      </c>
      <c r="J166" s="98">
        <v>0.8601536024667682</v>
      </c>
      <c r="K166" s="99">
        <v>50</v>
      </c>
      <c r="M166" s="89">
        <f t="shared" si="14"/>
        <v>1.7291924487809196</v>
      </c>
      <c r="N166" s="100"/>
      <c r="U166" s="92">
        <f t="shared" si="16"/>
        <v>6998999.2166231824</v>
      </c>
      <c r="V166" s="92">
        <f t="shared" si="17"/>
        <v>769100.79734450532</v>
      </c>
      <c r="W166" s="92">
        <f t="shared" si="18"/>
        <v>204854.69746450541</v>
      </c>
      <c r="X166" s="92">
        <f t="shared" si="19"/>
        <v>0</v>
      </c>
      <c r="Y166" s="92">
        <f t="shared" si="15"/>
        <v>-279614.48557014065</v>
      </c>
      <c r="Z166" s="92">
        <f t="shared" si="20"/>
        <v>-504981.56741164339</v>
      </c>
    </row>
    <row r="167" spans="1:26" ht="19.5" thickBot="1" x14ac:dyDescent="0.35">
      <c r="A167" s="93">
        <v>110</v>
      </c>
      <c r="B167" s="94" t="s">
        <v>220</v>
      </c>
      <c r="C167" s="93">
        <v>26</v>
      </c>
      <c r="D167" s="94" t="s">
        <v>221</v>
      </c>
      <c r="E167" s="93">
        <v>554476</v>
      </c>
      <c r="F167" s="94" t="s">
        <v>231</v>
      </c>
      <c r="G167" s="95">
        <v>2.096152129590839</v>
      </c>
      <c r="H167" s="96">
        <v>199.30650896104021</v>
      </c>
      <c r="I167" s="97">
        <v>0.75867400421477049</v>
      </c>
      <c r="J167" s="98">
        <v>0.93864313572133251</v>
      </c>
      <c r="K167" s="99">
        <v>190</v>
      </c>
      <c r="M167" s="89">
        <f t="shared" si="14"/>
        <v>0.75867400421477049</v>
      </c>
      <c r="N167" s="100"/>
      <c r="U167" s="92">
        <f t="shared" si="16"/>
        <v>8627128.0826873519</v>
      </c>
      <c r="V167" s="92">
        <f t="shared" si="17"/>
        <v>1590140.7315444243</v>
      </c>
      <c r="W167" s="92">
        <f t="shared" si="18"/>
        <v>952796.04298575909</v>
      </c>
      <c r="X167" s="92">
        <f t="shared" si="19"/>
        <v>721402.23559734819</v>
      </c>
      <c r="Y167" s="92">
        <f t="shared" si="15"/>
        <v>405563.44245355274</v>
      </c>
      <c r="Z167" s="92">
        <f t="shared" si="20"/>
        <v>150999.85288120946</v>
      </c>
    </row>
    <row r="168" spans="1:26" ht="19.5" thickBot="1" x14ac:dyDescent="0.35">
      <c r="A168" s="93">
        <v>110</v>
      </c>
      <c r="B168" s="94" t="s">
        <v>220</v>
      </c>
      <c r="C168" s="93">
        <v>26</v>
      </c>
      <c r="D168" s="94" t="s">
        <v>221</v>
      </c>
      <c r="E168" s="93">
        <v>554471</v>
      </c>
      <c r="F168" s="94" t="s">
        <v>232</v>
      </c>
      <c r="G168" s="95">
        <v>1.8666392638061642</v>
      </c>
      <c r="H168" s="96">
        <v>149.01146123586724</v>
      </c>
      <c r="I168" s="97">
        <v>0.99041366414329202</v>
      </c>
      <c r="J168" s="98">
        <v>0.91990146435362119</v>
      </c>
      <c r="K168" s="99">
        <v>143</v>
      </c>
      <c r="M168" s="89">
        <f t="shared" si="14"/>
        <v>0.99041366414329202</v>
      </c>
      <c r="N168" s="100"/>
      <c r="U168" s="92">
        <f t="shared" si="16"/>
        <v>7529127.3954595681</v>
      </c>
      <c r="V168" s="92">
        <f t="shared" si="17"/>
        <v>1262637.1426196045</v>
      </c>
      <c r="W168" s="92">
        <f t="shared" si="18"/>
        <v>695076.89570463495</v>
      </c>
      <c r="X168" s="92">
        <f t="shared" si="19"/>
        <v>489018.96690482053</v>
      </c>
      <c r="Y168" s="92">
        <f t="shared" si="15"/>
        <v>207762.14208149951</v>
      </c>
      <c r="Z168" s="92">
        <f t="shared" si="20"/>
        <v>-18928.652314194642</v>
      </c>
    </row>
    <row r="169" spans="1:26" ht="19.5" thickBot="1" x14ac:dyDescent="0.35">
      <c r="A169" s="93">
        <v>110</v>
      </c>
      <c r="B169" s="94" t="s">
        <v>220</v>
      </c>
      <c r="C169" s="93">
        <v>26</v>
      </c>
      <c r="D169" s="94" t="s">
        <v>221</v>
      </c>
      <c r="E169" s="93">
        <v>454481</v>
      </c>
      <c r="F169" s="94" t="s">
        <v>233</v>
      </c>
      <c r="G169" s="95">
        <v>10.446022454723625</v>
      </c>
      <c r="H169" s="96">
        <v>352.09618955555959</v>
      </c>
      <c r="I169" s="97">
        <v>2.6485136842961143</v>
      </c>
      <c r="J169" s="98">
        <v>0.78580458304256406</v>
      </c>
      <c r="K169" s="99">
        <v>15</v>
      </c>
      <c r="M169" s="89">
        <f t="shared" si="14"/>
        <v>2.6485136842961143</v>
      </c>
      <c r="N169" s="100"/>
      <c r="U169" s="92">
        <f t="shared" si="16"/>
        <v>35992204.782902427</v>
      </c>
      <c r="V169" s="92">
        <f t="shared" si="17"/>
        <v>923887.5334317314</v>
      </c>
      <c r="W169" s="92">
        <f t="shared" si="18"/>
        <v>-2252273.6020590463</v>
      </c>
      <c r="X169" s="92">
        <f t="shared" si="19"/>
        <v>-3405407.8969134716</v>
      </c>
      <c r="Y169" s="92">
        <f t="shared" si="15"/>
        <v>-4979367.6676181396</v>
      </c>
      <c r="Z169" s="92">
        <f t="shared" si="20"/>
        <v>-6247966.8953596912</v>
      </c>
    </row>
    <row r="170" spans="1:26" ht="19.5" thickBot="1" x14ac:dyDescent="0.35">
      <c r="A170" s="93">
        <v>110</v>
      </c>
      <c r="B170" s="94" t="s">
        <v>220</v>
      </c>
      <c r="C170" s="93">
        <v>26</v>
      </c>
      <c r="D170" s="94" t="s">
        <v>221</v>
      </c>
      <c r="E170" s="93">
        <v>554486</v>
      </c>
      <c r="F170" s="94" t="s">
        <v>234</v>
      </c>
      <c r="G170" s="95">
        <v>4.6766736719616731</v>
      </c>
      <c r="H170" s="96">
        <v>153.72906792926472</v>
      </c>
      <c r="I170" s="97">
        <v>0.73502745859924756</v>
      </c>
      <c r="J170" s="98">
        <v>0.94055552217708382</v>
      </c>
      <c r="K170" s="99">
        <v>198</v>
      </c>
      <c r="M170" s="89">
        <f t="shared" si="14"/>
        <v>0.73502745859924756</v>
      </c>
      <c r="N170" s="100"/>
      <c r="U170" s="92">
        <f t="shared" si="16"/>
        <v>19286989.458498694</v>
      </c>
      <c r="V170" s="92">
        <f t="shared" si="17"/>
        <v>3586939.3474214566</v>
      </c>
      <c r="W170" s="92">
        <f t="shared" si="18"/>
        <v>2164975.2242694153</v>
      </c>
      <c r="X170" s="92">
        <f t="shared" si="19"/>
        <v>1648718.1684995252</v>
      </c>
      <c r="Y170" s="92">
        <f t="shared" si="15"/>
        <v>944057.97345535294</v>
      </c>
      <c r="Z170" s="92">
        <f t="shared" si="20"/>
        <v>376107.38418900134</v>
      </c>
    </row>
    <row r="171" spans="1:26" ht="19.5" thickBot="1" x14ac:dyDescent="0.35">
      <c r="A171" s="93">
        <v>110</v>
      </c>
      <c r="B171" s="94" t="s">
        <v>220</v>
      </c>
      <c r="C171" s="93">
        <v>26</v>
      </c>
      <c r="D171" s="94" t="s">
        <v>221</v>
      </c>
      <c r="E171" s="93">
        <v>554491</v>
      </c>
      <c r="F171" s="94" t="s">
        <v>235</v>
      </c>
      <c r="G171" s="95">
        <v>3.3325728901477198</v>
      </c>
      <c r="H171" s="96">
        <v>235.39027431001767</v>
      </c>
      <c r="I171" s="97">
        <v>1.4504167259116558</v>
      </c>
      <c r="J171" s="98">
        <v>0.88269925988649278</v>
      </c>
      <c r="K171" s="99">
        <v>84</v>
      </c>
      <c r="M171" s="89">
        <f t="shared" si="14"/>
        <v>1.4504167259116558</v>
      </c>
      <c r="N171" s="100"/>
      <c r="U171" s="92">
        <f t="shared" si="16"/>
        <v>12898385.662037725</v>
      </c>
      <c r="V171" s="92">
        <f t="shared" si="17"/>
        <v>1710613.1031304975</v>
      </c>
      <c r="W171" s="92">
        <f t="shared" si="18"/>
        <v>697328.99994622846</v>
      </c>
      <c r="X171" s="92">
        <f t="shared" si="19"/>
        <v>329446.95619341923</v>
      </c>
      <c r="Y171" s="92">
        <f t="shared" si="15"/>
        <v>-172690.1667898451</v>
      </c>
      <c r="Z171" s="92">
        <f t="shared" si="20"/>
        <v>-577408.74873412261</v>
      </c>
    </row>
    <row r="172" spans="1:26" ht="19.5" thickBot="1" x14ac:dyDescent="0.35">
      <c r="A172" s="93">
        <v>110</v>
      </c>
      <c r="B172" s="94" t="s">
        <v>220</v>
      </c>
      <c r="C172" s="93">
        <v>26</v>
      </c>
      <c r="D172" s="94" t="s">
        <v>221</v>
      </c>
      <c r="E172" s="93">
        <v>554601</v>
      </c>
      <c r="F172" s="94" t="s">
        <v>236</v>
      </c>
      <c r="G172" s="95">
        <v>4.0624214284196407</v>
      </c>
      <c r="H172" s="96">
        <v>104.00041279428709</v>
      </c>
      <c r="I172" s="97">
        <v>0.58501367186430286</v>
      </c>
      <c r="J172" s="98">
        <v>0.95268771004893738</v>
      </c>
      <c r="K172" s="99">
        <v>227</v>
      </c>
      <c r="M172" s="89">
        <f t="shared" si="14"/>
        <v>0.58501367186430286</v>
      </c>
      <c r="N172" s="100"/>
      <c r="U172" s="92">
        <f t="shared" si="16"/>
        <v>16969868.452177063</v>
      </c>
      <c r="V172" s="92">
        <f t="shared" si="17"/>
        <v>3331923.0935159479</v>
      </c>
      <c r="W172" s="92">
        <f t="shared" si="18"/>
        <v>2096725.1880110847</v>
      </c>
      <c r="X172" s="92">
        <f t="shared" si="19"/>
        <v>1648275.3125138436</v>
      </c>
      <c r="Y172" s="92">
        <f t="shared" si="15"/>
        <v>1036167.8881142589</v>
      </c>
      <c r="Z172" s="92">
        <f t="shared" si="20"/>
        <v>542814.10592671752</v>
      </c>
    </row>
    <row r="173" spans="1:26" ht="19.5" thickBot="1" x14ac:dyDescent="0.35">
      <c r="A173" s="93">
        <v>110</v>
      </c>
      <c r="B173" s="94" t="s">
        <v>220</v>
      </c>
      <c r="C173" s="93">
        <v>26</v>
      </c>
      <c r="D173" s="94" t="s">
        <v>221</v>
      </c>
      <c r="E173" s="93">
        <v>554611</v>
      </c>
      <c r="F173" s="94" t="s">
        <v>237</v>
      </c>
      <c r="G173" s="95">
        <v>2.9971506287074314</v>
      </c>
      <c r="H173" s="96">
        <v>195.21487669517916</v>
      </c>
      <c r="I173" s="97">
        <v>2.2000666568245641</v>
      </c>
      <c r="J173" s="98">
        <v>0.82207220688084515</v>
      </c>
      <c r="K173" s="99">
        <v>26</v>
      </c>
      <c r="M173" s="89">
        <f t="shared" si="14"/>
        <v>2.2000666568245641</v>
      </c>
      <c r="N173" s="100"/>
      <c r="U173" s="92">
        <f t="shared" si="16"/>
        <v>10803425.320746131</v>
      </c>
      <c r="V173" s="92">
        <f t="shared" si="17"/>
        <v>741698.04153327399</v>
      </c>
      <c r="W173" s="92">
        <f t="shared" si="18"/>
        <v>-169599.38151674694</v>
      </c>
      <c r="X173" s="92">
        <f t="shared" si="19"/>
        <v>-500454.23002841248</v>
      </c>
      <c r="Y173" s="92">
        <f t="shared" si="15"/>
        <v>-952051.43238695455</v>
      </c>
      <c r="Z173" s="92">
        <f t="shared" si="20"/>
        <v>-1316035.2347847782</v>
      </c>
    </row>
    <row r="174" spans="1:26" ht="19.5" thickBot="1" x14ac:dyDescent="0.35">
      <c r="A174" s="93">
        <v>110</v>
      </c>
      <c r="B174" s="94" t="s">
        <v>220</v>
      </c>
      <c r="C174" s="93">
        <v>26</v>
      </c>
      <c r="D174" s="94" t="s">
        <v>221</v>
      </c>
      <c r="E174" s="93">
        <v>554636</v>
      </c>
      <c r="F174" s="94" t="s">
        <v>238</v>
      </c>
      <c r="G174" s="95">
        <v>2.7185394315829101</v>
      </c>
      <c r="H174" s="96">
        <v>180.67496965236501</v>
      </c>
      <c r="I174" s="97">
        <v>1.4769566927201456</v>
      </c>
      <c r="J174" s="98">
        <v>0.88055287140819727</v>
      </c>
      <c r="K174" s="99">
        <v>76</v>
      </c>
      <c r="M174" s="89">
        <f t="shared" si="14"/>
        <v>1.4769566927201456</v>
      </c>
      <c r="N174" s="100"/>
      <c r="U174" s="92">
        <f t="shared" si="16"/>
        <v>10496246.296962904</v>
      </c>
      <c r="V174" s="92">
        <f t="shared" si="17"/>
        <v>1369844.0079427864</v>
      </c>
      <c r="W174" s="92">
        <f t="shared" si="18"/>
        <v>543259.59982787212</v>
      </c>
      <c r="X174" s="92">
        <f t="shared" si="19"/>
        <v>243160.58471856097</v>
      </c>
      <c r="Y174" s="92">
        <f t="shared" si="15"/>
        <v>-166456.73315834597</v>
      </c>
      <c r="Z174" s="92">
        <f t="shared" si="20"/>
        <v>-496605.07798901777</v>
      </c>
    </row>
    <row r="175" spans="1:26" ht="19.5" thickBot="1" x14ac:dyDescent="0.35">
      <c r="A175" s="93">
        <v>110</v>
      </c>
      <c r="B175" s="94" t="s">
        <v>220</v>
      </c>
      <c r="C175" s="93">
        <v>26</v>
      </c>
      <c r="D175" s="94" t="s">
        <v>221</v>
      </c>
      <c r="E175" s="93">
        <v>454671</v>
      </c>
      <c r="F175" s="94" t="s">
        <v>239</v>
      </c>
      <c r="G175" s="95">
        <v>4.4235571915611969</v>
      </c>
      <c r="H175" s="96">
        <v>230.06002595409666</v>
      </c>
      <c r="I175" s="97">
        <v>1.5272684706752111</v>
      </c>
      <c r="J175" s="98">
        <v>0.87648396577223531</v>
      </c>
      <c r="K175" s="99">
        <v>70</v>
      </c>
      <c r="M175" s="89">
        <f t="shared" si="14"/>
        <v>1.5272684706752111</v>
      </c>
      <c r="N175" s="100"/>
      <c r="U175" s="92">
        <f t="shared" si="16"/>
        <v>17000377.331222847</v>
      </c>
      <c r="V175" s="92">
        <f t="shared" si="17"/>
        <v>2150063.9571884661</v>
      </c>
      <c r="W175" s="92">
        <f t="shared" si="18"/>
        <v>805061.06318222964</v>
      </c>
      <c r="X175" s="92">
        <f t="shared" si="19"/>
        <v>316745.48421920306</v>
      </c>
      <c r="Y175" s="92">
        <f t="shared" si="15"/>
        <v>-349776.25581211841</v>
      </c>
      <c r="Z175" s="92">
        <f t="shared" si="20"/>
        <v>-886987.5495277982</v>
      </c>
    </row>
    <row r="176" spans="1:26" ht="19.5" thickBot="1" x14ac:dyDescent="0.35">
      <c r="A176" s="93">
        <v>110</v>
      </c>
      <c r="B176" s="94" t="s">
        <v>220</v>
      </c>
      <c r="C176" s="93">
        <v>27</v>
      </c>
      <c r="D176" s="94" t="s">
        <v>240</v>
      </c>
      <c r="E176" s="93">
        <v>554184</v>
      </c>
      <c r="F176" s="94" t="s">
        <v>536</v>
      </c>
      <c r="G176" s="95">
        <v>4.0428715832699478</v>
      </c>
      <c r="H176" s="96">
        <v>340.06083000737289</v>
      </c>
      <c r="I176" s="97">
        <v>1.6453219899900664</v>
      </c>
      <c r="J176" s="98">
        <v>0.8669365267905641</v>
      </c>
      <c r="K176" s="99">
        <v>54</v>
      </c>
      <c r="M176" s="89">
        <f t="shared" si="14"/>
        <v>1.6453219899900664</v>
      </c>
      <c r="N176" s="100"/>
      <c r="U176" s="92">
        <f t="shared" si="16"/>
        <v>15368100.323387325</v>
      </c>
      <c r="V176" s="92">
        <f t="shared" si="17"/>
        <v>1795785.7035896338</v>
      </c>
      <c r="W176" s="92">
        <f t="shared" si="18"/>
        <v>566532.01835027814</v>
      </c>
      <c r="X176" s="92">
        <f t="shared" si="19"/>
        <v>120240.24628416792</v>
      </c>
      <c r="Y176" s="92">
        <f t="shared" si="15"/>
        <v>-488921.49520859832</v>
      </c>
      <c r="Z176" s="92">
        <f t="shared" si="20"/>
        <v>-979901.08008162491</v>
      </c>
    </row>
    <row r="177" spans="1:26" ht="19.5" thickBot="1" x14ac:dyDescent="0.35">
      <c r="A177" s="93">
        <v>110</v>
      </c>
      <c r="B177" s="94" t="s">
        <v>220</v>
      </c>
      <c r="C177" s="93">
        <v>27</v>
      </c>
      <c r="D177" s="94" t="s">
        <v>240</v>
      </c>
      <c r="E177" s="93">
        <v>554506</v>
      </c>
      <c r="F177" s="94" t="s">
        <v>242</v>
      </c>
      <c r="G177" s="95">
        <v>2.6587267141460678</v>
      </c>
      <c r="H177" s="96">
        <v>307.02656420337644</v>
      </c>
      <c r="I177" s="97">
        <v>2.2654335124227032</v>
      </c>
      <c r="J177" s="98">
        <v>0.81678573961693868</v>
      </c>
      <c r="K177" s="99">
        <v>23</v>
      </c>
      <c r="M177" s="89">
        <f t="shared" si="14"/>
        <v>2.2654335124227032</v>
      </c>
      <c r="N177" s="100"/>
      <c r="U177" s="92">
        <f t="shared" si="16"/>
        <v>9521925.6195217371</v>
      </c>
      <c r="V177" s="92">
        <f t="shared" si="17"/>
        <v>596320.46258892957</v>
      </c>
      <c r="W177" s="92">
        <f t="shared" si="18"/>
        <v>-212077.61390029616</v>
      </c>
      <c r="X177" s="92">
        <f t="shared" si="19"/>
        <v>-505573.91529308923</v>
      </c>
      <c r="Y177" s="92">
        <f t="shared" si="15"/>
        <v>-906178.92140921263</v>
      </c>
      <c r="Z177" s="92">
        <f t="shared" si="20"/>
        <v>-1229063.4136607442</v>
      </c>
    </row>
    <row r="178" spans="1:26" ht="19.5" thickBot="1" x14ac:dyDescent="0.35">
      <c r="A178" s="93">
        <v>110</v>
      </c>
      <c r="B178" s="94" t="s">
        <v>220</v>
      </c>
      <c r="C178" s="93">
        <v>27</v>
      </c>
      <c r="D178" s="94" t="s">
        <v>240</v>
      </c>
      <c r="E178" s="93">
        <v>554196</v>
      </c>
      <c r="F178" s="94" t="s">
        <v>243</v>
      </c>
      <c r="G178" s="95">
        <v>3.2063500094108797</v>
      </c>
      <c r="H178" s="96">
        <v>105.27306684837517</v>
      </c>
      <c r="I178" s="97">
        <v>0.48053116538050389</v>
      </c>
      <c r="J178" s="98">
        <v>0.96113760939201109</v>
      </c>
      <c r="K178" s="99">
        <v>246</v>
      </c>
      <c r="M178" s="89">
        <f t="shared" si="14"/>
        <v>0.48053116538050389</v>
      </c>
      <c r="N178" s="100"/>
      <c r="U178" s="92">
        <f t="shared" si="16"/>
        <v>13512616.117926341</v>
      </c>
      <c r="V178" s="92">
        <f t="shared" si="17"/>
        <v>2748586.0930800084</v>
      </c>
      <c r="W178" s="92">
        <f t="shared" si="18"/>
        <v>1773680.6368825412</v>
      </c>
      <c r="X178" s="92">
        <f t="shared" si="19"/>
        <v>1419732.311270186</v>
      </c>
      <c r="Y178" s="92">
        <f t="shared" si="15"/>
        <v>936613.88533484936</v>
      </c>
      <c r="Z178" s="92">
        <f t="shared" si="20"/>
        <v>547224.22401276138</v>
      </c>
    </row>
    <row r="179" spans="1:26" ht="19.5" thickBot="1" x14ac:dyDescent="0.35">
      <c r="A179" s="93">
        <v>110</v>
      </c>
      <c r="B179" s="94" t="s">
        <v>220</v>
      </c>
      <c r="C179" s="93">
        <v>27</v>
      </c>
      <c r="D179" s="94" t="s">
        <v>240</v>
      </c>
      <c r="E179" s="93">
        <v>554257</v>
      </c>
      <c r="F179" s="94" t="s">
        <v>244</v>
      </c>
      <c r="G179" s="95">
        <v>3.5085191890858076</v>
      </c>
      <c r="H179" s="96">
        <v>99.398923761015467</v>
      </c>
      <c r="I179" s="97">
        <v>0.53699800475109261</v>
      </c>
      <c r="J179" s="98">
        <v>0.95657092043172109</v>
      </c>
      <c r="K179" s="99">
        <v>236</v>
      </c>
      <c r="M179" s="89">
        <f t="shared" si="14"/>
        <v>0.53699800475109261</v>
      </c>
      <c r="N179" s="100"/>
      <c r="U179" s="92">
        <f t="shared" si="16"/>
        <v>14715803.128096493</v>
      </c>
      <c r="V179" s="92">
        <f t="shared" si="17"/>
        <v>2937361.6656162143</v>
      </c>
      <c r="W179" s="92">
        <f t="shared" si="18"/>
        <v>1870580.2816207316</v>
      </c>
      <c r="X179" s="92">
        <f t="shared" si="19"/>
        <v>1483275.5617021748</v>
      </c>
      <c r="Y179" s="92">
        <f t="shared" si="15"/>
        <v>954627.64022759593</v>
      </c>
      <c r="Z179" s="92">
        <f t="shared" si="20"/>
        <v>528541.562672019</v>
      </c>
    </row>
    <row r="180" spans="1:26" ht="19.5" thickBot="1" x14ac:dyDescent="0.35">
      <c r="A180" s="93">
        <v>110</v>
      </c>
      <c r="B180" s="94" t="s">
        <v>220</v>
      </c>
      <c r="C180" s="93">
        <v>27</v>
      </c>
      <c r="D180" s="94" t="s">
        <v>240</v>
      </c>
      <c r="E180" s="93">
        <v>554321</v>
      </c>
      <c r="F180" s="94" t="s">
        <v>245</v>
      </c>
      <c r="G180" s="95">
        <v>2.5722025560324151</v>
      </c>
      <c r="H180" s="96">
        <v>84.496900401673088</v>
      </c>
      <c r="I180" s="97">
        <v>0.41068007147905478</v>
      </c>
      <c r="J180" s="98">
        <v>0.96678673413388683</v>
      </c>
      <c r="K180" s="99">
        <v>260</v>
      </c>
      <c r="M180" s="89">
        <f t="shared" si="14"/>
        <v>0.41068007147905478</v>
      </c>
      <c r="N180" s="100"/>
      <c r="U180" s="92">
        <f t="shared" si="16"/>
        <v>10903822.840250876</v>
      </c>
      <c r="V180" s="92">
        <f t="shared" si="17"/>
        <v>2268687.729656219</v>
      </c>
      <c r="W180" s="92">
        <f t="shared" si="18"/>
        <v>1486597.721091677</v>
      </c>
      <c r="X180" s="92">
        <f t="shared" si="19"/>
        <v>1202652.8039206499</v>
      </c>
      <c r="Y180" s="92">
        <f t="shared" si="15"/>
        <v>815084.86953735608</v>
      </c>
      <c r="Z180" s="92">
        <f t="shared" si="20"/>
        <v>502708.15482887719</v>
      </c>
    </row>
    <row r="181" spans="1:26" ht="19.5" thickBot="1" x14ac:dyDescent="0.35">
      <c r="A181" s="93">
        <v>110</v>
      </c>
      <c r="B181" s="94" t="s">
        <v>220</v>
      </c>
      <c r="C181" s="93">
        <v>27</v>
      </c>
      <c r="D181" s="94" t="s">
        <v>240</v>
      </c>
      <c r="E181" s="93">
        <v>454355</v>
      </c>
      <c r="F181" s="94" t="s">
        <v>246</v>
      </c>
      <c r="G181" s="95">
        <v>3.8299949952945602</v>
      </c>
      <c r="H181" s="96">
        <v>118.01480580400538</v>
      </c>
      <c r="I181" s="97">
        <v>0.40598743045626678</v>
      </c>
      <c r="J181" s="98">
        <v>0.9671662459357202</v>
      </c>
      <c r="K181" s="99">
        <v>262</v>
      </c>
      <c r="M181" s="89">
        <f t="shared" si="14"/>
        <v>0.40598743045626678</v>
      </c>
      <c r="N181" s="100"/>
      <c r="U181" s="92">
        <f t="shared" si="16"/>
        <v>16242103.603550974</v>
      </c>
      <c r="V181" s="92">
        <f t="shared" si="17"/>
        <v>3384436.4732127795</v>
      </c>
      <c r="W181" s="92">
        <f t="shared" si="18"/>
        <v>2219908.8928917195</v>
      </c>
      <c r="X181" s="92">
        <f t="shared" si="19"/>
        <v>1797116.5240893858</v>
      </c>
      <c r="Y181" s="92">
        <f t="shared" si="15"/>
        <v>1220030.0712579626</v>
      </c>
      <c r="Z181" s="92">
        <f t="shared" si="20"/>
        <v>754902.91742080019</v>
      </c>
    </row>
    <row r="182" spans="1:26" ht="19.5" thickBot="1" x14ac:dyDescent="0.35">
      <c r="A182" s="93">
        <v>110</v>
      </c>
      <c r="B182" s="94" t="s">
        <v>220</v>
      </c>
      <c r="C182" s="93">
        <v>27</v>
      </c>
      <c r="D182" s="94" t="s">
        <v>240</v>
      </c>
      <c r="E182" s="93">
        <v>554357</v>
      </c>
      <c r="F182" s="94" t="s">
        <v>537</v>
      </c>
      <c r="G182" s="95">
        <v>4.3873447963910781</v>
      </c>
      <c r="H182" s="96">
        <v>43.59317579902185</v>
      </c>
      <c r="I182" s="97">
        <v>0.13478775579399149</v>
      </c>
      <c r="J182" s="98">
        <v>0.98909919940220203</v>
      </c>
      <c r="K182" s="99">
        <v>292</v>
      </c>
      <c r="M182" s="89">
        <f t="shared" si="14"/>
        <v>0.13478775579399149</v>
      </c>
      <c r="N182" s="100"/>
      <c r="U182" s="92">
        <f t="shared" si="16"/>
        <v>19027623.763722666</v>
      </c>
      <c r="V182" s="92">
        <f t="shared" si="17"/>
        <v>4298878.9357729936</v>
      </c>
      <c r="W182" s="92">
        <f t="shared" si="18"/>
        <v>2964886.5869442052</v>
      </c>
      <c r="X182" s="92">
        <f t="shared" si="19"/>
        <v>2480568.4869211754</v>
      </c>
      <c r="Y182" s="92">
        <f t="shared" si="15"/>
        <v>1819503.0680346405</v>
      </c>
      <c r="Z182" s="92">
        <f t="shared" si="20"/>
        <v>1286689.5263577483</v>
      </c>
    </row>
    <row r="183" spans="1:26" ht="19.5" thickBot="1" x14ac:dyDescent="0.35">
      <c r="A183" s="93">
        <v>110</v>
      </c>
      <c r="B183" s="94" t="s">
        <v>220</v>
      </c>
      <c r="C183" s="93">
        <v>27</v>
      </c>
      <c r="D183" s="94" t="s">
        <v>240</v>
      </c>
      <c r="E183" s="93">
        <v>554381</v>
      </c>
      <c r="F183" s="94" t="s">
        <v>248</v>
      </c>
      <c r="G183" s="95">
        <v>4.4287659362610263</v>
      </c>
      <c r="H183" s="96">
        <v>244.31296524635928</v>
      </c>
      <c r="I183" s="97">
        <v>1.5864447253520189</v>
      </c>
      <c r="J183" s="98">
        <v>0.87169815604822509</v>
      </c>
      <c r="K183" s="99">
        <v>63</v>
      </c>
      <c r="M183" s="89">
        <f t="shared" si="14"/>
        <v>1.5864447253520189</v>
      </c>
      <c r="N183" s="100"/>
      <c r="U183" s="92">
        <f t="shared" si="16"/>
        <v>16927459.915684607</v>
      </c>
      <c r="V183" s="92">
        <f t="shared" si="17"/>
        <v>2059660.2771512927</v>
      </c>
      <c r="W183" s="92">
        <f t="shared" si="18"/>
        <v>713073.64038057369</v>
      </c>
      <c r="X183" s="92">
        <f t="shared" si="19"/>
        <v>224183.06914919347</v>
      </c>
      <c r="Y183" s="92">
        <f t="shared" si="15"/>
        <v>-443123.50115115487</v>
      </c>
      <c r="Z183" s="92">
        <f t="shared" si="20"/>
        <v>-980967.36190681055</v>
      </c>
    </row>
    <row r="184" spans="1:26" ht="19.5" thickBot="1" x14ac:dyDescent="0.35">
      <c r="A184" s="93">
        <v>110</v>
      </c>
      <c r="B184" s="94" t="s">
        <v>220</v>
      </c>
      <c r="C184" s="93">
        <v>27</v>
      </c>
      <c r="D184" s="94" t="s">
        <v>240</v>
      </c>
      <c r="E184" s="93">
        <v>554376</v>
      </c>
      <c r="F184" s="94" t="s">
        <v>538</v>
      </c>
      <c r="G184" s="95">
        <v>3.0178712591756058</v>
      </c>
      <c r="H184" s="96">
        <v>122.40999150868819</v>
      </c>
      <c r="I184" s="97">
        <v>0.45176177130976419</v>
      </c>
      <c r="J184" s="98">
        <v>0.96346430016772155</v>
      </c>
      <c r="K184" s="99">
        <v>250</v>
      </c>
      <c r="M184" s="89">
        <f t="shared" si="14"/>
        <v>0.45176177130976419</v>
      </c>
      <c r="N184" s="100"/>
      <c r="U184" s="92">
        <f t="shared" si="16"/>
        <v>12749092.579765767</v>
      </c>
      <c r="V184" s="92">
        <f t="shared" si="17"/>
        <v>2617804.1210689014</v>
      </c>
      <c r="W184" s="92">
        <f t="shared" si="18"/>
        <v>1700206.4950965592</v>
      </c>
      <c r="X184" s="92">
        <f t="shared" si="19"/>
        <v>1367064.3004005046</v>
      </c>
      <c r="Y184" s="92">
        <f t="shared" si="15"/>
        <v>912345.00645907526</v>
      </c>
      <c r="Z184" s="92">
        <f t="shared" si="20"/>
        <v>545844.82273772126</v>
      </c>
    </row>
    <row r="185" spans="1:26" ht="19.5" thickBot="1" x14ac:dyDescent="0.35">
      <c r="A185" s="93">
        <v>110</v>
      </c>
      <c r="B185" s="94" t="s">
        <v>220</v>
      </c>
      <c r="C185" s="93">
        <v>27</v>
      </c>
      <c r="D185" s="94" t="s">
        <v>240</v>
      </c>
      <c r="E185" s="93">
        <v>554416</v>
      </c>
      <c r="F185" s="94" t="s">
        <v>250</v>
      </c>
      <c r="G185" s="95">
        <v>3.9319019689987416</v>
      </c>
      <c r="H185" s="96">
        <v>240.00632361653425</v>
      </c>
      <c r="I185" s="97">
        <v>1.813374424239691</v>
      </c>
      <c r="J185" s="98">
        <v>0.85334548460028115</v>
      </c>
      <c r="K185" s="99">
        <v>48</v>
      </c>
      <c r="M185" s="89">
        <f t="shared" si="14"/>
        <v>1.813374424239691</v>
      </c>
      <c r="N185" s="100"/>
      <c r="U185" s="92">
        <f t="shared" si="16"/>
        <v>14711959.30239098</v>
      </c>
      <c r="V185" s="92">
        <f t="shared" si="17"/>
        <v>1512180.511917904</v>
      </c>
      <c r="W185" s="92">
        <f t="shared" si="18"/>
        <v>316667.64789507096</v>
      </c>
      <c r="X185" s="92">
        <f t="shared" si="19"/>
        <v>-117374.21101437834</v>
      </c>
      <c r="Y185" s="92">
        <f t="shared" si="15"/>
        <v>-709815.54917750088</v>
      </c>
      <c r="Z185" s="92">
        <f t="shared" si="20"/>
        <v>-1187318.6201355518</v>
      </c>
    </row>
    <row r="186" spans="1:26" ht="19.5" thickBot="1" x14ac:dyDescent="0.35">
      <c r="A186" s="93">
        <v>110</v>
      </c>
      <c r="B186" s="94" t="s">
        <v>220</v>
      </c>
      <c r="C186" s="93">
        <v>27</v>
      </c>
      <c r="D186" s="94" t="s">
        <v>240</v>
      </c>
      <c r="E186" s="93">
        <v>454466</v>
      </c>
      <c r="F186" s="94" t="s">
        <v>251</v>
      </c>
      <c r="G186" s="95">
        <v>1.845993697746853</v>
      </c>
      <c r="H186" s="96">
        <v>72.605504051065225</v>
      </c>
      <c r="I186" s="97">
        <v>0.22027148261465032</v>
      </c>
      <c r="J186" s="98">
        <v>0.98218580393137866</v>
      </c>
      <c r="K186" s="99">
        <v>286</v>
      </c>
      <c r="M186" s="89">
        <f t="shared" si="14"/>
        <v>0.22027148261465032</v>
      </c>
      <c r="N186" s="100"/>
      <c r="U186" s="92">
        <f t="shared" si="16"/>
        <v>7949994.0829837965</v>
      </c>
      <c r="V186" s="92">
        <f t="shared" si="17"/>
        <v>1752813.0110785759</v>
      </c>
      <c r="W186" s="92">
        <f t="shared" si="18"/>
        <v>1191530.1434074293</v>
      </c>
      <c r="X186" s="92">
        <f t="shared" si="19"/>
        <v>987751.27444717207</v>
      </c>
      <c r="Y186" s="92">
        <f t="shared" si="15"/>
        <v>709605.23083857913</v>
      </c>
      <c r="Z186" s="92">
        <f t="shared" si="20"/>
        <v>485421.70169840683</v>
      </c>
    </row>
    <row r="187" spans="1:26" ht="19.5" thickBot="1" x14ac:dyDescent="0.35">
      <c r="A187" s="93">
        <v>110</v>
      </c>
      <c r="B187" s="94" t="s">
        <v>220</v>
      </c>
      <c r="C187" s="93">
        <v>27</v>
      </c>
      <c r="D187" s="94" t="s">
        <v>240</v>
      </c>
      <c r="E187" s="93">
        <v>554496</v>
      </c>
      <c r="F187" s="94" t="s">
        <v>252</v>
      </c>
      <c r="G187" s="95">
        <v>3.1022424753270625</v>
      </c>
      <c r="H187" s="96">
        <v>152.18663494388053</v>
      </c>
      <c r="I187" s="97">
        <v>0.9163269995522525</v>
      </c>
      <c r="J187" s="98">
        <v>0.9258931358738236</v>
      </c>
      <c r="K187" s="99">
        <v>163</v>
      </c>
      <c r="M187" s="89">
        <f t="shared" si="14"/>
        <v>0.9163269995522525</v>
      </c>
      <c r="N187" s="100"/>
      <c r="U187" s="92">
        <f t="shared" si="16"/>
        <v>12594459.754465707</v>
      </c>
      <c r="V187" s="92">
        <f t="shared" si="17"/>
        <v>2179928.8857944109</v>
      </c>
      <c r="W187" s="92">
        <f t="shared" si="18"/>
        <v>1236677.803795544</v>
      </c>
      <c r="X187" s="92">
        <f t="shared" si="19"/>
        <v>894221.88770318613</v>
      </c>
      <c r="Y187" s="92">
        <f t="shared" si="15"/>
        <v>426789.91765911528</v>
      </c>
      <c r="Z187" s="92">
        <f t="shared" si="20"/>
        <v>50043.416727811949</v>
      </c>
    </row>
    <row r="188" spans="1:26" ht="19.5" thickBot="1" x14ac:dyDescent="0.35">
      <c r="A188" s="93">
        <v>110</v>
      </c>
      <c r="B188" s="94" t="s">
        <v>220</v>
      </c>
      <c r="C188" s="93">
        <v>27</v>
      </c>
      <c r="D188" s="94" t="s">
        <v>240</v>
      </c>
      <c r="E188" s="93">
        <v>554516</v>
      </c>
      <c r="F188" s="94" t="s">
        <v>253</v>
      </c>
      <c r="G188" s="95">
        <v>2.5928609072087352</v>
      </c>
      <c r="H188" s="96">
        <v>108.60285208400909</v>
      </c>
      <c r="I188" s="97">
        <v>0.35982375535306405</v>
      </c>
      <c r="J188" s="98">
        <v>0.97089967865145343</v>
      </c>
      <c r="K188" s="99">
        <v>268</v>
      </c>
      <c r="M188" s="89">
        <f t="shared" si="14"/>
        <v>0.35982375535306405</v>
      </c>
      <c r="N188" s="100"/>
      <c r="U188" s="92">
        <f t="shared" si="16"/>
        <v>11038155.703168834</v>
      </c>
      <c r="V188" s="92">
        <f t="shared" si="17"/>
        <v>2333668.490753395</v>
      </c>
      <c r="W188" s="92">
        <f t="shared" si="18"/>
        <v>1545297.2155714449</v>
      </c>
      <c r="X188" s="92">
        <f t="shared" si="19"/>
        <v>1259071.8272143935</v>
      </c>
      <c r="Y188" s="92">
        <f t="shared" si="15"/>
        <v>868391.1852123338</v>
      </c>
      <c r="Z188" s="92">
        <f t="shared" si="20"/>
        <v>553505.65258179093</v>
      </c>
    </row>
    <row r="189" spans="1:26" ht="19.5" thickBot="1" x14ac:dyDescent="0.35">
      <c r="A189" s="93">
        <v>110</v>
      </c>
      <c r="B189" s="94" t="s">
        <v>220</v>
      </c>
      <c r="C189" s="93">
        <v>27</v>
      </c>
      <c r="D189" s="94" t="s">
        <v>240</v>
      </c>
      <c r="E189" s="93">
        <v>554531</v>
      </c>
      <c r="F189" s="94" t="s">
        <v>254</v>
      </c>
      <c r="G189" s="95">
        <v>2.547061984299011</v>
      </c>
      <c r="H189" s="96">
        <v>181.10410270480793</v>
      </c>
      <c r="I189" s="97">
        <v>0.64912221838018103</v>
      </c>
      <c r="J189" s="98">
        <v>0.94750300704629709</v>
      </c>
      <c r="K189" s="99">
        <v>214</v>
      </c>
      <c r="M189" s="89">
        <f t="shared" si="14"/>
        <v>0.64912221838018103</v>
      </c>
      <c r="N189" s="100"/>
      <c r="U189" s="92">
        <f t="shared" si="16"/>
        <v>10581885.293732891</v>
      </c>
      <c r="V189" s="92">
        <f t="shared" si="17"/>
        <v>2031149.5369785486</v>
      </c>
      <c r="W189" s="92">
        <f t="shared" si="18"/>
        <v>1256703.6347913151</v>
      </c>
      <c r="X189" s="92">
        <f t="shared" si="19"/>
        <v>975533.98022226768</v>
      </c>
      <c r="Y189" s="92">
        <f t="shared" si="15"/>
        <v>591754.11433034495</v>
      </c>
      <c r="Z189" s="92">
        <f t="shared" si="20"/>
        <v>282430.55310915876</v>
      </c>
    </row>
    <row r="190" spans="1:26" ht="19.5" thickBot="1" x14ac:dyDescent="0.35">
      <c r="A190" s="93">
        <v>110</v>
      </c>
      <c r="B190" s="94" t="s">
        <v>220</v>
      </c>
      <c r="C190" s="93">
        <v>27</v>
      </c>
      <c r="D190" s="94" t="s">
        <v>240</v>
      </c>
      <c r="E190" s="93">
        <v>554533</v>
      </c>
      <c r="F190" s="94" t="s">
        <v>255</v>
      </c>
      <c r="G190" s="95">
        <v>3.4525823809523799</v>
      </c>
      <c r="H190" s="96">
        <v>170.74296733721607</v>
      </c>
      <c r="I190" s="97">
        <v>1.5976657305939257</v>
      </c>
      <c r="J190" s="98">
        <v>0.87079067049860415</v>
      </c>
      <c r="K190" s="99">
        <v>60</v>
      </c>
      <c r="M190" s="89">
        <f t="shared" si="14"/>
        <v>1.5976657305939257</v>
      </c>
      <c r="N190" s="100"/>
      <c r="U190" s="92">
        <f t="shared" si="16"/>
        <v>13182590.334509183</v>
      </c>
      <c r="V190" s="92">
        <f t="shared" si="17"/>
        <v>1591934.1981707988</v>
      </c>
      <c r="W190" s="92">
        <f t="shared" si="18"/>
        <v>542160.65776428476</v>
      </c>
      <c r="X190" s="92">
        <f t="shared" si="19"/>
        <v>161030.79072230644</v>
      </c>
      <c r="Y190" s="92">
        <f t="shared" si="15"/>
        <v>-359188.82360615616</v>
      </c>
      <c r="Z190" s="92">
        <f t="shared" si="20"/>
        <v>-778481.75172059773</v>
      </c>
    </row>
    <row r="191" spans="1:26" ht="19.5" thickBot="1" x14ac:dyDescent="0.35">
      <c r="A191" s="93">
        <v>110</v>
      </c>
      <c r="B191" s="94" t="s">
        <v>220</v>
      </c>
      <c r="C191" s="93">
        <v>27</v>
      </c>
      <c r="D191" s="94" t="s">
        <v>240</v>
      </c>
      <c r="E191" s="93">
        <v>454535</v>
      </c>
      <c r="F191" s="94" t="s">
        <v>256</v>
      </c>
      <c r="G191" s="95">
        <v>7.5857846084163612</v>
      </c>
      <c r="H191" s="96">
        <v>178.36897429156926</v>
      </c>
      <c r="I191" s="97">
        <v>0.70933952744056838</v>
      </c>
      <c r="J191" s="98">
        <v>0.94263300327825084</v>
      </c>
      <c r="K191" s="99">
        <v>201</v>
      </c>
      <c r="M191" s="89">
        <f t="shared" si="14"/>
        <v>0.70933952744056838</v>
      </c>
      <c r="N191" s="100"/>
      <c r="U191" s="92">
        <f t="shared" si="16"/>
        <v>31353504.233633295</v>
      </c>
      <c r="V191" s="92">
        <f t="shared" si="17"/>
        <v>5887284.6857513227</v>
      </c>
      <c r="W191" s="92">
        <f t="shared" si="18"/>
        <v>3580792.0125940703</v>
      </c>
      <c r="X191" s="92">
        <f t="shared" si="19"/>
        <v>2743398.7920397515</v>
      </c>
      <c r="Y191" s="92">
        <f t="shared" si="15"/>
        <v>1600406.8202506278</v>
      </c>
      <c r="Z191" s="92">
        <f t="shared" si="20"/>
        <v>679164.25756600162</v>
      </c>
    </row>
    <row r="192" spans="1:26" ht="19.5" thickBot="1" x14ac:dyDescent="0.35">
      <c r="A192" s="93">
        <v>110</v>
      </c>
      <c r="B192" s="94" t="s">
        <v>220</v>
      </c>
      <c r="C192" s="93">
        <v>27</v>
      </c>
      <c r="D192" s="94" t="s">
        <v>240</v>
      </c>
      <c r="E192" s="93">
        <v>454651</v>
      </c>
      <c r="F192" s="94" t="s">
        <v>539</v>
      </c>
      <c r="G192" s="95">
        <v>10.875606546817368</v>
      </c>
      <c r="H192" s="96">
        <v>223.90251193048167</v>
      </c>
      <c r="I192" s="97">
        <v>1.5205345662894822</v>
      </c>
      <c r="J192" s="98">
        <v>0.87702856233830351</v>
      </c>
      <c r="K192" s="99">
        <v>71</v>
      </c>
      <c r="M192" s="89">
        <f t="shared" si="14"/>
        <v>1.5205345662894822</v>
      </c>
      <c r="N192" s="100"/>
      <c r="U192" s="92">
        <f t="shared" si="16"/>
        <v>41822516.722449385</v>
      </c>
      <c r="V192" s="92">
        <f t="shared" si="17"/>
        <v>5312043.7345466893</v>
      </c>
      <c r="W192" s="92">
        <f t="shared" si="18"/>
        <v>2005265.5815598173</v>
      </c>
      <c r="X192" s="92">
        <f t="shared" si="19"/>
        <v>804709.58612373227</v>
      </c>
      <c r="Y192" s="92">
        <f t="shared" si="15"/>
        <v>-833977.98715084954</v>
      </c>
      <c r="Z192" s="92">
        <f t="shared" si="20"/>
        <v>-2154747.3159851613</v>
      </c>
    </row>
    <row r="193" spans="1:26" ht="19.5" thickBot="1" x14ac:dyDescent="0.35">
      <c r="A193" s="93">
        <v>110</v>
      </c>
      <c r="B193" s="94" t="s">
        <v>220</v>
      </c>
      <c r="C193" s="93">
        <v>27</v>
      </c>
      <c r="D193" s="94" t="s">
        <v>240</v>
      </c>
      <c r="E193" s="93">
        <v>554686</v>
      </c>
      <c r="F193" s="94" t="s">
        <v>258</v>
      </c>
      <c r="G193" s="95">
        <v>1.70819687558818</v>
      </c>
      <c r="H193" s="96">
        <v>61.139279196983146</v>
      </c>
      <c r="I193" s="97">
        <v>0.48181645152383584</v>
      </c>
      <c r="J193" s="98">
        <v>0.96103366339278407</v>
      </c>
      <c r="K193" s="99">
        <v>245</v>
      </c>
      <c r="M193" s="89">
        <f t="shared" si="14"/>
        <v>0.48181645152383584</v>
      </c>
      <c r="N193" s="100"/>
      <c r="U193" s="92">
        <f t="shared" si="16"/>
        <v>7198126.296216364</v>
      </c>
      <c r="V193" s="92">
        <f t="shared" si="17"/>
        <v>1463542.6097153937</v>
      </c>
      <c r="W193" s="92">
        <f t="shared" si="18"/>
        <v>944157.49911221175</v>
      </c>
      <c r="X193" s="92">
        <f t="shared" si="19"/>
        <v>755589.9933327093</v>
      </c>
      <c r="Y193" s="92">
        <f t="shared" si="15"/>
        <v>498206.55630942225</v>
      </c>
      <c r="Z193" s="92">
        <f t="shared" si="20"/>
        <v>290757.52519789286</v>
      </c>
    </row>
    <row r="194" spans="1:26" ht="19.5" thickBot="1" x14ac:dyDescent="0.35">
      <c r="A194" s="93">
        <v>110</v>
      </c>
      <c r="B194" s="94" t="s">
        <v>220</v>
      </c>
      <c r="C194" s="93">
        <v>27</v>
      </c>
      <c r="D194" s="94" t="s">
        <v>240</v>
      </c>
      <c r="E194" s="93">
        <v>454696</v>
      </c>
      <c r="F194" s="94" t="s">
        <v>259</v>
      </c>
      <c r="G194" s="95">
        <v>4.7522852115626311</v>
      </c>
      <c r="H194" s="96">
        <v>272.30535434856336</v>
      </c>
      <c r="I194" s="97">
        <v>1.304287507917034</v>
      </c>
      <c r="J194" s="98">
        <v>0.89451728784821749</v>
      </c>
      <c r="K194" s="99">
        <v>100</v>
      </c>
      <c r="M194" s="89">
        <f t="shared" si="14"/>
        <v>1.304287507917034</v>
      </c>
      <c r="N194" s="100"/>
      <c r="U194" s="92">
        <f t="shared" si="16"/>
        <v>18639496.391569581</v>
      </c>
      <c r="V194" s="92">
        <f t="shared" si="17"/>
        <v>2685610.9599251021</v>
      </c>
      <c r="W194" s="92">
        <f t="shared" si="18"/>
        <v>1240656.8006596896</v>
      </c>
      <c r="X194" s="92">
        <f t="shared" si="19"/>
        <v>716053.00240685733</v>
      </c>
      <c r="Y194" s="92">
        <f t="shared" si="15"/>
        <v>0</v>
      </c>
      <c r="Z194" s="92">
        <f t="shared" si="20"/>
        <v>-577133.10262604197</v>
      </c>
    </row>
    <row r="195" spans="1:26" ht="19.5" thickBot="1" x14ac:dyDescent="0.35">
      <c r="A195" s="93">
        <v>110</v>
      </c>
      <c r="B195" s="94" t="s">
        <v>220</v>
      </c>
      <c r="C195" s="93">
        <v>31</v>
      </c>
      <c r="D195" s="94" t="s">
        <v>260</v>
      </c>
      <c r="E195" s="93">
        <v>455151</v>
      </c>
      <c r="F195" s="94" t="s">
        <v>261</v>
      </c>
      <c r="G195" s="95">
        <v>9.7581728930256268</v>
      </c>
      <c r="H195" s="96">
        <v>221.68626012930378</v>
      </c>
      <c r="I195" s="97">
        <v>1.265631165966222</v>
      </c>
      <c r="J195" s="98">
        <v>0.89764357385961246</v>
      </c>
      <c r="K195" s="99">
        <v>105</v>
      </c>
      <c r="M195" s="89">
        <f t="shared" si="14"/>
        <v>1.265631165966222</v>
      </c>
      <c r="N195" s="100"/>
      <c r="U195" s="92">
        <f t="shared" si="16"/>
        <v>38407441.117178358</v>
      </c>
      <c r="V195" s="92">
        <f t="shared" si="17"/>
        <v>5648302.0026471559</v>
      </c>
      <c r="W195" s="92">
        <f t="shared" si="18"/>
        <v>2681284.6876295605</v>
      </c>
      <c r="X195" s="92">
        <f t="shared" si="19"/>
        <v>1604081.966034953</v>
      </c>
      <c r="Y195" s="92">
        <f t="shared" si="15"/>
        <v>133764.27949217806</v>
      </c>
      <c r="Z195" s="92">
        <f t="shared" si="20"/>
        <v>-1051300.2414693914</v>
      </c>
    </row>
    <row r="196" spans="1:26" ht="19.5" thickBot="1" x14ac:dyDescent="0.35">
      <c r="A196" s="93">
        <v>110</v>
      </c>
      <c r="B196" s="94" t="s">
        <v>220</v>
      </c>
      <c r="C196" s="93">
        <v>31</v>
      </c>
      <c r="D196" s="94" t="s">
        <v>260</v>
      </c>
      <c r="E196" s="93">
        <v>455231</v>
      </c>
      <c r="F196" s="94" t="s">
        <v>262</v>
      </c>
      <c r="G196" s="95">
        <v>4.5313841277936655</v>
      </c>
      <c r="H196" s="96">
        <v>253.48351861956783</v>
      </c>
      <c r="I196" s="97">
        <v>1.9354538587683707</v>
      </c>
      <c r="J196" s="98">
        <v>0.84347245447933306</v>
      </c>
      <c r="K196" s="99">
        <v>34</v>
      </c>
      <c r="M196" s="89">
        <f t="shared" si="14"/>
        <v>1.9354538587683707</v>
      </c>
      <c r="N196" s="100"/>
      <c r="U196" s="92">
        <f t="shared" si="16"/>
        <v>16758869.611885471</v>
      </c>
      <c r="V196" s="92">
        <f t="shared" si="17"/>
        <v>1546570.6855293321</v>
      </c>
      <c r="W196" s="92">
        <f t="shared" si="18"/>
        <v>168782.51600746188</v>
      </c>
      <c r="X196" s="92">
        <f t="shared" si="19"/>
        <v>-331436.05652250984</v>
      </c>
      <c r="Y196" s="92">
        <f t="shared" si="15"/>
        <v>-1014204.6752642536</v>
      </c>
      <c r="Z196" s="92">
        <f t="shared" si="20"/>
        <v>-1564510.8257665366</v>
      </c>
    </row>
    <row r="197" spans="1:26" ht="19.5" thickBot="1" x14ac:dyDescent="0.35">
      <c r="A197" s="93">
        <v>110</v>
      </c>
      <c r="B197" s="94" t="s">
        <v>220</v>
      </c>
      <c r="C197" s="93">
        <v>31</v>
      </c>
      <c r="D197" s="94" t="s">
        <v>260</v>
      </c>
      <c r="E197" s="93">
        <v>455298</v>
      </c>
      <c r="F197" s="94" t="s">
        <v>263</v>
      </c>
      <c r="G197" s="95">
        <v>1.9389090350509712</v>
      </c>
      <c r="H197" s="96">
        <v>139.32678396276506</v>
      </c>
      <c r="I197" s="97">
        <v>0.42868655812321249</v>
      </c>
      <c r="J197" s="98">
        <v>0.96533048078788652</v>
      </c>
      <c r="K197" s="99">
        <v>255</v>
      </c>
      <c r="M197" s="89">
        <f t="shared" ref="M197:M260" si="21">I197</f>
        <v>0.42868655812321249</v>
      </c>
      <c r="N197" s="100"/>
      <c r="U197" s="92">
        <f t="shared" si="16"/>
        <v>8206848.0503136581</v>
      </c>
      <c r="V197" s="92">
        <f t="shared" si="17"/>
        <v>1697741.1195425121</v>
      </c>
      <c r="W197" s="92">
        <f t="shared" si="18"/>
        <v>1108206.9165410546</v>
      </c>
      <c r="X197" s="92">
        <f t="shared" si="19"/>
        <v>894171.14238767338</v>
      </c>
      <c r="Y197" s="92">
        <f t="shared" si="15"/>
        <v>602025.03285618883</v>
      </c>
      <c r="Z197" s="92">
        <f t="shared" si="20"/>
        <v>366557.56041029916</v>
      </c>
    </row>
    <row r="198" spans="1:26" ht="19.5" thickBot="1" x14ac:dyDescent="0.35">
      <c r="A198" s="93">
        <v>110</v>
      </c>
      <c r="B198" s="94" t="s">
        <v>220</v>
      </c>
      <c r="C198" s="93">
        <v>31</v>
      </c>
      <c r="D198" s="94" t="s">
        <v>260</v>
      </c>
      <c r="E198" s="93">
        <v>555406</v>
      </c>
      <c r="F198" s="94" t="s">
        <v>264</v>
      </c>
      <c r="G198" s="95">
        <v>2.6634026095456691</v>
      </c>
      <c r="H198" s="96">
        <v>187.00535118682726</v>
      </c>
      <c r="I198" s="97">
        <v>0.64446590421521011</v>
      </c>
      <c r="J198" s="98">
        <v>0.94787958095639802</v>
      </c>
      <c r="K198" s="99">
        <v>215</v>
      </c>
      <c r="M198" s="89">
        <f t="shared" si="21"/>
        <v>0.64446590421521011</v>
      </c>
      <c r="N198" s="100"/>
      <c r="U198" s="92">
        <f t="shared" si="16"/>
        <v>11069625.477002226</v>
      </c>
      <c r="V198" s="92">
        <f t="shared" si="17"/>
        <v>2128322.8826946397</v>
      </c>
      <c r="W198" s="92">
        <f t="shared" si="18"/>
        <v>1318503.0787195498</v>
      </c>
      <c r="X198" s="92">
        <f t="shared" si="19"/>
        <v>1024490.6061843145</v>
      </c>
      <c r="Y198" s="92">
        <f t="shared" ref="Y198:Y261" si="22">((((($R$5-$M198)))/0.003)*G198*1000)+(((((($R$5/$O$2)-($M198/$O$2))))/0.003)*G198*1000)*$O$3</f>
        <v>623181.05713973264</v>
      </c>
      <c r="Z198" s="92">
        <f t="shared" si="20"/>
        <v>299728.70881488285</v>
      </c>
    </row>
    <row r="199" spans="1:26" ht="19.5" thickBot="1" x14ac:dyDescent="0.35">
      <c r="A199" s="93">
        <v>110</v>
      </c>
      <c r="B199" s="94" t="s">
        <v>220</v>
      </c>
      <c r="C199" s="93">
        <v>31</v>
      </c>
      <c r="D199" s="94" t="s">
        <v>260</v>
      </c>
      <c r="E199" s="93">
        <v>554412</v>
      </c>
      <c r="F199" s="94" t="s">
        <v>265</v>
      </c>
      <c r="G199" s="95">
        <v>2.72292665518472</v>
      </c>
      <c r="H199" s="96">
        <v>75.380211559931155</v>
      </c>
      <c r="I199" s="97">
        <v>0.30228170869852616</v>
      </c>
      <c r="J199" s="98">
        <v>0.97555332373127057</v>
      </c>
      <c r="K199" s="99">
        <v>273</v>
      </c>
      <c r="M199" s="89">
        <f t="shared" si="21"/>
        <v>0.30228170869852616</v>
      </c>
      <c r="N199" s="100"/>
      <c r="U199" s="92">
        <f t="shared" ref="U199:U262" si="23">((((($N$5-$M199)))/0.003)*G199*1000)+(((((($N$5/$O$2)-($M199/$O$2))))/0.003)*G199*1000)*$O$3</f>
        <v>11647424.256792285</v>
      </c>
      <c r="V199" s="92">
        <f t="shared" ref="V199:V262" si="24">((((($O$5-$M199)))/0.003)*G199*1000)+(((((($O$5/$O$2)-($M199/$O$2))))/0.003)*G199*1000)*$O$3</f>
        <v>2506293.6298062596</v>
      </c>
      <c r="W199" s="92">
        <f t="shared" ref="W199:W262" si="25">((((($P$5-$M199)))/0.003)*G199*1000)+(((((($P$5/$O$2)-($M199/$O$2))))/0.003)*G199*1000)*$O$3</f>
        <v>1678375.2661922865</v>
      </c>
      <c r="X199" s="92">
        <f t="shared" ref="X199:X262" si="26">((((($Q$5-$M199)))/0.003)*G199*1000)+(((((($Q$5/$O$2)-($M199/$O$2))))/0.003)*G199*1000)*$O$3</f>
        <v>1377791.9463615976</v>
      </c>
      <c r="Y199" s="92">
        <f t="shared" si="22"/>
        <v>967513.58132685942</v>
      </c>
      <c r="Z199" s="92">
        <f t="shared" ref="Z199:Z262" si="27">((((($S$5-$M199)))/0.003)*G199*1000)+(((((($S$5/$O$2)-($M199/$O$2))))/0.003)*G199*1000)*$O$3</f>
        <v>636832.43767277815</v>
      </c>
    </row>
    <row r="200" spans="1:26" ht="19.5" thickBot="1" x14ac:dyDescent="0.35">
      <c r="A200" s="93">
        <v>110</v>
      </c>
      <c r="B200" s="94" t="s">
        <v>220</v>
      </c>
      <c r="C200" s="93">
        <v>31</v>
      </c>
      <c r="D200" s="94" t="s">
        <v>260</v>
      </c>
      <c r="E200" s="93">
        <v>554413</v>
      </c>
      <c r="F200" s="94" t="s">
        <v>266</v>
      </c>
      <c r="G200" s="95">
        <v>3.86437587657784</v>
      </c>
      <c r="H200" s="96">
        <v>228.20332395847277</v>
      </c>
      <c r="I200" s="97">
        <v>1.4732933730146989</v>
      </c>
      <c r="J200" s="98">
        <v>0.88084913806387255</v>
      </c>
      <c r="K200" s="99">
        <v>77</v>
      </c>
      <c r="M200" s="89">
        <f t="shared" si="21"/>
        <v>1.4732933730146989</v>
      </c>
      <c r="N200" s="100"/>
      <c r="U200" s="92">
        <f t="shared" si="23"/>
        <v>14925326.307159042</v>
      </c>
      <c r="V200" s="92">
        <f t="shared" si="24"/>
        <v>1952239.201669134</v>
      </c>
      <c r="W200" s="92">
        <f t="shared" si="25"/>
        <v>777257.95638524403</v>
      </c>
      <c r="X200" s="92">
        <f t="shared" si="26"/>
        <v>350670.28908849234</v>
      </c>
      <c r="Y200" s="92">
        <f t="shared" si="22"/>
        <v>-231596.52059701597</v>
      </c>
      <c r="Z200" s="92">
        <f t="shared" si="27"/>
        <v>-700899.0014195533</v>
      </c>
    </row>
    <row r="201" spans="1:26" ht="19.5" thickBot="1" x14ac:dyDescent="0.35">
      <c r="A201" s="93">
        <v>110</v>
      </c>
      <c r="B201" s="94" t="s">
        <v>220</v>
      </c>
      <c r="C201" s="93">
        <v>31</v>
      </c>
      <c r="D201" s="94" t="s">
        <v>260</v>
      </c>
      <c r="E201" s="93">
        <v>454414</v>
      </c>
      <c r="F201" s="94" t="s">
        <v>267</v>
      </c>
      <c r="G201" s="95">
        <v>3.3153751046554638</v>
      </c>
      <c r="H201" s="96">
        <v>184.71627980799519</v>
      </c>
      <c r="I201" s="97">
        <v>1.2413102640244613</v>
      </c>
      <c r="J201" s="98">
        <v>0.89961049808699511</v>
      </c>
      <c r="K201" s="99">
        <v>109</v>
      </c>
      <c r="M201" s="89">
        <f t="shared" si="21"/>
        <v>1.2413102640244613</v>
      </c>
      <c r="N201" s="100"/>
      <c r="U201" s="92">
        <f t="shared" si="23"/>
        <v>13077662.510072621</v>
      </c>
      <c r="V201" s="92">
        <f t="shared" si="24"/>
        <v>1947624.596121863</v>
      </c>
      <c r="W201" s="92">
        <f t="shared" si="25"/>
        <v>939569.55865459424</v>
      </c>
      <c r="X201" s="92">
        <f t="shared" si="26"/>
        <v>573585.97494555998</v>
      </c>
      <c r="Y201" s="92">
        <f t="shared" si="22"/>
        <v>74040.137078457687</v>
      </c>
      <c r="Z201" s="92">
        <f t="shared" si="27"/>
        <v>-328589.88939038385</v>
      </c>
    </row>
    <row r="202" spans="1:26" ht="19.5" thickBot="1" x14ac:dyDescent="0.35">
      <c r="A202" s="93">
        <v>110</v>
      </c>
      <c r="B202" s="94" t="s">
        <v>220</v>
      </c>
      <c r="C202" s="93">
        <v>31</v>
      </c>
      <c r="D202" s="94" t="s">
        <v>260</v>
      </c>
      <c r="E202" s="93">
        <v>455456</v>
      </c>
      <c r="F202" s="94" t="s">
        <v>268</v>
      </c>
      <c r="G202" s="95">
        <v>1.6811262612095721</v>
      </c>
      <c r="H202" s="96">
        <v>437.4703893393754</v>
      </c>
      <c r="I202" s="97">
        <v>2.8296133259362559</v>
      </c>
      <c r="J202" s="98">
        <v>0.7711583633601985</v>
      </c>
      <c r="K202" s="99">
        <v>13</v>
      </c>
      <c r="M202" s="89">
        <f t="shared" si="21"/>
        <v>2.8296133259362559</v>
      </c>
      <c r="N202" s="100"/>
      <c r="U202" s="92">
        <f t="shared" si="23"/>
        <v>5684428.9690155219</v>
      </c>
      <c r="V202" s="92">
        <f t="shared" si="24"/>
        <v>40723.977949274842</v>
      </c>
      <c r="W202" s="92">
        <f t="shared" si="25"/>
        <v>-470430.18794017908</v>
      </c>
      <c r="X202" s="92">
        <f t="shared" si="26"/>
        <v>-656009.37410252076</v>
      </c>
      <c r="Y202" s="92">
        <f t="shared" si="22"/>
        <v>-909313.93247272575</v>
      </c>
      <c r="Z202" s="92">
        <f t="shared" si="27"/>
        <v>-1113475.4193879797</v>
      </c>
    </row>
    <row r="203" spans="1:26" ht="19.5" thickBot="1" x14ac:dyDescent="0.35">
      <c r="A203" s="93">
        <v>110</v>
      </c>
      <c r="B203" s="94" t="s">
        <v>220</v>
      </c>
      <c r="C203" s="93">
        <v>31</v>
      </c>
      <c r="D203" s="94" t="s">
        <v>260</v>
      </c>
      <c r="E203" s="93">
        <v>455566</v>
      </c>
      <c r="F203" s="94" t="s">
        <v>269</v>
      </c>
      <c r="G203" s="95">
        <v>2.9011900208253651</v>
      </c>
      <c r="H203" s="96">
        <v>108.7104096374474</v>
      </c>
      <c r="I203" s="97">
        <v>0.81790907516113909</v>
      </c>
      <c r="J203" s="98">
        <v>0.93385256930096949</v>
      </c>
      <c r="K203" s="99">
        <v>181</v>
      </c>
      <c r="M203" s="89">
        <f t="shared" si="21"/>
        <v>0.81790907516113909</v>
      </c>
      <c r="N203" s="100"/>
      <c r="U203" s="92">
        <f t="shared" si="23"/>
        <v>11879480.025029924</v>
      </c>
      <c r="V203" s="92">
        <f t="shared" si="24"/>
        <v>2139901.8753298642</v>
      </c>
      <c r="W203" s="92">
        <f t="shared" si="25"/>
        <v>1257781.716124922</v>
      </c>
      <c r="X203" s="92">
        <f t="shared" si="26"/>
        <v>937519.93960630486</v>
      </c>
      <c r="Y203" s="92">
        <f t="shared" si="22"/>
        <v>500381.65087095136</v>
      </c>
      <c r="Z203" s="92">
        <f t="shared" si="27"/>
        <v>148051.61942570232</v>
      </c>
    </row>
    <row r="204" spans="1:26" ht="19.5" thickBot="1" x14ac:dyDescent="0.35">
      <c r="A204" s="93">
        <v>110</v>
      </c>
      <c r="B204" s="94" t="s">
        <v>220</v>
      </c>
      <c r="C204" s="93">
        <v>31</v>
      </c>
      <c r="D204" s="94" t="s">
        <v>260</v>
      </c>
      <c r="E204" s="93">
        <v>555624</v>
      </c>
      <c r="F204" s="94" t="s">
        <v>270</v>
      </c>
      <c r="G204" s="95">
        <v>2.679098606582758</v>
      </c>
      <c r="H204" s="96">
        <v>239.85634762419105</v>
      </c>
      <c r="I204" s="97">
        <v>1.6405314979078329</v>
      </c>
      <c r="J204" s="98">
        <v>0.86732395218129144</v>
      </c>
      <c r="K204" s="99">
        <v>55</v>
      </c>
      <c r="M204" s="89">
        <f t="shared" si="21"/>
        <v>1.6405314979078329</v>
      </c>
      <c r="N204" s="100"/>
      <c r="U204" s="92">
        <f t="shared" si="23"/>
        <v>10188563.98678983</v>
      </c>
      <c r="V204" s="92">
        <f t="shared" si="24"/>
        <v>1194568.3979927972</v>
      </c>
      <c r="W204" s="92">
        <f t="shared" si="25"/>
        <v>379976.15398246335</v>
      </c>
      <c r="X204" s="92">
        <f t="shared" si="26"/>
        <v>84231.003525669817</v>
      </c>
      <c r="Y204" s="92">
        <f t="shared" si="22"/>
        <v>-319443.54789226106</v>
      </c>
      <c r="Z204" s="92">
        <f t="shared" si="27"/>
        <v>-644802.06957698916</v>
      </c>
    </row>
    <row r="205" spans="1:26" ht="19.5" thickBot="1" x14ac:dyDescent="0.35">
      <c r="A205" s="93">
        <v>110</v>
      </c>
      <c r="B205" s="94" t="s">
        <v>220</v>
      </c>
      <c r="C205" s="93">
        <v>31</v>
      </c>
      <c r="D205" s="94" t="s">
        <v>260</v>
      </c>
      <c r="E205" s="93">
        <v>455676</v>
      </c>
      <c r="F205" s="94" t="s">
        <v>271</v>
      </c>
      <c r="G205" s="95">
        <v>1.8440784320868473</v>
      </c>
      <c r="H205" s="96">
        <v>21.762470511942951</v>
      </c>
      <c r="I205" s="97">
        <v>0.15532089227672874</v>
      </c>
      <c r="J205" s="98">
        <v>0.98743860623387469</v>
      </c>
      <c r="K205" s="99">
        <v>290</v>
      </c>
      <c r="M205" s="89">
        <f t="shared" si="21"/>
        <v>0.15532089227672874</v>
      </c>
      <c r="N205" s="100"/>
      <c r="U205" s="92">
        <f t="shared" si="23"/>
        <v>7984218.8044000603</v>
      </c>
      <c r="V205" s="92">
        <f t="shared" si="24"/>
        <v>1793467.4663072273</v>
      </c>
      <c r="W205" s="92">
        <f t="shared" si="25"/>
        <v>1232766.9439622392</v>
      </c>
      <c r="X205" s="92">
        <f t="shared" si="26"/>
        <v>1029199.5007887708</v>
      </c>
      <c r="Y205" s="92">
        <f t="shared" si="22"/>
        <v>751342.04081209388</v>
      </c>
      <c r="Z205" s="92">
        <f t="shared" si="27"/>
        <v>527391.10781535669</v>
      </c>
    </row>
    <row r="206" spans="1:26" ht="19.5" thickBot="1" x14ac:dyDescent="0.35">
      <c r="A206" s="93">
        <v>110</v>
      </c>
      <c r="B206" s="94" t="s">
        <v>220</v>
      </c>
      <c r="C206" s="93">
        <v>31</v>
      </c>
      <c r="D206" s="94" t="s">
        <v>260</v>
      </c>
      <c r="E206" s="93">
        <v>455678</v>
      </c>
      <c r="F206" s="94" t="s">
        <v>272</v>
      </c>
      <c r="G206" s="95">
        <v>9.2280619185625046</v>
      </c>
      <c r="H206" s="96">
        <v>221.62329247987779</v>
      </c>
      <c r="I206" s="97">
        <v>1.134111826422409</v>
      </c>
      <c r="J206" s="98">
        <v>0.90828004515239369</v>
      </c>
      <c r="K206" s="99">
        <v>124</v>
      </c>
      <c r="M206" s="89">
        <f t="shared" si="21"/>
        <v>1.134111826422409</v>
      </c>
      <c r="N206" s="100"/>
      <c r="U206" s="92">
        <f t="shared" si="23"/>
        <v>36751342.776299343</v>
      </c>
      <c r="V206" s="92">
        <f t="shared" si="24"/>
        <v>5771837.9589826297</v>
      </c>
      <c r="W206" s="92">
        <f t="shared" si="25"/>
        <v>2966003.3220498911</v>
      </c>
      <c r="X206" s="92">
        <f t="shared" si="26"/>
        <v>1947319.443142215</v>
      </c>
      <c r="Y206" s="92">
        <f t="shared" si="22"/>
        <v>556876.49853403203</v>
      </c>
      <c r="Z206" s="92">
        <f t="shared" si="27"/>
        <v>-563809.60703200684</v>
      </c>
    </row>
    <row r="207" spans="1:26" ht="19.5" thickBot="1" x14ac:dyDescent="0.35">
      <c r="A207" s="93">
        <v>110</v>
      </c>
      <c r="B207" s="94" t="s">
        <v>220</v>
      </c>
      <c r="C207" s="93">
        <v>31</v>
      </c>
      <c r="D207" s="94" t="s">
        <v>260</v>
      </c>
      <c r="E207" s="93">
        <v>555679</v>
      </c>
      <c r="F207" s="94" t="s">
        <v>273</v>
      </c>
      <c r="G207" s="95">
        <v>3.805125832559213</v>
      </c>
      <c r="H207" s="96">
        <v>269.74438032701454</v>
      </c>
      <c r="I207" s="97">
        <v>1.455414114015064</v>
      </c>
      <c r="J207" s="98">
        <v>0.88229510202434747</v>
      </c>
      <c r="K207" s="99">
        <v>83</v>
      </c>
      <c r="M207" s="89">
        <f t="shared" si="21"/>
        <v>1.455414114015064</v>
      </c>
      <c r="N207" s="100"/>
      <c r="U207" s="92">
        <f t="shared" si="23"/>
        <v>14720610.786379313</v>
      </c>
      <c r="V207" s="92">
        <f t="shared" si="24"/>
        <v>1946431.8633766749</v>
      </c>
      <c r="W207" s="92">
        <f t="shared" si="25"/>
        <v>789465.86627971416</v>
      </c>
      <c r="X207" s="92">
        <f t="shared" si="26"/>
        <v>369418.79929524864</v>
      </c>
      <c r="Y207" s="92">
        <f t="shared" si="22"/>
        <v>-203920.47973426065</v>
      </c>
      <c r="Z207" s="92">
        <f t="shared" si="27"/>
        <v>-666027.44088302075</v>
      </c>
    </row>
    <row r="208" spans="1:26" ht="19.5" thickBot="1" x14ac:dyDescent="0.35">
      <c r="A208" s="93">
        <v>110</v>
      </c>
      <c r="B208" s="94" t="s">
        <v>220</v>
      </c>
      <c r="C208" s="93">
        <v>31</v>
      </c>
      <c r="D208" s="94" t="s">
        <v>260</v>
      </c>
      <c r="E208" s="93">
        <v>554700</v>
      </c>
      <c r="F208" s="94" t="s">
        <v>274</v>
      </c>
      <c r="G208" s="95">
        <v>2.6579345241916128</v>
      </c>
      <c r="H208" s="96">
        <v>293.51844736930701</v>
      </c>
      <c r="I208" s="97">
        <v>1.8675495762107619</v>
      </c>
      <c r="J208" s="98">
        <v>0.84896413315249353</v>
      </c>
      <c r="K208" s="99">
        <v>43</v>
      </c>
      <c r="M208" s="89">
        <f t="shared" si="21"/>
        <v>1.8675495762107619</v>
      </c>
      <c r="N208" s="100"/>
      <c r="U208" s="92">
        <f t="shared" si="23"/>
        <v>9894106.0175129138</v>
      </c>
      <c r="V208" s="92">
        <f t="shared" si="24"/>
        <v>971160.31960051926</v>
      </c>
      <c r="W208" s="92">
        <f t="shared" si="25"/>
        <v>163003.11210771496</v>
      </c>
      <c r="X208" s="92">
        <f t="shared" si="26"/>
        <v>-130405.73959707667</v>
      </c>
      <c r="Y208" s="92">
        <f t="shared" si="22"/>
        <v>-530891.38208704733</v>
      </c>
      <c r="Z208" s="92">
        <f t="shared" si="27"/>
        <v>-853679.66819228698</v>
      </c>
    </row>
    <row r="209" spans="1:26" ht="19.5" thickBot="1" x14ac:dyDescent="0.35">
      <c r="A209" s="93">
        <v>160</v>
      </c>
      <c r="B209" s="94" t="s">
        <v>275</v>
      </c>
      <c r="C209" s="93">
        <v>45</v>
      </c>
      <c r="D209" s="94" t="s">
        <v>276</v>
      </c>
      <c r="E209" s="93">
        <v>557105</v>
      </c>
      <c r="F209" s="94" t="s">
        <v>277</v>
      </c>
      <c r="G209" s="95">
        <v>3.8329039945897279</v>
      </c>
      <c r="H209" s="96">
        <v>295.02836654562276</v>
      </c>
      <c r="I209" s="97">
        <v>2.3004225890723879</v>
      </c>
      <c r="J209" s="98">
        <v>0.81395603935661065</v>
      </c>
      <c r="K209" s="99">
        <v>21</v>
      </c>
      <c r="M209" s="89">
        <f t="shared" si="21"/>
        <v>2.3004225890723879</v>
      </c>
      <c r="N209" s="100"/>
      <c r="U209" s="92">
        <f t="shared" si="23"/>
        <v>13679550.589520322</v>
      </c>
      <c r="V209" s="92">
        <f t="shared" si="24"/>
        <v>812117.66453602177</v>
      </c>
      <c r="W209" s="92">
        <f t="shared" si="25"/>
        <v>-353294.41038999741</v>
      </c>
      <c r="X209" s="92">
        <f t="shared" si="26"/>
        <v>-776407.90303305665</v>
      </c>
      <c r="Y209" s="92">
        <f t="shared" si="22"/>
        <v>-1353932.6708196164</v>
      </c>
      <c r="Z209" s="92">
        <f t="shared" si="27"/>
        <v>-1819413.1030721131</v>
      </c>
    </row>
    <row r="210" spans="1:26" ht="19.5" thickBot="1" x14ac:dyDescent="0.35">
      <c r="A210" s="93">
        <v>160</v>
      </c>
      <c r="B210" s="94" t="s">
        <v>275</v>
      </c>
      <c r="C210" s="93">
        <v>45</v>
      </c>
      <c r="D210" s="94" t="s">
        <v>276</v>
      </c>
      <c r="E210" s="93">
        <v>557178</v>
      </c>
      <c r="F210" s="94" t="s">
        <v>278</v>
      </c>
      <c r="G210" s="95">
        <v>2.9999554737973488</v>
      </c>
      <c r="H210" s="96">
        <v>96.404523609118215</v>
      </c>
      <c r="I210" s="97">
        <v>0.31835364665966193</v>
      </c>
      <c r="J210" s="98">
        <v>0.97425352472577109</v>
      </c>
      <c r="K210" s="99">
        <v>271</v>
      </c>
      <c r="M210" s="89">
        <f t="shared" si="21"/>
        <v>0.31835364665966193</v>
      </c>
      <c r="N210" s="100"/>
      <c r="U210" s="92">
        <f t="shared" si="23"/>
        <v>12815328.208240826</v>
      </c>
      <c r="V210" s="92">
        <f t="shared" si="24"/>
        <v>2744184.7902177023</v>
      </c>
      <c r="W210" s="92">
        <f t="shared" si="25"/>
        <v>1832034.5411275036</v>
      </c>
      <c r="X210" s="92">
        <f t="shared" si="26"/>
        <v>1500870.0663366532</v>
      </c>
      <c r="Y210" s="92">
        <f t="shared" si="22"/>
        <v>1048850.2425110671</v>
      </c>
      <c r="Z210" s="92">
        <f t="shared" si="27"/>
        <v>684525.81052619941</v>
      </c>
    </row>
    <row r="211" spans="1:26" ht="19.5" thickBot="1" x14ac:dyDescent="0.35">
      <c r="A211" s="93">
        <v>160</v>
      </c>
      <c r="B211" s="94" t="s">
        <v>275</v>
      </c>
      <c r="C211" s="93">
        <v>45</v>
      </c>
      <c r="D211" s="94" t="s">
        <v>276</v>
      </c>
      <c r="E211" s="93">
        <v>557224</v>
      </c>
      <c r="F211" s="94" t="s">
        <v>279</v>
      </c>
      <c r="G211" s="95">
        <v>3.3130774244478118</v>
      </c>
      <c r="H211" s="96">
        <v>156.94918548022326</v>
      </c>
      <c r="I211" s="97">
        <v>0.61576498772588084</v>
      </c>
      <c r="J211" s="98">
        <v>0.95020073368856761</v>
      </c>
      <c r="K211" s="99">
        <v>220</v>
      </c>
      <c r="M211" s="89">
        <f t="shared" si="21"/>
        <v>0.61576498772588084</v>
      </c>
      <c r="N211" s="100"/>
      <c r="U211" s="92">
        <f t="shared" si="23"/>
        <v>13803521.157870665</v>
      </c>
      <c r="V211" s="92">
        <f t="shared" si="24"/>
        <v>2681196.7807047456</v>
      </c>
      <c r="W211" s="92">
        <f t="shared" si="25"/>
        <v>1673840.3634643585</v>
      </c>
      <c r="X211" s="92">
        <f t="shared" si="26"/>
        <v>1308110.4202062744</v>
      </c>
      <c r="Y211" s="92">
        <f t="shared" si="22"/>
        <v>808910.7864784475</v>
      </c>
      <c r="Z211" s="92">
        <f t="shared" si="27"/>
        <v>406559.79782994936</v>
      </c>
    </row>
    <row r="212" spans="1:26" ht="19.5" thickBot="1" x14ac:dyDescent="0.35">
      <c r="A212" s="93">
        <v>160</v>
      </c>
      <c r="B212" s="94" t="s">
        <v>275</v>
      </c>
      <c r="C212" s="93">
        <v>45</v>
      </c>
      <c r="D212" s="94" t="s">
        <v>276</v>
      </c>
      <c r="E212" s="93">
        <v>557432</v>
      </c>
      <c r="F212" s="94" t="s">
        <v>280</v>
      </c>
      <c r="G212" s="95">
        <v>3.7658184204937859</v>
      </c>
      <c r="H212" s="96">
        <v>155.51154612579819</v>
      </c>
      <c r="I212" s="97">
        <v>0.92763009389654771</v>
      </c>
      <c r="J212" s="98">
        <v>0.92497901146497463</v>
      </c>
      <c r="K212" s="99">
        <v>159</v>
      </c>
      <c r="M212" s="89">
        <f t="shared" si="21"/>
        <v>0.92763009389654771</v>
      </c>
      <c r="N212" s="100"/>
      <c r="U212" s="92">
        <f t="shared" si="23"/>
        <v>15273346.07640872</v>
      </c>
      <c r="V212" s="92">
        <f t="shared" si="24"/>
        <v>2631125.9733818867</v>
      </c>
      <c r="W212" s="92">
        <f t="shared" si="25"/>
        <v>1486111.5755735601</v>
      </c>
      <c r="X212" s="92">
        <f t="shared" si="26"/>
        <v>1070403.645814874</v>
      </c>
      <c r="Y212" s="92">
        <f t="shared" si="22"/>
        <v>502987.03118223458</v>
      </c>
      <c r="Z212" s="92">
        <f t="shared" si="27"/>
        <v>45653.691075057781</v>
      </c>
    </row>
    <row r="213" spans="1:26" ht="19.5" thickBot="1" x14ac:dyDescent="0.35">
      <c r="A213" s="93">
        <v>160</v>
      </c>
      <c r="B213" s="94" t="s">
        <v>275</v>
      </c>
      <c r="C213" s="93">
        <v>45</v>
      </c>
      <c r="D213" s="94" t="s">
        <v>276</v>
      </c>
      <c r="E213" s="93">
        <v>557433</v>
      </c>
      <c r="F213" s="94" t="s">
        <v>281</v>
      </c>
      <c r="G213" s="95">
        <v>3.1091044286239744</v>
      </c>
      <c r="H213" s="96">
        <v>84.397450624112068</v>
      </c>
      <c r="I213" s="97">
        <v>0.2695443918784356</v>
      </c>
      <c r="J213" s="98">
        <v>0.97820091557416888</v>
      </c>
      <c r="K213" s="99">
        <v>279</v>
      </c>
      <c r="M213" s="89">
        <f t="shared" si="21"/>
        <v>0.2695443918784356</v>
      </c>
      <c r="N213" s="100"/>
      <c r="U213" s="92">
        <f t="shared" si="23"/>
        <v>13335408.167294594</v>
      </c>
      <c r="V213" s="92">
        <f t="shared" si="24"/>
        <v>2897841.0514574344</v>
      </c>
      <c r="W213" s="92">
        <f t="shared" si="25"/>
        <v>1952503.5610222777</v>
      </c>
      <c r="X213" s="92">
        <f t="shared" si="26"/>
        <v>1609290.1553006712</v>
      </c>
      <c r="Y213" s="92">
        <f t="shared" si="22"/>
        <v>1140824.2569375096</v>
      </c>
      <c r="Z213" s="92">
        <f t="shared" si="27"/>
        <v>763244.41789201088</v>
      </c>
    </row>
    <row r="214" spans="1:26" ht="19.5" thickBot="1" x14ac:dyDescent="0.35">
      <c r="A214" s="93">
        <v>160</v>
      </c>
      <c r="B214" s="94" t="s">
        <v>275</v>
      </c>
      <c r="C214" s="93">
        <v>45</v>
      </c>
      <c r="D214" s="94" t="s">
        <v>276</v>
      </c>
      <c r="E214" s="93">
        <v>557434</v>
      </c>
      <c r="F214" s="94" t="s">
        <v>282</v>
      </c>
      <c r="G214" s="95">
        <v>3.7737096625031326</v>
      </c>
      <c r="H214" s="96">
        <v>134.2220294615947</v>
      </c>
      <c r="I214" s="97">
        <v>0.53889255941091152</v>
      </c>
      <c r="J214" s="98">
        <v>0.95641770056062336</v>
      </c>
      <c r="K214" s="99">
        <v>235</v>
      </c>
      <c r="M214" s="89">
        <f t="shared" si="21"/>
        <v>0.53889255941091152</v>
      </c>
      <c r="N214" s="100"/>
      <c r="U214" s="92">
        <f t="shared" si="23"/>
        <v>15825557.841669763</v>
      </c>
      <c r="V214" s="92">
        <f t="shared" si="24"/>
        <v>3156846.0687776222</v>
      </c>
      <c r="W214" s="92">
        <f t="shared" si="25"/>
        <v>2009432.3025695547</v>
      </c>
      <c r="X214" s="92">
        <f t="shared" si="26"/>
        <v>1592853.2602099322</v>
      </c>
      <c r="Y214" s="92">
        <f t="shared" si="22"/>
        <v>1024247.6286555467</v>
      </c>
      <c r="Z214" s="92">
        <f t="shared" si="27"/>
        <v>565955.95023707789</v>
      </c>
    </row>
    <row r="215" spans="1:26" ht="19.5" thickBot="1" x14ac:dyDescent="0.35">
      <c r="A215" s="93">
        <v>160</v>
      </c>
      <c r="B215" s="94" t="s">
        <v>275</v>
      </c>
      <c r="C215" s="93">
        <v>45</v>
      </c>
      <c r="D215" s="94" t="s">
        <v>276</v>
      </c>
      <c r="E215" s="93">
        <v>557436</v>
      </c>
      <c r="F215" s="94" t="s">
        <v>283</v>
      </c>
      <c r="G215" s="95">
        <v>4.8901018720292821</v>
      </c>
      <c r="H215" s="96">
        <v>263.86895683719888</v>
      </c>
      <c r="I215" s="97">
        <v>1.7219145060276118</v>
      </c>
      <c r="J215" s="98">
        <v>0.8607421974934355</v>
      </c>
      <c r="K215" s="99">
        <v>51</v>
      </c>
      <c r="M215" s="89">
        <f t="shared" si="21"/>
        <v>1.7219145060276118</v>
      </c>
      <c r="N215" s="100"/>
      <c r="U215" s="92">
        <f t="shared" si="23"/>
        <v>18455845.241176326</v>
      </c>
      <c r="V215" s="92">
        <f t="shared" si="24"/>
        <v>2039295.8249908572</v>
      </c>
      <c r="W215" s="92">
        <f t="shared" si="25"/>
        <v>552437.87672876578</v>
      </c>
      <c r="X215" s="92">
        <f t="shared" si="26"/>
        <v>12620.525348394556</v>
      </c>
      <c r="Y215" s="92">
        <f t="shared" si="22"/>
        <v>-724198.0727909595</v>
      </c>
      <c r="Z215" s="92">
        <f t="shared" si="27"/>
        <v>-1318068.0826748309</v>
      </c>
    </row>
    <row r="216" spans="1:26" ht="19.5" thickBot="1" x14ac:dyDescent="0.35">
      <c r="A216" s="93">
        <v>160</v>
      </c>
      <c r="B216" s="94" t="s">
        <v>275</v>
      </c>
      <c r="C216" s="93">
        <v>45</v>
      </c>
      <c r="D216" s="94" t="s">
        <v>276</v>
      </c>
      <c r="E216" s="93">
        <v>557437</v>
      </c>
      <c r="F216" s="94" t="s">
        <v>540</v>
      </c>
      <c r="G216" s="95">
        <v>3.2304346183598343</v>
      </c>
      <c r="H216" s="96">
        <v>73.726413853540095</v>
      </c>
      <c r="I216" s="97">
        <v>0.27707024736332264</v>
      </c>
      <c r="J216" s="98">
        <v>0.97759227089806056</v>
      </c>
      <c r="K216" s="99">
        <v>278</v>
      </c>
      <c r="M216" s="89">
        <f t="shared" si="21"/>
        <v>0.27707024736332264</v>
      </c>
      <c r="N216" s="100"/>
      <c r="U216" s="92">
        <f t="shared" si="23"/>
        <v>13847190.073779691</v>
      </c>
      <c r="V216" s="92">
        <f t="shared" si="24"/>
        <v>3002305.6652564933</v>
      </c>
      <c r="W216" s="92">
        <f t="shared" si="25"/>
        <v>2020077.1730193528</v>
      </c>
      <c r="X216" s="92">
        <f t="shared" si="26"/>
        <v>1663470.1523220912</v>
      </c>
      <c r="Y216" s="92">
        <f t="shared" si="22"/>
        <v>1176722.7656274692</v>
      </c>
      <c r="Z216" s="92">
        <f t="shared" si="27"/>
        <v>784408.19040197623</v>
      </c>
    </row>
    <row r="217" spans="1:26" ht="19.5" thickBot="1" x14ac:dyDescent="0.35">
      <c r="A217" s="93">
        <v>160</v>
      </c>
      <c r="B217" s="94" t="s">
        <v>275</v>
      </c>
      <c r="C217" s="93">
        <v>45</v>
      </c>
      <c r="D217" s="94" t="s">
        <v>276</v>
      </c>
      <c r="E217" s="93">
        <v>557440</v>
      </c>
      <c r="F217" s="94" t="s">
        <v>284</v>
      </c>
      <c r="G217" s="95">
        <v>2.8985915401731601</v>
      </c>
      <c r="H217" s="96">
        <v>115.71181174425266</v>
      </c>
      <c r="I217" s="97">
        <v>0.74222365272323843</v>
      </c>
      <c r="J217" s="98">
        <v>0.939973538474287</v>
      </c>
      <c r="K217" s="99">
        <v>196</v>
      </c>
      <c r="M217" s="89">
        <f t="shared" si="21"/>
        <v>0.74222365272323843</v>
      </c>
      <c r="N217" s="100"/>
      <c r="U217" s="92">
        <f t="shared" si="23"/>
        <v>11946634.771928236</v>
      </c>
      <c r="V217" s="92">
        <f t="shared" si="24"/>
        <v>2215779.975473213</v>
      </c>
      <c r="W217" s="92">
        <f t="shared" si="25"/>
        <v>1334449.8962527465</v>
      </c>
      <c r="X217" s="92">
        <f t="shared" si="26"/>
        <v>1014474.9654849942</v>
      </c>
      <c r="Y217" s="92">
        <f t="shared" si="22"/>
        <v>577728.20414959139</v>
      </c>
      <c r="Z217" s="92">
        <f t="shared" si="27"/>
        <v>225713.74071723683</v>
      </c>
    </row>
    <row r="218" spans="1:26" ht="19.5" thickBot="1" x14ac:dyDescent="0.35">
      <c r="A218" s="93">
        <v>160</v>
      </c>
      <c r="B218" s="94" t="s">
        <v>275</v>
      </c>
      <c r="C218" s="93">
        <v>45</v>
      </c>
      <c r="D218" s="94" t="s">
        <v>276</v>
      </c>
      <c r="E218" s="93">
        <v>557441</v>
      </c>
      <c r="F218" s="94" t="s">
        <v>285</v>
      </c>
      <c r="G218" s="95">
        <v>2.6161258949061263</v>
      </c>
      <c r="H218" s="96">
        <v>279.72332399020826</v>
      </c>
      <c r="I218" s="97">
        <v>1.5822246176912405</v>
      </c>
      <c r="J218" s="98">
        <v>0.87203945227235458</v>
      </c>
      <c r="K218" s="99">
        <v>64</v>
      </c>
      <c r="M218" s="89">
        <f t="shared" si="21"/>
        <v>1.5822246176912405</v>
      </c>
      <c r="N218" s="100"/>
      <c r="U218" s="92">
        <f t="shared" si="23"/>
        <v>10003171.43158103</v>
      </c>
      <c r="V218" s="92">
        <f t="shared" si="24"/>
        <v>1220581.3840517134</v>
      </c>
      <c r="W218" s="92">
        <f t="shared" si="25"/>
        <v>425136.28243846871</v>
      </c>
      <c r="X218" s="92">
        <f t="shared" si="26"/>
        <v>136342.67681982243</v>
      </c>
      <c r="Y218" s="92">
        <f t="shared" si="22"/>
        <v>-257843.42909066254</v>
      </c>
      <c r="Z218" s="92">
        <f t="shared" si="27"/>
        <v>-575554.33813162846</v>
      </c>
    </row>
    <row r="219" spans="1:26" ht="19.5" thickBot="1" x14ac:dyDescent="0.35">
      <c r="A219" s="93">
        <v>160</v>
      </c>
      <c r="B219" s="94" t="s">
        <v>275</v>
      </c>
      <c r="C219" s="93">
        <v>45</v>
      </c>
      <c r="D219" s="94" t="s">
        <v>276</v>
      </c>
      <c r="E219" s="93">
        <v>557439</v>
      </c>
      <c r="F219" s="94" t="s">
        <v>286</v>
      </c>
      <c r="G219" s="95">
        <v>3.8096855577145412</v>
      </c>
      <c r="H219" s="96">
        <v>156.18713821015697</v>
      </c>
      <c r="I219" s="97">
        <v>1.0877916275027439</v>
      </c>
      <c r="J219" s="98">
        <v>0.91202613654696607</v>
      </c>
      <c r="K219" s="99">
        <v>131</v>
      </c>
      <c r="M219" s="89">
        <f t="shared" si="21"/>
        <v>1.0877916275027439</v>
      </c>
      <c r="N219" s="100"/>
      <c r="U219" s="92">
        <f t="shared" si="23"/>
        <v>15234891.113167748</v>
      </c>
      <c r="V219" s="92">
        <f t="shared" si="24"/>
        <v>2445404.7476423224</v>
      </c>
      <c r="W219" s="92">
        <f t="shared" si="25"/>
        <v>1287052.3451561674</v>
      </c>
      <c r="X219" s="92">
        <f t="shared" si="26"/>
        <v>866501.9310389047</v>
      </c>
      <c r="Y219" s="92">
        <f t="shared" si="22"/>
        <v>292475.61309184931</v>
      </c>
      <c r="Z219" s="92">
        <f t="shared" si="27"/>
        <v>-170185.09603474961</v>
      </c>
    </row>
    <row r="220" spans="1:26" ht="19.5" thickBot="1" x14ac:dyDescent="0.35">
      <c r="A220" s="93">
        <v>160</v>
      </c>
      <c r="B220" s="94" t="s">
        <v>275</v>
      </c>
      <c r="C220" s="93">
        <v>45</v>
      </c>
      <c r="D220" s="94" t="s">
        <v>276</v>
      </c>
      <c r="E220" s="93">
        <v>457443</v>
      </c>
      <c r="F220" s="94" t="s">
        <v>287</v>
      </c>
      <c r="G220" s="95">
        <v>3.9282501081079944</v>
      </c>
      <c r="H220" s="96">
        <v>201.57755384149556</v>
      </c>
      <c r="I220" s="97">
        <v>1.9877529582175306</v>
      </c>
      <c r="J220" s="98">
        <v>0.83924282656408655</v>
      </c>
      <c r="K220" s="99">
        <v>32</v>
      </c>
      <c r="M220" s="89">
        <f t="shared" si="21"/>
        <v>1.9877529582175306</v>
      </c>
      <c r="N220" s="100"/>
      <c r="U220" s="92">
        <f t="shared" si="23"/>
        <v>14455386.483911062</v>
      </c>
      <c r="V220" s="92">
        <f t="shared" si="24"/>
        <v>1267867.3469877236</v>
      </c>
      <c r="W220" s="92">
        <f t="shared" si="25"/>
        <v>73464.848052049841</v>
      </c>
      <c r="X220" s="92">
        <f t="shared" si="26"/>
        <v>-360173.88267617917</v>
      </c>
      <c r="Y220" s="92">
        <f t="shared" si="22"/>
        <v>-952064.97483368963</v>
      </c>
      <c r="Z220" s="92">
        <f t="shared" si="27"/>
        <v>-1429124.5518278035</v>
      </c>
    </row>
    <row r="221" spans="1:26" ht="19.5" thickBot="1" x14ac:dyDescent="0.35">
      <c r="A221" s="93">
        <v>160</v>
      </c>
      <c r="B221" s="94" t="s">
        <v>275</v>
      </c>
      <c r="C221" s="93">
        <v>45</v>
      </c>
      <c r="D221" s="94" t="s">
        <v>276</v>
      </c>
      <c r="E221" s="93">
        <v>557444</v>
      </c>
      <c r="F221" s="94" t="s">
        <v>541</v>
      </c>
      <c r="G221" s="95">
        <v>5.9821857505261598</v>
      </c>
      <c r="H221" s="96">
        <v>271.86222876930174</v>
      </c>
      <c r="I221" s="97">
        <v>1.8231414637435381</v>
      </c>
      <c r="J221" s="98">
        <v>0.85255558681294075</v>
      </c>
      <c r="K221" s="99">
        <v>46</v>
      </c>
      <c r="M221" s="89">
        <f t="shared" si="21"/>
        <v>1.8231414637435381</v>
      </c>
      <c r="N221" s="100"/>
      <c r="U221" s="92">
        <f t="shared" si="23"/>
        <v>22362766.923207458</v>
      </c>
      <c r="V221" s="92">
        <f t="shared" si="24"/>
        <v>2279985.3042716472</v>
      </c>
      <c r="W221" s="92">
        <f t="shared" si="25"/>
        <v>461074.23372191278</v>
      </c>
      <c r="X221" s="92">
        <f t="shared" si="26"/>
        <v>-199298.03495934239</v>
      </c>
      <c r="Y221" s="92">
        <f t="shared" si="22"/>
        <v>-1100666.9294856179</v>
      </c>
      <c r="Z221" s="92">
        <f t="shared" si="27"/>
        <v>-1827163.1873882902</v>
      </c>
    </row>
    <row r="222" spans="1:26" ht="19.5" thickBot="1" x14ac:dyDescent="0.35">
      <c r="A222" s="93">
        <v>160</v>
      </c>
      <c r="B222" s="94" t="s">
        <v>275</v>
      </c>
      <c r="C222" s="93">
        <v>45</v>
      </c>
      <c r="D222" s="94" t="s">
        <v>276</v>
      </c>
      <c r="E222" s="93">
        <v>557445</v>
      </c>
      <c r="F222" s="94" t="s">
        <v>288</v>
      </c>
      <c r="G222" s="95">
        <v>3.051458348283218</v>
      </c>
      <c r="H222" s="96">
        <v>160.0352181194757</v>
      </c>
      <c r="I222" s="97">
        <v>0.69312672356807592</v>
      </c>
      <c r="J222" s="98">
        <v>0.94394419464800228</v>
      </c>
      <c r="K222" s="99">
        <v>207</v>
      </c>
      <c r="M222" s="89">
        <f t="shared" si="21"/>
        <v>0.69312672356807592</v>
      </c>
      <c r="N222" s="100"/>
      <c r="U222" s="92">
        <f t="shared" si="23"/>
        <v>12629806.733088166</v>
      </c>
      <c r="V222" s="92">
        <f t="shared" si="24"/>
        <v>2385763.1370730419</v>
      </c>
      <c r="W222" s="92">
        <f t="shared" si="25"/>
        <v>1457953.2022970151</v>
      </c>
      <c r="X222" s="92">
        <f t="shared" si="26"/>
        <v>1121103.3356634178</v>
      </c>
      <c r="Y222" s="92">
        <f t="shared" si="22"/>
        <v>661323.28990955581</v>
      </c>
      <c r="Z222" s="92">
        <f t="shared" si="27"/>
        <v>290744.17992811755</v>
      </c>
    </row>
    <row r="223" spans="1:26" ht="19.5" thickBot="1" x14ac:dyDescent="0.35">
      <c r="A223" s="93">
        <v>160</v>
      </c>
      <c r="B223" s="94" t="s">
        <v>275</v>
      </c>
      <c r="C223" s="93">
        <v>45</v>
      </c>
      <c r="D223" s="94" t="s">
        <v>276</v>
      </c>
      <c r="E223" s="93">
        <v>457446</v>
      </c>
      <c r="F223" s="94" t="s">
        <v>289</v>
      </c>
      <c r="G223" s="95">
        <v>7.0990085753429479</v>
      </c>
      <c r="H223" s="96">
        <v>313.68674775722781</v>
      </c>
      <c r="I223" s="97">
        <v>1.8185201796683765</v>
      </c>
      <c r="J223" s="98">
        <v>0.85292932770589025</v>
      </c>
      <c r="K223" s="99">
        <v>47</v>
      </c>
      <c r="M223" s="89">
        <f t="shared" si="21"/>
        <v>1.8185201796683765</v>
      </c>
      <c r="N223" s="100"/>
      <c r="U223" s="92">
        <f t="shared" si="23"/>
        <v>26549337.428829145</v>
      </c>
      <c r="V223" s="92">
        <f t="shared" si="24"/>
        <v>2717272.5490273796</v>
      </c>
      <c r="W223" s="92">
        <f t="shared" si="25"/>
        <v>558786.365865467</v>
      </c>
      <c r="X223" s="92">
        <f t="shared" si="26"/>
        <v>-224871.74737091627</v>
      </c>
      <c r="Y223" s="92">
        <f t="shared" si="22"/>
        <v>-1294518.4916610979</v>
      </c>
      <c r="Z223" s="92">
        <f t="shared" si="27"/>
        <v>-2156645.3763623987</v>
      </c>
    </row>
    <row r="224" spans="1:26" ht="19.5" thickBot="1" x14ac:dyDescent="0.35">
      <c r="A224" s="93">
        <v>160</v>
      </c>
      <c r="B224" s="94" t="s">
        <v>275</v>
      </c>
      <c r="C224" s="93">
        <v>45</v>
      </c>
      <c r="D224" s="94" t="s">
        <v>276</v>
      </c>
      <c r="E224" s="93">
        <v>557447</v>
      </c>
      <c r="F224" s="94" t="s">
        <v>290</v>
      </c>
      <c r="G224" s="95">
        <v>2.9671499978994009</v>
      </c>
      <c r="H224" s="96">
        <v>140.50522356306391</v>
      </c>
      <c r="I224" s="97">
        <v>0.7054331742183011</v>
      </c>
      <c r="J224" s="98">
        <v>0.9429489249826345</v>
      </c>
      <c r="K224" s="99">
        <v>203</v>
      </c>
      <c r="M224" s="89">
        <f t="shared" si="21"/>
        <v>0.7054331742183011</v>
      </c>
      <c r="N224" s="100"/>
      <c r="U224" s="92">
        <f t="shared" si="23"/>
        <v>12267910.814943254</v>
      </c>
      <c r="V224" s="92">
        <f t="shared" si="24"/>
        <v>2306898.5823828685</v>
      </c>
      <c r="W224" s="92">
        <f t="shared" si="25"/>
        <v>1404722.9890077957</v>
      </c>
      <c r="X224" s="92">
        <f t="shared" si="26"/>
        <v>1077179.9040311936</v>
      </c>
      <c r="Y224" s="92">
        <f t="shared" si="22"/>
        <v>630103.06204831298</v>
      </c>
      <c r="Z224" s="92">
        <f t="shared" si="27"/>
        <v>269762.63465181494</v>
      </c>
    </row>
    <row r="225" spans="1:26" ht="19.5" thickBot="1" x14ac:dyDescent="0.35">
      <c r="A225" s="93">
        <v>160</v>
      </c>
      <c r="B225" s="94" t="s">
        <v>275</v>
      </c>
      <c r="C225" s="93">
        <v>45</v>
      </c>
      <c r="D225" s="94" t="s">
        <v>276</v>
      </c>
      <c r="E225" s="93">
        <v>457453</v>
      </c>
      <c r="F225" s="94" t="s">
        <v>542</v>
      </c>
      <c r="G225" s="95">
        <v>7.6823512051361167</v>
      </c>
      <c r="H225" s="96">
        <v>350.28589528696506</v>
      </c>
      <c r="I225" s="97">
        <v>2.8979256356460135</v>
      </c>
      <c r="J225" s="98">
        <v>0.76563368597289039</v>
      </c>
      <c r="K225" s="99">
        <v>10</v>
      </c>
      <c r="M225" s="89">
        <f t="shared" si="21"/>
        <v>2.8979256356460135</v>
      </c>
      <c r="N225" s="100"/>
      <c r="U225" s="92">
        <f t="shared" si="23"/>
        <v>25790403.041086964</v>
      </c>
      <c r="V225" s="92">
        <f t="shared" si="24"/>
        <v>0</v>
      </c>
      <c r="W225" s="92">
        <f t="shared" si="25"/>
        <v>-2335854.1906934516</v>
      </c>
      <c r="X225" s="92">
        <f t="shared" si="26"/>
        <v>-3183907.3782254001</v>
      </c>
      <c r="Y225" s="92">
        <f t="shared" si="22"/>
        <v>-4341449.5713154571</v>
      </c>
      <c r="Z225" s="92">
        <f t="shared" si="27"/>
        <v>-5274419.4982246282</v>
      </c>
    </row>
    <row r="226" spans="1:26" ht="19.5" thickBot="1" x14ac:dyDescent="0.35">
      <c r="A226" s="93">
        <v>160</v>
      </c>
      <c r="B226" s="94" t="s">
        <v>275</v>
      </c>
      <c r="C226" s="93">
        <v>45</v>
      </c>
      <c r="D226" s="94" t="s">
        <v>276</v>
      </c>
      <c r="E226" s="93">
        <v>557459</v>
      </c>
      <c r="F226" s="94" t="s">
        <v>293</v>
      </c>
      <c r="G226" s="95">
        <v>2.8462753676030181</v>
      </c>
      <c r="H226" s="96">
        <v>205.59882253866976</v>
      </c>
      <c r="I226" s="97">
        <v>1.09082212421867</v>
      </c>
      <c r="J226" s="98">
        <v>0.91178104870335608</v>
      </c>
      <c r="K226" s="99">
        <v>130</v>
      </c>
      <c r="M226" s="89">
        <f t="shared" si="21"/>
        <v>1.09082212421867</v>
      </c>
      <c r="N226" s="100"/>
      <c r="U226" s="92">
        <f t="shared" si="23"/>
        <v>11379165.507065354</v>
      </c>
      <c r="V226" s="92">
        <f t="shared" si="24"/>
        <v>1823941.2096753782</v>
      </c>
      <c r="W226" s="92">
        <f t="shared" si="25"/>
        <v>958518.10316104197</v>
      </c>
      <c r="X226" s="92">
        <f t="shared" si="26"/>
        <v>644318.34404619678</v>
      </c>
      <c r="Y226" s="92">
        <f t="shared" si="22"/>
        <v>215454.34874346817</v>
      </c>
      <c r="Z226" s="92">
        <f t="shared" si="27"/>
        <v>-130206.66710550846</v>
      </c>
    </row>
    <row r="227" spans="1:26" ht="19.5" thickBot="1" x14ac:dyDescent="0.35">
      <c r="A227" s="93">
        <v>160</v>
      </c>
      <c r="B227" s="94" t="s">
        <v>275</v>
      </c>
      <c r="C227" s="93">
        <v>45</v>
      </c>
      <c r="D227" s="94" t="s">
        <v>276</v>
      </c>
      <c r="E227" s="93">
        <v>557559</v>
      </c>
      <c r="F227" s="94" t="s">
        <v>294</v>
      </c>
      <c r="G227" s="95">
        <v>3.0811951635880193</v>
      </c>
      <c r="H227" s="96">
        <v>155.72018542352671</v>
      </c>
      <c r="I227" s="97">
        <v>0.92251740499618029</v>
      </c>
      <c r="J227" s="98">
        <v>0.92539249414293145</v>
      </c>
      <c r="K227" s="99">
        <v>161</v>
      </c>
      <c r="M227" s="89">
        <f t="shared" si="21"/>
        <v>0.92251740499618029</v>
      </c>
      <c r="N227" s="100"/>
      <c r="U227" s="92">
        <f t="shared" si="23"/>
        <v>12502248.26712813</v>
      </c>
      <c r="V227" s="92">
        <f t="shared" si="24"/>
        <v>2158375.2788617844</v>
      </c>
      <c r="W227" s="92">
        <f t="shared" si="25"/>
        <v>1221523.7287270173</v>
      </c>
      <c r="X227" s="92">
        <f t="shared" si="26"/>
        <v>881391.221098118</v>
      </c>
      <c r="Y227" s="92">
        <f t="shared" si="22"/>
        <v>417130.56550433848</v>
      </c>
      <c r="Z227" s="92">
        <f t="shared" si="27"/>
        <v>42940.119141548195</v>
      </c>
    </row>
    <row r="228" spans="1:26" ht="19.5" thickBot="1" x14ac:dyDescent="0.35">
      <c r="A228" s="93">
        <v>160</v>
      </c>
      <c r="B228" s="94" t="s">
        <v>275</v>
      </c>
      <c r="C228" s="93">
        <v>45</v>
      </c>
      <c r="D228" s="94" t="s">
        <v>276</v>
      </c>
      <c r="E228" s="93">
        <v>457574</v>
      </c>
      <c r="F228" s="94" t="s">
        <v>295</v>
      </c>
      <c r="G228" s="95">
        <v>3.2922099681706554</v>
      </c>
      <c r="H228" s="96">
        <v>262.85673457542424</v>
      </c>
      <c r="I228" s="97">
        <v>1.8286034444653432</v>
      </c>
      <c r="J228" s="98">
        <v>0.85211385557135499</v>
      </c>
      <c r="K228" s="99">
        <v>45</v>
      </c>
      <c r="M228" s="89">
        <f t="shared" si="21"/>
        <v>1.8286034444653432</v>
      </c>
      <c r="N228" s="100"/>
      <c r="U228" s="92">
        <f t="shared" si="23"/>
        <v>12300650.848322919</v>
      </c>
      <c r="V228" s="92">
        <f t="shared" si="24"/>
        <v>1248380.5592166986</v>
      </c>
      <c r="W228" s="92">
        <f t="shared" si="25"/>
        <v>247368.98796063993</v>
      </c>
      <c r="X228" s="92">
        <f t="shared" si="26"/>
        <v>-116057.40104185436</v>
      </c>
      <c r="Y228" s="92">
        <f t="shared" si="22"/>
        <v>-612112.82013300585</v>
      </c>
      <c r="Z228" s="92">
        <f t="shared" si="27"/>
        <v>-1011929.596450172</v>
      </c>
    </row>
    <row r="229" spans="1:26" ht="19.5" thickBot="1" x14ac:dyDescent="0.35">
      <c r="A229" s="93">
        <v>160</v>
      </c>
      <c r="B229" s="94" t="s">
        <v>275</v>
      </c>
      <c r="C229" s="93">
        <v>45</v>
      </c>
      <c r="D229" s="94" t="s">
        <v>276</v>
      </c>
      <c r="E229" s="93">
        <v>557612</v>
      </c>
      <c r="F229" s="94" t="s">
        <v>296</v>
      </c>
      <c r="G229" s="95">
        <v>3.782552822511259</v>
      </c>
      <c r="H229" s="96">
        <v>231.82721977635771</v>
      </c>
      <c r="I229" s="97">
        <v>0.8397211281748187</v>
      </c>
      <c r="J229" s="98">
        <v>0.9320885452682961</v>
      </c>
      <c r="K229" s="99">
        <v>177</v>
      </c>
      <c r="M229" s="89">
        <f t="shared" si="21"/>
        <v>0.8397211281748187</v>
      </c>
      <c r="N229" s="100"/>
      <c r="U229" s="92">
        <f t="shared" si="23"/>
        <v>15459132.19854513</v>
      </c>
      <c r="V229" s="92">
        <f t="shared" si="24"/>
        <v>2760733.074127859</v>
      </c>
      <c r="W229" s="92">
        <f t="shared" si="25"/>
        <v>1610630.5044776713</v>
      </c>
      <c r="X229" s="92">
        <f t="shared" si="26"/>
        <v>1193075.2674827746</v>
      </c>
      <c r="Y229" s="92">
        <f t="shared" si="22"/>
        <v>623137.18827579916</v>
      </c>
      <c r="Z229" s="92">
        <f t="shared" si="27"/>
        <v>163771.56750216801</v>
      </c>
    </row>
    <row r="230" spans="1:26" ht="19.5" thickBot="1" x14ac:dyDescent="0.35">
      <c r="A230" s="93">
        <v>160</v>
      </c>
      <c r="B230" s="94" t="s">
        <v>275</v>
      </c>
      <c r="C230" s="93">
        <v>45</v>
      </c>
      <c r="D230" s="94" t="s">
        <v>276</v>
      </c>
      <c r="E230" s="93">
        <v>557712</v>
      </c>
      <c r="F230" s="94" t="s">
        <v>543</v>
      </c>
      <c r="G230" s="95">
        <v>5.6556242556549732</v>
      </c>
      <c r="H230" s="96">
        <v>106.20725798737439</v>
      </c>
      <c r="I230" s="97">
        <v>0.58919099158119304</v>
      </c>
      <c r="J230" s="98">
        <v>0.95234987424924755</v>
      </c>
      <c r="K230" s="99">
        <v>226</v>
      </c>
      <c r="M230" s="89">
        <f t="shared" si="21"/>
        <v>0.58919099158119304</v>
      </c>
      <c r="N230" s="100"/>
      <c r="U230" s="92">
        <f t="shared" si="23"/>
        <v>23616743.667513553</v>
      </c>
      <c r="V230" s="92">
        <f t="shared" si="24"/>
        <v>4630260.8698028186</v>
      </c>
      <c r="W230" s="92">
        <f t="shared" si="25"/>
        <v>2910642.3225894291</v>
      </c>
      <c r="X230" s="92">
        <f t="shared" si="26"/>
        <v>2286319.1109293578</v>
      </c>
      <c r="Y230" s="92">
        <f t="shared" si="22"/>
        <v>1434155.0364976435</v>
      </c>
      <c r="Z230" s="92">
        <f t="shared" si="27"/>
        <v>747317.47758775216</v>
      </c>
    </row>
    <row r="231" spans="1:26" ht="19.5" thickBot="1" x14ac:dyDescent="0.35">
      <c r="A231" s="93">
        <v>160</v>
      </c>
      <c r="B231" s="94" t="s">
        <v>275</v>
      </c>
      <c r="C231" s="93">
        <v>42</v>
      </c>
      <c r="D231" s="94" t="s">
        <v>299</v>
      </c>
      <c r="E231" s="93">
        <v>457163</v>
      </c>
      <c r="F231" s="94" t="s">
        <v>300</v>
      </c>
      <c r="G231" s="95">
        <v>2.446257751706499</v>
      </c>
      <c r="H231" s="96">
        <v>46.807109316311298</v>
      </c>
      <c r="I231" s="97">
        <v>0.27968530361231042</v>
      </c>
      <c r="J231" s="98">
        <v>0.97738078131167849</v>
      </c>
      <c r="K231" s="99">
        <v>277</v>
      </c>
      <c r="M231" s="89">
        <f t="shared" si="21"/>
        <v>0.27968530361231042</v>
      </c>
      <c r="N231" s="100"/>
      <c r="U231" s="92">
        <f t="shared" si="23"/>
        <v>10483563.945934907</v>
      </c>
      <c r="V231" s="92">
        <f t="shared" si="24"/>
        <v>2271237.8397404412</v>
      </c>
      <c r="W231" s="92">
        <f t="shared" si="25"/>
        <v>1527441.9277519675</v>
      </c>
      <c r="X231" s="92">
        <f t="shared" si="26"/>
        <v>1257400.0319229318</v>
      </c>
      <c r="Y231" s="92">
        <f t="shared" si="22"/>
        <v>888808.89528226817</v>
      </c>
      <c r="Z231" s="92">
        <f t="shared" si="27"/>
        <v>591727.33068460179</v>
      </c>
    </row>
    <row r="232" spans="1:26" ht="19.5" thickBot="1" x14ac:dyDescent="0.35">
      <c r="A232" s="93">
        <v>160</v>
      </c>
      <c r="B232" s="94" t="s">
        <v>275</v>
      </c>
      <c r="C232" s="93">
        <v>42</v>
      </c>
      <c r="D232" s="94" t="s">
        <v>299</v>
      </c>
      <c r="E232" s="93">
        <v>457165</v>
      </c>
      <c r="F232" s="94" t="s">
        <v>301</v>
      </c>
      <c r="G232" s="95">
        <v>3.2867156132296058</v>
      </c>
      <c r="H232" s="96">
        <v>277.01214766961846</v>
      </c>
      <c r="I232" s="97">
        <v>0.98907776179809748</v>
      </c>
      <c r="J232" s="98">
        <v>0.9200095038784083</v>
      </c>
      <c r="K232" s="99">
        <v>145</v>
      </c>
      <c r="M232" s="89">
        <f t="shared" si="21"/>
        <v>0.98907776179809748</v>
      </c>
      <c r="N232" s="100"/>
      <c r="U232" s="92">
        <f t="shared" si="23"/>
        <v>13258591.199687442</v>
      </c>
      <c r="V232" s="92">
        <f t="shared" si="24"/>
        <v>2224765.9965447099</v>
      </c>
      <c r="W232" s="92">
        <f t="shared" si="25"/>
        <v>1225425.0091595929</v>
      </c>
      <c r="X232" s="92">
        <f t="shared" si="26"/>
        <v>862605.14088190929</v>
      </c>
      <c r="Y232" s="92">
        <f t="shared" si="22"/>
        <v>367377.58652881155</v>
      </c>
      <c r="Z232" s="92">
        <f t="shared" si="27"/>
        <v>-31771.937303941086</v>
      </c>
    </row>
    <row r="233" spans="1:26" ht="19.5" thickBot="1" x14ac:dyDescent="0.35">
      <c r="A233" s="93">
        <v>160</v>
      </c>
      <c r="B233" s="94" t="s">
        <v>275</v>
      </c>
      <c r="C233" s="93">
        <v>42</v>
      </c>
      <c r="D233" s="94" t="s">
        <v>299</v>
      </c>
      <c r="E233" s="93">
        <v>557210</v>
      </c>
      <c r="F233" s="94" t="s">
        <v>302</v>
      </c>
      <c r="G233" s="95">
        <v>2.3582831220937974</v>
      </c>
      <c r="H233" s="96">
        <v>145.16487986228481</v>
      </c>
      <c r="I233" s="97">
        <v>0.88948172450032437</v>
      </c>
      <c r="J233" s="98">
        <v>0.92806421579581122</v>
      </c>
      <c r="K233" s="99">
        <v>166</v>
      </c>
      <c r="M233" s="89">
        <f t="shared" si="21"/>
        <v>0.88948172450032437</v>
      </c>
      <c r="N233" s="100"/>
      <c r="U233" s="92">
        <f t="shared" si="23"/>
        <v>9596589.3014945518</v>
      </c>
      <c r="V233" s="92">
        <f t="shared" si="24"/>
        <v>1679602.6160733807</v>
      </c>
      <c r="W233" s="92">
        <f t="shared" si="25"/>
        <v>962555.79453499557</v>
      </c>
      <c r="X233" s="92">
        <f t="shared" si="26"/>
        <v>702225.4001815907</v>
      </c>
      <c r="Y233" s="92">
        <f t="shared" si="22"/>
        <v>346889.88580798625</v>
      </c>
      <c r="Z233" s="92">
        <f t="shared" si="27"/>
        <v>60492.248769470192</v>
      </c>
    </row>
    <row r="234" spans="1:26" ht="19.5" thickBot="1" x14ac:dyDescent="0.35">
      <c r="A234" s="93">
        <v>160</v>
      </c>
      <c r="B234" s="94" t="s">
        <v>275</v>
      </c>
      <c r="C234" s="93">
        <v>42</v>
      </c>
      <c r="D234" s="94" t="s">
        <v>299</v>
      </c>
      <c r="E234" s="93">
        <v>557250</v>
      </c>
      <c r="F234" s="94" t="s">
        <v>303</v>
      </c>
      <c r="G234" s="95">
        <v>2.9549106548231645</v>
      </c>
      <c r="H234" s="96">
        <v>327.13966810541336</v>
      </c>
      <c r="I234" s="97">
        <v>1.057342206810979</v>
      </c>
      <c r="J234" s="98">
        <v>0.91448869749194317</v>
      </c>
      <c r="K234" s="99">
        <v>135</v>
      </c>
      <c r="M234" s="89">
        <f t="shared" si="21"/>
        <v>1.057342206810979</v>
      </c>
      <c r="N234" s="100"/>
      <c r="U234" s="92">
        <f t="shared" si="23"/>
        <v>11848561.713591995</v>
      </c>
      <c r="V234" s="92">
        <f t="shared" si="24"/>
        <v>1928638.1506934739</v>
      </c>
      <c r="W234" s="92">
        <f t="shared" si="25"/>
        <v>1030183.9858306579</v>
      </c>
      <c r="X234" s="92">
        <f t="shared" si="26"/>
        <v>703991.99944769463</v>
      </c>
      <c r="Y234" s="92">
        <f t="shared" si="22"/>
        <v>258759.32673645261</v>
      </c>
      <c r="Z234" s="92">
        <f t="shared" si="27"/>
        <v>-100094.7146942985</v>
      </c>
    </row>
    <row r="235" spans="1:26" ht="19.5" thickBot="1" x14ac:dyDescent="0.35">
      <c r="A235" s="93">
        <v>160</v>
      </c>
      <c r="B235" s="94" t="s">
        <v>275</v>
      </c>
      <c r="C235" s="93">
        <v>42</v>
      </c>
      <c r="D235" s="94" t="s">
        <v>299</v>
      </c>
      <c r="E235" s="93">
        <v>457258</v>
      </c>
      <c r="F235" s="94" t="s">
        <v>304</v>
      </c>
      <c r="G235" s="95">
        <v>3.2319854415753091</v>
      </c>
      <c r="H235" s="96">
        <v>214.70449046694159</v>
      </c>
      <c r="I235" s="97">
        <v>2.2331312548803219</v>
      </c>
      <c r="J235" s="98">
        <v>0.81939814655445298</v>
      </c>
      <c r="K235" s="99">
        <v>24</v>
      </c>
      <c r="M235" s="89">
        <f t="shared" si="21"/>
        <v>2.2331312548803219</v>
      </c>
      <c r="N235" s="100"/>
      <c r="U235" s="92">
        <f t="shared" si="23"/>
        <v>11612007.609735958</v>
      </c>
      <c r="V235" s="92">
        <f t="shared" si="24"/>
        <v>761916.93626800971</v>
      </c>
      <c r="W235" s="92">
        <f t="shared" si="25"/>
        <v>-220783.09089511292</v>
      </c>
      <c r="X235" s="92">
        <f t="shared" si="26"/>
        <v>-577561.30665181228</v>
      </c>
      <c r="Y235" s="92">
        <f t="shared" si="22"/>
        <v>-1064542.3644268112</v>
      </c>
      <c r="Z235" s="92">
        <f t="shared" si="27"/>
        <v>-1457045.2767099773</v>
      </c>
    </row>
    <row r="236" spans="1:26" ht="19.5" thickBot="1" x14ac:dyDescent="0.35">
      <c r="A236" s="93">
        <v>160</v>
      </c>
      <c r="B236" s="94" t="s">
        <v>275</v>
      </c>
      <c r="C236" s="93">
        <v>42</v>
      </c>
      <c r="D236" s="94" t="s">
        <v>299</v>
      </c>
      <c r="E236" s="93">
        <v>557305</v>
      </c>
      <c r="F236" s="94" t="s">
        <v>305</v>
      </c>
      <c r="G236" s="95">
        <v>2.895036046810425</v>
      </c>
      <c r="H236" s="96">
        <v>131.73499725510459</v>
      </c>
      <c r="I236" s="97">
        <v>0.60356338186707925</v>
      </c>
      <c r="J236" s="98">
        <v>0.95118752415522534</v>
      </c>
      <c r="K236" s="99">
        <v>224</v>
      </c>
      <c r="M236" s="89">
        <f t="shared" si="21"/>
        <v>0.60356338186707925</v>
      </c>
      <c r="N236" s="100"/>
      <c r="U236" s="92">
        <f t="shared" si="23"/>
        <v>12074330.51240726</v>
      </c>
      <c r="V236" s="92">
        <f t="shared" si="24"/>
        <v>2355411.8543018522</v>
      </c>
      <c r="W236" s="92">
        <f t="shared" si="25"/>
        <v>1475162.8391787643</v>
      </c>
      <c r="X236" s="92">
        <f t="shared" si="26"/>
        <v>1155580.3986004081</v>
      </c>
      <c r="Y236" s="92">
        <f t="shared" si="22"/>
        <v>719369.36304409592</v>
      </c>
      <c r="Z236" s="92">
        <f t="shared" si="27"/>
        <v>367786.69038701075</v>
      </c>
    </row>
    <row r="237" spans="1:26" ht="19.5" thickBot="1" x14ac:dyDescent="0.35">
      <c r="A237" s="93">
        <v>160</v>
      </c>
      <c r="B237" s="94" t="s">
        <v>275</v>
      </c>
      <c r="C237" s="93">
        <v>42</v>
      </c>
      <c r="D237" s="94" t="s">
        <v>299</v>
      </c>
      <c r="E237" s="93">
        <v>457308</v>
      </c>
      <c r="F237" s="94" t="s">
        <v>306</v>
      </c>
      <c r="G237" s="95">
        <v>9.4580011961370065</v>
      </c>
      <c r="H237" s="96">
        <v>217.55193414760848</v>
      </c>
      <c r="I237" s="97">
        <v>1.3866885947907015</v>
      </c>
      <c r="J237" s="98">
        <v>0.88785319724324785</v>
      </c>
      <c r="K237" s="99">
        <v>90</v>
      </c>
      <c r="M237" s="89">
        <f t="shared" si="21"/>
        <v>1.3866885947907015</v>
      </c>
      <c r="N237" s="100"/>
      <c r="U237" s="92">
        <f t="shared" si="23"/>
        <v>36819973.045763053</v>
      </c>
      <c r="V237" s="92">
        <f t="shared" si="24"/>
        <v>5068539.6241333652</v>
      </c>
      <c r="W237" s="92">
        <f t="shared" si="25"/>
        <v>2192790.8930925191</v>
      </c>
      <c r="X237" s="92">
        <f t="shared" si="26"/>
        <v>1148724.064085467</v>
      </c>
      <c r="Y237" s="92">
        <f t="shared" si="22"/>
        <v>-276365.0986574954</v>
      </c>
      <c r="Z237" s="92">
        <f t="shared" si="27"/>
        <v>-1424975.7842464843</v>
      </c>
    </row>
    <row r="238" spans="1:26" ht="19.5" thickBot="1" x14ac:dyDescent="0.35">
      <c r="A238" s="93">
        <v>160</v>
      </c>
      <c r="B238" s="94" t="s">
        <v>275</v>
      </c>
      <c r="C238" s="93">
        <v>42</v>
      </c>
      <c r="D238" s="94" t="s">
        <v>299</v>
      </c>
      <c r="E238" s="93">
        <v>457345</v>
      </c>
      <c r="F238" s="94" t="s">
        <v>307</v>
      </c>
      <c r="G238" s="95">
        <v>2.4953960784280431</v>
      </c>
      <c r="H238" s="96">
        <v>94.684568639235835</v>
      </c>
      <c r="I238" s="97">
        <v>0.38709025880111547</v>
      </c>
      <c r="J238" s="98">
        <v>0.96869453238029901</v>
      </c>
      <c r="K238" s="99">
        <v>265</v>
      </c>
      <c r="M238" s="89">
        <f t="shared" si="21"/>
        <v>0.38709025880111547</v>
      </c>
      <c r="N238" s="100"/>
      <c r="U238" s="92">
        <f t="shared" si="23"/>
        <v>10599106.973207835</v>
      </c>
      <c r="V238" s="92">
        <f t="shared" si="24"/>
        <v>2221818.7067223964</v>
      </c>
      <c r="W238" s="92">
        <f t="shared" si="25"/>
        <v>1463082.060662894</v>
      </c>
      <c r="X238" s="92">
        <f t="shared" si="26"/>
        <v>1187615.7949380467</v>
      </c>
      <c r="Y238" s="92">
        <f t="shared" si="22"/>
        <v>811620.71581164957</v>
      </c>
      <c r="Z238" s="92">
        <f t="shared" si="27"/>
        <v>508571.6316531506</v>
      </c>
    </row>
    <row r="239" spans="1:26" ht="19.5" thickBot="1" x14ac:dyDescent="0.35">
      <c r="A239" s="93">
        <v>160</v>
      </c>
      <c r="B239" s="94" t="s">
        <v>275</v>
      </c>
      <c r="C239" s="93">
        <v>42</v>
      </c>
      <c r="D239" s="94" t="s">
        <v>299</v>
      </c>
      <c r="E239" s="93">
        <v>557353</v>
      </c>
      <c r="F239" s="94" t="s">
        <v>308</v>
      </c>
      <c r="G239" s="95">
        <v>2.3401625074782282</v>
      </c>
      <c r="H239" s="96">
        <v>78.540430753273185</v>
      </c>
      <c r="I239" s="97">
        <v>0.23641246381054878</v>
      </c>
      <c r="J239" s="98">
        <v>0.98088042113579144</v>
      </c>
      <c r="K239" s="99">
        <v>282</v>
      </c>
      <c r="M239" s="89">
        <f t="shared" si="21"/>
        <v>0.23641246381054878</v>
      </c>
      <c r="N239" s="100"/>
      <c r="U239" s="92">
        <f t="shared" si="23"/>
        <v>10064797.040619977</v>
      </c>
      <c r="V239" s="92">
        <f t="shared" si="24"/>
        <v>2208643.027620147</v>
      </c>
      <c r="W239" s="92">
        <f t="shared" si="25"/>
        <v>1497105.8622348702</v>
      </c>
      <c r="X239" s="92">
        <f t="shared" si="26"/>
        <v>1238775.7988445302</v>
      </c>
      <c r="Y239" s="92">
        <f t="shared" si="22"/>
        <v>886170.61733675748</v>
      </c>
      <c r="Z239" s="92">
        <f t="shared" si="27"/>
        <v>601973.60716910521</v>
      </c>
    </row>
    <row r="240" spans="1:26" ht="19.5" thickBot="1" x14ac:dyDescent="0.35">
      <c r="A240" s="93">
        <v>160</v>
      </c>
      <c r="B240" s="94" t="s">
        <v>275</v>
      </c>
      <c r="C240" s="93">
        <v>42</v>
      </c>
      <c r="D240" s="94" t="s">
        <v>299</v>
      </c>
      <c r="E240" s="93">
        <v>457435</v>
      </c>
      <c r="F240" s="94" t="s">
        <v>309</v>
      </c>
      <c r="G240" s="95">
        <v>3.4293753761305177</v>
      </c>
      <c r="H240" s="96">
        <v>52.592079031460266</v>
      </c>
      <c r="I240" s="97">
        <v>0.42041687021640528</v>
      </c>
      <c r="J240" s="98">
        <v>0.96599928203282981</v>
      </c>
      <c r="K240" s="99">
        <v>258</v>
      </c>
      <c r="M240" s="89">
        <f t="shared" si="21"/>
        <v>0.42041687021640528</v>
      </c>
      <c r="N240" s="100"/>
      <c r="U240" s="92">
        <f t="shared" si="23"/>
        <v>14525622.974658169</v>
      </c>
      <c r="V240" s="92">
        <f t="shared" si="24"/>
        <v>3012875.0192595092</v>
      </c>
      <c r="W240" s="92">
        <f t="shared" si="25"/>
        <v>1970157.6753245064</v>
      </c>
      <c r="X240" s="92">
        <f t="shared" si="26"/>
        <v>1591589.624826283</v>
      </c>
      <c r="Y240" s="92">
        <f t="shared" si="22"/>
        <v>1074866.7378068487</v>
      </c>
      <c r="Z240" s="92">
        <f t="shared" si="27"/>
        <v>658392.14447225421</v>
      </c>
    </row>
    <row r="241" spans="1:26" ht="19.5" thickBot="1" x14ac:dyDescent="0.35">
      <c r="A241" s="93">
        <v>160</v>
      </c>
      <c r="B241" s="94" t="s">
        <v>275</v>
      </c>
      <c r="C241" s="93">
        <v>42</v>
      </c>
      <c r="D241" s="94" t="s">
        <v>299</v>
      </c>
      <c r="E241" s="93">
        <v>557458</v>
      </c>
      <c r="F241" s="94" t="s">
        <v>310</v>
      </c>
      <c r="G241" s="95">
        <v>2.2933005833727047</v>
      </c>
      <c r="H241" s="96">
        <v>90.073041274079429</v>
      </c>
      <c r="I241" s="97">
        <v>0.42006875212286054</v>
      </c>
      <c r="J241" s="98">
        <v>0.96602743567260119</v>
      </c>
      <c r="K241" s="99">
        <v>259</v>
      </c>
      <c r="M241" s="89">
        <f t="shared" si="21"/>
        <v>0.42006875212286054</v>
      </c>
      <c r="N241" s="100"/>
      <c r="U241" s="92">
        <f t="shared" si="23"/>
        <v>9713894.4679375626</v>
      </c>
      <c r="V241" s="92">
        <f t="shared" si="24"/>
        <v>2015060.5093963542</v>
      </c>
      <c r="W241" s="92">
        <f t="shared" si="25"/>
        <v>1317771.9274047478</v>
      </c>
      <c r="X241" s="92">
        <f t="shared" si="26"/>
        <v>1064614.9422882833</v>
      </c>
      <c r="Y241" s="92">
        <f t="shared" si="22"/>
        <v>719070.70513895922</v>
      </c>
      <c r="Z241" s="92">
        <f t="shared" si="27"/>
        <v>440564.76073231053</v>
      </c>
    </row>
    <row r="242" spans="1:26" ht="19.5" thickBot="1" x14ac:dyDescent="0.35">
      <c r="A242" s="93">
        <v>160</v>
      </c>
      <c r="B242" s="94" t="s">
        <v>275</v>
      </c>
      <c r="C242" s="93">
        <v>42</v>
      </c>
      <c r="D242" s="94" t="s">
        <v>299</v>
      </c>
      <c r="E242" s="93">
        <v>557503</v>
      </c>
      <c r="F242" s="94" t="s">
        <v>311</v>
      </c>
      <c r="G242" s="95">
        <v>2.7186061751380932</v>
      </c>
      <c r="H242" s="96">
        <v>140.59134981203565</v>
      </c>
      <c r="I242" s="97">
        <v>0.5659511809325769</v>
      </c>
      <c r="J242" s="98">
        <v>0.95422936649480672</v>
      </c>
      <c r="K242" s="99">
        <v>230</v>
      </c>
      <c r="M242" s="89">
        <f t="shared" si="21"/>
        <v>0.5659511809325769</v>
      </c>
      <c r="N242" s="100"/>
      <c r="U242" s="92">
        <f t="shared" si="23"/>
        <v>11374754.067427162</v>
      </c>
      <c r="V242" s="92">
        <f t="shared" si="24"/>
        <v>2248127.71377597</v>
      </c>
      <c r="W242" s="92">
        <f t="shared" si="25"/>
        <v>1421523.0119763608</v>
      </c>
      <c r="X242" s="92">
        <f t="shared" si="26"/>
        <v>1121416.6290595636</v>
      </c>
      <c r="Y242" s="92">
        <f t="shared" si="22"/>
        <v>711789.25456337701</v>
      </c>
      <c r="Z242" s="92">
        <f t="shared" si="27"/>
        <v>381632.80417645857</v>
      </c>
    </row>
    <row r="243" spans="1:26" ht="19.5" thickBot="1" x14ac:dyDescent="0.35">
      <c r="A243" s="93">
        <v>160</v>
      </c>
      <c r="B243" s="94" t="s">
        <v>275</v>
      </c>
      <c r="C243" s="93">
        <v>42</v>
      </c>
      <c r="D243" s="94" t="s">
        <v>299</v>
      </c>
      <c r="E243" s="93">
        <v>557523</v>
      </c>
      <c r="F243" s="94" t="s">
        <v>312</v>
      </c>
      <c r="G243" s="95">
        <v>3.5315548920620055</v>
      </c>
      <c r="H243" s="96">
        <v>74.4805831961515</v>
      </c>
      <c r="I243" s="97">
        <v>0.36855571090671513</v>
      </c>
      <c r="J243" s="98">
        <v>0.97019349205639893</v>
      </c>
      <c r="K243" s="99">
        <v>267</v>
      </c>
      <c r="M243" s="89">
        <f t="shared" si="21"/>
        <v>0.36855571090671513</v>
      </c>
      <c r="N243" s="100"/>
      <c r="U243" s="92">
        <f t="shared" si="23"/>
        <v>15023366.315175256</v>
      </c>
      <c r="V243" s="92">
        <f t="shared" si="24"/>
        <v>3167591.748775736</v>
      </c>
      <c r="W243" s="92">
        <f t="shared" si="25"/>
        <v>2093806.2534221904</v>
      </c>
      <c r="X243" s="92">
        <f t="shared" si="26"/>
        <v>1703958.6269357926</v>
      </c>
      <c r="Y243" s="92">
        <f t="shared" si="22"/>
        <v>1171839.7891453058</v>
      </c>
      <c r="Z243" s="92">
        <f t="shared" si="27"/>
        <v>742956.18026785494</v>
      </c>
    </row>
    <row r="244" spans="1:26" ht="19.5" thickBot="1" x14ac:dyDescent="0.35">
      <c r="A244" s="93">
        <v>160</v>
      </c>
      <c r="B244" s="94" t="s">
        <v>275</v>
      </c>
      <c r="C244" s="93">
        <v>42</v>
      </c>
      <c r="D244" s="94" t="s">
        <v>299</v>
      </c>
      <c r="E244" s="93">
        <v>457543</v>
      </c>
      <c r="F244" s="94" t="s">
        <v>313</v>
      </c>
      <c r="G244" s="95">
        <v>3.0483447717785292</v>
      </c>
      <c r="H244" s="96">
        <v>65.74605417846773</v>
      </c>
      <c r="I244" s="97">
        <v>0.19849043230335756</v>
      </c>
      <c r="J244" s="98">
        <v>0.98394732065710333</v>
      </c>
      <c r="K244" s="99">
        <v>288</v>
      </c>
      <c r="M244" s="89">
        <f t="shared" si="21"/>
        <v>0.19849043230335756</v>
      </c>
      <c r="N244" s="100"/>
      <c r="U244" s="92">
        <f t="shared" si="23"/>
        <v>13151608.458563069</v>
      </c>
      <c r="V244" s="92">
        <f t="shared" si="24"/>
        <v>2918017.4428597502</v>
      </c>
      <c r="W244" s="92">
        <f t="shared" si="25"/>
        <v>1991154.2053294391</v>
      </c>
      <c r="X244" s="92">
        <f t="shared" si="26"/>
        <v>1654648.0457731306</v>
      </c>
      <c r="Y244" s="92">
        <f t="shared" si="22"/>
        <v>1195337.1397499775</v>
      </c>
      <c r="Z244" s="92">
        <f t="shared" si="27"/>
        <v>825136.15271116991</v>
      </c>
    </row>
    <row r="245" spans="1:26" ht="19.5" thickBot="1" x14ac:dyDescent="0.35">
      <c r="A245" s="93">
        <v>160</v>
      </c>
      <c r="B245" s="94" t="s">
        <v>275</v>
      </c>
      <c r="C245" s="93">
        <v>42</v>
      </c>
      <c r="D245" s="94" t="s">
        <v>299</v>
      </c>
      <c r="E245" s="93">
        <v>457583</v>
      </c>
      <c r="F245" s="94" t="s">
        <v>314</v>
      </c>
      <c r="G245" s="95">
        <v>6.1679190817437588</v>
      </c>
      <c r="H245" s="96">
        <v>141.12033227646043</v>
      </c>
      <c r="I245" s="97">
        <v>0.8807538414502315</v>
      </c>
      <c r="J245" s="98">
        <v>0.92877007303194914</v>
      </c>
      <c r="K245" s="99">
        <v>169</v>
      </c>
      <c r="M245" s="89">
        <f t="shared" si="21"/>
        <v>0.8807538414502315</v>
      </c>
      <c r="N245" s="100"/>
      <c r="U245" s="92">
        <f t="shared" si="23"/>
        <v>25118275.481775708</v>
      </c>
      <c r="V245" s="92">
        <f t="shared" si="24"/>
        <v>4411968.9363742759</v>
      </c>
      <c r="W245" s="92">
        <f t="shared" si="25"/>
        <v>2536584.7928692149</v>
      </c>
      <c r="X245" s="92">
        <f t="shared" si="26"/>
        <v>1855709.4595188126</v>
      </c>
      <c r="Y245" s="92">
        <f t="shared" si="22"/>
        <v>926355.10041187506</v>
      </c>
      <c r="Z245" s="92">
        <f t="shared" si="27"/>
        <v>177302.77759839414</v>
      </c>
    </row>
    <row r="246" spans="1:26" ht="19.5" thickBot="1" x14ac:dyDescent="0.35">
      <c r="A246" s="93">
        <v>160</v>
      </c>
      <c r="B246" s="94" t="s">
        <v>275</v>
      </c>
      <c r="C246" s="93">
        <v>42</v>
      </c>
      <c r="D246" s="94" t="s">
        <v>299</v>
      </c>
      <c r="E246" s="93">
        <v>457614</v>
      </c>
      <c r="F246" s="94" t="s">
        <v>315</v>
      </c>
      <c r="G246" s="95">
        <v>8.5209209199683276</v>
      </c>
      <c r="H246" s="96">
        <v>371.02720691037138</v>
      </c>
      <c r="I246" s="97">
        <v>3.5956554244859591</v>
      </c>
      <c r="J246" s="98">
        <v>0.70920561315214725</v>
      </c>
      <c r="K246" s="99">
        <v>6</v>
      </c>
      <c r="M246" s="89">
        <f t="shared" si="21"/>
        <v>3.5956554244859591</v>
      </c>
      <c r="N246" s="100"/>
      <c r="U246" s="92">
        <f t="shared" si="23"/>
        <v>26497300.908295441</v>
      </c>
      <c r="V246" s="92">
        <f t="shared" si="24"/>
        <v>-2108262.536954389</v>
      </c>
      <c r="W246" s="92">
        <f t="shared" si="25"/>
        <v>-4699087.7033655178</v>
      </c>
      <c r="X246" s="92">
        <f t="shared" si="26"/>
        <v>-5639710.4312168108</v>
      </c>
      <c r="Y246" s="92">
        <f t="shared" si="22"/>
        <v>-6923604.5445519127</v>
      </c>
      <c r="Z246" s="92">
        <f t="shared" si="27"/>
        <v>-7958413.1279692892</v>
      </c>
    </row>
    <row r="247" spans="1:26" ht="19.5" thickBot="1" x14ac:dyDescent="0.35">
      <c r="A247" s="93">
        <v>160</v>
      </c>
      <c r="B247" s="94" t="s">
        <v>275</v>
      </c>
      <c r="C247" s="93">
        <v>42</v>
      </c>
      <c r="D247" s="94" t="s">
        <v>299</v>
      </c>
      <c r="E247" s="93">
        <v>457617</v>
      </c>
      <c r="F247" s="94" t="s">
        <v>544</v>
      </c>
      <c r="G247" s="95">
        <v>7.6256604154574292</v>
      </c>
      <c r="H247" s="96">
        <v>195.7976179838106</v>
      </c>
      <c r="I247" s="97">
        <v>1.0917455251251971</v>
      </c>
      <c r="J247" s="98">
        <v>0.91170636974535579</v>
      </c>
      <c r="K247" s="99">
        <v>129</v>
      </c>
      <c r="M247" s="89">
        <f t="shared" si="21"/>
        <v>1.0917455251251971</v>
      </c>
      <c r="N247" s="100"/>
      <c r="U247" s="92">
        <f t="shared" si="23"/>
        <v>30484241.196201403</v>
      </c>
      <c r="V247" s="92">
        <f t="shared" si="24"/>
        <v>4884154.6709167073</v>
      </c>
      <c r="W247" s="92">
        <f t="shared" si="25"/>
        <v>2565537.5753662311</v>
      </c>
      <c r="X247" s="92">
        <f t="shared" si="26"/>
        <v>1723742.4725803393</v>
      </c>
      <c r="Y247" s="92">
        <f t="shared" si="22"/>
        <v>574742.19319097325</v>
      </c>
      <c r="Z247" s="92">
        <f t="shared" si="27"/>
        <v>-351343.01828529849</v>
      </c>
    </row>
    <row r="248" spans="1:26" ht="19.5" thickBot="1" x14ac:dyDescent="0.35">
      <c r="A248" s="93">
        <v>160</v>
      </c>
      <c r="B248" s="94" t="s">
        <v>275</v>
      </c>
      <c r="C248" s="93">
        <v>42</v>
      </c>
      <c r="D248" s="94" t="s">
        <v>299</v>
      </c>
      <c r="E248" s="93">
        <v>557668</v>
      </c>
      <c r="F248" s="94" t="s">
        <v>317</v>
      </c>
      <c r="G248" s="95">
        <v>4.1503367731124419</v>
      </c>
      <c r="H248" s="96">
        <v>67.324423890174273</v>
      </c>
      <c r="I248" s="97">
        <v>0.5007627766653272</v>
      </c>
      <c r="J248" s="98">
        <v>0.95950140171803588</v>
      </c>
      <c r="K248" s="99">
        <v>239</v>
      </c>
      <c r="M248" s="89">
        <f t="shared" si="21"/>
        <v>0.5007627766653272</v>
      </c>
      <c r="N248" s="100"/>
      <c r="U248" s="92">
        <f t="shared" si="23"/>
        <v>17461111.699122984</v>
      </c>
      <c r="V248" s="92">
        <f t="shared" si="24"/>
        <v>3528025.9449527999</v>
      </c>
      <c r="W248" s="92">
        <f t="shared" si="25"/>
        <v>2266096.9748502076</v>
      </c>
      <c r="X248" s="92">
        <f t="shared" si="26"/>
        <v>1807942.1423275894</v>
      </c>
      <c r="Y248" s="92">
        <f t="shared" si="22"/>
        <v>1182588.0284465426</v>
      </c>
      <c r="Z248" s="92">
        <f t="shared" si="27"/>
        <v>678557.5184549666</v>
      </c>
    </row>
    <row r="249" spans="1:26" ht="19.5" thickBot="1" x14ac:dyDescent="0.35">
      <c r="A249" s="93">
        <v>160</v>
      </c>
      <c r="B249" s="94" t="s">
        <v>275</v>
      </c>
      <c r="C249" s="93">
        <v>44</v>
      </c>
      <c r="D249" s="94" t="s">
        <v>318</v>
      </c>
      <c r="E249" s="93">
        <v>557113</v>
      </c>
      <c r="F249" s="94" t="s">
        <v>319</v>
      </c>
      <c r="G249" s="95">
        <v>2.609015620706443</v>
      </c>
      <c r="H249" s="96">
        <v>176.87734277537453</v>
      </c>
      <c r="I249" s="97">
        <v>0.68561252242163806</v>
      </c>
      <c r="J249" s="98">
        <v>0.94455189679324947</v>
      </c>
      <c r="K249" s="99">
        <v>208</v>
      </c>
      <c r="M249" s="89">
        <f t="shared" si="21"/>
        <v>0.68561252242163806</v>
      </c>
      <c r="N249" s="100"/>
      <c r="U249" s="92">
        <f t="shared" si="23"/>
        <v>10805514.301251588</v>
      </c>
      <c r="V249" s="92">
        <f t="shared" si="24"/>
        <v>2046794.1384028716</v>
      </c>
      <c r="W249" s="92">
        <f t="shared" si="25"/>
        <v>1253510.9483376441</v>
      </c>
      <c r="X249" s="92">
        <f t="shared" si="26"/>
        <v>965502.24444221461</v>
      </c>
      <c r="Y249" s="92">
        <f t="shared" si="22"/>
        <v>572387.48272972333</v>
      </c>
      <c r="Z249" s="92">
        <f t="shared" si="27"/>
        <v>255540.06870782751</v>
      </c>
    </row>
    <row r="250" spans="1:26" ht="19.5" thickBot="1" x14ac:dyDescent="0.35">
      <c r="A250" s="93">
        <v>160</v>
      </c>
      <c r="B250" s="94" t="s">
        <v>275</v>
      </c>
      <c r="C250" s="93">
        <v>44</v>
      </c>
      <c r="D250" s="94" t="s">
        <v>318</v>
      </c>
      <c r="E250" s="93">
        <v>457180</v>
      </c>
      <c r="F250" s="94" t="s">
        <v>320</v>
      </c>
      <c r="G250" s="95">
        <v>2.2652346622280293</v>
      </c>
      <c r="H250" s="96">
        <v>140.41483021770097</v>
      </c>
      <c r="I250" s="97">
        <v>1.3673645927938747</v>
      </c>
      <c r="J250" s="98">
        <v>0.88941600308772539</v>
      </c>
      <c r="K250" s="99">
        <v>93</v>
      </c>
      <c r="M250" s="89">
        <f t="shared" si="21"/>
        <v>1.3673645927938747</v>
      </c>
      <c r="N250" s="100"/>
      <c r="U250" s="92">
        <f t="shared" si="23"/>
        <v>8834074.8881132491</v>
      </c>
      <c r="V250" s="92">
        <f t="shared" si="24"/>
        <v>1229460.9669945196</v>
      </c>
      <c r="W250" s="92">
        <f t="shared" si="25"/>
        <v>540705.95731312386</v>
      </c>
      <c r="X250" s="92">
        <f t="shared" si="26"/>
        <v>290647.16352535662</v>
      </c>
      <c r="Y250" s="92">
        <f t="shared" si="22"/>
        <v>-50668.226615361353</v>
      </c>
      <c r="Z250" s="92">
        <f t="shared" si="27"/>
        <v>-325765.75350765849</v>
      </c>
    </row>
    <row r="251" spans="1:26" ht="19.5" thickBot="1" x14ac:dyDescent="0.35">
      <c r="A251" s="93">
        <v>160</v>
      </c>
      <c r="B251" s="94" t="s">
        <v>275</v>
      </c>
      <c r="C251" s="93">
        <v>44</v>
      </c>
      <c r="D251" s="94" t="s">
        <v>318</v>
      </c>
      <c r="E251" s="93">
        <v>557182</v>
      </c>
      <c r="F251" s="94" t="s">
        <v>321</v>
      </c>
      <c r="G251" s="95">
        <v>2.8398721827825186</v>
      </c>
      <c r="H251" s="96">
        <v>207.55302582754973</v>
      </c>
      <c r="I251" s="97">
        <v>1.3373514894528791</v>
      </c>
      <c r="J251" s="98">
        <v>0.89184327738214531</v>
      </c>
      <c r="K251" s="99">
        <v>96</v>
      </c>
      <c r="M251" s="89">
        <f t="shared" si="21"/>
        <v>1.3373514894528791</v>
      </c>
      <c r="N251" s="100"/>
      <c r="U251" s="92">
        <f t="shared" si="23"/>
        <v>11105299.495309001</v>
      </c>
      <c r="V251" s="92">
        <f t="shared" si="24"/>
        <v>1571571.3145189581</v>
      </c>
      <c r="W251" s="92">
        <f t="shared" si="25"/>
        <v>708095.12577723654</v>
      </c>
      <c r="X251" s="92">
        <f t="shared" si="26"/>
        <v>394602.21293280798</v>
      </c>
      <c r="Y251" s="92">
        <f t="shared" si="22"/>
        <v>-33296.979225418916</v>
      </c>
      <c r="Z251" s="92">
        <f t="shared" si="27"/>
        <v>-378180.3713086436</v>
      </c>
    </row>
    <row r="252" spans="1:26" ht="19.5" thickBot="1" x14ac:dyDescent="0.35">
      <c r="A252" s="93">
        <v>160</v>
      </c>
      <c r="B252" s="94" t="s">
        <v>275</v>
      </c>
      <c r="C252" s="93">
        <v>44</v>
      </c>
      <c r="D252" s="94" t="s">
        <v>318</v>
      </c>
      <c r="E252" s="93">
        <v>457192</v>
      </c>
      <c r="F252" s="94" t="s">
        <v>322</v>
      </c>
      <c r="G252" s="95">
        <v>2.6045092899078925</v>
      </c>
      <c r="H252" s="96">
        <v>209.65618787226936</v>
      </c>
      <c r="I252" s="97">
        <v>0.86951134164704336</v>
      </c>
      <c r="J252" s="98">
        <v>0.92967929692883355</v>
      </c>
      <c r="K252" s="99">
        <v>172</v>
      </c>
      <c r="M252" s="89">
        <f t="shared" si="21"/>
        <v>0.86951134164704336</v>
      </c>
      <c r="N252" s="100"/>
      <c r="U252" s="92">
        <f t="shared" si="23"/>
        <v>10617004.69114013</v>
      </c>
      <c r="V252" s="92">
        <f t="shared" si="24"/>
        <v>1873412.7207454883</v>
      </c>
      <c r="W252" s="92">
        <f t="shared" si="25"/>
        <v>1081499.7012698858</v>
      </c>
      <c r="X252" s="92">
        <f t="shared" si="26"/>
        <v>793988.45031506487</v>
      </c>
      <c r="Y252" s="92">
        <f t="shared" si="22"/>
        <v>401552.68229813088</v>
      </c>
      <c r="Z252" s="92">
        <f t="shared" si="27"/>
        <v>85252.531868264094</v>
      </c>
    </row>
    <row r="253" spans="1:26" ht="19.5" thickBot="1" x14ac:dyDescent="0.35">
      <c r="A253" s="93">
        <v>160</v>
      </c>
      <c r="B253" s="94" t="s">
        <v>275</v>
      </c>
      <c r="C253" s="93">
        <v>44</v>
      </c>
      <c r="D253" s="94" t="s">
        <v>318</v>
      </c>
      <c r="E253" s="93">
        <v>557303</v>
      </c>
      <c r="F253" s="94" t="s">
        <v>323</v>
      </c>
      <c r="G253" s="95">
        <v>3.4099257872156699</v>
      </c>
      <c r="H253" s="96">
        <v>107.18085119923585</v>
      </c>
      <c r="I253" s="97">
        <v>0.72121831050408558</v>
      </c>
      <c r="J253" s="98">
        <v>0.94167232072398521</v>
      </c>
      <c r="K253" s="99">
        <v>199</v>
      </c>
      <c r="M253" s="89">
        <f t="shared" si="21"/>
        <v>0.72121831050408558</v>
      </c>
      <c r="N253" s="100"/>
      <c r="U253" s="92">
        <f t="shared" si="23"/>
        <v>14079514.225944528</v>
      </c>
      <c r="V253" s="92">
        <f t="shared" si="24"/>
        <v>2632060.4394406751</v>
      </c>
      <c r="W253" s="92">
        <f t="shared" si="25"/>
        <v>1595256.8324022146</v>
      </c>
      <c r="X253" s="92">
        <f t="shared" si="26"/>
        <v>1218835.8180697411</v>
      </c>
      <c r="Y253" s="92">
        <f t="shared" si="22"/>
        <v>705043.50779771514</v>
      </c>
      <c r="Z253" s="92">
        <f t="shared" si="27"/>
        <v>290930.9363316556</v>
      </c>
    </row>
    <row r="254" spans="1:26" ht="19.5" thickBot="1" x14ac:dyDescent="0.35">
      <c r="A254" s="93">
        <v>160</v>
      </c>
      <c r="B254" s="94" t="s">
        <v>275</v>
      </c>
      <c r="C254" s="93">
        <v>44</v>
      </c>
      <c r="D254" s="94" t="s">
        <v>318</v>
      </c>
      <c r="E254" s="93">
        <v>457306</v>
      </c>
      <c r="F254" s="94" t="s">
        <v>324</v>
      </c>
      <c r="G254" s="95">
        <v>2.7703810879421567</v>
      </c>
      <c r="H254" s="96">
        <v>127.66530508722003</v>
      </c>
      <c r="I254" s="97">
        <v>0.95047008581621484</v>
      </c>
      <c r="J254" s="98">
        <v>0.92313185408702902</v>
      </c>
      <c r="K254" s="99">
        <v>153</v>
      </c>
      <c r="M254" s="89">
        <f t="shared" si="21"/>
        <v>0.95047008581621484</v>
      </c>
      <c r="N254" s="100"/>
      <c r="U254" s="92">
        <f t="shared" si="23"/>
        <v>11213629.161353568</v>
      </c>
      <c r="V254" s="92">
        <f t="shared" si="24"/>
        <v>1913189.3705164783</v>
      </c>
      <c r="W254" s="92">
        <f t="shared" si="25"/>
        <v>1070842.268530152</v>
      </c>
      <c r="X254" s="92">
        <f t="shared" si="26"/>
        <v>765020.46351597365</v>
      </c>
      <c r="Y254" s="92">
        <f t="shared" si="22"/>
        <v>347591.87757892074</v>
      </c>
      <c r="Z254" s="92">
        <f t="shared" si="27"/>
        <v>11147.711969839322</v>
      </c>
    </row>
    <row r="255" spans="1:26" ht="19.5" thickBot="1" x14ac:dyDescent="0.35">
      <c r="A255" s="93">
        <v>160</v>
      </c>
      <c r="B255" s="94" t="s">
        <v>275</v>
      </c>
      <c r="C255" s="93">
        <v>44</v>
      </c>
      <c r="D255" s="94" t="s">
        <v>318</v>
      </c>
      <c r="E255" s="93">
        <v>557307</v>
      </c>
      <c r="F255" s="94" t="s">
        <v>325</v>
      </c>
      <c r="G255" s="95">
        <v>3.0557347686989251</v>
      </c>
      <c r="H255" s="96">
        <v>189.80700188418288</v>
      </c>
      <c r="I255" s="97">
        <v>0.89175318254477898</v>
      </c>
      <c r="J255" s="98">
        <v>0.9278805143085137</v>
      </c>
      <c r="K255" s="99">
        <v>165</v>
      </c>
      <c r="M255" s="89">
        <f t="shared" si="21"/>
        <v>0.89175318254477898</v>
      </c>
      <c r="N255" s="100"/>
      <c r="U255" s="92">
        <f t="shared" si="23"/>
        <v>12432276.16855081</v>
      </c>
      <c r="V255" s="92">
        <f t="shared" si="24"/>
        <v>2173876.211683495</v>
      </c>
      <c r="W255" s="92">
        <f t="shared" si="25"/>
        <v>1244766.0116263758</v>
      </c>
      <c r="X255" s="92">
        <f t="shared" si="26"/>
        <v>907444.07181258546</v>
      </c>
      <c r="Y255" s="92">
        <f t="shared" si="22"/>
        <v>447019.67422757263</v>
      </c>
      <c r="Z255" s="92">
        <f t="shared" si="27"/>
        <v>75921.221725057185</v>
      </c>
    </row>
    <row r="256" spans="1:26" ht="19.5" thickBot="1" x14ac:dyDescent="0.35">
      <c r="A256" s="93">
        <v>160</v>
      </c>
      <c r="B256" s="94" t="s">
        <v>275</v>
      </c>
      <c r="C256" s="93">
        <v>44</v>
      </c>
      <c r="D256" s="94" t="s">
        <v>318</v>
      </c>
      <c r="E256" s="93">
        <v>557347</v>
      </c>
      <c r="F256" s="94" t="s">
        <v>326</v>
      </c>
      <c r="G256" s="95">
        <v>2.9172250003730302</v>
      </c>
      <c r="H256" s="96">
        <v>190.4899104213564</v>
      </c>
      <c r="I256" s="97">
        <v>0.86999887450418256</v>
      </c>
      <c r="J256" s="98">
        <v>0.92963986828467204</v>
      </c>
      <c r="K256" s="99">
        <v>171</v>
      </c>
      <c r="M256" s="89">
        <f t="shared" si="21"/>
        <v>0.86999887450418256</v>
      </c>
      <c r="N256" s="100"/>
      <c r="U256" s="92">
        <f t="shared" si="23"/>
        <v>11891252.633249903</v>
      </c>
      <c r="V256" s="92">
        <f t="shared" si="24"/>
        <v>2097843.4916767571</v>
      </c>
      <c r="W256" s="92">
        <f t="shared" si="25"/>
        <v>1210847.8232463247</v>
      </c>
      <c r="X256" s="92">
        <f t="shared" si="26"/>
        <v>888815.94859573036</v>
      </c>
      <c r="Y256" s="92">
        <f t="shared" si="22"/>
        <v>449261.58112404542</v>
      </c>
      <c r="Z256" s="92">
        <f t="shared" si="27"/>
        <v>94984.20917103962</v>
      </c>
    </row>
    <row r="257" spans="1:26" ht="19.5" thickBot="1" x14ac:dyDescent="0.35">
      <c r="A257" s="93">
        <v>160</v>
      </c>
      <c r="B257" s="94" t="s">
        <v>275</v>
      </c>
      <c r="C257" s="93">
        <v>44</v>
      </c>
      <c r="D257" s="94" t="s">
        <v>318</v>
      </c>
      <c r="E257" s="93">
        <v>457348</v>
      </c>
      <c r="F257" s="94" t="s">
        <v>327</v>
      </c>
      <c r="G257" s="95">
        <v>7.9687895544253466</v>
      </c>
      <c r="H257" s="96">
        <v>164.86828156610073</v>
      </c>
      <c r="I257" s="97">
        <v>0.71596521793345724</v>
      </c>
      <c r="J257" s="98">
        <v>0.94209715838299124</v>
      </c>
      <c r="K257" s="99">
        <v>200</v>
      </c>
      <c r="M257" s="89">
        <f t="shared" si="21"/>
        <v>0.71596521793345724</v>
      </c>
      <c r="N257" s="100"/>
      <c r="U257" s="92">
        <f t="shared" si="23"/>
        <v>32917814.256214567</v>
      </c>
      <c r="V257" s="92">
        <f t="shared" si="24"/>
        <v>6165809.7109352415</v>
      </c>
      <c r="W257" s="92">
        <f t="shared" si="25"/>
        <v>3742862.6237187525</v>
      </c>
      <c r="X257" s="92">
        <f t="shared" si="26"/>
        <v>2863189.5650484315</v>
      </c>
      <c r="Y257" s="92">
        <f t="shared" si="22"/>
        <v>1662488.1273250801</v>
      </c>
      <c r="Z257" s="92">
        <f t="shared" si="27"/>
        <v>694732.18781840033</v>
      </c>
    </row>
    <row r="258" spans="1:26" ht="19.5" thickBot="1" x14ac:dyDescent="0.35">
      <c r="A258" s="93">
        <v>160</v>
      </c>
      <c r="B258" s="94" t="s">
        <v>275</v>
      </c>
      <c r="C258" s="93">
        <v>44</v>
      </c>
      <c r="D258" s="94" t="s">
        <v>318</v>
      </c>
      <c r="E258" s="93">
        <v>457350</v>
      </c>
      <c r="F258" s="94" t="s">
        <v>328</v>
      </c>
      <c r="G258" s="95">
        <v>9.0017407223157058</v>
      </c>
      <c r="H258" s="96">
        <v>158.59553402386152</v>
      </c>
      <c r="I258" s="97">
        <v>0.8403032751485543</v>
      </c>
      <c r="J258" s="98">
        <v>0.93204146481917127</v>
      </c>
      <c r="K258" s="99">
        <v>176</v>
      </c>
      <c r="M258" s="89">
        <f t="shared" si="21"/>
        <v>0.8403032751485543</v>
      </c>
      <c r="N258" s="100"/>
      <c r="U258" s="92">
        <f t="shared" si="23"/>
        <v>36787872.463006109</v>
      </c>
      <c r="V258" s="92">
        <f t="shared" si="24"/>
        <v>6568149.9977437397</v>
      </c>
      <c r="W258" s="92">
        <f t="shared" si="25"/>
        <v>3831129.3606633395</v>
      </c>
      <c r="X258" s="92">
        <f t="shared" si="26"/>
        <v>2837429.032592915</v>
      </c>
      <c r="Y258" s="92">
        <f t="shared" si="22"/>
        <v>1481087.1498668201</v>
      </c>
      <c r="Z258" s="92">
        <f t="shared" si="27"/>
        <v>387886.23266072053</v>
      </c>
    </row>
    <row r="259" spans="1:26" ht="19.5" thickBot="1" x14ac:dyDescent="0.35">
      <c r="A259" s="93">
        <v>160</v>
      </c>
      <c r="B259" s="94" t="s">
        <v>275</v>
      </c>
      <c r="C259" s="93">
        <v>44</v>
      </c>
      <c r="D259" s="94" t="s">
        <v>318</v>
      </c>
      <c r="E259" s="93">
        <v>557352</v>
      </c>
      <c r="F259" s="94" t="s">
        <v>329</v>
      </c>
      <c r="G259" s="95">
        <v>3.7659220906912432</v>
      </c>
      <c r="H259" s="96">
        <v>242.91444394487917</v>
      </c>
      <c r="I259" s="97">
        <v>1.4381127998338159</v>
      </c>
      <c r="J259" s="98">
        <v>0.88369432538004966</v>
      </c>
      <c r="K259" s="99">
        <v>85</v>
      </c>
      <c r="M259" s="89">
        <f t="shared" si="21"/>
        <v>1.4381127998338159</v>
      </c>
      <c r="N259" s="100"/>
      <c r="U259" s="92">
        <f t="shared" si="23"/>
        <v>14592050.902320327</v>
      </c>
      <c r="V259" s="92">
        <f t="shared" si="24"/>
        <v>1949482.7683190722</v>
      </c>
      <c r="W259" s="92">
        <f t="shared" si="25"/>
        <v>804436.84911075805</v>
      </c>
      <c r="X259" s="92">
        <f t="shared" si="26"/>
        <v>388717.47522005311</v>
      </c>
      <c r="Y259" s="92">
        <f t="shared" si="22"/>
        <v>-178714.75997255792</v>
      </c>
      <c r="Z259" s="92">
        <f t="shared" si="27"/>
        <v>-636060.69012853131</v>
      </c>
    </row>
    <row r="260" spans="1:26" ht="19.5" thickBot="1" x14ac:dyDescent="0.35">
      <c r="A260" s="93">
        <v>160</v>
      </c>
      <c r="B260" s="94" t="s">
        <v>275</v>
      </c>
      <c r="C260" s="93">
        <v>44</v>
      </c>
      <c r="D260" s="94" t="s">
        <v>318</v>
      </c>
      <c r="E260" s="93">
        <v>457449</v>
      </c>
      <c r="F260" s="94" t="s">
        <v>330</v>
      </c>
      <c r="G260" s="95">
        <v>2.5137664021459973</v>
      </c>
      <c r="H260" s="96">
        <v>150.38814057156122</v>
      </c>
      <c r="I260" s="97">
        <v>1.2963439929692946</v>
      </c>
      <c r="J260" s="98">
        <v>0.89515971024022822</v>
      </c>
      <c r="K260" s="99">
        <v>101</v>
      </c>
      <c r="M260" s="89">
        <f t="shared" si="21"/>
        <v>1.2963439929692946</v>
      </c>
      <c r="N260" s="100"/>
      <c r="U260" s="92">
        <f t="shared" si="23"/>
        <v>9866619.564280225</v>
      </c>
      <c r="V260" s="92">
        <f t="shared" si="24"/>
        <v>1427660.3275370682</v>
      </c>
      <c r="W260" s="92">
        <f t="shared" si="25"/>
        <v>663338.10012425727</v>
      </c>
      <c r="X260" s="92">
        <f t="shared" si="26"/>
        <v>385843.93809930468</v>
      </c>
      <c r="Y260" s="92">
        <f t="shared" si="22"/>
        <v>7080.9010604864352</v>
      </c>
      <c r="Z260" s="92">
        <f t="shared" si="27"/>
        <v>-298199.13546126563</v>
      </c>
    </row>
    <row r="261" spans="1:26" ht="19.5" thickBot="1" x14ac:dyDescent="0.35">
      <c r="A261" s="93">
        <v>160</v>
      </c>
      <c r="B261" s="94" t="s">
        <v>275</v>
      </c>
      <c r="C261" s="93">
        <v>44</v>
      </c>
      <c r="D261" s="94" t="s">
        <v>318</v>
      </c>
      <c r="E261" s="93">
        <v>557508</v>
      </c>
      <c r="F261" s="94" t="s">
        <v>331</v>
      </c>
      <c r="G261" s="95">
        <v>2.6468734470179118</v>
      </c>
      <c r="H261" s="96">
        <v>123.31412106904223</v>
      </c>
      <c r="I261" s="97">
        <v>0.81127466464983145</v>
      </c>
      <c r="J261" s="98">
        <v>0.93438911941742253</v>
      </c>
      <c r="K261" s="99">
        <v>182</v>
      </c>
      <c r="M261" s="89">
        <f t="shared" ref="M261:M297" si="28">I261</f>
        <v>0.81127466464983145</v>
      </c>
      <c r="N261" s="100"/>
      <c r="U261" s="92">
        <f t="shared" si="23"/>
        <v>10844359.05295898</v>
      </c>
      <c r="V261" s="92">
        <f t="shared" si="24"/>
        <v>1958546.4710368568</v>
      </c>
      <c r="W261" s="92">
        <f t="shared" si="25"/>
        <v>1153752.434893535</v>
      </c>
      <c r="X261" s="92">
        <f t="shared" si="26"/>
        <v>861564.61324897059</v>
      </c>
      <c r="Y261" s="92">
        <f t="shared" si="22"/>
        <v>462745.60421374533</v>
      </c>
      <c r="Z261" s="92">
        <f t="shared" si="27"/>
        <v>141300.61159857482</v>
      </c>
    </row>
    <row r="262" spans="1:26" ht="19.5" thickBot="1" x14ac:dyDescent="0.35">
      <c r="A262" s="93">
        <v>160</v>
      </c>
      <c r="B262" s="94" t="s">
        <v>275</v>
      </c>
      <c r="C262" s="93">
        <v>44</v>
      </c>
      <c r="D262" s="94" t="s">
        <v>318</v>
      </c>
      <c r="E262" s="93">
        <v>557622</v>
      </c>
      <c r="F262" s="94" t="s">
        <v>332</v>
      </c>
      <c r="G262" s="95">
        <v>2.5572602827516584</v>
      </c>
      <c r="H262" s="96">
        <v>111.69470727189895</v>
      </c>
      <c r="I262" s="97">
        <v>0.58195989127029546</v>
      </c>
      <c r="J262" s="98">
        <v>0.95293468094869449</v>
      </c>
      <c r="K262" s="99">
        <v>228</v>
      </c>
      <c r="M262" s="89">
        <f t="shared" si="28"/>
        <v>0.58195989127029546</v>
      </c>
      <c r="N262" s="100"/>
      <c r="U262" s="92">
        <f t="shared" si="23"/>
        <v>10685159.395770431</v>
      </c>
      <c r="V262" s="92">
        <f t="shared" si="24"/>
        <v>2100186.9554274478</v>
      </c>
      <c r="W262" s="92">
        <f t="shared" si="25"/>
        <v>1322640.2137260521</v>
      </c>
      <c r="X262" s="92">
        <f t="shared" si="26"/>
        <v>1040344.7710643712</v>
      </c>
      <c r="Y262" s="92">
        <f t="shared" ref="Y262:Y297" si="29">((((($R$5-$M262)))/0.003)*G262*1000)+(((((($R$5/$O$2)-($M262/$O$2))))/0.003)*G262*1000)*$O$3</f>
        <v>655028.27134232968</v>
      </c>
      <c r="Z262" s="92">
        <f t="shared" si="27"/>
        <v>344466.19530869875</v>
      </c>
    </row>
    <row r="263" spans="1:26" ht="19.5" thickBot="1" x14ac:dyDescent="0.35">
      <c r="A263" s="93">
        <v>160</v>
      </c>
      <c r="B263" s="94" t="s">
        <v>275</v>
      </c>
      <c r="C263" s="93">
        <v>44</v>
      </c>
      <c r="D263" s="94" t="s">
        <v>318</v>
      </c>
      <c r="E263" s="93">
        <v>557628</v>
      </c>
      <c r="F263" s="94" t="s">
        <v>333</v>
      </c>
      <c r="G263" s="95">
        <v>2.2781598815647484</v>
      </c>
      <c r="H263" s="96">
        <v>185.63003712431967</v>
      </c>
      <c r="I263" s="97">
        <v>1.465555814228795</v>
      </c>
      <c r="J263" s="98">
        <v>0.8814749039944797</v>
      </c>
      <c r="K263" s="99">
        <v>80</v>
      </c>
      <c r="M263" s="89">
        <f t="shared" si="28"/>
        <v>1.465555814228795</v>
      </c>
      <c r="N263" s="100"/>
      <c r="U263" s="92">
        <f t="shared" ref="U263:U297" si="30">((((($N$5-$M263)))/0.003)*G263*1000)+(((((($N$5/$O$2)-($M263/$O$2))))/0.003)*G263*1000)*$O$3</f>
        <v>8805156.7268743757</v>
      </c>
      <c r="V263" s="92">
        <f t="shared" ref="V263:V297" si="31">((((($O$5-$M263)))/0.003)*G263*1000)+(((((($O$5/$O$2)-($M263/$O$2))))/0.003)*G263*1000)*$O$3</f>
        <v>1157151.582523677</v>
      </c>
      <c r="W263" s="92">
        <f t="shared" ref="W263:W297" si="32">((((($P$5-$M263)))/0.003)*G263*1000)+(((((($P$5/$O$2)-($M263/$O$2))))/0.003)*G263*1000)*$O$3</f>
        <v>464466.60050085554</v>
      </c>
      <c r="X263" s="92">
        <f t="shared" ref="X263:X297" si="33">((((($Q$5-$M263)))/0.003)*G263*1000)+(((((($Q$5/$O$2)-($M263/$O$2))))/0.003)*G263*1000)*$O$3</f>
        <v>212980.99437850958</v>
      </c>
      <c r="Y263" s="92">
        <f t="shared" si="29"/>
        <v>-130281.90978984009</v>
      </c>
      <c r="Z263" s="92">
        <f t="shared" ref="Z263:Z297" si="34">((((($S$5-$M263)))/0.003)*G263*1000)+(((((($S$5/$O$2)-($M263/$O$2))))/0.003)*G263*1000)*$O$3</f>
        <v>-406949.11771049246</v>
      </c>
    </row>
    <row r="264" spans="1:26" ht="19.5" thickBot="1" x14ac:dyDescent="0.35">
      <c r="A264" s="93">
        <v>160</v>
      </c>
      <c r="B264" s="94" t="s">
        <v>275</v>
      </c>
      <c r="C264" s="93">
        <v>44</v>
      </c>
      <c r="D264" s="94" t="s">
        <v>318</v>
      </c>
      <c r="E264" s="93">
        <v>457632</v>
      </c>
      <c r="F264" s="94" t="s">
        <v>334</v>
      </c>
      <c r="G264" s="95">
        <v>8.7272633833985207</v>
      </c>
      <c r="H264" s="96">
        <v>200.51264004805978</v>
      </c>
      <c r="I264" s="97">
        <v>1.1836783479974733</v>
      </c>
      <c r="J264" s="98">
        <v>0.90427141124619503</v>
      </c>
      <c r="K264" s="99">
        <v>117</v>
      </c>
      <c r="M264" s="89">
        <f t="shared" si="28"/>
        <v>1.1836783479974733</v>
      </c>
      <c r="N264" s="100"/>
      <c r="U264" s="92">
        <f t="shared" si="30"/>
        <v>34603483.603643164</v>
      </c>
      <c r="V264" s="92">
        <f t="shared" si="31"/>
        <v>5305208.3629735233</v>
      </c>
      <c r="W264" s="92">
        <f t="shared" si="32"/>
        <v>2651643.8222417841</v>
      </c>
      <c r="X264" s="92">
        <f t="shared" si="33"/>
        <v>1688242.9918067167</v>
      </c>
      <c r="Y264" s="92">
        <f t="shared" si="29"/>
        <v>373258.12236469449</v>
      </c>
      <c r="Z264" s="92">
        <f t="shared" si="34"/>
        <v>-686609.36657317053</v>
      </c>
    </row>
    <row r="265" spans="1:26" ht="19.5" thickBot="1" x14ac:dyDescent="0.35">
      <c r="A265" s="93">
        <v>160</v>
      </c>
      <c r="B265" s="94" t="s">
        <v>275</v>
      </c>
      <c r="C265" s="93">
        <v>44</v>
      </c>
      <c r="D265" s="94" t="s">
        <v>318</v>
      </c>
      <c r="E265" s="93">
        <v>557633</v>
      </c>
      <c r="F265" s="94" t="s">
        <v>335</v>
      </c>
      <c r="G265" s="95">
        <v>2.0694097089783541</v>
      </c>
      <c r="H265" s="96">
        <v>340.53753016743536</v>
      </c>
      <c r="I265" s="97">
        <v>1.1939495900112467</v>
      </c>
      <c r="J265" s="98">
        <v>0.90344073667620661</v>
      </c>
      <c r="K265" s="99">
        <v>116</v>
      </c>
      <c r="M265" s="89">
        <f t="shared" si="28"/>
        <v>1.1939495900112467</v>
      </c>
      <c r="N265" s="100"/>
      <c r="U265" s="92">
        <f t="shared" si="30"/>
        <v>8197644.6798627926</v>
      </c>
      <c r="V265" s="92">
        <f t="shared" si="31"/>
        <v>1250434.2456394073</v>
      </c>
      <c r="W265" s="92">
        <f t="shared" si="32"/>
        <v>621220.71297155856</v>
      </c>
      <c r="X265" s="92">
        <f t="shared" si="33"/>
        <v>392778.99595719541</v>
      </c>
      <c r="Y265" s="92">
        <f t="shared" si="29"/>
        <v>80969.630703082541</v>
      </c>
      <c r="Z265" s="92">
        <f t="shared" si="34"/>
        <v>-170346.27160035222</v>
      </c>
    </row>
    <row r="266" spans="1:26" ht="19.5" thickBot="1" x14ac:dyDescent="0.35">
      <c r="A266" s="93">
        <v>160</v>
      </c>
      <c r="B266" s="94" t="s">
        <v>275</v>
      </c>
      <c r="C266" s="93">
        <v>44</v>
      </c>
      <c r="D266" s="94" t="s">
        <v>318</v>
      </c>
      <c r="E266" s="93">
        <v>457634</v>
      </c>
      <c r="F266" s="94" t="s">
        <v>336</v>
      </c>
      <c r="G266" s="95">
        <v>1.4936029656191039</v>
      </c>
      <c r="H266" s="96">
        <v>88.772464404581982</v>
      </c>
      <c r="I266" s="97">
        <v>0.86460841872037764</v>
      </c>
      <c r="J266" s="98">
        <v>0.93007581503135062</v>
      </c>
      <c r="K266" s="99">
        <v>173</v>
      </c>
      <c r="M266" s="89">
        <f t="shared" si="28"/>
        <v>0.86460841872037764</v>
      </c>
      <c r="N266" s="100"/>
      <c r="U266" s="92">
        <f t="shared" si="30"/>
        <v>6091110.2082527168</v>
      </c>
      <c r="V266" s="92">
        <f t="shared" si="31"/>
        <v>1076939.2288101108</v>
      </c>
      <c r="W266" s="92">
        <f t="shared" si="32"/>
        <v>622802.38276992319</v>
      </c>
      <c r="X266" s="92">
        <f t="shared" si="33"/>
        <v>457923.85507990845</v>
      </c>
      <c r="Y266" s="92">
        <f t="shared" si="29"/>
        <v>232874.46508681998</v>
      </c>
      <c r="Z266" s="92">
        <f t="shared" si="34"/>
        <v>51486.422226537143</v>
      </c>
    </row>
    <row r="267" spans="1:26" ht="19.5" thickBot="1" x14ac:dyDescent="0.35">
      <c r="A267" s="93">
        <v>160</v>
      </c>
      <c r="B267" s="94" t="s">
        <v>275</v>
      </c>
      <c r="C267" s="93">
        <v>44</v>
      </c>
      <c r="D267" s="94" t="s">
        <v>318</v>
      </c>
      <c r="E267" s="93">
        <v>557660</v>
      </c>
      <c r="F267" s="94" t="s">
        <v>545</v>
      </c>
      <c r="G267" s="95">
        <v>1.9227562633698749</v>
      </c>
      <c r="H267" s="96">
        <v>280.99889023534837</v>
      </c>
      <c r="I267" s="97">
        <v>1.6339453202944241</v>
      </c>
      <c r="J267" s="98">
        <v>0.86785660151907829</v>
      </c>
      <c r="K267" s="99">
        <v>57</v>
      </c>
      <c r="M267" s="89">
        <f t="shared" si="28"/>
        <v>1.6339453202944241</v>
      </c>
      <c r="N267" s="100"/>
      <c r="U267" s="92">
        <f t="shared" si="30"/>
        <v>7316698.2538577663</v>
      </c>
      <c r="V267" s="92">
        <f t="shared" si="31"/>
        <v>861817.75465194974</v>
      </c>
      <c r="W267" s="92">
        <f t="shared" si="32"/>
        <v>277194.87611550465</v>
      </c>
      <c r="X267" s="92">
        <f t="shared" si="33"/>
        <v>64942.20314376046</v>
      </c>
      <c r="Y267" s="92">
        <f t="shared" si="29"/>
        <v>-224770.0792615028</v>
      </c>
      <c r="Z267" s="92">
        <f t="shared" si="34"/>
        <v>-458275.90613661736</v>
      </c>
    </row>
    <row r="268" spans="1:26" ht="19.5" thickBot="1" x14ac:dyDescent="0.35">
      <c r="A268" s="93">
        <v>160</v>
      </c>
      <c r="B268" s="94" t="s">
        <v>275</v>
      </c>
      <c r="C268" s="93">
        <v>44</v>
      </c>
      <c r="D268" s="94" t="s">
        <v>318</v>
      </c>
      <c r="E268" s="93">
        <v>457158</v>
      </c>
      <c r="F268" s="94" t="s">
        <v>338</v>
      </c>
      <c r="G268" s="95">
        <v>4.3844463775093123</v>
      </c>
      <c r="H268" s="96">
        <v>223.54612801919666</v>
      </c>
      <c r="I268" s="97">
        <v>1.481511776930428</v>
      </c>
      <c r="J268" s="98">
        <v>0.8801844843511536</v>
      </c>
      <c r="K268" s="99">
        <v>75</v>
      </c>
      <c r="M268" s="89">
        <f t="shared" si="28"/>
        <v>1.481511776930428</v>
      </c>
      <c r="N268" s="100"/>
      <c r="U268" s="92">
        <f t="shared" si="30"/>
        <v>16921209.80523099</v>
      </c>
      <c r="V268" s="92">
        <f t="shared" si="31"/>
        <v>2202195.252446644</v>
      </c>
      <c r="W268" s="92">
        <f t="shared" si="32"/>
        <v>869084.18119949277</v>
      </c>
      <c r="X268" s="92">
        <f t="shared" si="33"/>
        <v>385086.03704750375</v>
      </c>
      <c r="Y268" s="92">
        <f t="shared" si="29"/>
        <v>-275542.66109308915</v>
      </c>
      <c r="Z268" s="92">
        <f t="shared" si="34"/>
        <v>-808004.20927475195</v>
      </c>
    </row>
    <row r="269" spans="1:26" ht="19.5" thickBot="1" x14ac:dyDescent="0.35">
      <c r="A269" s="93">
        <v>80</v>
      </c>
      <c r="B269" s="94" t="s">
        <v>339</v>
      </c>
      <c r="C269" s="93">
        <v>57</v>
      </c>
      <c r="D269" s="94" t="s">
        <v>340</v>
      </c>
      <c r="E269" s="93">
        <v>588201</v>
      </c>
      <c r="F269" s="94" t="s">
        <v>341</v>
      </c>
      <c r="G269" s="95">
        <v>3.4164164511271813</v>
      </c>
      <c r="H269" s="96">
        <v>130.82314022710511</v>
      </c>
      <c r="I269" s="97">
        <v>0.88717599529764368</v>
      </c>
      <c r="J269" s="98">
        <v>0.92825068892256435</v>
      </c>
      <c r="K269" s="99">
        <v>167</v>
      </c>
      <c r="M269" s="89">
        <f t="shared" si="28"/>
        <v>0.88717599529764368</v>
      </c>
      <c r="N269" s="100"/>
      <c r="U269" s="92">
        <f t="shared" si="30"/>
        <v>13905257.107458143</v>
      </c>
      <c r="V269" s="92">
        <f t="shared" si="31"/>
        <v>2436013.5285050473</v>
      </c>
      <c r="W269" s="92">
        <f t="shared" si="32"/>
        <v>1397236.4052743108</v>
      </c>
      <c r="X269" s="92">
        <f t="shared" si="33"/>
        <v>1020098.8878723506</v>
      </c>
      <c r="Y269" s="92">
        <f t="shared" si="29"/>
        <v>505328.59349908796</v>
      </c>
      <c r="Z269" s="92">
        <f t="shared" si="34"/>
        <v>90427.77451955009</v>
      </c>
    </row>
    <row r="270" spans="1:26" ht="19.5" thickBot="1" x14ac:dyDescent="0.35">
      <c r="A270" s="93">
        <v>80</v>
      </c>
      <c r="B270" s="94" t="s">
        <v>339</v>
      </c>
      <c r="C270" s="93">
        <v>57</v>
      </c>
      <c r="D270" s="94" t="s">
        <v>340</v>
      </c>
      <c r="E270" s="93">
        <v>588206</v>
      </c>
      <c r="F270" s="94" t="s">
        <v>342</v>
      </c>
      <c r="G270" s="95">
        <v>2.696068831168831</v>
      </c>
      <c r="H270" s="96">
        <v>192.48118823992417</v>
      </c>
      <c r="I270" s="97">
        <v>0.77546479987071137</v>
      </c>
      <c r="J270" s="98">
        <v>0.93728519994856452</v>
      </c>
      <c r="K270" s="99">
        <v>188</v>
      </c>
      <c r="M270" s="89">
        <f t="shared" si="28"/>
        <v>0.77546479987071137</v>
      </c>
      <c r="N270" s="100"/>
      <c r="U270" s="92">
        <f t="shared" si="30"/>
        <v>11080150.865712576</v>
      </c>
      <c r="V270" s="92">
        <f t="shared" si="31"/>
        <v>2029184.5761384182</v>
      </c>
      <c r="W270" s="92">
        <f t="shared" si="32"/>
        <v>1209432.4573504399</v>
      </c>
      <c r="X270" s="92">
        <f t="shared" si="33"/>
        <v>911813.96725203621</v>
      </c>
      <c r="Y270" s="92">
        <f t="shared" si="29"/>
        <v>505582.4185737535</v>
      </c>
      <c r="Z270" s="92">
        <f t="shared" si="34"/>
        <v>178162.97715638997</v>
      </c>
    </row>
    <row r="271" spans="1:26" ht="19.5" thickBot="1" x14ac:dyDescent="0.35">
      <c r="A271" s="93">
        <v>80</v>
      </c>
      <c r="B271" s="94" t="s">
        <v>339</v>
      </c>
      <c r="C271" s="93">
        <v>57</v>
      </c>
      <c r="D271" s="94" t="s">
        <v>340</v>
      </c>
      <c r="E271" s="93">
        <v>588216</v>
      </c>
      <c r="F271" s="94" t="s">
        <v>546</v>
      </c>
      <c r="G271" s="95">
        <v>1</v>
      </c>
      <c r="H271" s="96">
        <v>176.02198509999999</v>
      </c>
      <c r="I271" s="97">
        <v>1.5565246452999999</v>
      </c>
      <c r="J271" s="98">
        <v>0.87411790719398719</v>
      </c>
      <c r="K271" s="99">
        <v>67</v>
      </c>
      <c r="M271" s="89">
        <f t="shared" si="28"/>
        <v>1.5565246452999999</v>
      </c>
      <c r="N271" s="100"/>
      <c r="U271" s="92">
        <f t="shared" si="30"/>
        <v>3832771.7423293181</v>
      </c>
      <c r="V271" s="92">
        <f t="shared" si="31"/>
        <v>475674.11005177791</v>
      </c>
      <c r="W271" s="92">
        <f t="shared" si="32"/>
        <v>171619.51422286135</v>
      </c>
      <c r="X271" s="92">
        <f t="shared" si="33"/>
        <v>61229.717546425425</v>
      </c>
      <c r="Y271" s="92">
        <f t="shared" si="29"/>
        <v>-89445.793398214853</v>
      </c>
      <c r="Z271" s="92">
        <f t="shared" si="34"/>
        <v>-210889.07319586634</v>
      </c>
    </row>
    <row r="272" spans="1:26" ht="19.5" thickBot="1" x14ac:dyDescent="0.35">
      <c r="A272" s="93">
        <v>80</v>
      </c>
      <c r="B272" s="94" t="s">
        <v>339</v>
      </c>
      <c r="C272" s="93">
        <v>57</v>
      </c>
      <c r="D272" s="94" t="s">
        <v>340</v>
      </c>
      <c r="E272" s="93">
        <v>488256</v>
      </c>
      <c r="F272" s="94" t="s">
        <v>344</v>
      </c>
      <c r="G272" s="95">
        <v>2.4104500221611009</v>
      </c>
      <c r="H272" s="96">
        <v>157.35187557630701</v>
      </c>
      <c r="I272" s="97">
        <v>0.47332686237862465</v>
      </c>
      <c r="J272" s="98">
        <v>0.9617202488907326</v>
      </c>
      <c r="K272" s="99">
        <v>248</v>
      </c>
      <c r="M272" s="89">
        <f t="shared" si="28"/>
        <v>0.47332686237862465</v>
      </c>
      <c r="N272" s="100"/>
      <c r="U272" s="92">
        <f t="shared" si="30"/>
        <v>10164589.170898445</v>
      </c>
      <c r="V272" s="92">
        <f t="shared" si="31"/>
        <v>2072473.1087780693</v>
      </c>
      <c r="W272" s="92">
        <f t="shared" si="32"/>
        <v>1339564.701524073</v>
      </c>
      <c r="X272" s="92">
        <f t="shared" si="33"/>
        <v>1073475.6136789985</v>
      </c>
      <c r="Y272" s="92">
        <f t="shared" si="29"/>
        <v>710279.82498335512</v>
      </c>
      <c r="Z272" s="92">
        <f t="shared" si="34"/>
        <v>417546.8685037893</v>
      </c>
    </row>
    <row r="273" spans="1:26" ht="19.5" thickBot="1" x14ac:dyDescent="0.35">
      <c r="A273" s="93">
        <v>80</v>
      </c>
      <c r="B273" s="94" t="s">
        <v>339</v>
      </c>
      <c r="C273" s="93">
        <v>57</v>
      </c>
      <c r="D273" s="94" t="s">
        <v>340</v>
      </c>
      <c r="E273" s="93">
        <v>488281</v>
      </c>
      <c r="F273" s="94" t="s">
        <v>345</v>
      </c>
      <c r="G273" s="95">
        <v>4.4816822777970051</v>
      </c>
      <c r="H273" s="96">
        <v>118.42620038448871</v>
      </c>
      <c r="I273" s="97">
        <v>0.63388492186162859</v>
      </c>
      <c r="J273" s="98">
        <v>0.94873530541063911</v>
      </c>
      <c r="K273" s="99">
        <v>218</v>
      </c>
      <c r="M273" s="89">
        <f t="shared" si="28"/>
        <v>0.63388492186162859</v>
      </c>
      <c r="N273" s="100"/>
      <c r="U273" s="92">
        <f t="shared" si="30"/>
        <v>18643569.48227011</v>
      </c>
      <c r="V273" s="92">
        <f t="shared" si="31"/>
        <v>3598124.518857575</v>
      </c>
      <c r="W273" s="92">
        <f t="shared" si="32"/>
        <v>2235448.4252483882</v>
      </c>
      <c r="X273" s="92">
        <f t="shared" si="33"/>
        <v>1740716.4298339903</v>
      </c>
      <c r="Y273" s="92">
        <f t="shared" si="29"/>
        <v>1065436.6627353872</v>
      </c>
      <c r="Z273" s="92">
        <f t="shared" si="34"/>
        <v>521166.46790870954</v>
      </c>
    </row>
    <row r="274" spans="1:26" ht="19.5" thickBot="1" x14ac:dyDescent="0.35">
      <c r="A274" s="93">
        <v>80</v>
      </c>
      <c r="B274" s="94" t="s">
        <v>339</v>
      </c>
      <c r="C274" s="93">
        <v>57</v>
      </c>
      <c r="D274" s="94" t="s">
        <v>340</v>
      </c>
      <c r="E274" s="93">
        <v>488286</v>
      </c>
      <c r="F274" s="94" t="s">
        <v>346</v>
      </c>
      <c r="G274" s="95">
        <v>8.7604801060090036</v>
      </c>
      <c r="H274" s="96">
        <v>193.10880815077797</v>
      </c>
      <c r="I274" s="97">
        <v>0.95865294991531924</v>
      </c>
      <c r="J274" s="98">
        <v>0.92247007461501573</v>
      </c>
      <c r="K274" s="99">
        <v>151</v>
      </c>
      <c r="M274" s="89">
        <f t="shared" si="28"/>
        <v>0.95865294991531924</v>
      </c>
      <c r="N274" s="100"/>
      <c r="U274" s="92">
        <f t="shared" si="30"/>
        <v>35434240.845422983</v>
      </c>
      <c r="V274" s="92">
        <f t="shared" si="31"/>
        <v>6024453.823925674</v>
      </c>
      <c r="W274" s="92">
        <f t="shared" si="32"/>
        <v>3360789.586025842</v>
      </c>
      <c r="X274" s="92">
        <f t="shared" si="33"/>
        <v>2393721.9683355456</v>
      </c>
      <c r="Y274" s="92">
        <f t="shared" si="29"/>
        <v>1073732.1522422824</v>
      </c>
      <c r="Z274" s="92">
        <f t="shared" si="34"/>
        <v>9830.7155664716829</v>
      </c>
    </row>
    <row r="275" spans="1:26" ht="19.5" thickBot="1" x14ac:dyDescent="0.35">
      <c r="A275" s="93">
        <v>80</v>
      </c>
      <c r="B275" s="94" t="s">
        <v>339</v>
      </c>
      <c r="C275" s="93">
        <v>57</v>
      </c>
      <c r="D275" s="94" t="s">
        <v>340</v>
      </c>
      <c r="E275" s="93">
        <v>488291</v>
      </c>
      <c r="F275" s="94" t="s">
        <v>347</v>
      </c>
      <c r="G275" s="95">
        <v>1.8422613011112312</v>
      </c>
      <c r="H275" s="96">
        <v>70.469214395206805</v>
      </c>
      <c r="I275" s="97">
        <v>0.50328457165155371</v>
      </c>
      <c r="J275" s="98">
        <v>0.95929745452616044</v>
      </c>
      <c r="K275" s="99">
        <v>237</v>
      </c>
      <c r="M275" s="89">
        <f t="shared" si="28"/>
        <v>0.50328457165155371</v>
      </c>
      <c r="N275" s="100"/>
      <c r="U275" s="92">
        <f t="shared" si="30"/>
        <v>7749032.1024398962</v>
      </c>
      <c r="V275" s="92">
        <f t="shared" si="31"/>
        <v>1564381.0504428425</v>
      </c>
      <c r="W275" s="92">
        <f t="shared" si="32"/>
        <v>1004233.0351222135</v>
      </c>
      <c r="X275" s="92">
        <f t="shared" si="33"/>
        <v>800866.18466767832</v>
      </c>
      <c r="Y275" s="92">
        <f t="shared" si="29"/>
        <v>523282.52182920574</v>
      </c>
      <c r="Z275" s="92">
        <f t="shared" si="34"/>
        <v>299552.26717796904</v>
      </c>
    </row>
    <row r="276" spans="1:26" ht="19.5" thickBot="1" x14ac:dyDescent="0.35">
      <c r="A276" s="93">
        <v>80</v>
      </c>
      <c r="B276" s="94" t="s">
        <v>339</v>
      </c>
      <c r="C276" s="93">
        <v>57</v>
      </c>
      <c r="D276" s="94" t="s">
        <v>340</v>
      </c>
      <c r="E276" s="93">
        <v>488288</v>
      </c>
      <c r="F276" s="94" t="s">
        <v>348</v>
      </c>
      <c r="G276" s="95">
        <v>1.8752380952380938</v>
      </c>
      <c r="H276" s="96">
        <v>187.44350266378888</v>
      </c>
      <c r="I276" s="97">
        <v>1.1988937812265121</v>
      </c>
      <c r="J276" s="98">
        <v>0.90304088104957703</v>
      </c>
      <c r="K276" s="99">
        <v>115</v>
      </c>
      <c r="M276" s="89">
        <f t="shared" si="28"/>
        <v>1.1988937812265121</v>
      </c>
      <c r="N276" s="100"/>
      <c r="U276" s="92">
        <f t="shared" si="30"/>
        <v>7425176.2554487009</v>
      </c>
      <c r="V276" s="92">
        <f t="shared" si="31"/>
        <v>1129818.8859682526</v>
      </c>
      <c r="W276" s="92">
        <f t="shared" si="32"/>
        <v>559644.12483764661</v>
      </c>
      <c r="X276" s="92">
        <f t="shared" si="33"/>
        <v>352636.97278440639</v>
      </c>
      <c r="Y276" s="92">
        <f t="shared" si="29"/>
        <v>70084.514641552625</v>
      </c>
      <c r="Z276" s="92">
        <f t="shared" si="34"/>
        <v>-157650.55004566224</v>
      </c>
    </row>
    <row r="277" spans="1:26" ht="19.5" thickBot="1" x14ac:dyDescent="0.35">
      <c r="A277" s="93">
        <v>80</v>
      </c>
      <c r="B277" s="94" t="s">
        <v>339</v>
      </c>
      <c r="C277" s="93">
        <v>57</v>
      </c>
      <c r="D277" s="94" t="s">
        <v>340</v>
      </c>
      <c r="E277" s="93">
        <v>588336</v>
      </c>
      <c r="F277" s="94" t="s">
        <v>349</v>
      </c>
      <c r="G277" s="95">
        <v>4.0366848484848461</v>
      </c>
      <c r="H277" s="96">
        <v>165.76728831114053</v>
      </c>
      <c r="I277" s="97">
        <v>0.9618174588876568</v>
      </c>
      <c r="J277" s="98">
        <v>0.92221414868840468</v>
      </c>
      <c r="K277" s="99">
        <v>150</v>
      </c>
      <c r="M277" s="89">
        <f t="shared" si="28"/>
        <v>0.9618174588876568</v>
      </c>
      <c r="N277" s="100"/>
      <c r="U277" s="92">
        <f t="shared" si="30"/>
        <v>16322984.346442387</v>
      </c>
      <c r="V277" s="92">
        <f t="shared" si="31"/>
        <v>2771439.1993432906</v>
      </c>
      <c r="W277" s="92">
        <f t="shared" si="32"/>
        <v>1544066.6192485194</v>
      </c>
      <c r="X277" s="92">
        <f t="shared" si="33"/>
        <v>1098457.7995774276</v>
      </c>
      <c r="Y277" s="92">
        <f t="shared" si="29"/>
        <v>490228.24750948552</v>
      </c>
      <c r="Z277" s="92">
        <f t="shared" si="34"/>
        <v>0</v>
      </c>
    </row>
    <row r="278" spans="1:26" ht="19.5" thickBot="1" x14ac:dyDescent="0.35">
      <c r="A278" s="93">
        <v>80</v>
      </c>
      <c r="B278" s="94" t="s">
        <v>339</v>
      </c>
      <c r="C278" s="93">
        <v>57</v>
      </c>
      <c r="D278" s="94" t="s">
        <v>340</v>
      </c>
      <c r="E278" s="93">
        <v>588396</v>
      </c>
      <c r="F278" s="94" t="s">
        <v>350</v>
      </c>
      <c r="G278" s="95">
        <v>2.7711007085481154</v>
      </c>
      <c r="H278" s="96">
        <v>97.800035882490292</v>
      </c>
      <c r="I278" s="97">
        <v>0.7482194673741499</v>
      </c>
      <c r="J278" s="98">
        <v>0.93948863404401484</v>
      </c>
      <c r="K278" s="99">
        <v>195</v>
      </c>
      <c r="M278" s="89">
        <f t="shared" si="28"/>
        <v>0.7482194673741499</v>
      </c>
      <c r="N278" s="100"/>
      <c r="U278" s="92">
        <f t="shared" si="30"/>
        <v>11415285.516146233</v>
      </c>
      <c r="V278" s="92">
        <f t="shared" si="31"/>
        <v>2112429.8886767435</v>
      </c>
      <c r="W278" s="92">
        <f t="shared" si="32"/>
        <v>1269863.9827379219</v>
      </c>
      <c r="X278" s="92">
        <f t="shared" si="33"/>
        <v>963962.73895136768</v>
      </c>
      <c r="Y278" s="92">
        <f t="shared" si="29"/>
        <v>546425.72381182562</v>
      </c>
      <c r="Z278" s="92">
        <f t="shared" si="34"/>
        <v>209894.16511614656</v>
      </c>
    </row>
    <row r="279" spans="1:26" ht="19.5" thickBot="1" x14ac:dyDescent="0.35">
      <c r="A279" s="93">
        <v>80</v>
      </c>
      <c r="B279" s="94" t="s">
        <v>339</v>
      </c>
      <c r="C279" s="93">
        <v>57</v>
      </c>
      <c r="D279" s="94" t="s">
        <v>340</v>
      </c>
      <c r="E279" s="93">
        <v>488451</v>
      </c>
      <c r="F279" s="94" t="s">
        <v>351</v>
      </c>
      <c r="G279" s="95">
        <v>4.6270713344626389</v>
      </c>
      <c r="H279" s="96">
        <v>208.3821339663821</v>
      </c>
      <c r="I279" s="97">
        <v>1.014188044940739</v>
      </c>
      <c r="J279" s="98">
        <v>0.91797873937847452</v>
      </c>
      <c r="K279" s="99">
        <v>142</v>
      </c>
      <c r="M279" s="89">
        <f t="shared" si="28"/>
        <v>1.014188044940739</v>
      </c>
      <c r="N279" s="100"/>
      <c r="U279" s="92">
        <f t="shared" si="30"/>
        <v>18624377.103432205</v>
      </c>
      <c r="V279" s="92">
        <f t="shared" si="31"/>
        <v>3090846.8821284007</v>
      </c>
      <c r="W279" s="92">
        <f t="shared" si="32"/>
        <v>1683964.5776567981</v>
      </c>
      <c r="X279" s="92">
        <f t="shared" si="33"/>
        <v>1173183.1138381022</v>
      </c>
      <c r="Y279" s="92">
        <f t="shared" si="29"/>
        <v>475996.77634064545</v>
      </c>
      <c r="Z279" s="92">
        <f t="shared" si="34"/>
        <v>-85929.942374193459</v>
      </c>
    </row>
    <row r="280" spans="1:26" ht="19.5" thickBot="1" x14ac:dyDescent="0.35">
      <c r="A280" s="93">
        <v>80</v>
      </c>
      <c r="B280" s="94" t="s">
        <v>339</v>
      </c>
      <c r="C280" s="93">
        <v>57</v>
      </c>
      <c r="D280" s="94" t="s">
        <v>340</v>
      </c>
      <c r="E280" s="93">
        <v>588501</v>
      </c>
      <c r="F280" s="94" t="s">
        <v>352</v>
      </c>
      <c r="G280" s="95">
        <v>4.6545454545454543</v>
      </c>
      <c r="H280" s="96">
        <v>145.23391910156252</v>
      </c>
      <c r="I280" s="97">
        <v>0.48397588035156258</v>
      </c>
      <c r="J280" s="98">
        <v>0.96085902213610952</v>
      </c>
      <c r="K280" s="99">
        <v>244</v>
      </c>
      <c r="M280" s="89">
        <f t="shared" si="28"/>
        <v>0.48397588035156258</v>
      </c>
      <c r="N280" s="100"/>
      <c r="U280" s="92">
        <f t="shared" si="30"/>
        <v>19610103.54641638</v>
      </c>
      <c r="V280" s="92">
        <f t="shared" si="31"/>
        <v>3984340.0216336516</v>
      </c>
      <c r="W280" s="92">
        <f t="shared" si="32"/>
        <v>2569104.0846845135</v>
      </c>
      <c r="X280" s="92">
        <f t="shared" si="33"/>
        <v>2055289.7583360113</v>
      </c>
      <c r="Y280" s="92">
        <f t="shared" si="29"/>
        <v>1353963.743757322</v>
      </c>
      <c r="Z280" s="92">
        <f t="shared" si="34"/>
        <v>788700.47779007163</v>
      </c>
    </row>
    <row r="281" spans="1:26" ht="19.5" thickBot="1" x14ac:dyDescent="0.35">
      <c r="A281" s="93">
        <v>80</v>
      </c>
      <c r="B281" s="94" t="s">
        <v>339</v>
      </c>
      <c r="C281" s="93">
        <v>57</v>
      </c>
      <c r="D281" s="94" t="s">
        <v>340</v>
      </c>
      <c r="E281" s="93">
        <v>488561</v>
      </c>
      <c r="F281" s="94" t="s">
        <v>353</v>
      </c>
      <c r="G281" s="95">
        <v>6.2429622962544666</v>
      </c>
      <c r="H281" s="96">
        <v>260.98449458641227</v>
      </c>
      <c r="I281" s="97">
        <v>1.4667102125210032</v>
      </c>
      <c r="J281" s="98">
        <v>0.88138154339566521</v>
      </c>
      <c r="K281" s="99">
        <v>78</v>
      </c>
      <c r="M281" s="89">
        <f t="shared" si="28"/>
        <v>1.4667102125210032</v>
      </c>
      <c r="N281" s="100"/>
      <c r="U281" s="92">
        <f t="shared" si="30"/>
        <v>24126682.143291172</v>
      </c>
      <c r="V281" s="92">
        <f t="shared" si="31"/>
        <v>3168448.2001373484</v>
      </c>
      <c r="W281" s="92">
        <f t="shared" si="32"/>
        <v>1270246.822374532</v>
      </c>
      <c r="X281" s="92">
        <f t="shared" si="33"/>
        <v>581087.48383234581</v>
      </c>
      <c r="Y281" s="92">
        <f t="shared" si="29"/>
        <v>-359574.04996392084</v>
      </c>
      <c r="Z281" s="92">
        <f t="shared" si="34"/>
        <v>-1117739.8668741407</v>
      </c>
    </row>
    <row r="282" spans="1:26" ht="19.5" thickBot="1" x14ac:dyDescent="0.35">
      <c r="A282" s="93">
        <v>80</v>
      </c>
      <c r="B282" s="94" t="s">
        <v>339</v>
      </c>
      <c r="C282" s="93">
        <v>57</v>
      </c>
      <c r="D282" s="94" t="s">
        <v>340</v>
      </c>
      <c r="E282" s="93">
        <v>588631</v>
      </c>
      <c r="F282" s="94" t="s">
        <v>354</v>
      </c>
      <c r="G282" s="95">
        <v>5.0415908392682587</v>
      </c>
      <c r="H282" s="96">
        <v>129.56103114167141</v>
      </c>
      <c r="I282" s="97">
        <v>0.81916847972324147</v>
      </c>
      <c r="J282" s="98">
        <v>0.93375071644406449</v>
      </c>
      <c r="K282" s="99">
        <v>180</v>
      </c>
      <c r="M282" s="89">
        <f t="shared" si="28"/>
        <v>0.81916847972324147</v>
      </c>
      <c r="N282" s="100"/>
      <c r="U282" s="92">
        <f t="shared" si="30"/>
        <v>20641510.908555627</v>
      </c>
      <c r="V282" s="92">
        <f t="shared" si="31"/>
        <v>3716398.239136023</v>
      </c>
      <c r="W282" s="92">
        <f t="shared" si="32"/>
        <v>2183479.3741675452</v>
      </c>
      <c r="X282" s="92">
        <f t="shared" si="33"/>
        <v>1626939.1864949402</v>
      </c>
      <c r="Y282" s="92">
        <f t="shared" si="29"/>
        <v>867294.91081437736</v>
      </c>
      <c r="Z282" s="92">
        <f t="shared" si="34"/>
        <v>255027.58389584575</v>
      </c>
    </row>
    <row r="283" spans="1:26" ht="19.5" thickBot="1" x14ac:dyDescent="0.35">
      <c r="A283" s="93">
        <v>80</v>
      </c>
      <c r="B283" s="94" t="s">
        <v>339</v>
      </c>
      <c r="C283" s="93">
        <v>57</v>
      </c>
      <c r="D283" s="94" t="s">
        <v>340</v>
      </c>
      <c r="E283" s="93">
        <v>488706</v>
      </c>
      <c r="F283" s="94" t="s">
        <v>355</v>
      </c>
      <c r="G283" s="95">
        <v>3.3249222622538745</v>
      </c>
      <c r="H283" s="96">
        <v>285.58060748654538</v>
      </c>
      <c r="I283" s="97">
        <v>1.2920281798071065</v>
      </c>
      <c r="J283" s="98">
        <v>0.89550874653377899</v>
      </c>
      <c r="K283" s="99">
        <v>102</v>
      </c>
      <c r="M283" s="89">
        <f t="shared" si="28"/>
        <v>1.2920281798071065</v>
      </c>
      <c r="N283" s="100"/>
      <c r="U283" s="92">
        <f t="shared" si="30"/>
        <v>13055522.768238384</v>
      </c>
      <c r="V283" s="92">
        <f t="shared" si="31"/>
        <v>1893434.1141190215</v>
      </c>
      <c r="W283" s="92">
        <f t="shared" si="32"/>
        <v>882476.21950685279</v>
      </c>
      <c r="X283" s="92">
        <f t="shared" si="33"/>
        <v>515438.72701169213</v>
      </c>
      <c r="Y283" s="92">
        <f t="shared" si="29"/>
        <v>14454.366295380343</v>
      </c>
      <c r="Z283" s="92">
        <f t="shared" si="34"/>
        <v>-389335.09830495727</v>
      </c>
    </row>
    <row r="284" spans="1:26" ht="19.5" thickBot="1" x14ac:dyDescent="0.35">
      <c r="A284" s="93">
        <v>80</v>
      </c>
      <c r="B284" s="94" t="s">
        <v>339</v>
      </c>
      <c r="C284" s="93">
        <v>57</v>
      </c>
      <c r="D284" s="94" t="s">
        <v>340</v>
      </c>
      <c r="E284" s="93">
        <v>588716</v>
      </c>
      <c r="F284" s="94" t="s">
        <v>356</v>
      </c>
      <c r="G284" s="95">
        <v>2.6482683982683981</v>
      </c>
      <c r="H284" s="96">
        <v>79.617472397384574</v>
      </c>
      <c r="I284" s="97">
        <v>0.25990685035929723</v>
      </c>
      <c r="J284" s="98">
        <v>0.97898034036490211</v>
      </c>
      <c r="K284" s="99">
        <v>281</v>
      </c>
      <c r="M284" s="89">
        <f t="shared" si="28"/>
        <v>0.25990685035929723</v>
      </c>
      <c r="N284" s="100"/>
      <c r="U284" s="92">
        <f t="shared" si="30"/>
        <v>11367864.996098159</v>
      </c>
      <c r="V284" s="92">
        <f t="shared" si="31"/>
        <v>2477369.4266358856</v>
      </c>
      <c r="W284" s="92">
        <f t="shared" si="32"/>
        <v>1672151.2491538958</v>
      </c>
      <c r="X284" s="92">
        <f t="shared" si="33"/>
        <v>1379809.4391244166</v>
      </c>
      <c r="Y284" s="92">
        <f t="shared" si="29"/>
        <v>980780.24509678152</v>
      </c>
      <c r="Z284" s="92">
        <f t="shared" si="34"/>
        <v>659165.845026594</v>
      </c>
    </row>
    <row r="285" spans="1:26" ht="19.5" thickBot="1" x14ac:dyDescent="0.35">
      <c r="A285" s="93">
        <v>80</v>
      </c>
      <c r="B285" s="94" t="s">
        <v>339</v>
      </c>
      <c r="C285" s="93">
        <v>55</v>
      </c>
      <c r="D285" s="94" t="s">
        <v>357</v>
      </c>
      <c r="E285" s="93">
        <v>588186</v>
      </c>
      <c r="F285" s="94" t="s">
        <v>358</v>
      </c>
      <c r="G285" s="95">
        <v>2.6856036307778246</v>
      </c>
      <c r="H285" s="96">
        <v>388.36497566020944</v>
      </c>
      <c r="I285" s="97">
        <v>1.7692830102124222</v>
      </c>
      <c r="J285" s="98">
        <v>0.85691132564834183</v>
      </c>
      <c r="K285" s="99">
        <v>49</v>
      </c>
      <c r="M285" s="89">
        <f t="shared" si="28"/>
        <v>1.7692830102124222</v>
      </c>
      <c r="N285" s="100"/>
      <c r="U285" s="92">
        <f t="shared" si="30"/>
        <v>10090687.0414376</v>
      </c>
      <c r="V285" s="92">
        <f t="shared" si="31"/>
        <v>1074853.4513174004</v>
      </c>
      <c r="W285" s="92">
        <f t="shared" si="32"/>
        <v>258283.32480457824</v>
      </c>
      <c r="X285" s="92">
        <f t="shared" si="33"/>
        <v>-38179.913950483955</v>
      </c>
      <c r="Y285" s="92">
        <f t="shared" si="29"/>
        <v>-442834.61321271374</v>
      </c>
      <c r="Z285" s="92">
        <f t="shared" si="34"/>
        <v>-768983.12637085374</v>
      </c>
    </row>
    <row r="286" spans="1:26" ht="19.5" thickBot="1" x14ac:dyDescent="0.35">
      <c r="A286" s="93">
        <v>80</v>
      </c>
      <c r="B286" s="94" t="s">
        <v>339</v>
      </c>
      <c r="C286" s="93">
        <v>55</v>
      </c>
      <c r="D286" s="94" t="s">
        <v>357</v>
      </c>
      <c r="E286" s="93">
        <v>488246</v>
      </c>
      <c r="F286" s="94" t="s">
        <v>359</v>
      </c>
      <c r="G286" s="95">
        <v>2.9350329380764157</v>
      </c>
      <c r="H286" s="96">
        <v>260.43235422801206</v>
      </c>
      <c r="I286" s="97">
        <v>1.0754500034567649</v>
      </c>
      <c r="J286" s="98">
        <v>0.91302425081918392</v>
      </c>
      <c r="K286" s="99">
        <v>134</v>
      </c>
      <c r="M286" s="89">
        <f t="shared" si="28"/>
        <v>1.0754500034567649</v>
      </c>
      <c r="N286" s="100"/>
      <c r="U286" s="92">
        <f t="shared" si="30"/>
        <v>11750009.86087331</v>
      </c>
      <c r="V286" s="92">
        <f t="shared" si="31"/>
        <v>1896817.7338003842</v>
      </c>
      <c r="W286" s="92">
        <f t="shared" si="32"/>
        <v>1004407.4800690021</v>
      </c>
      <c r="X286" s="92">
        <f t="shared" si="33"/>
        <v>680409.79079610435</v>
      </c>
      <c r="Y286" s="92">
        <f t="shared" si="29"/>
        <v>238172.20321209161</v>
      </c>
      <c r="Z286" s="92">
        <f t="shared" si="34"/>
        <v>-118267.8231020456</v>
      </c>
    </row>
    <row r="287" spans="1:26" ht="19.5" thickBot="1" x14ac:dyDescent="0.35">
      <c r="A287" s="93">
        <v>80</v>
      </c>
      <c r="B287" s="94" t="s">
        <v>339</v>
      </c>
      <c r="C287" s="93">
        <v>55</v>
      </c>
      <c r="D287" s="94" t="s">
        <v>357</v>
      </c>
      <c r="E287" s="93">
        <v>588316</v>
      </c>
      <c r="F287" s="94" t="s">
        <v>360</v>
      </c>
      <c r="G287" s="95">
        <v>3.9592642514101137</v>
      </c>
      <c r="H287" s="96">
        <v>150.96617819513321</v>
      </c>
      <c r="I287" s="97">
        <v>0.9389184230822728</v>
      </c>
      <c r="J287" s="98">
        <v>0.92406608117089095</v>
      </c>
      <c r="K287" s="99">
        <v>156</v>
      </c>
      <c r="M287" s="89">
        <f t="shared" si="28"/>
        <v>0.9389184230822728</v>
      </c>
      <c r="N287" s="100"/>
      <c r="U287" s="92">
        <f t="shared" si="30"/>
        <v>16042071.830125388</v>
      </c>
      <c r="V287" s="92">
        <f t="shared" si="31"/>
        <v>2750435.1861553872</v>
      </c>
      <c r="W287" s="92">
        <f t="shared" si="32"/>
        <v>1546602.6944130075</v>
      </c>
      <c r="X287" s="92">
        <f t="shared" si="33"/>
        <v>1109540.3187115637</v>
      </c>
      <c r="Y287" s="92">
        <f t="shared" si="29"/>
        <v>512976.15466549603</v>
      </c>
      <c r="Z287" s="92">
        <f t="shared" si="34"/>
        <v>32150.118388658528</v>
      </c>
    </row>
    <row r="288" spans="1:26" ht="19.5" thickBot="1" x14ac:dyDescent="0.35">
      <c r="A288" s="93">
        <v>80</v>
      </c>
      <c r="B288" s="94" t="s">
        <v>339</v>
      </c>
      <c r="C288" s="93">
        <v>55</v>
      </c>
      <c r="D288" s="94" t="s">
        <v>357</v>
      </c>
      <c r="E288" s="93">
        <v>488326</v>
      </c>
      <c r="F288" s="94" t="s">
        <v>361</v>
      </c>
      <c r="G288" s="95">
        <v>5.0512032770097308</v>
      </c>
      <c r="H288" s="96">
        <v>534.13049814878855</v>
      </c>
      <c r="I288" s="97">
        <v>2.336666594179766</v>
      </c>
      <c r="J288" s="98">
        <v>0.81102484823903653</v>
      </c>
      <c r="K288" s="99">
        <v>18</v>
      </c>
      <c r="M288" s="89">
        <f t="shared" si="28"/>
        <v>2.336666594179766</v>
      </c>
      <c r="N288" s="100"/>
      <c r="U288" s="92">
        <f t="shared" si="30"/>
        <v>17962713.593141507</v>
      </c>
      <c r="V288" s="92">
        <f t="shared" si="31"/>
        <v>1005331.0317395921</v>
      </c>
      <c r="W288" s="92">
        <f t="shared" si="32"/>
        <v>-530510.53910130006</v>
      </c>
      <c r="X288" s="92">
        <f t="shared" si="33"/>
        <v>-1088111.8418217513</v>
      </c>
      <c r="Y288" s="92">
        <f t="shared" si="29"/>
        <v>-1849204.4764704339</v>
      </c>
      <c r="Z288" s="92">
        <f t="shared" si="34"/>
        <v>-2462639.169355141</v>
      </c>
    </row>
    <row r="289" spans="1:26" ht="19.5" thickBot="1" x14ac:dyDescent="0.35">
      <c r="A289" s="93">
        <v>80</v>
      </c>
      <c r="B289" s="94" t="s">
        <v>339</v>
      </c>
      <c r="C289" s="93">
        <v>55</v>
      </c>
      <c r="D289" s="94" t="s">
        <v>357</v>
      </c>
      <c r="E289" s="93">
        <v>488346</v>
      </c>
      <c r="F289" s="94" t="s">
        <v>362</v>
      </c>
      <c r="G289" s="95">
        <v>1.7883809038086731</v>
      </c>
      <c r="H289" s="96">
        <v>270.7654983167975</v>
      </c>
      <c r="I289" s="97">
        <v>1.2800037704075704</v>
      </c>
      <c r="J289" s="98">
        <v>0.89648120644602025</v>
      </c>
      <c r="K289" s="99">
        <v>104</v>
      </c>
      <c r="M289" s="89">
        <f t="shared" si="28"/>
        <v>1.2800037704075704</v>
      </c>
      <c r="N289" s="100"/>
      <c r="U289" s="92">
        <f t="shared" si="30"/>
        <v>7029819.1444697753</v>
      </c>
      <c r="V289" s="92">
        <f t="shared" si="31"/>
        <v>1026049.8466833126</v>
      </c>
      <c r="W289" s="92">
        <f t="shared" si="32"/>
        <v>482284.41378761391</v>
      </c>
      <c r="X289" s="92">
        <f t="shared" si="33"/>
        <v>284865.40943615377</v>
      </c>
      <c r="Y289" s="92">
        <f t="shared" si="29"/>
        <v>15400.202991144324</v>
      </c>
      <c r="Z289" s="92">
        <f t="shared" si="34"/>
        <v>-201786.63949486919</v>
      </c>
    </row>
    <row r="290" spans="1:26" ht="19.5" thickBot="1" x14ac:dyDescent="0.35">
      <c r="A290" s="93">
        <v>80</v>
      </c>
      <c r="B290" s="94" t="s">
        <v>339</v>
      </c>
      <c r="C290" s="93">
        <v>55</v>
      </c>
      <c r="D290" s="94" t="s">
        <v>357</v>
      </c>
      <c r="E290" s="93">
        <v>588386</v>
      </c>
      <c r="F290" s="94" t="s">
        <v>363</v>
      </c>
      <c r="G290" s="95">
        <v>2.000245656392583</v>
      </c>
      <c r="H290" s="96">
        <v>140.38613469429117</v>
      </c>
      <c r="I290" s="97">
        <v>0.42382580145126592</v>
      </c>
      <c r="J290" s="98">
        <v>0.96572358874434139</v>
      </c>
      <c r="K290" s="99">
        <v>256</v>
      </c>
      <c r="M290" s="89">
        <f t="shared" si="28"/>
        <v>0.42382580145126592</v>
      </c>
      <c r="N290" s="100"/>
      <c r="U290" s="92">
        <f t="shared" si="30"/>
        <v>8469916.2147899866</v>
      </c>
      <c r="V290" s="92">
        <f t="shared" si="31"/>
        <v>1754896.2577410121</v>
      </c>
      <c r="W290" s="92">
        <f t="shared" si="32"/>
        <v>1146712.3731280193</v>
      </c>
      <c r="X290" s="92">
        <f t="shared" si="33"/>
        <v>925905.66181591782</v>
      </c>
      <c r="Y290" s="92">
        <f t="shared" si="29"/>
        <v>624517.62552416802</v>
      </c>
      <c r="Z290" s="92">
        <f t="shared" si="34"/>
        <v>381601.23261084658</v>
      </c>
    </row>
    <row r="291" spans="1:26" ht="19.5" thickBot="1" x14ac:dyDescent="0.35">
      <c r="A291" s="93">
        <v>80</v>
      </c>
      <c r="B291" s="94" t="s">
        <v>339</v>
      </c>
      <c r="C291" s="93">
        <v>55</v>
      </c>
      <c r="D291" s="94" t="s">
        <v>357</v>
      </c>
      <c r="E291" s="93">
        <v>588461</v>
      </c>
      <c r="F291" s="94" t="s">
        <v>364</v>
      </c>
      <c r="G291" s="95">
        <v>2.8681779875897826</v>
      </c>
      <c r="H291" s="96">
        <v>74.319258941501616</v>
      </c>
      <c r="I291" s="97">
        <v>0.28537122911880614</v>
      </c>
      <c r="J291" s="98">
        <v>0.97692093880005626</v>
      </c>
      <c r="K291" s="99">
        <v>275</v>
      </c>
      <c r="M291" s="89">
        <f t="shared" si="28"/>
        <v>0.28537122911880614</v>
      </c>
      <c r="N291" s="100"/>
      <c r="U291" s="92">
        <f t="shared" si="30"/>
        <v>12285941.843209503</v>
      </c>
      <c r="V291" s="92">
        <f t="shared" si="31"/>
        <v>2657188.3121212851</v>
      </c>
      <c r="W291" s="92">
        <f t="shared" si="32"/>
        <v>1785105.6133392786</v>
      </c>
      <c r="X291" s="92">
        <f t="shared" si="33"/>
        <v>1468488.0284574134</v>
      </c>
      <c r="Y291" s="92">
        <f t="shared" si="29"/>
        <v>1036323.8446971527</v>
      </c>
      <c r="Z291" s="92">
        <f t="shared" si="34"/>
        <v>688002.90284082189</v>
      </c>
    </row>
    <row r="292" spans="1:26" ht="19.5" thickBot="1" x14ac:dyDescent="0.35">
      <c r="A292" s="93">
        <v>80</v>
      </c>
      <c r="B292" s="94" t="s">
        <v>339</v>
      </c>
      <c r="C292" s="93">
        <v>55</v>
      </c>
      <c r="D292" s="94" t="s">
        <v>357</v>
      </c>
      <c r="E292" s="93">
        <v>588551</v>
      </c>
      <c r="F292" s="94" t="s">
        <v>365</v>
      </c>
      <c r="G292" s="95">
        <v>3.709824957651044</v>
      </c>
      <c r="H292" s="96">
        <v>189.38872483753673</v>
      </c>
      <c r="I292" s="97">
        <v>0.65819559471778222</v>
      </c>
      <c r="J292" s="98">
        <v>0.94676920844847701</v>
      </c>
      <c r="K292" s="99">
        <v>212</v>
      </c>
      <c r="M292" s="89">
        <f t="shared" si="28"/>
        <v>0.65819559471778222</v>
      </c>
      <c r="N292" s="100"/>
      <c r="U292" s="92">
        <f t="shared" si="30"/>
        <v>15400700.753209461</v>
      </c>
      <c r="V292" s="92">
        <f t="shared" si="31"/>
        <v>2946456.1717150165</v>
      </c>
      <c r="W292" s="92">
        <f t="shared" si="32"/>
        <v>1818466.8436204011</v>
      </c>
      <c r="X292" s="92">
        <f t="shared" si="33"/>
        <v>1408940.0208401347</v>
      </c>
      <c r="Y292" s="92">
        <f t="shared" si="29"/>
        <v>849960.24983088509</v>
      </c>
      <c r="Z292" s="92">
        <f t="shared" si="34"/>
        <v>399426.93949855887</v>
      </c>
    </row>
    <row r="293" spans="1:26" ht="19.5" thickBot="1" x14ac:dyDescent="0.35">
      <c r="A293" s="93">
        <v>80</v>
      </c>
      <c r="B293" s="94" t="s">
        <v>339</v>
      </c>
      <c r="C293" s="93">
        <v>55</v>
      </c>
      <c r="D293" s="94" t="s">
        <v>357</v>
      </c>
      <c r="E293" s="93">
        <v>488556</v>
      </c>
      <c r="F293" s="94" t="s">
        <v>366</v>
      </c>
      <c r="G293" s="95">
        <v>3.4795865202819636</v>
      </c>
      <c r="H293" s="96">
        <v>183.92136122200543</v>
      </c>
      <c r="I293" s="97">
        <v>0.68291077806205669</v>
      </c>
      <c r="J293" s="98">
        <v>0.94477039717821787</v>
      </c>
      <c r="K293" s="99">
        <v>209</v>
      </c>
      <c r="M293" s="89">
        <f t="shared" si="28"/>
        <v>0.68291077806205669</v>
      </c>
      <c r="N293" s="100"/>
      <c r="U293" s="92">
        <f t="shared" si="30"/>
        <v>14414409.484385058</v>
      </c>
      <c r="V293" s="92">
        <f t="shared" si="31"/>
        <v>2733097.8158416348</v>
      </c>
      <c r="W293" s="92">
        <f t="shared" si="32"/>
        <v>1675113.5427655564</v>
      </c>
      <c r="X293" s="92">
        <f t="shared" si="33"/>
        <v>1291002.6942735626</v>
      </c>
      <c r="Y293" s="92">
        <f t="shared" si="29"/>
        <v>766714.21745399502</v>
      </c>
      <c r="Z293" s="92">
        <f t="shared" si="34"/>
        <v>344141.81809125608</v>
      </c>
    </row>
    <row r="294" spans="1:26" ht="19.5" thickBot="1" x14ac:dyDescent="0.35">
      <c r="A294" s="101">
        <v>80</v>
      </c>
      <c r="B294" s="102" t="s">
        <v>339</v>
      </c>
      <c r="C294" s="101">
        <v>55</v>
      </c>
      <c r="D294" s="102" t="s">
        <v>357</v>
      </c>
      <c r="E294" s="101">
        <v>488586</v>
      </c>
      <c r="F294" s="102" t="s">
        <v>357</v>
      </c>
      <c r="G294" s="95">
        <v>10.350720622575185</v>
      </c>
      <c r="H294" s="96">
        <v>415.18310056858894</v>
      </c>
      <c r="I294" s="97">
        <v>2.4329542417245436</v>
      </c>
      <c r="J294" s="98">
        <v>0.80323769843649151</v>
      </c>
      <c r="K294" s="99">
        <v>16</v>
      </c>
      <c r="M294" s="89">
        <f t="shared" si="28"/>
        <v>2.4329542417245436</v>
      </c>
      <c r="N294" s="100"/>
      <c r="U294" s="92">
        <f t="shared" si="30"/>
        <v>36455042.458942004</v>
      </c>
      <c r="V294" s="92">
        <f t="shared" si="31"/>
        <v>1706662.7645285421</v>
      </c>
      <c r="W294" s="92">
        <f t="shared" si="32"/>
        <v>-1440521.4109065866</v>
      </c>
      <c r="X294" s="92">
        <f t="shared" si="33"/>
        <v>-2583135.3558872538</v>
      </c>
      <c r="Y294" s="92">
        <f t="shared" si="29"/>
        <v>-4142735.4743389948</v>
      </c>
      <c r="Z294" s="92">
        <f t="shared" si="34"/>
        <v>-5399760.9350137152</v>
      </c>
    </row>
    <row r="295" spans="1:26" ht="19.5" thickBot="1" x14ac:dyDescent="0.35">
      <c r="A295" s="101">
        <v>80</v>
      </c>
      <c r="B295" s="102" t="s">
        <v>339</v>
      </c>
      <c r="C295" s="101">
        <v>55</v>
      </c>
      <c r="D295" s="102" t="s">
        <v>357</v>
      </c>
      <c r="E295" s="101">
        <v>588587</v>
      </c>
      <c r="F295" s="102" t="s">
        <v>367</v>
      </c>
      <c r="G295" s="95">
        <v>3.9573386034255598</v>
      </c>
      <c r="H295" s="96">
        <v>52.304508348319693</v>
      </c>
      <c r="I295" s="97">
        <v>0.33885754403204799</v>
      </c>
      <c r="J295" s="98">
        <v>0.97259529623596896</v>
      </c>
      <c r="K295" s="99">
        <v>269</v>
      </c>
      <c r="M295" s="89">
        <f t="shared" si="28"/>
        <v>0.33885754403204799</v>
      </c>
      <c r="N295" s="100"/>
      <c r="U295" s="92">
        <f t="shared" si="30"/>
        <v>16876341.895304043</v>
      </c>
      <c r="V295" s="92">
        <f t="shared" si="31"/>
        <v>3591169.83962359</v>
      </c>
      <c r="W295" s="92">
        <f t="shared" si="32"/>
        <v>2387922.850000862</v>
      </c>
      <c r="X295" s="92">
        <f t="shared" si="33"/>
        <v>1951073.0461889035</v>
      </c>
      <c r="Y295" s="92">
        <f t="shared" si="29"/>
        <v>1354799.0301368083</v>
      </c>
      <c r="Z295" s="92">
        <f t="shared" si="34"/>
        <v>874206.85086695058</v>
      </c>
    </row>
    <row r="296" spans="1:26" ht="19.5" thickBot="1" x14ac:dyDescent="0.35">
      <c r="A296" s="101">
        <v>80</v>
      </c>
      <c r="B296" s="102" t="s">
        <v>339</v>
      </c>
      <c r="C296" s="101">
        <v>55</v>
      </c>
      <c r="D296" s="102" t="s">
        <v>357</v>
      </c>
      <c r="E296" s="101">
        <v>488616</v>
      </c>
      <c r="F296" s="102" t="s">
        <v>368</v>
      </c>
      <c r="G296" s="95">
        <v>1.8999134199134189</v>
      </c>
      <c r="H296" s="96">
        <v>188.06464460695415</v>
      </c>
      <c r="I296" s="97">
        <v>1.6543956336932655</v>
      </c>
      <c r="J296" s="98">
        <v>0.86620270656986675</v>
      </c>
      <c r="K296" s="99">
        <v>53</v>
      </c>
      <c r="M296" s="89">
        <f t="shared" si="28"/>
        <v>1.6543956336932655</v>
      </c>
      <c r="N296" s="100"/>
      <c r="U296" s="92">
        <f t="shared" si="30"/>
        <v>7215996.027486423</v>
      </c>
      <c r="V296" s="92">
        <f t="shared" si="31"/>
        <v>837801.18396276096</v>
      </c>
      <c r="W296" s="92">
        <f t="shared" si="32"/>
        <v>260123.77696105189</v>
      </c>
      <c r="X296" s="92">
        <f t="shared" si="33"/>
        <v>50392.720833977495</v>
      </c>
      <c r="Y296" s="92">
        <f t="shared" si="29"/>
        <v>-235877.70446205582</v>
      </c>
      <c r="Z296" s="92">
        <f t="shared" si="34"/>
        <v>-466609.42150791408</v>
      </c>
    </row>
    <row r="297" spans="1:26" ht="18.75" x14ac:dyDescent="0.3">
      <c r="A297" s="101">
        <v>80</v>
      </c>
      <c r="B297" s="102" t="s">
        <v>339</v>
      </c>
      <c r="C297" s="101">
        <v>55</v>
      </c>
      <c r="D297" s="102" t="s">
        <v>357</v>
      </c>
      <c r="E297" s="101">
        <v>588666</v>
      </c>
      <c r="F297" s="102" t="s">
        <v>369</v>
      </c>
      <c r="G297" s="103">
        <v>3.2823042081807854</v>
      </c>
      <c r="H297" s="104">
        <v>223.6748610321261</v>
      </c>
      <c r="I297" s="105">
        <v>1.3793179063708036</v>
      </c>
      <c r="J297" s="106">
        <v>0.88844929296619024</v>
      </c>
      <c r="K297" s="107">
        <v>91</v>
      </c>
      <c r="M297" s="89">
        <f t="shared" si="28"/>
        <v>1.3793179063708036</v>
      </c>
      <c r="N297" s="100"/>
      <c r="U297" s="92">
        <f t="shared" si="30"/>
        <v>12786580.416328065</v>
      </c>
      <c r="V297" s="92">
        <f t="shared" si="31"/>
        <v>1767564.7306297475</v>
      </c>
      <c r="W297" s="92">
        <f t="shared" si="32"/>
        <v>769565.05122378713</v>
      </c>
      <c r="X297" s="92">
        <f t="shared" si="33"/>
        <v>407232.15705250012</v>
      </c>
      <c r="Y297" s="92">
        <f t="shared" si="29"/>
        <v>-87330.70659088275</v>
      </c>
      <c r="Z297" s="92">
        <f t="shared" si="34"/>
        <v>-485944.49492599076</v>
      </c>
    </row>
  </sheetData>
  <mergeCells count="3">
    <mergeCell ref="A1:K1"/>
    <mergeCell ref="M1:S1"/>
    <mergeCell ref="U1:Z1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AA297"/>
  <sheetViews>
    <sheetView workbookViewId="0">
      <selection sqref="A1:XFD1048576"/>
    </sheetView>
  </sheetViews>
  <sheetFormatPr baseColWidth="10" defaultRowHeight="15" x14ac:dyDescent="0.25"/>
  <cols>
    <col min="1" max="1" width="5.5703125" bestFit="1" customWidth="1"/>
    <col min="2" max="2" width="35.28515625" bestFit="1" customWidth="1"/>
    <col min="3" max="3" width="7" bestFit="1" customWidth="1"/>
    <col min="4" max="4" width="31.28515625" bestFit="1" customWidth="1"/>
    <col min="5" max="5" width="9.85546875" bestFit="1" customWidth="1"/>
    <col min="6" max="6" width="40.85546875" bestFit="1" customWidth="1"/>
    <col min="7" max="8" width="8.42578125" bestFit="1" customWidth="1"/>
    <col min="9" max="9" width="9.5703125" bestFit="1" customWidth="1"/>
    <col min="10" max="10" width="9.85546875" bestFit="1" customWidth="1"/>
    <col min="11" max="11" width="5.28515625" bestFit="1" customWidth="1"/>
  </cols>
  <sheetData>
    <row r="1" spans="1:27" x14ac:dyDescent="0.25">
      <c r="A1" s="265" t="s">
        <v>445</v>
      </c>
      <c r="B1" s="265"/>
      <c r="C1" s="265"/>
      <c r="D1" s="265"/>
      <c r="E1" s="265"/>
      <c r="F1" s="265"/>
      <c r="G1" s="265"/>
      <c r="H1" s="265"/>
      <c r="I1" s="265"/>
      <c r="J1" s="265"/>
      <c r="K1" s="265"/>
      <c r="M1" s="266" t="s">
        <v>446</v>
      </c>
      <c r="N1" s="266"/>
      <c r="O1" s="266"/>
      <c r="P1" s="266"/>
      <c r="Q1" s="266"/>
      <c r="R1" s="266"/>
      <c r="S1" s="266"/>
      <c r="T1" s="266"/>
      <c r="V1" s="267" t="s">
        <v>547</v>
      </c>
      <c r="W1" s="267"/>
      <c r="X1" s="267"/>
      <c r="Y1" s="267"/>
      <c r="Z1" s="267"/>
      <c r="AA1" s="267"/>
    </row>
    <row r="2" spans="1:27" x14ac:dyDescent="0.25">
      <c r="M2" t="s">
        <v>548</v>
      </c>
      <c r="N2" t="s">
        <v>549</v>
      </c>
      <c r="O2" t="s">
        <v>550</v>
      </c>
      <c r="Q2" t="s">
        <v>448</v>
      </c>
      <c r="T2">
        <f>'[1]CA UC'!O2</f>
        <v>47</v>
      </c>
    </row>
    <row r="3" spans="1:27" ht="15.75" thickBot="1" x14ac:dyDescent="0.3">
      <c r="M3" s="55">
        <f>SUM(H5:H297)</f>
        <v>2410.0582707866224</v>
      </c>
      <c r="N3" s="55">
        <f>SUM(I5:I297)</f>
        <v>1597.6533492314741</v>
      </c>
      <c r="O3" s="108">
        <f>N3/M3</f>
        <v>0.66291067257473968</v>
      </c>
      <c r="Q3" s="55" t="s">
        <v>449</v>
      </c>
      <c r="R3" s="55"/>
      <c r="S3" s="55"/>
      <c r="T3">
        <f>'[1]CA UC'!O3</f>
        <v>3</v>
      </c>
    </row>
    <row r="4" spans="1:27" ht="30.75" thickBot="1" x14ac:dyDescent="0.3">
      <c r="A4" s="79"/>
      <c r="B4" s="80" t="s">
        <v>450</v>
      </c>
      <c r="C4" s="79" t="s">
        <v>451</v>
      </c>
      <c r="D4" s="80" t="s">
        <v>452</v>
      </c>
      <c r="E4" s="79" t="s">
        <v>451</v>
      </c>
      <c r="F4" s="80" t="s">
        <v>453</v>
      </c>
      <c r="G4" s="80" t="s">
        <v>454</v>
      </c>
      <c r="H4" s="81" t="s">
        <v>551</v>
      </c>
      <c r="I4" s="82" t="s">
        <v>456</v>
      </c>
      <c r="J4" s="82" t="s">
        <v>457</v>
      </c>
      <c r="K4" s="83" t="s">
        <v>458</v>
      </c>
      <c r="M4" s="84" t="s">
        <v>552</v>
      </c>
      <c r="N4" s="84" t="s">
        <v>456</v>
      </c>
      <c r="O4" s="84" t="s">
        <v>459</v>
      </c>
      <c r="P4" s="84" t="s">
        <v>460</v>
      </c>
      <c r="Q4" s="84" t="s">
        <v>461</v>
      </c>
      <c r="R4" s="84" t="s">
        <v>462</v>
      </c>
      <c r="S4" s="84" t="s">
        <v>463</v>
      </c>
      <c r="T4" s="84" t="s">
        <v>464</v>
      </c>
      <c r="V4" s="84" t="s">
        <v>465</v>
      </c>
      <c r="W4" s="84" t="s">
        <v>466</v>
      </c>
      <c r="X4" s="84" t="s">
        <v>467</v>
      </c>
      <c r="Y4" s="84" t="s">
        <v>468</v>
      </c>
      <c r="Z4" s="84" t="s">
        <v>469</v>
      </c>
      <c r="AA4" s="84" t="s">
        <v>470</v>
      </c>
    </row>
    <row r="5" spans="1:27" ht="19.5" thickBot="1" x14ac:dyDescent="0.35">
      <c r="A5" s="85">
        <v>50</v>
      </c>
      <c r="B5" s="86" t="s">
        <v>4</v>
      </c>
      <c r="C5" s="85">
        <v>21</v>
      </c>
      <c r="D5" s="86" t="s">
        <v>0</v>
      </c>
      <c r="E5" s="85">
        <v>410560</v>
      </c>
      <c r="F5" s="86" t="s">
        <v>5</v>
      </c>
      <c r="G5" s="87">
        <v>1.909956709956709</v>
      </c>
      <c r="H5" s="88">
        <v>12.042157751586588</v>
      </c>
      <c r="I5" s="89">
        <v>7.5996486854034497</v>
      </c>
      <c r="J5" s="90">
        <v>0.79866805759406168</v>
      </c>
      <c r="K5" s="91">
        <v>67</v>
      </c>
      <c r="M5" s="100">
        <f>IF(ISERROR(I5/H5),$O$3,(I5/H5))</f>
        <v>0.63108695652173918</v>
      </c>
      <c r="N5" s="89">
        <f>I5</f>
        <v>7.5996486854034497</v>
      </c>
      <c r="O5" s="89">
        <f>VLOOKUP(1,$K$5:$N$297,4,0)</f>
        <v>37.746860208006915</v>
      </c>
      <c r="P5" s="89">
        <f>VLOOKUP(10,$K$5:$N$297,4,0)</f>
        <v>14.374174707973602</v>
      </c>
      <c r="Q5" s="89">
        <f>VLOOKUP(30,$K$5:$N$297,4,0)</f>
        <v>9.7746735610022295</v>
      </c>
      <c r="R5" s="89">
        <f>VLOOKUP(50,$K$5:$N$297,4,0)</f>
        <v>8.6674520868150733</v>
      </c>
      <c r="S5" s="89">
        <f>VLOOKUP(100,$K$5:$N$297,4,0)</f>
        <v>6.1703210057116236</v>
      </c>
      <c r="T5" s="89">
        <f>VLOOKUP(150,$K$5:$N$297,4,0)</f>
        <v>4.6472820541188673</v>
      </c>
      <c r="V5" s="109">
        <f>(((($O$5-N5))/M5)*G5)+((((($O$5-N5)/$T$2))*$T$3/M5)*G5)</f>
        <v>97.062978538991644</v>
      </c>
      <c r="W5" s="109">
        <f>(((($P$5-N5))/M5)*G5)+((((($P$5-N5)/$T$2))*$T$3/M5)*G5)</f>
        <v>21.811492364643804</v>
      </c>
      <c r="X5" s="109">
        <f>(((($Q$5-N5))/M5)*G5)+((((($Q$5-N5)/$T$2))*$T$3/M5)*G5)</f>
        <v>7.0027834137737806</v>
      </c>
      <c r="Y5" s="109">
        <f>(((($R$5-N5))/M5)*G5)+((((($R$5-N5)/$T$2))*$T$3/M5)*G5)</f>
        <v>3.4379358289030959</v>
      </c>
      <c r="Z5" s="109">
        <f>(((($S$5-N5))/M5)*G5)+((((($S$5-N5)/$T$2))*$T$3/M5)*G5)</f>
        <v>-4.6019115829367943</v>
      </c>
      <c r="AA5" s="109">
        <f>(((($T$5-N5))/M5)*G5)+((((($T$5-N5)/$T$2))*$T$3/M5)*G5)</f>
        <v>-9.5055391360740735</v>
      </c>
    </row>
    <row r="6" spans="1:27" ht="19.5" thickBot="1" x14ac:dyDescent="0.35">
      <c r="A6" s="93">
        <v>50</v>
      </c>
      <c r="B6" s="94" t="s">
        <v>4</v>
      </c>
      <c r="C6" s="93">
        <v>21</v>
      </c>
      <c r="D6" s="94" t="s">
        <v>0</v>
      </c>
      <c r="E6" s="93">
        <v>410566</v>
      </c>
      <c r="F6" s="94" t="s">
        <v>56</v>
      </c>
      <c r="G6" s="95">
        <v>9.1868593771819587</v>
      </c>
      <c r="H6" s="96">
        <v>6.095663131525785</v>
      </c>
      <c r="I6" s="97">
        <v>3.9828627496880089</v>
      </c>
      <c r="J6" s="98">
        <v>0.89448492595834073</v>
      </c>
      <c r="K6" s="99">
        <v>186</v>
      </c>
      <c r="M6" s="100">
        <f t="shared" ref="M6:M69" si="0">IF(ISERROR(I6/H6),$O$3,(I6/H6))</f>
        <v>0.65339285714285722</v>
      </c>
      <c r="N6" s="89">
        <f t="shared" ref="N6:N69" si="1">I6</f>
        <v>3.9828627496880089</v>
      </c>
      <c r="O6" s="100"/>
      <c r="V6" s="109">
        <f t="shared" ref="V6:V69" si="2">(((($O$5-N6))/M6)*G6)+((((($O$5-N6)/$T$2))*$T$3/M6)*G6)</f>
        <v>505.03176117826257</v>
      </c>
      <c r="W6" s="109">
        <f t="shared" ref="W6:W69" si="3">(((($P$5-N6))/M6)*G6)+((((($P$5-N6)/$T$2))*$T$3/M6)*G6)</f>
        <v>155.43013192452142</v>
      </c>
      <c r="X6" s="109">
        <f t="shared" ref="X6:X69" si="4">(((($Q$5-N6))/M6)*G6)+((((($Q$5-N6)/$T$2))*$T$3/M6)*G6)</f>
        <v>86.632171384926991</v>
      </c>
      <c r="Y6" s="109">
        <f t="shared" ref="Y6:Y69" si="5">(((($R$5-N6))/M6)*G6)+((((($R$5-N6)/$T$2))*$T$3/M6)*G6)</f>
        <v>70.070684202805481</v>
      </c>
      <c r="Z6" s="109">
        <f t="shared" ref="Z6:Z69" si="6">(((($S$5-N6))/M6)*G6)+((((($S$5-N6)/$T$2))*$T$3/M6)*G6)</f>
        <v>32.71934541836508</v>
      </c>
      <c r="AA6" s="109">
        <f t="shared" ref="AA6:AA69" si="7">(((($T$5-N6))/M6)*G6)+((((($T$5-N6)/$T$2))*$T$3/M6)*G6)</f>
        <v>9.9381849525307846</v>
      </c>
    </row>
    <row r="7" spans="1:27" ht="19.5" thickBot="1" x14ac:dyDescent="0.35">
      <c r="A7" s="93">
        <v>50</v>
      </c>
      <c r="B7" s="94" t="s">
        <v>4</v>
      </c>
      <c r="C7" s="93">
        <v>21</v>
      </c>
      <c r="D7" s="94" t="s">
        <v>0</v>
      </c>
      <c r="E7" s="93">
        <v>510590</v>
      </c>
      <c r="F7" s="94" t="s">
        <v>57</v>
      </c>
      <c r="G7" s="95">
        <v>2.4723326229637603</v>
      </c>
      <c r="H7" s="96">
        <v>-1.6179052781356404</v>
      </c>
      <c r="I7" s="97">
        <v>-1.4035328287826681</v>
      </c>
      <c r="J7" s="98">
        <v>1.0371827701972665</v>
      </c>
      <c r="K7" s="99">
        <v>291</v>
      </c>
      <c r="M7" s="100">
        <f t="shared" si="0"/>
        <v>0.86749999999999994</v>
      </c>
      <c r="N7" s="89">
        <f t="shared" si="1"/>
        <v>-1.4035328287826681</v>
      </c>
      <c r="O7" s="100"/>
      <c r="V7" s="109">
        <f t="shared" si="2"/>
        <v>118.69862518450932</v>
      </c>
      <c r="W7" s="109">
        <f t="shared" si="3"/>
        <v>47.835846537131303</v>
      </c>
      <c r="X7" s="109">
        <f t="shared" si="4"/>
        <v>33.89078953177652</v>
      </c>
      <c r="Y7" s="109">
        <f t="shared" si="5"/>
        <v>30.533845793375718</v>
      </c>
      <c r="Z7" s="109">
        <f t="shared" si="6"/>
        <v>22.962886647347364</v>
      </c>
      <c r="AA7" s="109">
        <f t="shared" si="7"/>
        <v>18.345241315239576</v>
      </c>
    </row>
    <row r="8" spans="1:27" ht="19.5" thickBot="1" x14ac:dyDescent="0.35">
      <c r="A8" s="93">
        <v>50</v>
      </c>
      <c r="B8" s="94" t="s">
        <v>4</v>
      </c>
      <c r="C8" s="93">
        <v>21</v>
      </c>
      <c r="D8" s="94" t="s">
        <v>0</v>
      </c>
      <c r="E8" s="93">
        <v>451154</v>
      </c>
      <c r="F8" s="94" t="s">
        <v>58</v>
      </c>
      <c r="G8" s="95">
        <v>2.7250147437103958</v>
      </c>
      <c r="H8" s="96">
        <v>0.36697049155719219</v>
      </c>
      <c r="I8" s="97">
        <v>4.7706163902434984E-2</v>
      </c>
      <c r="J8" s="98">
        <v>0.998736155440756</v>
      </c>
      <c r="K8" s="99">
        <v>281</v>
      </c>
      <c r="M8" s="100">
        <f t="shared" si="0"/>
        <v>0.13</v>
      </c>
      <c r="N8" s="89">
        <f t="shared" si="1"/>
        <v>4.7706163902434984E-2</v>
      </c>
      <c r="O8" s="100"/>
      <c r="V8" s="109">
        <f t="shared" si="2"/>
        <v>840.67717345003348</v>
      </c>
      <c r="W8" s="109">
        <f t="shared" si="3"/>
        <v>319.4749427814823</v>
      </c>
      <c r="X8" s="109">
        <f t="shared" si="4"/>
        <v>216.90777061118882</v>
      </c>
      <c r="Y8" s="109">
        <f t="shared" si="5"/>
        <v>192.21714179193543</v>
      </c>
      <c r="Z8" s="109">
        <f t="shared" si="6"/>
        <v>136.53204348600761</v>
      </c>
      <c r="AA8" s="109">
        <f t="shared" si="7"/>
        <v>102.56883891697747</v>
      </c>
    </row>
    <row r="9" spans="1:27" ht="19.5" thickBot="1" x14ac:dyDescent="0.35">
      <c r="A9" s="93">
        <v>50</v>
      </c>
      <c r="B9" s="94" t="s">
        <v>4</v>
      </c>
      <c r="C9" s="93">
        <v>21</v>
      </c>
      <c r="D9" s="94" t="s">
        <v>0</v>
      </c>
      <c r="E9" s="93">
        <v>410541</v>
      </c>
      <c r="F9" s="94" t="s">
        <v>59</v>
      </c>
      <c r="G9" s="95">
        <v>6.6645704356326227</v>
      </c>
      <c r="H9" s="96">
        <v>10.353255422297941</v>
      </c>
      <c r="I9" s="97">
        <v>6.0911652734519546</v>
      </c>
      <c r="J9" s="98">
        <v>0.83863120694314353</v>
      </c>
      <c r="K9" s="99">
        <v>104</v>
      </c>
      <c r="M9" s="100">
        <f t="shared" si="0"/>
        <v>0.58833333333333326</v>
      </c>
      <c r="N9" s="89">
        <f t="shared" si="1"/>
        <v>6.0911652734519546</v>
      </c>
      <c r="O9" s="100"/>
      <c r="V9" s="109">
        <f t="shared" si="2"/>
        <v>381.48081835978604</v>
      </c>
      <c r="W9" s="109">
        <f t="shared" si="3"/>
        <v>99.818033503789508</v>
      </c>
      <c r="X9" s="109">
        <f t="shared" si="4"/>
        <v>44.389730153604937</v>
      </c>
      <c r="Y9" s="109">
        <f t="shared" si="5"/>
        <v>31.046672768458844</v>
      </c>
      <c r="Z9" s="109">
        <f t="shared" si="6"/>
        <v>0.95390082519795327</v>
      </c>
      <c r="AA9" s="109">
        <f t="shared" si="7"/>
        <v>-17.400147217298564</v>
      </c>
    </row>
    <row r="10" spans="1:27" ht="19.5" thickBot="1" x14ac:dyDescent="0.35">
      <c r="A10" s="93">
        <v>50</v>
      </c>
      <c r="B10" s="94" t="s">
        <v>4</v>
      </c>
      <c r="C10" s="93">
        <v>21</v>
      </c>
      <c r="D10" s="94" t="s">
        <v>0</v>
      </c>
      <c r="E10" s="93">
        <v>410582</v>
      </c>
      <c r="F10" s="94" t="s">
        <v>471</v>
      </c>
      <c r="G10" s="95">
        <v>2.0710526315789468</v>
      </c>
      <c r="H10" s="96">
        <v>9.1740787801778936</v>
      </c>
      <c r="I10" s="97">
        <v>6.3832274459974609</v>
      </c>
      <c r="J10" s="98">
        <v>0.83089381710631804</v>
      </c>
      <c r="K10" s="99">
        <v>94</v>
      </c>
      <c r="M10" s="100">
        <f t="shared" si="0"/>
        <v>0.69578947368421051</v>
      </c>
      <c r="N10" s="89">
        <f t="shared" si="1"/>
        <v>6.3832274459974609</v>
      </c>
      <c r="O10" s="100"/>
      <c r="V10" s="109">
        <f t="shared" si="2"/>
        <v>99.314300478407276</v>
      </c>
      <c r="W10" s="109">
        <f t="shared" si="3"/>
        <v>25.303680332729346</v>
      </c>
      <c r="X10" s="109">
        <f t="shared" si="4"/>
        <v>10.73916089624341</v>
      </c>
      <c r="Y10" s="109">
        <f t="shared" si="5"/>
        <v>7.2330961805270082</v>
      </c>
      <c r="Z10" s="109">
        <f t="shared" si="6"/>
        <v>-0.67417745720923328</v>
      </c>
      <c r="AA10" s="109">
        <f t="shared" si="7"/>
        <v>-5.4969462106433387</v>
      </c>
    </row>
    <row r="11" spans="1:27" ht="19.5" thickBot="1" x14ac:dyDescent="0.35">
      <c r="A11" s="93">
        <v>50</v>
      </c>
      <c r="B11" s="94" t="s">
        <v>4</v>
      </c>
      <c r="C11" s="93">
        <v>21</v>
      </c>
      <c r="D11" s="94" t="s">
        <v>0</v>
      </c>
      <c r="E11" s="93">
        <v>451156</v>
      </c>
      <c r="F11" s="94" t="s">
        <v>61</v>
      </c>
      <c r="G11" s="95">
        <v>5.6138556674741817</v>
      </c>
      <c r="H11" s="96">
        <v>8.3721425672396226</v>
      </c>
      <c r="I11" s="97">
        <v>4.8994847087643789</v>
      </c>
      <c r="J11" s="98">
        <v>0.87020152982882826</v>
      </c>
      <c r="K11" s="99">
        <v>140</v>
      </c>
      <c r="M11" s="100">
        <f t="shared" si="0"/>
        <v>0.58521276595744676</v>
      </c>
      <c r="N11" s="89">
        <f t="shared" si="1"/>
        <v>4.8994847087643789</v>
      </c>
      <c r="O11" s="100"/>
      <c r="V11" s="109">
        <f t="shared" si="2"/>
        <v>335.21255245968973</v>
      </c>
      <c r="W11" s="109">
        <f t="shared" si="3"/>
        <v>96.690678330524719</v>
      </c>
      <c r="X11" s="109">
        <f t="shared" si="4"/>
        <v>49.752057022618452</v>
      </c>
      <c r="Y11" s="109">
        <f t="shared" si="5"/>
        <v>38.452690456512862</v>
      </c>
      <c r="Z11" s="109">
        <f t="shared" si="6"/>
        <v>12.969081163514257</v>
      </c>
      <c r="AA11" s="109">
        <f t="shared" si="7"/>
        <v>-2.5737671371273212</v>
      </c>
    </row>
    <row r="12" spans="1:27" ht="19.5" thickBot="1" x14ac:dyDescent="0.35">
      <c r="A12" s="93">
        <v>50</v>
      </c>
      <c r="B12" s="94" t="s">
        <v>4</v>
      </c>
      <c r="C12" s="93">
        <v>21</v>
      </c>
      <c r="D12" s="94" t="s">
        <v>0</v>
      </c>
      <c r="E12" s="93">
        <v>551157</v>
      </c>
      <c r="F12" s="94" t="s">
        <v>62</v>
      </c>
      <c r="G12" s="95">
        <v>2.497158525102761</v>
      </c>
      <c r="H12" s="96">
        <v>8.8100133727371883</v>
      </c>
      <c r="I12" s="97">
        <v>4.6472820541188673</v>
      </c>
      <c r="J12" s="98">
        <v>0.87688295056834742</v>
      </c>
      <c r="K12" s="99">
        <v>150</v>
      </c>
      <c r="M12" s="100">
        <f t="shared" si="0"/>
        <v>0.52750000000000008</v>
      </c>
      <c r="N12" s="89">
        <f t="shared" si="1"/>
        <v>4.6472820541188673</v>
      </c>
      <c r="O12" s="100"/>
      <c r="V12" s="109">
        <f t="shared" si="2"/>
        <v>166.69334226940938</v>
      </c>
      <c r="W12" s="109">
        <f t="shared" si="3"/>
        <v>48.985767698563606</v>
      </c>
      <c r="X12" s="109">
        <f t="shared" si="4"/>
        <v>25.822142609565955</v>
      </c>
      <c r="Y12" s="109">
        <f t="shared" si="5"/>
        <v>20.246045920157254</v>
      </c>
      <c r="Z12" s="109">
        <f t="shared" si="6"/>
        <v>7.6702020813419827</v>
      </c>
      <c r="AA12" s="109">
        <f t="shared" si="7"/>
        <v>0</v>
      </c>
    </row>
    <row r="13" spans="1:27" ht="19.5" thickBot="1" x14ac:dyDescent="0.35">
      <c r="A13" s="93">
        <v>50</v>
      </c>
      <c r="B13" s="94" t="s">
        <v>4</v>
      </c>
      <c r="C13" s="93">
        <v>21</v>
      </c>
      <c r="D13" s="94" t="s">
        <v>0</v>
      </c>
      <c r="E13" s="93">
        <v>451151</v>
      </c>
      <c r="F13" s="94" t="s">
        <v>63</v>
      </c>
      <c r="G13" s="95">
        <v>2.8322348251931855</v>
      </c>
      <c r="H13" s="96">
        <v>8.8269516982211247</v>
      </c>
      <c r="I13" s="97">
        <v>6.1682738467169216</v>
      </c>
      <c r="J13" s="98">
        <v>0.83658842582598436</v>
      </c>
      <c r="K13" s="99">
        <v>101</v>
      </c>
      <c r="M13" s="100">
        <f t="shared" si="0"/>
        <v>0.69879999999999998</v>
      </c>
      <c r="N13" s="89">
        <f t="shared" si="1"/>
        <v>6.1682738467169216</v>
      </c>
      <c r="O13" s="100"/>
      <c r="V13" s="109">
        <f t="shared" si="2"/>
        <v>136.1573822949008</v>
      </c>
      <c r="W13" s="109">
        <f t="shared" si="3"/>
        <v>35.381380529743886</v>
      </c>
      <c r="X13" s="109">
        <f t="shared" si="4"/>
        <v>15.549712675172033</v>
      </c>
      <c r="Y13" s="109">
        <f t="shared" si="5"/>
        <v>10.775706143618546</v>
      </c>
      <c r="Z13" s="109">
        <f t="shared" si="6"/>
        <v>8.8267348851867964E-3</v>
      </c>
      <c r="AA13" s="109">
        <f t="shared" si="7"/>
        <v>-6.5580599018213901</v>
      </c>
    </row>
    <row r="14" spans="1:27" ht="19.5" thickBot="1" x14ac:dyDescent="0.35">
      <c r="A14" s="93">
        <v>50</v>
      </c>
      <c r="B14" s="94" t="s">
        <v>4</v>
      </c>
      <c r="C14" s="93">
        <v>14</v>
      </c>
      <c r="D14" s="94" t="s">
        <v>64</v>
      </c>
      <c r="E14" s="93">
        <v>510530</v>
      </c>
      <c r="F14" s="94" t="s">
        <v>65</v>
      </c>
      <c r="G14" s="95">
        <v>3.7165962368627157</v>
      </c>
      <c r="H14" s="96">
        <v>6.7265848660233294</v>
      </c>
      <c r="I14" s="97">
        <v>4.4207115739505323</v>
      </c>
      <c r="J14" s="98">
        <v>0.88288531682927085</v>
      </c>
      <c r="K14" s="99">
        <v>157</v>
      </c>
      <c r="M14" s="100">
        <f t="shared" si="0"/>
        <v>0.65720000000000001</v>
      </c>
      <c r="N14" s="89">
        <f t="shared" si="1"/>
        <v>4.4207115739505323</v>
      </c>
      <c r="O14" s="100"/>
      <c r="V14" s="109">
        <f t="shared" si="2"/>
        <v>200.49571781390662</v>
      </c>
      <c r="W14" s="109">
        <f t="shared" si="3"/>
        <v>59.88170903585474</v>
      </c>
      <c r="X14" s="109">
        <f t="shared" si="4"/>
        <v>32.21033619964512</v>
      </c>
      <c r="Y14" s="109">
        <f t="shared" si="5"/>
        <v>25.549105504080487</v>
      </c>
      <c r="Z14" s="109">
        <f t="shared" si="6"/>
        <v>10.525944739874493</v>
      </c>
      <c r="AA14" s="109">
        <f t="shared" si="7"/>
        <v>1.3630861326222994</v>
      </c>
    </row>
    <row r="15" spans="1:27" ht="19.5" thickBot="1" x14ac:dyDescent="0.35">
      <c r="A15" s="93">
        <v>50</v>
      </c>
      <c r="B15" s="94" t="s">
        <v>4</v>
      </c>
      <c r="C15" s="93">
        <v>14</v>
      </c>
      <c r="D15" s="94" t="s">
        <v>64</v>
      </c>
      <c r="E15" s="93">
        <v>410550</v>
      </c>
      <c r="F15" s="94" t="s">
        <v>66</v>
      </c>
      <c r="G15" s="95">
        <v>2.9867510944988345</v>
      </c>
      <c r="H15" s="96">
        <v>2.6784957121920363</v>
      </c>
      <c r="I15" s="97">
        <v>1.8582064003332253</v>
      </c>
      <c r="J15" s="98">
        <v>0.95077189493130188</v>
      </c>
      <c r="K15" s="99">
        <v>246</v>
      </c>
      <c r="M15" s="100">
        <f t="shared" si="0"/>
        <v>0.69374999999999998</v>
      </c>
      <c r="N15" s="89">
        <f t="shared" si="1"/>
        <v>1.8582064003332253</v>
      </c>
      <c r="O15" s="100"/>
      <c r="V15" s="109">
        <f t="shared" si="2"/>
        <v>164.37105775757587</v>
      </c>
      <c r="W15" s="109">
        <f t="shared" si="3"/>
        <v>57.323491725601102</v>
      </c>
      <c r="X15" s="109">
        <f t="shared" si="4"/>
        <v>36.257645323660697</v>
      </c>
      <c r="Y15" s="109">
        <f t="shared" si="5"/>
        <v>31.186539400898798</v>
      </c>
      <c r="Z15" s="109">
        <f t="shared" si="6"/>
        <v>19.749607846989981</v>
      </c>
      <c r="AA15" s="109">
        <f t="shared" si="7"/>
        <v>12.774046021214213</v>
      </c>
    </row>
    <row r="16" spans="1:27" ht="19.5" thickBot="1" x14ac:dyDescent="0.35">
      <c r="A16" s="93">
        <v>50</v>
      </c>
      <c r="B16" s="94" t="s">
        <v>4</v>
      </c>
      <c r="C16" s="93">
        <v>14</v>
      </c>
      <c r="D16" s="94" t="s">
        <v>64</v>
      </c>
      <c r="E16" s="93">
        <v>510556</v>
      </c>
      <c r="F16" s="94" t="s">
        <v>67</v>
      </c>
      <c r="G16" s="95">
        <v>3.7586928362379339</v>
      </c>
      <c r="H16" s="96">
        <v>4.5228489639007741</v>
      </c>
      <c r="I16" s="97">
        <v>2.8720090920769912</v>
      </c>
      <c r="J16" s="98">
        <v>0.92391396062478914</v>
      </c>
      <c r="K16" s="99">
        <v>221</v>
      </c>
      <c r="M16" s="100">
        <f t="shared" si="0"/>
        <v>0.6349999999999999</v>
      </c>
      <c r="N16" s="89">
        <f t="shared" si="1"/>
        <v>2.8720090920769912</v>
      </c>
      <c r="O16" s="100"/>
      <c r="V16" s="109">
        <f t="shared" si="2"/>
        <v>219.60772835367791</v>
      </c>
      <c r="W16" s="109">
        <f t="shared" si="3"/>
        <v>72.429397724397518</v>
      </c>
      <c r="X16" s="109">
        <f t="shared" si="4"/>
        <v>43.466234696437297</v>
      </c>
      <c r="Y16" s="109">
        <f t="shared" si="5"/>
        <v>36.494035964394953</v>
      </c>
      <c r="Z16" s="109">
        <f t="shared" si="6"/>
        <v>20.769544917836701</v>
      </c>
      <c r="AA16" s="109">
        <f t="shared" si="7"/>
        <v>11.178934100843858</v>
      </c>
    </row>
    <row r="17" spans="1:27" ht="19.5" thickBot="1" x14ac:dyDescent="0.35">
      <c r="A17" s="93">
        <v>50</v>
      </c>
      <c r="B17" s="94" t="s">
        <v>4</v>
      </c>
      <c r="C17" s="93">
        <v>14</v>
      </c>
      <c r="D17" s="94" t="s">
        <v>64</v>
      </c>
      <c r="E17" s="93">
        <v>410551</v>
      </c>
      <c r="F17" s="94" t="s">
        <v>472</v>
      </c>
      <c r="G17" s="95">
        <v>2.3547797948533069</v>
      </c>
      <c r="H17" s="96">
        <v>7.6440268594717269</v>
      </c>
      <c r="I17" s="97">
        <v>4.4144255113449216</v>
      </c>
      <c r="J17" s="98">
        <v>0.88305184889501009</v>
      </c>
      <c r="K17" s="99">
        <v>158</v>
      </c>
      <c r="M17" s="100">
        <f t="shared" si="0"/>
        <v>0.5774999999999999</v>
      </c>
      <c r="N17" s="89">
        <f t="shared" si="1"/>
        <v>4.4144255113449216</v>
      </c>
      <c r="O17" s="100"/>
      <c r="V17" s="109">
        <f t="shared" si="2"/>
        <v>144.58974622265262</v>
      </c>
      <c r="W17" s="109">
        <f t="shared" si="3"/>
        <v>43.203492990748224</v>
      </c>
      <c r="X17" s="109">
        <f t="shared" si="4"/>
        <v>23.251734001537951</v>
      </c>
      <c r="Y17" s="109">
        <f t="shared" si="5"/>
        <v>18.448818360304447</v>
      </c>
      <c r="Z17" s="109">
        <f t="shared" si="6"/>
        <v>7.6167398581719983</v>
      </c>
      <c r="AA17" s="109">
        <f t="shared" si="7"/>
        <v>1.0100872838233073</v>
      </c>
    </row>
    <row r="18" spans="1:27" ht="19.5" thickBot="1" x14ac:dyDescent="0.35">
      <c r="A18" s="93">
        <v>50</v>
      </c>
      <c r="B18" s="94" t="s">
        <v>4</v>
      </c>
      <c r="C18" s="93">
        <v>14</v>
      </c>
      <c r="D18" s="94" t="s">
        <v>64</v>
      </c>
      <c r="E18" s="93">
        <v>510523</v>
      </c>
      <c r="F18" s="94" t="s">
        <v>69</v>
      </c>
      <c r="G18" s="95">
        <v>5.7377038062451815</v>
      </c>
      <c r="H18" s="96">
        <v>8.3657159067281555</v>
      </c>
      <c r="I18" s="97">
        <v>4.7388294896653873</v>
      </c>
      <c r="J18" s="98">
        <v>0.87445765121783092</v>
      </c>
      <c r="K18" s="99">
        <v>145</v>
      </c>
      <c r="M18" s="100">
        <f t="shared" si="0"/>
        <v>0.5664583333333334</v>
      </c>
      <c r="N18" s="89">
        <f t="shared" si="1"/>
        <v>4.7388294896653873</v>
      </c>
      <c r="O18" s="100"/>
      <c r="V18" s="109">
        <f t="shared" si="2"/>
        <v>355.68202356489519</v>
      </c>
      <c r="W18" s="109">
        <f t="shared" si="3"/>
        <v>103.82682669674865</v>
      </c>
      <c r="X18" s="109">
        <f t="shared" si="4"/>
        <v>54.264346302097849</v>
      </c>
      <c r="Y18" s="109">
        <f t="shared" si="5"/>
        <v>42.333347514746343</v>
      </c>
      <c r="Z18" s="109">
        <f t="shared" si="6"/>
        <v>15.425209806908688</v>
      </c>
      <c r="AA18" s="109">
        <f t="shared" si="7"/>
        <v>-0.98648045396023853</v>
      </c>
    </row>
    <row r="19" spans="1:27" ht="19.5" thickBot="1" x14ac:dyDescent="0.35">
      <c r="A19" s="93">
        <v>50</v>
      </c>
      <c r="B19" s="94" t="s">
        <v>4</v>
      </c>
      <c r="C19" s="93">
        <v>14</v>
      </c>
      <c r="D19" s="94" t="s">
        <v>64</v>
      </c>
      <c r="E19" s="93">
        <v>510570</v>
      </c>
      <c r="F19" s="94" t="s">
        <v>70</v>
      </c>
      <c r="G19" s="95">
        <v>3.8211716883116864</v>
      </c>
      <c r="H19" s="96">
        <v>4.9722968633201603</v>
      </c>
      <c r="I19" s="97">
        <v>3.9150295302773475</v>
      </c>
      <c r="J19" s="98">
        <v>0.89628198189986452</v>
      </c>
      <c r="K19" s="99">
        <v>188</v>
      </c>
      <c r="M19" s="100">
        <f t="shared" si="0"/>
        <v>0.78736842105263161</v>
      </c>
      <c r="N19" s="89">
        <f t="shared" si="1"/>
        <v>3.9150295302773475</v>
      </c>
      <c r="O19" s="100"/>
      <c r="V19" s="109">
        <f t="shared" si="2"/>
        <v>174.6691487541533</v>
      </c>
      <c r="W19" s="109">
        <f t="shared" si="3"/>
        <v>53.999146610972367</v>
      </c>
      <c r="X19" s="109">
        <f t="shared" si="4"/>
        <v>30.252546620919563</v>
      </c>
      <c r="Y19" s="109">
        <f t="shared" si="5"/>
        <v>24.536112466917469</v>
      </c>
      <c r="Z19" s="109">
        <f t="shared" si="6"/>
        <v>11.643763707587807</v>
      </c>
      <c r="AA19" s="109">
        <f t="shared" si="7"/>
        <v>3.7805203694363607</v>
      </c>
    </row>
    <row r="20" spans="1:27" ht="19.5" thickBot="1" x14ac:dyDescent="0.35">
      <c r="A20" s="93">
        <v>50</v>
      </c>
      <c r="B20" s="94" t="s">
        <v>4</v>
      </c>
      <c r="C20" s="93">
        <v>14</v>
      </c>
      <c r="D20" s="94" t="s">
        <v>64</v>
      </c>
      <c r="E20" s="93">
        <v>410571</v>
      </c>
      <c r="F20" s="94" t="s">
        <v>473</v>
      </c>
      <c r="G20" s="95">
        <v>6.5513831117223136</v>
      </c>
      <c r="H20" s="96">
        <v>12.516440971568027</v>
      </c>
      <c r="I20" s="97">
        <v>7.7113487546782533</v>
      </c>
      <c r="J20" s="98">
        <v>0.79570886923616202</v>
      </c>
      <c r="K20" s="99">
        <v>64</v>
      </c>
      <c r="M20" s="100">
        <f t="shared" si="0"/>
        <v>0.61609756097560975</v>
      </c>
      <c r="N20" s="89">
        <f t="shared" si="1"/>
        <v>7.7113487546782533</v>
      </c>
      <c r="O20" s="100"/>
      <c r="V20" s="109">
        <f t="shared" si="2"/>
        <v>339.77442436862839</v>
      </c>
      <c r="W20" s="109">
        <f t="shared" si="3"/>
        <v>75.37270861749866</v>
      </c>
      <c r="X20" s="109">
        <f t="shared" si="4"/>
        <v>23.341203942659874</v>
      </c>
      <c r="Y20" s="109">
        <f t="shared" si="5"/>
        <v>10.815845763722237</v>
      </c>
      <c r="Z20" s="109">
        <f t="shared" si="6"/>
        <v>-17.432758458427784</v>
      </c>
      <c r="AA20" s="109">
        <f t="shared" si="7"/>
        <v>-34.662020023443603</v>
      </c>
    </row>
    <row r="21" spans="1:27" ht="19.5" thickBot="1" x14ac:dyDescent="0.35">
      <c r="A21" s="93">
        <v>50</v>
      </c>
      <c r="B21" s="94" t="s">
        <v>4</v>
      </c>
      <c r="C21" s="93">
        <v>14</v>
      </c>
      <c r="D21" s="94" t="s">
        <v>64</v>
      </c>
      <c r="E21" s="93">
        <v>510520</v>
      </c>
      <c r="F21" s="94" t="s">
        <v>72</v>
      </c>
      <c r="G21" s="95">
        <v>4.4635059956406362</v>
      </c>
      <c r="H21" s="96">
        <v>7.6173304199001217</v>
      </c>
      <c r="I21" s="97">
        <v>5.0106351423843005</v>
      </c>
      <c r="J21" s="98">
        <v>0.86725690256692023</v>
      </c>
      <c r="K21" s="99">
        <v>132</v>
      </c>
      <c r="M21" s="100">
        <f t="shared" si="0"/>
        <v>0.65779411764705875</v>
      </c>
      <c r="N21" s="89">
        <f t="shared" si="1"/>
        <v>5.0106351423843005</v>
      </c>
      <c r="O21" s="100"/>
      <c r="V21" s="109">
        <f t="shared" si="2"/>
        <v>236.3126015226882</v>
      </c>
      <c r="W21" s="109">
        <f t="shared" si="3"/>
        <v>67.592472552025612</v>
      </c>
      <c r="X21" s="109">
        <f t="shared" si="4"/>
        <v>34.390107906481809</v>
      </c>
      <c r="Y21" s="109">
        <f t="shared" si="5"/>
        <v>26.397421318384012</v>
      </c>
      <c r="Z21" s="109">
        <f t="shared" si="6"/>
        <v>8.3714106547902354</v>
      </c>
      <c r="AA21" s="109">
        <f t="shared" si="7"/>
        <v>-2.62293264990645</v>
      </c>
    </row>
    <row r="22" spans="1:27" ht="19.5" thickBot="1" x14ac:dyDescent="0.35">
      <c r="A22" s="93">
        <v>50</v>
      </c>
      <c r="B22" s="94" t="s">
        <v>4</v>
      </c>
      <c r="C22" s="93">
        <v>14</v>
      </c>
      <c r="D22" s="94" t="s">
        <v>64</v>
      </c>
      <c r="E22" s="93">
        <v>410524</v>
      </c>
      <c r="F22" s="94" t="s">
        <v>74</v>
      </c>
      <c r="G22" s="95">
        <v>5.2387683996292607</v>
      </c>
      <c r="H22" s="96">
        <v>5.9174213546439312</v>
      </c>
      <c r="I22" s="97">
        <v>3.7308387218230856</v>
      </c>
      <c r="J22" s="98">
        <v>0.90116161446901766</v>
      </c>
      <c r="K22" s="99">
        <v>198</v>
      </c>
      <c r="M22" s="100">
        <f t="shared" si="0"/>
        <v>0.63048387096774205</v>
      </c>
      <c r="N22" s="89">
        <f t="shared" si="1"/>
        <v>3.7308387218230856</v>
      </c>
      <c r="O22" s="100"/>
      <c r="V22" s="109">
        <f t="shared" si="2"/>
        <v>300.68438963716159</v>
      </c>
      <c r="W22" s="109">
        <f t="shared" si="3"/>
        <v>94.081695767941383</v>
      </c>
      <c r="X22" s="109">
        <f t="shared" si="4"/>
        <v>53.424436788544327</v>
      </c>
      <c r="Y22" s="109">
        <f t="shared" si="5"/>
        <v>43.637160128504988</v>
      </c>
      <c r="Z22" s="109">
        <f t="shared" si="6"/>
        <v>21.563786989599087</v>
      </c>
      <c r="AA22" s="109">
        <f t="shared" si="7"/>
        <v>8.100894577583885</v>
      </c>
    </row>
    <row r="23" spans="1:27" ht="19.5" thickBot="1" x14ac:dyDescent="0.35">
      <c r="A23" s="93">
        <v>50</v>
      </c>
      <c r="B23" s="94" t="s">
        <v>4</v>
      </c>
      <c r="C23" s="93">
        <v>14</v>
      </c>
      <c r="D23" s="94" t="s">
        <v>64</v>
      </c>
      <c r="E23" s="93">
        <v>410521</v>
      </c>
      <c r="F23" s="94" t="s">
        <v>73</v>
      </c>
      <c r="G23" s="95">
        <v>4.4850023982562579</v>
      </c>
      <c r="H23" s="96">
        <v>0.44593064226177181</v>
      </c>
      <c r="I23" s="97">
        <v>0.48383474685402239</v>
      </c>
      <c r="J23" s="98">
        <v>0.98718211940840073</v>
      </c>
      <c r="K23" s="99">
        <v>275</v>
      </c>
      <c r="M23" s="100">
        <f t="shared" si="0"/>
        <v>1.085</v>
      </c>
      <c r="N23" s="89">
        <f t="shared" si="1"/>
        <v>0.48383474685402239</v>
      </c>
      <c r="O23" s="100"/>
      <c r="V23" s="109">
        <f t="shared" si="2"/>
        <v>163.86386759442564</v>
      </c>
      <c r="W23" s="109">
        <f t="shared" si="3"/>
        <v>61.082663043647472</v>
      </c>
      <c r="X23" s="109">
        <f t="shared" si="4"/>
        <v>40.85639215929703</v>
      </c>
      <c r="Y23" s="109">
        <f t="shared" si="5"/>
        <v>35.987394250550857</v>
      </c>
      <c r="Z23" s="109">
        <f t="shared" si="6"/>
        <v>25.006279545668793</v>
      </c>
      <c r="AA23" s="109">
        <f t="shared" si="7"/>
        <v>18.30872748122011</v>
      </c>
    </row>
    <row r="24" spans="1:27" ht="19.5" thickBot="1" x14ac:dyDescent="0.35">
      <c r="A24" s="93">
        <v>50</v>
      </c>
      <c r="B24" s="94" t="s">
        <v>4</v>
      </c>
      <c r="C24" s="93">
        <v>14</v>
      </c>
      <c r="D24" s="94" t="s">
        <v>64</v>
      </c>
      <c r="E24" s="93">
        <v>510513</v>
      </c>
      <c r="F24" s="94" t="s">
        <v>474</v>
      </c>
      <c r="G24" s="95">
        <v>4.1535167486323861</v>
      </c>
      <c r="H24" s="96">
        <v>1.4445589997862893</v>
      </c>
      <c r="I24" s="97">
        <v>0.60430718157726426</v>
      </c>
      <c r="J24" s="98">
        <v>0.98399053117935686</v>
      </c>
      <c r="K24" s="99">
        <v>272</v>
      </c>
      <c r="M24" s="100">
        <f t="shared" si="0"/>
        <v>0.41833333333333328</v>
      </c>
      <c r="N24" s="89">
        <f t="shared" si="1"/>
        <v>0.60430718157726426</v>
      </c>
      <c r="O24" s="100"/>
      <c r="V24" s="109">
        <f t="shared" si="2"/>
        <v>392.31724018540842</v>
      </c>
      <c r="W24" s="109">
        <f t="shared" si="3"/>
        <v>145.44386385692059</v>
      </c>
      <c r="X24" s="109">
        <f t="shared" si="4"/>
        <v>96.861753873112477</v>
      </c>
      <c r="Y24" s="109">
        <f t="shared" si="5"/>
        <v>85.166756151280339</v>
      </c>
      <c r="Z24" s="109">
        <f t="shared" si="6"/>
        <v>58.790874735088899</v>
      </c>
      <c r="AA24" s="109">
        <f t="shared" si="7"/>
        <v>42.703815836402732</v>
      </c>
    </row>
    <row r="25" spans="1:27" ht="19.5" thickBot="1" x14ac:dyDescent="0.35">
      <c r="A25" s="93">
        <v>50</v>
      </c>
      <c r="B25" s="94" t="s">
        <v>4</v>
      </c>
      <c r="C25" s="93">
        <v>14</v>
      </c>
      <c r="D25" s="94" t="s">
        <v>64</v>
      </c>
      <c r="E25" s="93">
        <v>510511</v>
      </c>
      <c r="F25" s="94" t="s">
        <v>76</v>
      </c>
      <c r="G25" s="95">
        <v>3.2214728245429014</v>
      </c>
      <c r="H25" s="96">
        <v>14.279183002739437</v>
      </c>
      <c r="I25" s="97">
        <v>8.714957886998036</v>
      </c>
      <c r="J25" s="98">
        <v>0.76912098545485363</v>
      </c>
      <c r="K25" s="99">
        <v>48</v>
      </c>
      <c r="M25" s="100">
        <f t="shared" si="0"/>
        <v>0.61032608695652169</v>
      </c>
      <c r="N25" s="89">
        <f t="shared" si="1"/>
        <v>8.714957886998036</v>
      </c>
      <c r="O25" s="100"/>
      <c r="V25" s="109">
        <f t="shared" si="2"/>
        <v>163.01973365825009</v>
      </c>
      <c r="W25" s="109">
        <f t="shared" si="3"/>
        <v>31.777594477579711</v>
      </c>
      <c r="X25" s="109">
        <f t="shared" si="4"/>
        <v>5.9505079970120693</v>
      </c>
      <c r="Y25" s="109">
        <f t="shared" si="5"/>
        <v>-0.26675423495912004</v>
      </c>
      <c r="Z25" s="109">
        <f t="shared" si="6"/>
        <v>-14.288627112942683</v>
      </c>
      <c r="AA25" s="109">
        <f t="shared" si="7"/>
        <v>-22.840784718547471</v>
      </c>
    </row>
    <row r="26" spans="1:27" ht="19.5" thickBot="1" x14ac:dyDescent="0.35">
      <c r="A26" s="93">
        <v>50</v>
      </c>
      <c r="B26" s="94" t="s">
        <v>4</v>
      </c>
      <c r="C26" s="93">
        <v>14</v>
      </c>
      <c r="D26" s="94" t="s">
        <v>64</v>
      </c>
      <c r="E26" s="93">
        <v>510522</v>
      </c>
      <c r="F26" s="94" t="s">
        <v>77</v>
      </c>
      <c r="G26" s="95">
        <v>2.5875001669672071</v>
      </c>
      <c r="H26" s="96">
        <v>6.9565212902373217</v>
      </c>
      <c r="I26" s="97">
        <v>4.2183572157189086</v>
      </c>
      <c r="J26" s="98">
        <v>0.88824614305737393</v>
      </c>
      <c r="K26" s="99">
        <v>168</v>
      </c>
      <c r="M26" s="100">
        <f t="shared" si="0"/>
        <v>0.60638888888888876</v>
      </c>
      <c r="N26" s="89">
        <f t="shared" si="1"/>
        <v>4.2183572157189086</v>
      </c>
      <c r="O26" s="100"/>
      <c r="V26" s="109">
        <f t="shared" si="2"/>
        <v>152.20028339223819</v>
      </c>
      <c r="W26" s="109">
        <f t="shared" si="3"/>
        <v>46.101619889100014</v>
      </c>
      <c r="X26" s="109">
        <f t="shared" si="4"/>
        <v>25.222507624738348</v>
      </c>
      <c r="Y26" s="109">
        <f t="shared" si="5"/>
        <v>20.196353543596743</v>
      </c>
      <c r="Z26" s="109">
        <f t="shared" si="6"/>
        <v>8.860802466385481</v>
      </c>
      <c r="AA26" s="109">
        <f t="shared" si="7"/>
        <v>1.9470741647326011</v>
      </c>
    </row>
    <row r="27" spans="1:27" ht="19.5" thickBot="1" x14ac:dyDescent="0.35">
      <c r="A27" s="93">
        <v>50</v>
      </c>
      <c r="B27" s="94" t="s">
        <v>4</v>
      </c>
      <c r="C27" s="93">
        <v>14</v>
      </c>
      <c r="D27" s="94" t="s">
        <v>64</v>
      </c>
      <c r="E27" s="93">
        <v>410510</v>
      </c>
      <c r="F27" s="94" t="s">
        <v>78</v>
      </c>
      <c r="G27" s="95">
        <v>9.7042865224070027</v>
      </c>
      <c r="H27" s="96">
        <v>6.4919764945660114</v>
      </c>
      <c r="I27" s="97">
        <v>3.6118059703895029</v>
      </c>
      <c r="J27" s="98">
        <v>0.90431506222010583</v>
      </c>
      <c r="K27" s="99">
        <v>203</v>
      </c>
      <c r="M27" s="100">
        <f t="shared" si="0"/>
        <v>0.55634920634920626</v>
      </c>
      <c r="N27" s="89">
        <f t="shared" si="1"/>
        <v>3.6118059703895029</v>
      </c>
      <c r="O27" s="100"/>
      <c r="V27" s="109">
        <f t="shared" si="2"/>
        <v>633.41578435438112</v>
      </c>
      <c r="W27" s="109">
        <f t="shared" si="3"/>
        <v>199.70831708582409</v>
      </c>
      <c r="X27" s="109">
        <f t="shared" si="4"/>
        <v>114.35920334581623</v>
      </c>
      <c r="Y27" s="109">
        <f t="shared" si="5"/>
        <v>93.813416201485509</v>
      </c>
      <c r="Z27" s="109">
        <f t="shared" si="6"/>
        <v>47.476233569159092</v>
      </c>
      <c r="AA27" s="109">
        <f t="shared" si="7"/>
        <v>19.214467661013398</v>
      </c>
    </row>
    <row r="28" spans="1:27" ht="19.5" thickBot="1" x14ac:dyDescent="0.35">
      <c r="A28" s="93">
        <v>50</v>
      </c>
      <c r="B28" s="94" t="s">
        <v>4</v>
      </c>
      <c r="C28" s="93">
        <v>14</v>
      </c>
      <c r="D28" s="94" t="s">
        <v>64</v>
      </c>
      <c r="E28" s="93">
        <v>410512</v>
      </c>
      <c r="F28" s="94" t="s">
        <v>79</v>
      </c>
      <c r="G28" s="95">
        <v>4.4939813465565059</v>
      </c>
      <c r="H28" s="96">
        <v>5.7855157809950386</v>
      </c>
      <c r="I28" s="97">
        <v>3.0240445947585606</v>
      </c>
      <c r="J28" s="98">
        <v>0.91988619508763558</v>
      </c>
      <c r="K28" s="99">
        <v>215</v>
      </c>
      <c r="M28" s="100">
        <f t="shared" si="0"/>
        <v>0.52269230769230768</v>
      </c>
      <c r="N28" s="89">
        <f t="shared" si="1"/>
        <v>3.0240445947585606</v>
      </c>
      <c r="O28" s="100"/>
      <c r="V28" s="109">
        <f t="shared" si="2"/>
        <v>317.59396202717403</v>
      </c>
      <c r="W28" s="109">
        <f t="shared" si="3"/>
        <v>103.8145302595948</v>
      </c>
      <c r="X28" s="109">
        <f t="shared" si="4"/>
        <v>61.744963986927182</v>
      </c>
      <c r="Y28" s="109">
        <f t="shared" si="5"/>
        <v>51.617707639245005</v>
      </c>
      <c r="Z28" s="109">
        <f t="shared" si="6"/>
        <v>28.777573861434352</v>
      </c>
      <c r="AA28" s="109">
        <f t="shared" si="7"/>
        <v>14.847022251054577</v>
      </c>
    </row>
    <row r="29" spans="1:27" ht="19.5" thickBot="1" x14ac:dyDescent="0.35">
      <c r="A29" s="93">
        <v>262</v>
      </c>
      <c r="B29" s="94" t="s">
        <v>475</v>
      </c>
      <c r="C29" s="93">
        <v>5060</v>
      </c>
      <c r="D29" s="94" t="s">
        <v>81</v>
      </c>
      <c r="E29" s="93">
        <v>4057</v>
      </c>
      <c r="F29" s="94" t="s">
        <v>82</v>
      </c>
      <c r="G29" s="95">
        <v>6.1500901777138246</v>
      </c>
      <c r="H29" s="96">
        <v>11.056748443528948</v>
      </c>
      <c r="I29" s="97">
        <v>8.1803678557932553</v>
      </c>
      <c r="J29" s="98">
        <v>0.78328348872688414</v>
      </c>
      <c r="K29" s="99">
        <v>58</v>
      </c>
      <c r="M29" s="100">
        <f t="shared" si="0"/>
        <v>0.7398529411764706</v>
      </c>
      <c r="N29" s="89">
        <f t="shared" si="1"/>
        <v>8.1803678557932553</v>
      </c>
      <c r="O29" s="100"/>
      <c r="V29" s="109">
        <f t="shared" si="2"/>
        <v>261.46166968891612</v>
      </c>
      <c r="W29" s="109">
        <f t="shared" si="3"/>
        <v>54.772918681389491</v>
      </c>
      <c r="X29" s="109">
        <f t="shared" si="4"/>
        <v>14.098724553211792</v>
      </c>
      <c r="Y29" s="109">
        <f t="shared" si="5"/>
        <v>4.3073711553264866</v>
      </c>
      <c r="Z29" s="109">
        <f t="shared" si="6"/>
        <v>-17.775196303796303</v>
      </c>
      <c r="AA29" s="109">
        <f t="shared" si="7"/>
        <v>-31.243696474222634</v>
      </c>
    </row>
    <row r="30" spans="1:27" ht="19.5" thickBot="1" x14ac:dyDescent="0.35">
      <c r="A30" s="93">
        <v>262</v>
      </c>
      <c r="B30" s="94" t="s">
        <v>475</v>
      </c>
      <c r="C30" s="93">
        <v>5060</v>
      </c>
      <c r="D30" s="94" t="s">
        <v>81</v>
      </c>
      <c r="E30" s="93">
        <v>4082</v>
      </c>
      <c r="F30" s="94" t="s">
        <v>476</v>
      </c>
      <c r="G30" s="95">
        <v>2.8153302611367135</v>
      </c>
      <c r="H30" s="96">
        <v>12.076735887558787</v>
      </c>
      <c r="I30" s="97">
        <v>7.0773224282237894</v>
      </c>
      <c r="J30" s="98">
        <v>0.81250566565739057</v>
      </c>
      <c r="K30" s="99">
        <v>75</v>
      </c>
      <c r="M30" s="100">
        <f t="shared" si="0"/>
        <v>0.58602941176470591</v>
      </c>
      <c r="N30" s="89">
        <f t="shared" si="1"/>
        <v>7.0773224282237894</v>
      </c>
      <c r="O30" s="100"/>
      <c r="V30" s="109">
        <f t="shared" si="2"/>
        <v>156.74341789268109</v>
      </c>
      <c r="W30" s="109">
        <f t="shared" si="3"/>
        <v>37.292168352792018</v>
      </c>
      <c r="X30" s="109">
        <f t="shared" si="4"/>
        <v>13.785406185256745</v>
      </c>
      <c r="Y30" s="109">
        <f t="shared" si="5"/>
        <v>8.1267073331772384</v>
      </c>
      <c r="Z30" s="109">
        <f t="shared" si="6"/>
        <v>-4.6354302441360726</v>
      </c>
      <c r="AA30" s="109">
        <f t="shared" si="7"/>
        <v>-12.419255764118279</v>
      </c>
    </row>
    <row r="31" spans="1:27" ht="19.5" thickBot="1" x14ac:dyDescent="0.35">
      <c r="A31" s="93">
        <v>262</v>
      </c>
      <c r="B31" s="94" t="s">
        <v>475</v>
      </c>
      <c r="C31" s="93">
        <v>5060</v>
      </c>
      <c r="D31" s="94" t="s">
        <v>81</v>
      </c>
      <c r="E31" s="93">
        <v>4030</v>
      </c>
      <c r="F31" s="94" t="s">
        <v>477</v>
      </c>
      <c r="G31" s="95">
        <v>7.2509326679234718</v>
      </c>
      <c r="H31" s="96">
        <v>4.9648785402815925</v>
      </c>
      <c r="I31" s="97">
        <v>3.3602573787211387</v>
      </c>
      <c r="J31" s="98">
        <v>0.91097915534685037</v>
      </c>
      <c r="K31" s="99">
        <v>210</v>
      </c>
      <c r="M31" s="100">
        <f t="shared" si="0"/>
        <v>0.67680555555555555</v>
      </c>
      <c r="N31" s="89">
        <f t="shared" si="1"/>
        <v>3.3602573787211387</v>
      </c>
      <c r="O31" s="100"/>
      <c r="V31" s="109">
        <f t="shared" si="2"/>
        <v>391.91454015290526</v>
      </c>
      <c r="W31" s="109">
        <f t="shared" si="3"/>
        <v>125.52895576238433</v>
      </c>
      <c r="X31" s="109">
        <f t="shared" si="4"/>
        <v>73.107046395611121</v>
      </c>
      <c r="Y31" s="109">
        <f t="shared" si="5"/>
        <v>60.487707490346715</v>
      </c>
      <c r="Z31" s="109">
        <f t="shared" si="6"/>
        <v>32.027147306172424</v>
      </c>
      <c r="AA31" s="109">
        <f t="shared" si="7"/>
        <v>14.668610514626392</v>
      </c>
    </row>
    <row r="32" spans="1:27" ht="19.5" thickBot="1" x14ac:dyDescent="0.35">
      <c r="A32" s="93">
        <v>262</v>
      </c>
      <c r="B32" s="94" t="s">
        <v>475</v>
      </c>
      <c r="C32" s="93">
        <v>5060</v>
      </c>
      <c r="D32" s="94" t="s">
        <v>81</v>
      </c>
      <c r="E32" s="93">
        <v>4060</v>
      </c>
      <c r="F32" s="94" t="s">
        <v>478</v>
      </c>
      <c r="G32" s="95">
        <v>8.0197973171155397</v>
      </c>
      <c r="H32" s="96">
        <v>7.1074115399840361</v>
      </c>
      <c r="I32" s="97">
        <v>4.1964900943537327</v>
      </c>
      <c r="J32" s="98">
        <v>0.88882545273358737</v>
      </c>
      <c r="K32" s="99">
        <v>171</v>
      </c>
      <c r="M32" s="100">
        <f t="shared" si="0"/>
        <v>0.5904385964912281</v>
      </c>
      <c r="N32" s="89">
        <f t="shared" si="1"/>
        <v>4.1964900943537327</v>
      </c>
      <c r="O32" s="100"/>
      <c r="V32" s="109">
        <f t="shared" si="2"/>
        <v>484.79498126690487</v>
      </c>
      <c r="W32" s="109">
        <f t="shared" si="3"/>
        <v>147.06515620799078</v>
      </c>
      <c r="X32" s="109">
        <f t="shared" si="4"/>
        <v>80.60344312317207</v>
      </c>
      <c r="Y32" s="109">
        <f t="shared" si="5"/>
        <v>64.604352441950681</v>
      </c>
      <c r="Z32" s="109">
        <f t="shared" si="6"/>
        <v>28.521393846155476</v>
      </c>
      <c r="AA32" s="109">
        <f t="shared" si="7"/>
        <v>6.5138381171143971</v>
      </c>
    </row>
    <row r="33" spans="1:27" ht="19.5" thickBot="1" x14ac:dyDescent="0.35">
      <c r="A33" s="93">
        <v>262</v>
      </c>
      <c r="B33" s="94" t="s">
        <v>475</v>
      </c>
      <c r="C33" s="93">
        <v>5060</v>
      </c>
      <c r="D33" s="94" t="s">
        <v>81</v>
      </c>
      <c r="E33" s="93">
        <v>4064</v>
      </c>
      <c r="F33" s="94" t="s">
        <v>86</v>
      </c>
      <c r="G33" s="95">
        <v>1.3816109882720979</v>
      </c>
      <c r="H33" s="96">
        <v>0</v>
      </c>
      <c r="I33" s="97">
        <v>0</v>
      </c>
      <c r="J33" s="98">
        <v>1</v>
      </c>
      <c r="K33" s="99">
        <v>283</v>
      </c>
      <c r="M33" s="100">
        <f t="shared" si="0"/>
        <v>0.66291067257473968</v>
      </c>
      <c r="N33" s="89">
        <f t="shared" si="1"/>
        <v>0</v>
      </c>
      <c r="O33" s="100"/>
      <c r="V33" s="109">
        <f t="shared" si="2"/>
        <v>83.691961529388124</v>
      </c>
      <c r="W33" s="109">
        <f t="shared" si="3"/>
        <v>31.870276628233245</v>
      </c>
      <c r="X33" s="109">
        <f t="shared" si="4"/>
        <v>21.672308613795579</v>
      </c>
      <c r="Y33" s="109">
        <f t="shared" si="5"/>
        <v>19.217388217462123</v>
      </c>
      <c r="Z33" s="109">
        <f t="shared" si="6"/>
        <v>13.680774119709481</v>
      </c>
      <c r="AA33" s="109">
        <f t="shared" si="7"/>
        <v>10.303907364645644</v>
      </c>
    </row>
    <row r="34" spans="1:27" ht="19.5" thickBot="1" x14ac:dyDescent="0.35">
      <c r="A34" s="93">
        <v>262</v>
      </c>
      <c r="B34" s="94" t="s">
        <v>475</v>
      </c>
      <c r="C34" s="93">
        <v>5060</v>
      </c>
      <c r="D34" s="94" t="s">
        <v>81</v>
      </c>
      <c r="E34" s="93">
        <v>4092</v>
      </c>
      <c r="F34" s="94" t="s">
        <v>479</v>
      </c>
      <c r="G34" s="95">
        <v>2.426816116831668</v>
      </c>
      <c r="H34" s="96">
        <v>0.82412506910952188</v>
      </c>
      <c r="I34" s="97">
        <v>0.89417569998383128</v>
      </c>
      <c r="J34" s="98">
        <v>0.97631125621955284</v>
      </c>
      <c r="K34" s="99">
        <v>267</v>
      </c>
      <c r="M34" s="100">
        <f t="shared" si="0"/>
        <v>1.085</v>
      </c>
      <c r="N34" s="89">
        <f t="shared" si="1"/>
        <v>0.89417569998383128</v>
      </c>
      <c r="O34" s="100"/>
      <c r="V34" s="109">
        <f t="shared" si="2"/>
        <v>87.689664391198306</v>
      </c>
      <c r="W34" s="109">
        <f t="shared" si="3"/>
        <v>32.075182711505512</v>
      </c>
      <c r="X34" s="109">
        <f t="shared" si="4"/>
        <v>21.130831782143936</v>
      </c>
      <c r="Y34" s="109">
        <f t="shared" si="5"/>
        <v>18.496237293998522</v>
      </c>
      <c r="Z34" s="109">
        <f t="shared" si="6"/>
        <v>12.554401865561285</v>
      </c>
      <c r="AA34" s="109">
        <f t="shared" si="7"/>
        <v>8.9303843400316172</v>
      </c>
    </row>
    <row r="35" spans="1:27" ht="19.5" thickBot="1" x14ac:dyDescent="0.35">
      <c r="A35" s="93">
        <v>262</v>
      </c>
      <c r="B35" s="94" t="s">
        <v>475</v>
      </c>
      <c r="C35" s="93">
        <v>5060</v>
      </c>
      <c r="D35" s="94" t="s">
        <v>81</v>
      </c>
      <c r="E35" s="93">
        <v>4041</v>
      </c>
      <c r="F35" s="94" t="s">
        <v>480</v>
      </c>
      <c r="G35" s="95">
        <v>2.4661802025144461</v>
      </c>
      <c r="H35" s="96">
        <v>6.4877659725298509</v>
      </c>
      <c r="I35" s="97">
        <v>4.0751280014953126</v>
      </c>
      <c r="J35" s="98">
        <v>0.89204061002586665</v>
      </c>
      <c r="K35" s="99">
        <v>178</v>
      </c>
      <c r="M35" s="100">
        <f t="shared" si="0"/>
        <v>0.62812500000000004</v>
      </c>
      <c r="N35" s="89">
        <f t="shared" si="1"/>
        <v>4.0751280014953126</v>
      </c>
      <c r="O35" s="100"/>
      <c r="V35" s="109">
        <f t="shared" si="2"/>
        <v>140.6424208355109</v>
      </c>
      <c r="W35" s="109">
        <f t="shared" si="3"/>
        <v>43.017770877168822</v>
      </c>
      <c r="X35" s="109">
        <f t="shared" si="4"/>
        <v>23.806256245894069</v>
      </c>
      <c r="Y35" s="109">
        <f t="shared" si="5"/>
        <v>19.181536983585659</v>
      </c>
      <c r="Z35" s="109">
        <f t="shared" si="6"/>
        <v>8.7513471069250048</v>
      </c>
      <c r="AA35" s="109">
        <f t="shared" si="7"/>
        <v>2.3898126344763315</v>
      </c>
    </row>
    <row r="36" spans="1:27" ht="19.5" thickBot="1" x14ac:dyDescent="0.35">
      <c r="A36" s="93">
        <v>262</v>
      </c>
      <c r="B36" s="94" t="s">
        <v>475</v>
      </c>
      <c r="C36" s="93">
        <v>5060</v>
      </c>
      <c r="D36" s="94" t="s">
        <v>81</v>
      </c>
      <c r="E36" s="93">
        <v>4085</v>
      </c>
      <c r="F36" s="94" t="s">
        <v>481</v>
      </c>
      <c r="G36" s="95">
        <v>3.6840844159487083</v>
      </c>
      <c r="H36" s="96">
        <v>2.9858164900836917</v>
      </c>
      <c r="I36" s="97">
        <v>2.4130825997130931</v>
      </c>
      <c r="J36" s="98">
        <v>0.93607196502131251</v>
      </c>
      <c r="K36" s="99">
        <v>234</v>
      </c>
      <c r="M36" s="100">
        <f t="shared" si="0"/>
        <v>0.80818181818181833</v>
      </c>
      <c r="N36" s="89">
        <f t="shared" si="1"/>
        <v>2.4130825997130931</v>
      </c>
      <c r="O36" s="100"/>
      <c r="V36" s="109">
        <f t="shared" si="2"/>
        <v>171.34945000077059</v>
      </c>
      <c r="W36" s="109">
        <f t="shared" si="3"/>
        <v>58.004739172805415</v>
      </c>
      <c r="X36" s="109">
        <f t="shared" si="4"/>
        <v>35.699680241703071</v>
      </c>
      <c r="Y36" s="109">
        <f t="shared" si="5"/>
        <v>30.330263115285245</v>
      </c>
      <c r="Z36" s="109">
        <f t="shared" si="6"/>
        <v>18.22054639972891</v>
      </c>
      <c r="AA36" s="109">
        <f t="shared" si="7"/>
        <v>10.834642475776224</v>
      </c>
    </row>
    <row r="37" spans="1:27" ht="19.5" thickBot="1" x14ac:dyDescent="0.35">
      <c r="A37" s="93">
        <v>262</v>
      </c>
      <c r="B37" s="94" t="s">
        <v>475</v>
      </c>
      <c r="C37" s="93">
        <v>5060</v>
      </c>
      <c r="D37" s="94" t="s">
        <v>81</v>
      </c>
      <c r="E37" s="93">
        <v>4066</v>
      </c>
      <c r="F37" s="94" t="s">
        <v>482</v>
      </c>
      <c r="G37" s="95">
        <v>5.7444507926436632</v>
      </c>
      <c r="H37" s="96">
        <v>2.4371346374710674</v>
      </c>
      <c r="I37" s="97">
        <v>1.0836545084469567</v>
      </c>
      <c r="J37" s="98">
        <v>0.97129153252812561</v>
      </c>
      <c r="K37" s="99">
        <v>262</v>
      </c>
      <c r="M37" s="100">
        <f t="shared" si="0"/>
        <v>0.44464285714285712</v>
      </c>
      <c r="N37" s="89">
        <f t="shared" si="1"/>
        <v>1.0836545084469567</v>
      </c>
      <c r="O37" s="100"/>
      <c r="V37" s="109">
        <f t="shared" si="2"/>
        <v>503.89468248888807</v>
      </c>
      <c r="W37" s="109">
        <f t="shared" si="3"/>
        <v>182.66330857514217</v>
      </c>
      <c r="X37" s="109">
        <f t="shared" si="4"/>
        <v>119.44831889167776</v>
      </c>
      <c r="Y37" s="109">
        <f t="shared" si="5"/>
        <v>104.23080033227062</v>
      </c>
      <c r="Z37" s="109">
        <f t="shared" si="6"/>
        <v>69.910531571351584</v>
      </c>
      <c r="AA37" s="109">
        <f t="shared" si="7"/>
        <v>48.978067694079321</v>
      </c>
    </row>
    <row r="38" spans="1:27" ht="19.5" thickBot="1" x14ac:dyDescent="0.35">
      <c r="A38" s="93">
        <v>262</v>
      </c>
      <c r="B38" s="94" t="s">
        <v>475</v>
      </c>
      <c r="C38" s="93">
        <v>5060</v>
      </c>
      <c r="D38" s="94" t="s">
        <v>81</v>
      </c>
      <c r="E38" s="93">
        <v>4067</v>
      </c>
      <c r="F38" s="94" t="s">
        <v>483</v>
      </c>
      <c r="G38" s="95">
        <v>2.9198757763975163</v>
      </c>
      <c r="H38" s="96">
        <v>3.7672835566900651</v>
      </c>
      <c r="I38" s="97">
        <v>2.2997553711976169</v>
      </c>
      <c r="J38" s="98">
        <v>0.9390742605206196</v>
      </c>
      <c r="K38" s="99">
        <v>237</v>
      </c>
      <c r="M38" s="100">
        <f t="shared" si="0"/>
        <v>0.61045454545454536</v>
      </c>
      <c r="N38" s="89">
        <f t="shared" si="1"/>
        <v>2.2997553711976169</v>
      </c>
      <c r="O38" s="100"/>
      <c r="V38" s="109">
        <f t="shared" si="2"/>
        <v>180.36985635852565</v>
      </c>
      <c r="W38" s="109">
        <f t="shared" si="3"/>
        <v>61.439750620347851</v>
      </c>
      <c r="X38" s="109">
        <f t="shared" si="4"/>
        <v>38.035544126772436</v>
      </c>
      <c r="Y38" s="109">
        <f t="shared" si="5"/>
        <v>32.401533135589077</v>
      </c>
      <c r="Z38" s="109">
        <f t="shared" si="6"/>
        <v>19.695074414048484</v>
      </c>
      <c r="AA38" s="109">
        <f t="shared" si="7"/>
        <v>11.945208291217551</v>
      </c>
    </row>
    <row r="39" spans="1:27" ht="19.5" thickBot="1" x14ac:dyDescent="0.35">
      <c r="A39" s="93">
        <v>262</v>
      </c>
      <c r="B39" s="94" t="s">
        <v>475</v>
      </c>
      <c r="C39" s="93">
        <v>5060</v>
      </c>
      <c r="D39" s="94" t="s">
        <v>81</v>
      </c>
      <c r="E39" s="93">
        <v>4095</v>
      </c>
      <c r="F39" s="94" t="s">
        <v>92</v>
      </c>
      <c r="G39" s="95">
        <v>4.1744809966610887</v>
      </c>
      <c r="H39" s="96">
        <v>3.5932610573620001</v>
      </c>
      <c r="I39" s="97">
        <v>2.4398242579487981</v>
      </c>
      <c r="J39" s="98">
        <v>0.9353635177997861</v>
      </c>
      <c r="K39" s="99">
        <v>231</v>
      </c>
      <c r="M39" s="100">
        <f t="shared" si="0"/>
        <v>0.67900000000000005</v>
      </c>
      <c r="N39" s="89">
        <f t="shared" si="1"/>
        <v>2.4398242579487981</v>
      </c>
      <c r="O39" s="100"/>
      <c r="V39" s="109">
        <f t="shared" si="2"/>
        <v>230.92243070527289</v>
      </c>
      <c r="W39" s="109">
        <f t="shared" si="3"/>
        <v>78.055524646887235</v>
      </c>
      <c r="X39" s="109">
        <f t="shared" si="4"/>
        <v>47.972909204664845</v>
      </c>
      <c r="Y39" s="109">
        <f t="shared" si="5"/>
        <v>40.731228693447846</v>
      </c>
      <c r="Z39" s="109">
        <f t="shared" si="6"/>
        <v>24.39897186356956</v>
      </c>
      <c r="AA39" s="109">
        <f t="shared" si="7"/>
        <v>14.437675275034186</v>
      </c>
    </row>
    <row r="40" spans="1:27" ht="19.5" thickBot="1" x14ac:dyDescent="0.35">
      <c r="A40" s="93">
        <v>262</v>
      </c>
      <c r="B40" s="94" t="s">
        <v>475</v>
      </c>
      <c r="C40" s="93">
        <v>5060</v>
      </c>
      <c r="D40" s="94" t="s">
        <v>81</v>
      </c>
      <c r="E40" s="93">
        <v>4087</v>
      </c>
      <c r="F40" s="94" t="s">
        <v>93</v>
      </c>
      <c r="G40" s="95">
        <v>7.6530726035315553</v>
      </c>
      <c r="H40" s="96">
        <v>6.0106577296513599</v>
      </c>
      <c r="I40" s="97">
        <v>4.7608329213010281</v>
      </c>
      <c r="J40" s="98">
        <v>0.87387473037317265</v>
      </c>
      <c r="K40" s="99">
        <v>144</v>
      </c>
      <c r="M40" s="100">
        <f t="shared" si="0"/>
        <v>0.79206521739130431</v>
      </c>
      <c r="N40" s="89">
        <f t="shared" si="1"/>
        <v>4.7608329213010281</v>
      </c>
      <c r="O40" s="100"/>
      <c r="V40" s="109">
        <f t="shared" si="2"/>
        <v>339.06038557304686</v>
      </c>
      <c r="W40" s="109">
        <f t="shared" si="3"/>
        <v>98.814669147755779</v>
      </c>
      <c r="X40" s="109">
        <f t="shared" si="4"/>
        <v>51.536813624841614</v>
      </c>
      <c r="Y40" s="109">
        <f t="shared" si="5"/>
        <v>40.155784418455333</v>
      </c>
      <c r="Z40" s="109">
        <f t="shared" si="6"/>
        <v>14.488000304100787</v>
      </c>
      <c r="AA40" s="109">
        <f t="shared" si="7"/>
        <v>-1.1671790747730899</v>
      </c>
    </row>
    <row r="41" spans="1:27" ht="19.5" thickBot="1" x14ac:dyDescent="0.35">
      <c r="A41" s="93">
        <v>262</v>
      </c>
      <c r="B41" s="94" t="s">
        <v>475</v>
      </c>
      <c r="C41" s="93">
        <v>5060</v>
      </c>
      <c r="D41" s="94" t="s">
        <v>81</v>
      </c>
      <c r="E41" s="93">
        <v>4073</v>
      </c>
      <c r="F41" s="94" t="s">
        <v>484</v>
      </c>
      <c r="G41" s="95">
        <v>2.3872319148454464</v>
      </c>
      <c r="H41" s="96">
        <v>0.83779040802974669</v>
      </c>
      <c r="I41" s="97">
        <v>2.1489323965963001</v>
      </c>
      <c r="J41" s="98">
        <v>0.94306990343688335</v>
      </c>
      <c r="K41" s="99">
        <v>240</v>
      </c>
      <c r="M41" s="100">
        <f t="shared" si="0"/>
        <v>2.5649999999999999</v>
      </c>
      <c r="N41" s="89">
        <f t="shared" si="1"/>
        <v>2.1489323965963001</v>
      </c>
      <c r="O41" s="100"/>
      <c r="V41" s="109">
        <f t="shared" si="2"/>
        <v>35.245534973150733</v>
      </c>
      <c r="W41" s="109">
        <f t="shared" si="3"/>
        <v>12.104221563783669</v>
      </c>
      <c r="X41" s="109">
        <f t="shared" si="4"/>
        <v>7.5502520351791764</v>
      </c>
      <c r="Y41" s="109">
        <f t="shared" si="5"/>
        <v>6.4539912247682425</v>
      </c>
      <c r="Z41" s="109">
        <f t="shared" si="6"/>
        <v>3.9815798721231141</v>
      </c>
      <c r="AA41" s="109">
        <f t="shared" si="7"/>
        <v>2.47361786606987</v>
      </c>
    </row>
    <row r="42" spans="1:27" ht="19.5" thickBot="1" x14ac:dyDescent="0.35">
      <c r="A42" s="93">
        <v>262</v>
      </c>
      <c r="B42" s="94" t="s">
        <v>475</v>
      </c>
      <c r="C42" s="93">
        <v>5060</v>
      </c>
      <c r="D42" s="94" t="s">
        <v>81</v>
      </c>
      <c r="E42" s="93">
        <v>4074</v>
      </c>
      <c r="F42" s="94" t="s">
        <v>485</v>
      </c>
      <c r="G42" s="95">
        <v>1.6229675712103162</v>
      </c>
      <c r="H42" s="96">
        <v>8.0100183334565003</v>
      </c>
      <c r="I42" s="97">
        <v>5.4745394532893075</v>
      </c>
      <c r="J42" s="98">
        <v>0.85496702445921469</v>
      </c>
      <c r="K42" s="99">
        <v>122</v>
      </c>
      <c r="M42" s="100">
        <f t="shared" si="0"/>
        <v>0.68346153846153834</v>
      </c>
      <c r="N42" s="89">
        <f t="shared" si="1"/>
        <v>5.4745394532893075</v>
      </c>
      <c r="O42" s="100"/>
      <c r="V42" s="109">
        <f t="shared" si="2"/>
        <v>81.526370098283763</v>
      </c>
      <c r="W42" s="109">
        <f t="shared" si="3"/>
        <v>22.482267793123096</v>
      </c>
      <c r="X42" s="109">
        <f t="shared" si="4"/>
        <v>10.863003234324557</v>
      </c>
      <c r="Y42" s="109">
        <f t="shared" si="5"/>
        <v>8.0659392000575458</v>
      </c>
      <c r="Z42" s="109">
        <f t="shared" si="6"/>
        <v>1.7576840779895913</v>
      </c>
      <c r="AA42" s="109">
        <f t="shared" si="7"/>
        <v>-2.0898184981460943</v>
      </c>
    </row>
    <row r="43" spans="1:27" ht="19.5" thickBot="1" x14ac:dyDescent="0.35">
      <c r="A43" s="93">
        <v>262</v>
      </c>
      <c r="B43" s="94" t="s">
        <v>475</v>
      </c>
      <c r="C43" s="93">
        <v>5060</v>
      </c>
      <c r="D43" s="94" t="s">
        <v>81</v>
      </c>
      <c r="E43" s="93">
        <v>4079</v>
      </c>
      <c r="F43" s="94" t="s">
        <v>486</v>
      </c>
      <c r="G43" s="95">
        <v>2.3989256105838992</v>
      </c>
      <c r="H43" s="96">
        <v>11.255038455914518</v>
      </c>
      <c r="I43" s="97">
        <v>7.3157749963444365</v>
      </c>
      <c r="J43" s="98">
        <v>0.80618851591813712</v>
      </c>
      <c r="K43" s="99">
        <v>72</v>
      </c>
      <c r="M43" s="100">
        <f t="shared" si="0"/>
        <v>0.65</v>
      </c>
      <c r="N43" s="89">
        <f t="shared" si="1"/>
        <v>7.3157749963444365</v>
      </c>
      <c r="O43" s="100"/>
      <c r="V43" s="109">
        <f t="shared" si="2"/>
        <v>119.47939389872026</v>
      </c>
      <c r="W43" s="109">
        <f t="shared" si="3"/>
        <v>27.712890078502802</v>
      </c>
      <c r="X43" s="109">
        <f t="shared" si="4"/>
        <v>9.654197611433009</v>
      </c>
      <c r="Y43" s="109">
        <f t="shared" si="5"/>
        <v>5.3069931089517848</v>
      </c>
      <c r="Z43" s="109">
        <f t="shared" si="6"/>
        <v>-4.4973140979944111</v>
      </c>
      <c r="AA43" s="109">
        <f t="shared" si="7"/>
        <v>-10.477113029079048</v>
      </c>
    </row>
    <row r="44" spans="1:27" ht="19.5" thickBot="1" x14ac:dyDescent="0.35">
      <c r="A44" s="93">
        <v>262</v>
      </c>
      <c r="B44" s="94" t="s">
        <v>475</v>
      </c>
      <c r="C44" s="93">
        <v>5060</v>
      </c>
      <c r="D44" s="94" t="s">
        <v>81</v>
      </c>
      <c r="E44" s="93">
        <v>4031</v>
      </c>
      <c r="F44" s="94" t="s">
        <v>487</v>
      </c>
      <c r="G44" s="95">
        <v>2.9626703856415242</v>
      </c>
      <c r="H44" s="96">
        <v>12.82626652771285</v>
      </c>
      <c r="I44" s="97">
        <v>7.6923845833309423</v>
      </c>
      <c r="J44" s="98">
        <v>0.79621127317765039</v>
      </c>
      <c r="K44" s="99">
        <v>65</v>
      </c>
      <c r="M44" s="100">
        <f t="shared" si="0"/>
        <v>0.59973684210526312</v>
      </c>
      <c r="N44" s="89">
        <f t="shared" si="1"/>
        <v>7.6923845833309423</v>
      </c>
      <c r="O44" s="100"/>
      <c r="V44" s="109">
        <f t="shared" si="2"/>
        <v>157.94428247692053</v>
      </c>
      <c r="W44" s="109">
        <f t="shared" si="3"/>
        <v>35.114588591642949</v>
      </c>
      <c r="X44" s="109">
        <f t="shared" si="4"/>
        <v>10.942983753736266</v>
      </c>
      <c r="Y44" s="109">
        <f t="shared" si="5"/>
        <v>5.1242397015211152</v>
      </c>
      <c r="Z44" s="109">
        <f t="shared" si="6"/>
        <v>-7.9988499101930257</v>
      </c>
      <c r="AA44" s="109">
        <f t="shared" si="7"/>
        <v>-16.002825670668887</v>
      </c>
    </row>
    <row r="45" spans="1:27" ht="19.5" thickBot="1" x14ac:dyDescent="0.35">
      <c r="A45" s="93">
        <v>262</v>
      </c>
      <c r="B45" s="94" t="s">
        <v>475</v>
      </c>
      <c r="C45" s="93">
        <v>5060</v>
      </c>
      <c r="D45" s="94" t="s">
        <v>81</v>
      </c>
      <c r="E45" s="93">
        <v>4071</v>
      </c>
      <c r="F45" s="94" t="s">
        <v>98</v>
      </c>
      <c r="G45" s="95">
        <v>8.6589570983189468</v>
      </c>
      <c r="H45" s="96">
        <v>6.1208294946154016</v>
      </c>
      <c r="I45" s="97">
        <v>3.9883555961611861</v>
      </c>
      <c r="J45" s="98">
        <v>0.89433940798829226</v>
      </c>
      <c r="K45" s="99">
        <v>185</v>
      </c>
      <c r="M45" s="100">
        <f t="shared" si="0"/>
        <v>0.65160377358490551</v>
      </c>
      <c r="N45" s="89">
        <f t="shared" si="1"/>
        <v>3.9883555961611861</v>
      </c>
      <c r="O45" s="100"/>
      <c r="V45" s="109">
        <f t="shared" si="2"/>
        <v>477.24055726016007</v>
      </c>
      <c r="W45" s="109">
        <f t="shared" si="3"/>
        <v>146.82327186925659</v>
      </c>
      <c r="X45" s="109">
        <f t="shared" si="4"/>
        <v>81.800590451990189</v>
      </c>
      <c r="Y45" s="109">
        <f t="shared" si="5"/>
        <v>66.147912721529437</v>
      </c>
      <c r="Z45" s="109">
        <f t="shared" si="6"/>
        <v>30.846223787141572</v>
      </c>
      <c r="AA45" s="109">
        <f t="shared" si="7"/>
        <v>9.3151765341774695</v>
      </c>
    </row>
    <row r="46" spans="1:27" ht="19.5" thickBot="1" x14ac:dyDescent="0.35">
      <c r="A46" s="93">
        <v>262</v>
      </c>
      <c r="B46" s="94" t="s">
        <v>475</v>
      </c>
      <c r="C46" s="93">
        <v>5060</v>
      </c>
      <c r="D46" s="94" t="s">
        <v>81</v>
      </c>
      <c r="E46" s="93">
        <v>4080</v>
      </c>
      <c r="F46" s="94" t="s">
        <v>488</v>
      </c>
      <c r="G46" s="95">
        <v>2.3189639595885949</v>
      </c>
      <c r="H46" s="96">
        <v>-0.43122705545514772</v>
      </c>
      <c r="I46" s="97">
        <v>-0.43122705545514772</v>
      </c>
      <c r="J46" s="98">
        <v>1.011424183444102</v>
      </c>
      <c r="K46" s="99">
        <v>289</v>
      </c>
      <c r="M46" s="100">
        <f t="shared" si="0"/>
        <v>1</v>
      </c>
      <c r="N46" s="89">
        <f t="shared" si="1"/>
        <v>-0.43122705545514772</v>
      </c>
      <c r="O46" s="100"/>
      <c r="V46" s="109">
        <f t="shared" si="2"/>
        <v>94.184689797869027</v>
      </c>
      <c r="W46" s="109">
        <f t="shared" si="3"/>
        <v>36.524673507043296</v>
      </c>
      <c r="X46" s="109">
        <f t="shared" si="4"/>
        <v>25.17778266458264</v>
      </c>
      <c r="Y46" s="109">
        <f t="shared" si="5"/>
        <v>22.44628618168629</v>
      </c>
      <c r="Z46" s="109">
        <f t="shared" si="6"/>
        <v>16.28590641631671</v>
      </c>
      <c r="AA46" s="109">
        <f t="shared" si="7"/>
        <v>12.528595312281391</v>
      </c>
    </row>
    <row r="47" spans="1:27" ht="19.5" thickBot="1" x14ac:dyDescent="0.35">
      <c r="A47" s="93">
        <v>262</v>
      </c>
      <c r="B47" s="94" t="s">
        <v>475</v>
      </c>
      <c r="C47" s="93">
        <v>5101</v>
      </c>
      <c r="D47" s="94" t="s">
        <v>100</v>
      </c>
      <c r="E47" s="93">
        <v>4113</v>
      </c>
      <c r="F47" s="94" t="s">
        <v>489</v>
      </c>
      <c r="G47" s="95">
        <v>2.9363854938889999</v>
      </c>
      <c r="H47" s="96">
        <v>13.962744362184846</v>
      </c>
      <c r="I47" s="97">
        <v>8.8986953703387819</v>
      </c>
      <c r="J47" s="98">
        <v>0.76425336249685794</v>
      </c>
      <c r="K47" s="99">
        <v>44</v>
      </c>
      <c r="M47" s="100">
        <f t="shared" si="0"/>
        <v>0.63731707317073172</v>
      </c>
      <c r="N47" s="89">
        <f t="shared" si="1"/>
        <v>8.8986953703387819</v>
      </c>
      <c r="O47" s="100"/>
      <c r="V47" s="109">
        <f t="shared" si="2"/>
        <v>141.39949365042807</v>
      </c>
      <c r="W47" s="109">
        <f t="shared" si="3"/>
        <v>26.83810253413429</v>
      </c>
      <c r="X47" s="109">
        <f t="shared" si="4"/>
        <v>4.2936135905219599</v>
      </c>
      <c r="Y47" s="109">
        <f t="shared" si="5"/>
        <v>-1.1334406671727062</v>
      </c>
      <c r="Z47" s="109">
        <f t="shared" si="6"/>
        <v>-13.373147159203246</v>
      </c>
      <c r="AA47" s="109">
        <f t="shared" si="7"/>
        <v>-20.838333862653265</v>
      </c>
    </row>
    <row r="48" spans="1:27" ht="19.5" thickBot="1" x14ac:dyDescent="0.35">
      <c r="A48" s="93">
        <v>262</v>
      </c>
      <c r="B48" s="94" t="s">
        <v>475</v>
      </c>
      <c r="C48" s="93">
        <v>5101</v>
      </c>
      <c r="D48" s="94" t="s">
        <v>100</v>
      </c>
      <c r="E48" s="93">
        <v>4111</v>
      </c>
      <c r="F48" s="94" t="s">
        <v>490</v>
      </c>
      <c r="G48" s="95">
        <v>3.6697588771486496</v>
      </c>
      <c r="H48" s="96">
        <v>0.81749240220680586</v>
      </c>
      <c r="I48" s="97">
        <v>0.95646611058196274</v>
      </c>
      <c r="J48" s="98">
        <v>0.9746610418638455</v>
      </c>
      <c r="K48" s="99">
        <v>264</v>
      </c>
      <c r="M48" s="100">
        <f t="shared" si="0"/>
        <v>1.17</v>
      </c>
      <c r="N48" s="89">
        <f t="shared" si="1"/>
        <v>0.95646611058196274</v>
      </c>
      <c r="O48" s="100"/>
      <c r="V48" s="109">
        <f t="shared" si="2"/>
        <v>122.76038855503046</v>
      </c>
      <c r="W48" s="109">
        <f t="shared" si="3"/>
        <v>44.771554133725878</v>
      </c>
      <c r="X48" s="109">
        <f t="shared" si="4"/>
        <v>29.424163549480035</v>
      </c>
      <c r="Y48" s="109">
        <f t="shared" si="5"/>
        <v>25.729641060056558</v>
      </c>
      <c r="Z48" s="109">
        <f t="shared" si="6"/>
        <v>17.397336138904357</v>
      </c>
      <c r="AA48" s="109">
        <f t="shared" si="7"/>
        <v>12.315334217781711</v>
      </c>
    </row>
    <row r="49" spans="1:27" ht="19.5" thickBot="1" x14ac:dyDescent="0.35">
      <c r="A49" s="93">
        <v>262</v>
      </c>
      <c r="B49" s="94" t="s">
        <v>475</v>
      </c>
      <c r="C49" s="93">
        <v>5101</v>
      </c>
      <c r="D49" s="94" t="s">
        <v>100</v>
      </c>
      <c r="E49" s="93">
        <v>4104</v>
      </c>
      <c r="F49" s="94" t="s">
        <v>491</v>
      </c>
      <c r="G49" s="95">
        <v>4.5862475960000726</v>
      </c>
      <c r="H49" s="96">
        <v>-0.65412953339380775</v>
      </c>
      <c r="I49" s="97">
        <v>-0.14063784967966866</v>
      </c>
      <c r="J49" s="98">
        <v>1.0037258158401698</v>
      </c>
      <c r="K49" s="99">
        <v>286</v>
      </c>
      <c r="M49" s="100">
        <f t="shared" si="0"/>
        <v>0.215</v>
      </c>
      <c r="N49" s="89">
        <f t="shared" si="1"/>
        <v>-0.14063784967966866</v>
      </c>
      <c r="O49" s="100"/>
      <c r="V49" s="109">
        <f t="shared" si="2"/>
        <v>859.77954916141778</v>
      </c>
      <c r="W49" s="109">
        <f t="shared" si="3"/>
        <v>329.38408806991083</v>
      </c>
      <c r="X49" s="109">
        <f t="shared" si="4"/>
        <v>225.00778387348808</v>
      </c>
      <c r="Y49" s="109">
        <f t="shared" si="5"/>
        <v>199.88164916675626</v>
      </c>
      <c r="Z49" s="109">
        <f t="shared" si="6"/>
        <v>143.21434873326908</v>
      </c>
      <c r="AA49" s="109">
        <f t="shared" si="7"/>
        <v>108.65208386262709</v>
      </c>
    </row>
    <row r="50" spans="1:27" ht="19.5" thickBot="1" x14ac:dyDescent="0.35">
      <c r="A50" s="93">
        <v>262</v>
      </c>
      <c r="B50" s="94" t="s">
        <v>475</v>
      </c>
      <c r="C50" s="93">
        <v>5101</v>
      </c>
      <c r="D50" s="94" t="s">
        <v>100</v>
      </c>
      <c r="E50" s="93">
        <v>4008</v>
      </c>
      <c r="F50" s="94" t="s">
        <v>492</v>
      </c>
      <c r="G50" s="95">
        <v>2.288852638164327</v>
      </c>
      <c r="H50" s="96">
        <v>3.9321011103703256</v>
      </c>
      <c r="I50" s="97">
        <v>2.4029506785596437</v>
      </c>
      <c r="J50" s="98">
        <v>0.93634038260883157</v>
      </c>
      <c r="K50" s="99">
        <v>235</v>
      </c>
      <c r="M50" s="100">
        <f t="shared" si="0"/>
        <v>0.61111111111111116</v>
      </c>
      <c r="N50" s="89">
        <f t="shared" si="1"/>
        <v>2.4029506785596437</v>
      </c>
      <c r="O50" s="100"/>
      <c r="V50" s="109">
        <f t="shared" si="2"/>
        <v>140.82650002430373</v>
      </c>
      <c r="W50" s="109">
        <f t="shared" si="3"/>
        <v>47.698899287431892</v>
      </c>
      <c r="X50" s="109">
        <f t="shared" si="4"/>
        <v>29.372357119082292</v>
      </c>
      <c r="Y50" s="109">
        <f t="shared" si="5"/>
        <v>24.960674115208171</v>
      </c>
      <c r="Z50" s="109">
        <f t="shared" si="6"/>
        <v>15.010947700231007</v>
      </c>
      <c r="AA50" s="109">
        <f t="shared" si="7"/>
        <v>8.9424553401882623</v>
      </c>
    </row>
    <row r="51" spans="1:27" ht="19.5" thickBot="1" x14ac:dyDescent="0.35">
      <c r="A51" s="93">
        <v>262</v>
      </c>
      <c r="B51" s="94" t="s">
        <v>475</v>
      </c>
      <c r="C51" s="93">
        <v>5101</v>
      </c>
      <c r="D51" s="94" t="s">
        <v>100</v>
      </c>
      <c r="E51" s="93">
        <v>4007</v>
      </c>
      <c r="F51" s="94" t="s">
        <v>493</v>
      </c>
      <c r="G51" s="95">
        <v>7.7189326177869759</v>
      </c>
      <c r="H51" s="96">
        <v>14.121123398438266</v>
      </c>
      <c r="I51" s="97">
        <v>9.6749128017923827</v>
      </c>
      <c r="J51" s="98">
        <v>0.74368960097666281</v>
      </c>
      <c r="K51" s="99">
        <v>32</v>
      </c>
      <c r="M51" s="100">
        <f t="shared" si="0"/>
        <v>0.68513761467889911</v>
      </c>
      <c r="N51" s="89">
        <f t="shared" si="1"/>
        <v>9.6749128017923827</v>
      </c>
      <c r="O51" s="100"/>
      <c r="V51" s="109">
        <f t="shared" si="2"/>
        <v>336.45278410823278</v>
      </c>
      <c r="W51" s="109">
        <f t="shared" si="3"/>
        <v>56.322410722328954</v>
      </c>
      <c r="X51" s="109">
        <f t="shared" si="4"/>
        <v>1.1956699937915052</v>
      </c>
      <c r="Y51" s="109">
        <f t="shared" si="5"/>
        <v>-12.074793299119222</v>
      </c>
      <c r="Z51" s="109">
        <f t="shared" si="6"/>
        <v>-42.00384283611222</v>
      </c>
      <c r="AA51" s="109">
        <f t="shared" si="7"/>
        <v>-60.258034045348573</v>
      </c>
    </row>
    <row r="52" spans="1:27" ht="19.5" thickBot="1" x14ac:dyDescent="0.35">
      <c r="A52" s="93">
        <v>262</v>
      </c>
      <c r="B52" s="94" t="s">
        <v>475</v>
      </c>
      <c r="C52" s="93">
        <v>5101</v>
      </c>
      <c r="D52" s="94" t="s">
        <v>100</v>
      </c>
      <c r="E52" s="93">
        <v>4015</v>
      </c>
      <c r="F52" s="94" t="s">
        <v>106</v>
      </c>
      <c r="G52" s="95">
        <v>4.7786252672268894</v>
      </c>
      <c r="H52" s="96">
        <v>4.3945693218557453</v>
      </c>
      <c r="I52" s="97">
        <v>3.6380756028791494</v>
      </c>
      <c r="J52" s="98">
        <v>0.90361912003193756</v>
      </c>
      <c r="K52" s="99">
        <v>202</v>
      </c>
      <c r="M52" s="100">
        <f t="shared" si="0"/>
        <v>0.82785714285714296</v>
      </c>
      <c r="N52" s="89">
        <f t="shared" si="1"/>
        <v>3.6380756028791494</v>
      </c>
      <c r="O52" s="100"/>
      <c r="V52" s="109">
        <f t="shared" si="2"/>
        <v>209.45270127205063</v>
      </c>
      <c r="W52" s="109">
        <f t="shared" si="3"/>
        <v>65.927443171001116</v>
      </c>
      <c r="X52" s="109">
        <f t="shared" si="4"/>
        <v>37.683166780331383</v>
      </c>
      <c r="Y52" s="109">
        <f t="shared" si="5"/>
        <v>30.884023059447902</v>
      </c>
      <c r="Z52" s="109">
        <f t="shared" si="6"/>
        <v>15.549825244352384</v>
      </c>
      <c r="AA52" s="109">
        <f t="shared" si="7"/>
        <v>6.1972603187262454</v>
      </c>
    </row>
    <row r="53" spans="1:27" ht="19.5" thickBot="1" x14ac:dyDescent="0.35">
      <c r="A53" s="93">
        <v>262</v>
      </c>
      <c r="B53" s="94" t="s">
        <v>475</v>
      </c>
      <c r="C53" s="93">
        <v>5101</v>
      </c>
      <c r="D53" s="94" t="s">
        <v>100</v>
      </c>
      <c r="E53" s="93">
        <v>4109</v>
      </c>
      <c r="F53" s="94" t="s">
        <v>494</v>
      </c>
      <c r="G53" s="95">
        <v>2.5538709473014682</v>
      </c>
      <c r="H53" s="96">
        <v>2.3493747819716035</v>
      </c>
      <c r="I53" s="97">
        <v>1.7639888987970125</v>
      </c>
      <c r="J53" s="98">
        <v>0.95326793039006641</v>
      </c>
      <c r="K53" s="99">
        <v>250</v>
      </c>
      <c r="M53" s="100">
        <f t="shared" si="0"/>
        <v>0.75083333333333335</v>
      </c>
      <c r="N53" s="89">
        <f t="shared" si="1"/>
        <v>1.7639888987970125</v>
      </c>
      <c r="O53" s="100"/>
      <c r="V53" s="109">
        <f t="shared" si="2"/>
        <v>130.20371167319345</v>
      </c>
      <c r="W53" s="109">
        <f t="shared" si="3"/>
        <v>45.629849356217925</v>
      </c>
      <c r="X53" s="109">
        <f t="shared" si="4"/>
        <v>28.986593846269219</v>
      </c>
      <c r="Y53" s="109">
        <f t="shared" si="5"/>
        <v>24.980122424225328</v>
      </c>
      <c r="Z53" s="109">
        <f t="shared" si="6"/>
        <v>15.944274992813034</v>
      </c>
      <c r="AA53" s="109">
        <f t="shared" si="7"/>
        <v>10.433171589859493</v>
      </c>
    </row>
    <row r="54" spans="1:27" ht="19.5" thickBot="1" x14ac:dyDescent="0.35">
      <c r="A54" s="93">
        <v>262</v>
      </c>
      <c r="B54" s="94" t="s">
        <v>475</v>
      </c>
      <c r="C54" s="93">
        <v>5101</v>
      </c>
      <c r="D54" s="94" t="s">
        <v>100</v>
      </c>
      <c r="E54" s="93">
        <v>4129</v>
      </c>
      <c r="F54" s="94" t="s">
        <v>495</v>
      </c>
      <c r="G54" s="95">
        <v>2.477880892814083</v>
      </c>
      <c r="H54" s="96">
        <v>13.721402065208565</v>
      </c>
      <c r="I54" s="97">
        <v>9.0601610695274193</v>
      </c>
      <c r="J54" s="98">
        <v>0.75997576965075453</v>
      </c>
      <c r="K54" s="99">
        <v>42</v>
      </c>
      <c r="M54" s="100">
        <f t="shared" si="0"/>
        <v>0.66029411764705881</v>
      </c>
      <c r="N54" s="89">
        <f t="shared" si="1"/>
        <v>9.0601610695274193</v>
      </c>
      <c r="O54" s="100"/>
      <c r="V54" s="109">
        <f t="shared" si="2"/>
        <v>114.52379305723902</v>
      </c>
      <c r="W54" s="109">
        <f t="shared" si="3"/>
        <v>21.214744690385924</v>
      </c>
      <c r="X54" s="109">
        <f t="shared" si="4"/>
        <v>2.8524955177122777</v>
      </c>
      <c r="Y54" s="109">
        <f t="shared" si="5"/>
        <v>-1.567783105709087</v>
      </c>
      <c r="Z54" s="109">
        <f t="shared" si="6"/>
        <v>-11.536895333943272</v>
      </c>
      <c r="AA54" s="109">
        <f t="shared" si="7"/>
        <v>-17.617211401969222</v>
      </c>
    </row>
    <row r="55" spans="1:27" ht="19.5" thickBot="1" x14ac:dyDescent="0.35">
      <c r="A55" s="93">
        <v>262</v>
      </c>
      <c r="B55" s="94" t="s">
        <v>475</v>
      </c>
      <c r="C55" s="93">
        <v>5101</v>
      </c>
      <c r="D55" s="94" t="s">
        <v>100</v>
      </c>
      <c r="E55" s="93">
        <v>4116</v>
      </c>
      <c r="F55" s="94" t="s">
        <v>109</v>
      </c>
      <c r="G55" s="95">
        <v>5.1910156439624657</v>
      </c>
      <c r="H55" s="96">
        <v>3.8528105811550533</v>
      </c>
      <c r="I55" s="97">
        <v>2.436902692580571</v>
      </c>
      <c r="J55" s="98">
        <v>0.93544091669739315</v>
      </c>
      <c r="K55" s="99">
        <v>232</v>
      </c>
      <c r="M55" s="100">
        <f t="shared" si="0"/>
        <v>0.63249999999999995</v>
      </c>
      <c r="N55" s="89">
        <f t="shared" si="1"/>
        <v>2.436902692580571</v>
      </c>
      <c r="O55" s="100"/>
      <c r="V55" s="109">
        <f t="shared" si="2"/>
        <v>308.29121495286887</v>
      </c>
      <c r="W55" s="109">
        <f t="shared" si="3"/>
        <v>104.2243138140452</v>
      </c>
      <c r="X55" s="109">
        <f t="shared" si="4"/>
        <v>64.066072440987099</v>
      </c>
      <c r="Y55" s="109">
        <f t="shared" si="5"/>
        <v>54.398922506016596</v>
      </c>
      <c r="Z55" s="109">
        <f t="shared" si="6"/>
        <v>32.596472742274415</v>
      </c>
      <c r="AA55" s="109">
        <f t="shared" si="7"/>
        <v>19.298820696050903</v>
      </c>
    </row>
    <row r="56" spans="1:27" ht="19.5" thickBot="1" x14ac:dyDescent="0.35">
      <c r="A56" s="93">
        <v>262</v>
      </c>
      <c r="B56" s="94" t="s">
        <v>475</v>
      </c>
      <c r="C56" s="93">
        <v>5101</v>
      </c>
      <c r="D56" s="94" t="s">
        <v>100</v>
      </c>
      <c r="E56" s="93">
        <v>4126</v>
      </c>
      <c r="F56" s="94" t="s">
        <v>496</v>
      </c>
      <c r="G56" s="95">
        <v>2.571719621634732</v>
      </c>
      <c r="H56" s="96">
        <v>10.887656556511242</v>
      </c>
      <c r="I56" s="97">
        <v>6.3673348611739851</v>
      </c>
      <c r="J56" s="98">
        <v>0.8313148477492881</v>
      </c>
      <c r="K56" s="99">
        <v>95</v>
      </c>
      <c r="M56" s="100">
        <f t="shared" si="0"/>
        <v>0.58482142857142849</v>
      </c>
      <c r="N56" s="89">
        <f t="shared" si="1"/>
        <v>6.3673348611739851</v>
      </c>
      <c r="O56" s="100"/>
      <c r="V56" s="109">
        <f t="shared" si="2"/>
        <v>146.79756696163525</v>
      </c>
      <c r="W56" s="109">
        <f t="shared" si="3"/>
        <v>37.457055056452134</v>
      </c>
      <c r="X56" s="109">
        <f t="shared" si="4"/>
        <v>15.939980781114365</v>
      </c>
      <c r="Y56" s="109">
        <f t="shared" si="5"/>
        <v>10.760252384911771</v>
      </c>
      <c r="Z56" s="109">
        <f t="shared" si="6"/>
        <v>-0.92165685490602545</v>
      </c>
      <c r="AA56" s="109">
        <f t="shared" si="7"/>
        <v>-8.046634368441989</v>
      </c>
    </row>
    <row r="57" spans="1:27" ht="19.5" thickBot="1" x14ac:dyDescent="0.35">
      <c r="A57" s="93">
        <v>262</v>
      </c>
      <c r="B57" s="94" t="s">
        <v>475</v>
      </c>
      <c r="C57" s="93">
        <v>5101</v>
      </c>
      <c r="D57" s="94" t="s">
        <v>100</v>
      </c>
      <c r="E57" s="93">
        <v>4119</v>
      </c>
      <c r="F57" s="94" t="s">
        <v>497</v>
      </c>
      <c r="G57" s="95">
        <v>5.3424844601759665</v>
      </c>
      <c r="H57" s="96">
        <v>9.7332992519902</v>
      </c>
      <c r="I57" s="97">
        <v>5.997209769880115</v>
      </c>
      <c r="J57" s="98">
        <v>0.84112030148118178</v>
      </c>
      <c r="K57" s="99">
        <v>106</v>
      </c>
      <c r="M57" s="100">
        <f t="shared" si="0"/>
        <v>0.61615384615384605</v>
      </c>
      <c r="N57" s="89">
        <f t="shared" si="1"/>
        <v>5.997209769880115</v>
      </c>
      <c r="O57" s="100"/>
      <c r="V57" s="109">
        <f t="shared" si="2"/>
        <v>292.86346628712107</v>
      </c>
      <c r="W57" s="109">
        <f t="shared" si="3"/>
        <v>77.270362189237389</v>
      </c>
      <c r="X57" s="109">
        <f t="shared" si="4"/>
        <v>34.843884086157573</v>
      </c>
      <c r="Y57" s="109">
        <f t="shared" si="5"/>
        <v>24.630709629011701</v>
      </c>
      <c r="Z57" s="109">
        <f t="shared" si="6"/>
        <v>1.5968036145047402</v>
      </c>
      <c r="AA57" s="109">
        <f t="shared" si="7"/>
        <v>-12.451932686482188</v>
      </c>
    </row>
    <row r="58" spans="1:27" ht="19.5" thickBot="1" x14ac:dyDescent="0.35">
      <c r="A58" s="93">
        <v>262</v>
      </c>
      <c r="B58" s="94" t="s">
        <v>475</v>
      </c>
      <c r="C58" s="93">
        <v>5101</v>
      </c>
      <c r="D58" s="94" t="s">
        <v>100</v>
      </c>
      <c r="E58" s="93">
        <v>4127</v>
      </c>
      <c r="F58" s="94" t="s">
        <v>498</v>
      </c>
      <c r="G58" s="95">
        <v>1.3966856334735849</v>
      </c>
      <c r="H58" s="96">
        <v>7.1598073040457946</v>
      </c>
      <c r="I58" s="97">
        <v>5.3376363451661399</v>
      </c>
      <c r="J58" s="98">
        <v>0.85859389851890477</v>
      </c>
      <c r="K58" s="99">
        <v>124</v>
      </c>
      <c r="M58" s="100">
        <f t="shared" si="0"/>
        <v>0.74550000000000005</v>
      </c>
      <c r="N58" s="89">
        <f t="shared" si="1"/>
        <v>5.3376363451661399</v>
      </c>
      <c r="O58" s="100"/>
      <c r="V58" s="109">
        <f t="shared" si="2"/>
        <v>64.593942893187474</v>
      </c>
      <c r="W58" s="109">
        <f t="shared" si="3"/>
        <v>18.010478912718995</v>
      </c>
      <c r="X58" s="109">
        <f t="shared" si="4"/>
        <v>8.8433382344362617</v>
      </c>
      <c r="Y58" s="109">
        <f t="shared" si="5"/>
        <v>6.6365652189381041</v>
      </c>
      <c r="Z58" s="109">
        <f t="shared" si="6"/>
        <v>1.6596011567243256</v>
      </c>
      <c r="AA58" s="109">
        <f t="shared" si="7"/>
        <v>-1.3759263671569382</v>
      </c>
    </row>
    <row r="59" spans="1:27" ht="19.5" thickBot="1" x14ac:dyDescent="0.35">
      <c r="A59" s="93">
        <v>262</v>
      </c>
      <c r="B59" s="94" t="s">
        <v>475</v>
      </c>
      <c r="C59" s="93">
        <v>5101</v>
      </c>
      <c r="D59" s="94" t="s">
        <v>100</v>
      </c>
      <c r="E59" s="93">
        <v>4121</v>
      </c>
      <c r="F59" s="94" t="s">
        <v>499</v>
      </c>
      <c r="G59" s="95">
        <v>3.0012799530382757</v>
      </c>
      <c r="H59" s="96">
        <v>7.6633970705453471</v>
      </c>
      <c r="I59" s="97">
        <v>5.126146257840877</v>
      </c>
      <c r="J59" s="98">
        <v>0.86419675094583059</v>
      </c>
      <c r="K59" s="99">
        <v>128</v>
      </c>
      <c r="M59" s="100">
        <f t="shared" si="0"/>
        <v>0.66891304347826086</v>
      </c>
      <c r="N59" s="89">
        <f t="shared" si="1"/>
        <v>5.126146257840877</v>
      </c>
      <c r="O59" s="100"/>
      <c r="V59" s="109">
        <f t="shared" si="2"/>
        <v>155.70496139137146</v>
      </c>
      <c r="W59" s="109">
        <f t="shared" si="3"/>
        <v>44.142624069296062</v>
      </c>
      <c r="X59" s="109">
        <f t="shared" si="4"/>
        <v>22.188317685848517</v>
      </c>
      <c r="Y59" s="109">
        <f t="shared" si="5"/>
        <v>16.903335966767195</v>
      </c>
      <c r="Z59" s="109">
        <f t="shared" si="6"/>
        <v>4.9840475303953946</v>
      </c>
      <c r="AA59" s="109">
        <f t="shared" si="7"/>
        <v>-2.2857112344675041</v>
      </c>
    </row>
    <row r="60" spans="1:27" ht="19.5" thickBot="1" x14ac:dyDescent="0.35">
      <c r="A60" s="93">
        <v>262</v>
      </c>
      <c r="B60" s="94" t="s">
        <v>475</v>
      </c>
      <c r="C60" s="93">
        <v>5101</v>
      </c>
      <c r="D60" s="94" t="s">
        <v>100</v>
      </c>
      <c r="E60" s="93">
        <v>4101</v>
      </c>
      <c r="F60" s="94" t="s">
        <v>500</v>
      </c>
      <c r="G60" s="95">
        <v>8.0058416650620607</v>
      </c>
      <c r="H60" s="96">
        <v>2.4981758117052344</v>
      </c>
      <c r="I60" s="97">
        <v>4.6091343725961575</v>
      </c>
      <c r="J60" s="98">
        <v>0.87789356923470785</v>
      </c>
      <c r="K60" s="99">
        <v>152</v>
      </c>
      <c r="M60" s="100">
        <f t="shared" si="0"/>
        <v>1.845</v>
      </c>
      <c r="N60" s="89">
        <f t="shared" si="1"/>
        <v>4.6091343725961575</v>
      </c>
      <c r="O60" s="100"/>
      <c r="V60" s="109">
        <f t="shared" si="2"/>
        <v>152.9697204512108</v>
      </c>
      <c r="W60" s="109">
        <f t="shared" si="3"/>
        <v>45.077187786413155</v>
      </c>
      <c r="X60" s="109">
        <f t="shared" si="4"/>
        <v>23.845060749035458</v>
      </c>
      <c r="Y60" s="109">
        <f t="shared" si="5"/>
        <v>18.733926683130498</v>
      </c>
      <c r="Z60" s="109">
        <f t="shared" si="6"/>
        <v>7.2067191341369758</v>
      </c>
      <c r="AA60" s="109">
        <f t="shared" si="7"/>
        <v>0.17609657969211084</v>
      </c>
    </row>
    <row r="61" spans="1:27" ht="19.5" thickBot="1" x14ac:dyDescent="0.35">
      <c r="A61" s="93">
        <v>262</v>
      </c>
      <c r="B61" s="94" t="s">
        <v>475</v>
      </c>
      <c r="C61" s="93">
        <v>5101</v>
      </c>
      <c r="D61" s="94" t="s">
        <v>100</v>
      </c>
      <c r="E61" s="93">
        <v>4110</v>
      </c>
      <c r="F61" s="94" t="s">
        <v>115</v>
      </c>
      <c r="G61" s="95">
        <v>1.8928348539332513</v>
      </c>
      <c r="H61" s="96">
        <v>5.8113891854550044</v>
      </c>
      <c r="I61" s="97">
        <v>4.421938862023489</v>
      </c>
      <c r="J61" s="98">
        <v>0.88285280318267367</v>
      </c>
      <c r="K61" s="99">
        <v>156</v>
      </c>
      <c r="M61" s="100">
        <f t="shared" si="0"/>
        <v>0.76090909090909076</v>
      </c>
      <c r="N61" s="89">
        <f t="shared" si="1"/>
        <v>4.421938862023489</v>
      </c>
      <c r="O61" s="100"/>
      <c r="V61" s="109">
        <f t="shared" si="2"/>
        <v>88.19038345037724</v>
      </c>
      <c r="W61" s="109">
        <f t="shared" si="3"/>
        <v>26.337391357375736</v>
      </c>
      <c r="X61" s="109">
        <f t="shared" si="4"/>
        <v>14.165366534855181</v>
      </c>
      <c r="Y61" s="109">
        <f t="shared" si="5"/>
        <v>11.235238497663987</v>
      </c>
      <c r="Z61" s="109">
        <f t="shared" si="6"/>
        <v>4.6268823883730894</v>
      </c>
      <c r="AA61" s="109">
        <f t="shared" si="7"/>
        <v>0.59634356860136117</v>
      </c>
    </row>
    <row r="62" spans="1:27" ht="19.5" thickBot="1" x14ac:dyDescent="0.35">
      <c r="A62" s="93">
        <v>262</v>
      </c>
      <c r="B62" s="94" t="s">
        <v>475</v>
      </c>
      <c r="C62" s="93">
        <v>5101</v>
      </c>
      <c r="D62" s="94" t="s">
        <v>100</v>
      </c>
      <c r="E62" s="93">
        <v>4107</v>
      </c>
      <c r="F62" s="94" t="s">
        <v>116</v>
      </c>
      <c r="G62" s="95">
        <v>2.086636581425513</v>
      </c>
      <c r="H62" s="96">
        <v>10.064042865410505</v>
      </c>
      <c r="I62" s="97">
        <v>6.836360546432422</v>
      </c>
      <c r="J62" s="98">
        <v>0.81888929281110678</v>
      </c>
      <c r="K62" s="99">
        <v>81</v>
      </c>
      <c r="M62" s="100">
        <f t="shared" si="0"/>
        <v>0.67928571428571438</v>
      </c>
      <c r="N62" s="89">
        <f t="shared" si="1"/>
        <v>6.836360546432422</v>
      </c>
      <c r="O62" s="100"/>
      <c r="V62" s="109">
        <f t="shared" si="2"/>
        <v>101.01189238827568</v>
      </c>
      <c r="W62" s="109">
        <f t="shared" si="3"/>
        <v>24.632693785760505</v>
      </c>
      <c r="X62" s="109">
        <f t="shared" si="4"/>
        <v>9.6020627709153317</v>
      </c>
      <c r="Y62" s="109">
        <f t="shared" si="5"/>
        <v>5.9837926806516366</v>
      </c>
      <c r="Z62" s="109">
        <f t="shared" si="6"/>
        <v>-2.1765392067492355</v>
      </c>
      <c r="AA62" s="109">
        <f t="shared" si="7"/>
        <v>-7.1536521090258631</v>
      </c>
    </row>
    <row r="63" spans="1:27" ht="19.5" thickBot="1" x14ac:dyDescent="0.35">
      <c r="A63" s="93">
        <v>262</v>
      </c>
      <c r="B63" s="94" t="s">
        <v>475</v>
      </c>
      <c r="C63" s="93">
        <v>5101</v>
      </c>
      <c r="D63" s="94" t="s">
        <v>100</v>
      </c>
      <c r="E63" s="93">
        <v>4120</v>
      </c>
      <c r="F63" s="94" t="s">
        <v>501</v>
      </c>
      <c r="G63" s="95">
        <v>2.4806793823103108</v>
      </c>
      <c r="H63" s="96">
        <v>2.418692251318697</v>
      </c>
      <c r="I63" s="97">
        <v>1.8543307260110007</v>
      </c>
      <c r="J63" s="98">
        <v>0.95087457034061718</v>
      </c>
      <c r="K63" s="99">
        <v>247</v>
      </c>
      <c r="M63" s="100">
        <f t="shared" si="0"/>
        <v>0.7666666666666665</v>
      </c>
      <c r="N63" s="89">
        <f t="shared" si="1"/>
        <v>1.8543307260110007</v>
      </c>
      <c r="O63" s="100"/>
      <c r="V63" s="109">
        <f t="shared" si="2"/>
        <v>123.54929398467013</v>
      </c>
      <c r="W63" s="109">
        <f t="shared" si="3"/>
        <v>43.095817070947909</v>
      </c>
      <c r="X63" s="109">
        <f t="shared" si="4"/>
        <v>27.263410506371798</v>
      </c>
      <c r="Y63" s="109">
        <f t="shared" si="5"/>
        <v>23.452131853271926</v>
      </c>
      <c r="Z63" s="109">
        <f t="shared" si="6"/>
        <v>14.85650522817537</v>
      </c>
      <c r="AA63" s="109">
        <f t="shared" si="7"/>
        <v>9.6138993183627015</v>
      </c>
    </row>
    <row r="64" spans="1:27" ht="19.5" thickBot="1" x14ac:dyDescent="0.35">
      <c r="A64" s="93">
        <v>262</v>
      </c>
      <c r="B64" s="94" t="s">
        <v>475</v>
      </c>
      <c r="C64" s="93">
        <v>5006</v>
      </c>
      <c r="D64" s="94" t="s">
        <v>118</v>
      </c>
      <c r="E64" s="93">
        <v>4028</v>
      </c>
      <c r="F64" s="94" t="s">
        <v>502</v>
      </c>
      <c r="G64" s="95">
        <v>2.8737187409873672</v>
      </c>
      <c r="H64" s="96">
        <v>12.527321997987505</v>
      </c>
      <c r="I64" s="97">
        <v>8.3237095053294752</v>
      </c>
      <c r="J64" s="98">
        <v>0.7794860430917685</v>
      </c>
      <c r="K64" s="99">
        <v>57</v>
      </c>
      <c r="M64" s="100">
        <f t="shared" si="0"/>
        <v>0.66444444444444439</v>
      </c>
      <c r="N64" s="89">
        <f t="shared" si="1"/>
        <v>8.3237095053294752</v>
      </c>
      <c r="O64" s="100"/>
      <c r="V64" s="109">
        <f t="shared" si="2"/>
        <v>135.37763045944249</v>
      </c>
      <c r="W64" s="109">
        <f t="shared" si="3"/>
        <v>27.838542873545364</v>
      </c>
      <c r="X64" s="109">
        <f t="shared" si="4"/>
        <v>6.6759701475792523</v>
      </c>
      <c r="Y64" s="109">
        <f t="shared" si="5"/>
        <v>1.5815796424989086</v>
      </c>
      <c r="Z64" s="109">
        <f t="shared" si="6"/>
        <v>-9.9078659346414302</v>
      </c>
      <c r="AA64" s="109">
        <f t="shared" si="7"/>
        <v>-16.915456877147069</v>
      </c>
    </row>
    <row r="65" spans="1:27" ht="19.5" thickBot="1" x14ac:dyDescent="0.35">
      <c r="A65" s="93">
        <v>262</v>
      </c>
      <c r="B65" s="94" t="s">
        <v>475</v>
      </c>
      <c r="C65" s="93">
        <v>5006</v>
      </c>
      <c r="D65" s="94" t="s">
        <v>118</v>
      </c>
      <c r="E65" s="93">
        <v>4033</v>
      </c>
      <c r="F65" s="94" t="s">
        <v>503</v>
      </c>
      <c r="G65" s="95">
        <v>1.4674692663476883</v>
      </c>
      <c r="H65" s="96">
        <v>7.4958980417881982</v>
      </c>
      <c r="I65" s="97">
        <v>4.5759050318734316</v>
      </c>
      <c r="J65" s="98">
        <v>0.87877388989024352</v>
      </c>
      <c r="K65" s="99">
        <v>153</v>
      </c>
      <c r="M65" s="100">
        <f t="shared" si="0"/>
        <v>0.61045454545454536</v>
      </c>
      <c r="N65" s="89">
        <f t="shared" si="1"/>
        <v>4.5759050318734316</v>
      </c>
      <c r="O65" s="100"/>
      <c r="V65" s="109">
        <f t="shared" si="2"/>
        <v>84.829284995500586</v>
      </c>
      <c r="W65" s="109">
        <f t="shared" si="3"/>
        <v>25.057469898084427</v>
      </c>
      <c r="X65" s="109">
        <f t="shared" si="4"/>
        <v>13.29499903881006</v>
      </c>
      <c r="Y65" s="109">
        <f t="shared" si="5"/>
        <v>10.463461463596079</v>
      </c>
      <c r="Z65" s="109">
        <f t="shared" si="6"/>
        <v>4.0774577134701664</v>
      </c>
      <c r="AA65" s="109">
        <f t="shared" si="7"/>
        <v>0.18253504398766093</v>
      </c>
    </row>
    <row r="66" spans="1:27" ht="19.5" thickBot="1" x14ac:dyDescent="0.35">
      <c r="A66" s="93">
        <v>262</v>
      </c>
      <c r="B66" s="94" t="s">
        <v>475</v>
      </c>
      <c r="C66" s="93">
        <v>5006</v>
      </c>
      <c r="D66" s="94" t="s">
        <v>118</v>
      </c>
      <c r="E66" s="93">
        <v>4037</v>
      </c>
      <c r="F66" s="94" t="s">
        <v>121</v>
      </c>
      <c r="G66" s="95">
        <v>4.3960267679558456</v>
      </c>
      <c r="H66" s="96">
        <v>16.605904343468097</v>
      </c>
      <c r="I66" s="97">
        <v>11.604797398383905</v>
      </c>
      <c r="J66" s="98">
        <v>0.69256257780290087</v>
      </c>
      <c r="K66" s="99">
        <v>19</v>
      </c>
      <c r="M66" s="100">
        <f t="shared" si="0"/>
        <v>0.69883561643835623</v>
      </c>
      <c r="N66" s="89">
        <f t="shared" si="1"/>
        <v>11.604797398383905</v>
      </c>
      <c r="O66" s="100"/>
      <c r="V66" s="109">
        <f t="shared" si="2"/>
        <v>174.94329317597573</v>
      </c>
      <c r="W66" s="109">
        <f t="shared" si="3"/>
        <v>18.532737455137035</v>
      </c>
      <c r="X66" s="109">
        <f t="shared" si="4"/>
        <v>-12.247231343715882</v>
      </c>
      <c r="Y66" s="109">
        <f t="shared" si="5"/>
        <v>-19.656783236390456</v>
      </c>
      <c r="Z66" s="109">
        <f t="shared" si="6"/>
        <v>-36.367642589827298</v>
      </c>
      <c r="AA66" s="109">
        <f t="shared" si="7"/>
        <v>-46.559854725774059</v>
      </c>
    </row>
    <row r="67" spans="1:27" ht="19.5" thickBot="1" x14ac:dyDescent="0.35">
      <c r="A67" s="93">
        <v>262</v>
      </c>
      <c r="B67" s="94" t="s">
        <v>475</v>
      </c>
      <c r="C67" s="93">
        <v>5006</v>
      </c>
      <c r="D67" s="94" t="s">
        <v>118</v>
      </c>
      <c r="E67" s="93">
        <v>4038</v>
      </c>
      <c r="F67" s="94" t="s">
        <v>122</v>
      </c>
      <c r="G67" s="95">
        <v>4.5922940930037708</v>
      </c>
      <c r="H67" s="96">
        <v>15.242926211246576</v>
      </c>
      <c r="I67" s="97">
        <v>9.5475157104586597</v>
      </c>
      <c r="J67" s="98">
        <v>0.74706463907603549</v>
      </c>
      <c r="K67" s="99">
        <v>35</v>
      </c>
      <c r="M67" s="100">
        <f t="shared" si="0"/>
        <v>0.62635714285714283</v>
      </c>
      <c r="N67" s="89">
        <f t="shared" si="1"/>
        <v>9.5475157104586597</v>
      </c>
      <c r="O67" s="100"/>
      <c r="V67" s="109">
        <f t="shared" si="2"/>
        <v>219.94739256488273</v>
      </c>
      <c r="W67" s="109">
        <f t="shared" si="3"/>
        <v>37.646657403527321</v>
      </c>
      <c r="X67" s="109">
        <f t="shared" si="4"/>
        <v>1.7717708626895727</v>
      </c>
      <c r="Y67" s="109">
        <f t="shared" si="5"/>
        <v>-6.8642623706532797</v>
      </c>
      <c r="Z67" s="109">
        <f t="shared" si="6"/>
        <v>-26.341221142839739</v>
      </c>
      <c r="AA67" s="109">
        <f t="shared" si="7"/>
        <v>-38.220520188486155</v>
      </c>
    </row>
    <row r="68" spans="1:27" ht="19.5" thickBot="1" x14ac:dyDescent="0.35">
      <c r="A68" s="93">
        <v>262</v>
      </c>
      <c r="B68" s="94" t="s">
        <v>475</v>
      </c>
      <c r="C68" s="93">
        <v>5006</v>
      </c>
      <c r="D68" s="94" t="s">
        <v>118</v>
      </c>
      <c r="E68" s="93">
        <v>4039</v>
      </c>
      <c r="F68" s="94" t="s">
        <v>504</v>
      </c>
      <c r="G68" s="95">
        <v>1.4446997006972997</v>
      </c>
      <c r="H68" s="96">
        <v>17.996819676401138</v>
      </c>
      <c r="I68" s="97">
        <v>11.940197669919987</v>
      </c>
      <c r="J68" s="98">
        <v>0.68367706336043232</v>
      </c>
      <c r="K68" s="99">
        <v>15</v>
      </c>
      <c r="M68" s="100">
        <f t="shared" si="0"/>
        <v>0.66346153846153855</v>
      </c>
      <c r="N68" s="89">
        <f t="shared" si="1"/>
        <v>11.940197669919987</v>
      </c>
      <c r="O68" s="100"/>
      <c r="V68" s="109">
        <f t="shared" si="2"/>
        <v>59.781364092755489</v>
      </c>
      <c r="W68" s="109">
        <f t="shared" si="3"/>
        <v>5.6383295317844002</v>
      </c>
      <c r="X68" s="109">
        <f t="shared" si="4"/>
        <v>-5.016455925511135</v>
      </c>
      <c r="Y68" s="109">
        <f t="shared" si="5"/>
        <v>-7.5813443523664539</v>
      </c>
      <c r="Z68" s="109">
        <f t="shared" si="6"/>
        <v>-13.365970788522729</v>
      </c>
      <c r="AA68" s="109">
        <f t="shared" si="7"/>
        <v>-16.894104112939996</v>
      </c>
    </row>
    <row r="69" spans="1:27" ht="19.5" thickBot="1" x14ac:dyDescent="0.35">
      <c r="A69" s="93">
        <v>262</v>
      </c>
      <c r="B69" s="94" t="s">
        <v>475</v>
      </c>
      <c r="C69" s="93">
        <v>5006</v>
      </c>
      <c r="D69" s="94" t="s">
        <v>118</v>
      </c>
      <c r="E69" s="93">
        <v>4027</v>
      </c>
      <c r="F69" s="94" t="s">
        <v>505</v>
      </c>
      <c r="G69" s="95">
        <v>3.1259549303427177</v>
      </c>
      <c r="H69" s="96">
        <v>17.274721230251277</v>
      </c>
      <c r="I69" s="97">
        <v>11.004637228160073</v>
      </c>
      <c r="J69" s="98">
        <v>0.70846218288042528</v>
      </c>
      <c r="K69" s="99">
        <v>23</v>
      </c>
      <c r="M69" s="100">
        <f t="shared" si="0"/>
        <v>0.63703703703703707</v>
      </c>
      <c r="N69" s="89">
        <f t="shared" si="1"/>
        <v>11.004637228160073</v>
      </c>
      <c r="O69" s="100"/>
      <c r="V69" s="109">
        <f t="shared" si="2"/>
        <v>139.60072747703902</v>
      </c>
      <c r="W69" s="109">
        <f t="shared" si="3"/>
        <v>17.589782412539414</v>
      </c>
      <c r="X69" s="109">
        <f t="shared" si="4"/>
        <v>-6.4207011823571669</v>
      </c>
      <c r="Y69" s="109">
        <f t="shared" si="5"/>
        <v>-12.200659093530483</v>
      </c>
      <c r="Z69" s="109">
        <f t="shared" si="6"/>
        <v>-25.23627381375308</v>
      </c>
      <c r="AA69" s="109">
        <f t="shared" si="7"/>
        <v>-33.186897282058077</v>
      </c>
    </row>
    <row r="70" spans="1:27" ht="19.5" thickBot="1" x14ac:dyDescent="0.35">
      <c r="A70" s="93">
        <v>262</v>
      </c>
      <c r="B70" s="94" t="s">
        <v>475</v>
      </c>
      <c r="C70" s="93">
        <v>5006</v>
      </c>
      <c r="D70" s="94" t="s">
        <v>118</v>
      </c>
      <c r="E70" s="93">
        <v>4029</v>
      </c>
      <c r="F70" s="94" t="s">
        <v>506</v>
      </c>
      <c r="G70" s="95">
        <v>2.2744243073960568</v>
      </c>
      <c r="H70" s="96">
        <v>14.948837773777543</v>
      </c>
      <c r="I70" s="97">
        <v>9.9827459309887967</v>
      </c>
      <c r="J70" s="98">
        <v>0.73553440270321491</v>
      </c>
      <c r="K70" s="99">
        <v>28</v>
      </c>
      <c r="M70" s="100">
        <f t="shared" ref="M70:M133" si="8">IF(ISERROR(I70/H70),$O$3,(I70/H70))</f>
        <v>0.66779411764705876</v>
      </c>
      <c r="N70" s="89">
        <f t="shared" ref="N70:N133" si="9">I70</f>
        <v>9.9827459309887967</v>
      </c>
      <c r="O70" s="100"/>
      <c r="V70" s="109">
        <f t="shared" ref="V70:V133" si="10">(((($O$5-N70))/M70)*G70)+((((($O$5-N70)/$T$2))*$T$3/M70)*G70)</f>
        <v>100.59696275958736</v>
      </c>
      <c r="W70" s="109">
        <f t="shared" ref="W70:W133" si="11">(((($P$5-N70))/M70)*G70)+((((($P$5-N70)/$T$2))*$T$3/M70)*G70)</f>
        <v>15.91134486524547</v>
      </c>
      <c r="X70" s="109">
        <f t="shared" ref="X70:X133" si="12">(((($Q$5-N70))/M70)*G70)+((((($Q$5-N70)/$T$2))*$T$3/M70)*G70)</f>
        <v>-0.75390297871536605</v>
      </c>
      <c r="Y70" s="109">
        <f t="shared" ref="Y70:Y133" si="13">(((($R$5-N70))/M70)*G70)+((((($R$5-N70)/$T$2))*$T$3/M70)*G70)</f>
        <v>-4.7656685367334974</v>
      </c>
      <c r="Z70" s="109">
        <f t="shared" ref="Z70:Z133" si="14">(((($S$5-N70))/M70)*G70)+((((($S$5-N70)/$T$2))*$T$3/M70)*G70)</f>
        <v>-13.813455902293615</v>
      </c>
      <c r="AA70" s="109">
        <f t="shared" ref="AA70:AA133" si="15">(((($T$5-N70))/M70)*G70)+((((($T$5-N70)/$T$2))*$T$3/M70)*G70)</f>
        <v>-19.331841656151443</v>
      </c>
    </row>
    <row r="71" spans="1:27" ht="19.5" thickBot="1" x14ac:dyDescent="0.35">
      <c r="A71" s="93">
        <v>262</v>
      </c>
      <c r="B71" s="94" t="s">
        <v>475</v>
      </c>
      <c r="C71" s="93">
        <v>5006</v>
      </c>
      <c r="D71" s="94" t="s">
        <v>118</v>
      </c>
      <c r="E71" s="93">
        <v>4019</v>
      </c>
      <c r="F71" s="94" t="s">
        <v>126</v>
      </c>
      <c r="G71" s="95">
        <v>4.5979315814718493</v>
      </c>
      <c r="H71" s="96">
        <v>11.309433182856152</v>
      </c>
      <c r="I71" s="97">
        <v>6.6682157958917241</v>
      </c>
      <c r="J71" s="98">
        <v>0.82334382888679958</v>
      </c>
      <c r="K71" s="99">
        <v>87</v>
      </c>
      <c r="M71" s="100">
        <f t="shared" si="8"/>
        <v>0.58961538461538465</v>
      </c>
      <c r="N71" s="89">
        <f t="shared" si="9"/>
        <v>6.6682157958917241</v>
      </c>
      <c r="O71" s="100"/>
      <c r="V71" s="109">
        <f t="shared" si="10"/>
        <v>257.82671281083879</v>
      </c>
      <c r="W71" s="109">
        <f t="shared" si="11"/>
        <v>63.928208354639672</v>
      </c>
      <c r="X71" s="109">
        <f t="shared" si="12"/>
        <v>25.771001574055969</v>
      </c>
      <c r="Y71" s="109">
        <f t="shared" si="13"/>
        <v>16.585553545571109</v>
      </c>
      <c r="Z71" s="109">
        <f t="shared" si="14"/>
        <v>-4.1305076043707922</v>
      </c>
      <c r="AA71" s="109">
        <f t="shared" si="15"/>
        <v>-16.765554396146257</v>
      </c>
    </row>
    <row r="72" spans="1:27" ht="19.5" thickBot="1" x14ac:dyDescent="0.35">
      <c r="A72" s="93">
        <v>262</v>
      </c>
      <c r="B72" s="94" t="s">
        <v>475</v>
      </c>
      <c r="C72" s="93">
        <v>5006</v>
      </c>
      <c r="D72" s="94" t="s">
        <v>118</v>
      </c>
      <c r="E72" s="93">
        <v>4024</v>
      </c>
      <c r="F72" s="94" t="s">
        <v>507</v>
      </c>
      <c r="G72" s="95">
        <v>2.741125293470831</v>
      </c>
      <c r="H72" s="96">
        <v>12.403665049892329</v>
      </c>
      <c r="I72" s="97">
        <v>9.1422307691265221</v>
      </c>
      <c r="J72" s="98">
        <v>0.75780155703686158</v>
      </c>
      <c r="K72" s="99">
        <v>40</v>
      </c>
      <c r="M72" s="100">
        <f t="shared" si="8"/>
        <v>0.73705882352941177</v>
      </c>
      <c r="N72" s="89">
        <f t="shared" si="9"/>
        <v>9.1422307691265221</v>
      </c>
      <c r="O72" s="100"/>
      <c r="V72" s="109">
        <f t="shared" si="10"/>
        <v>113.17101471444549</v>
      </c>
      <c r="W72" s="109">
        <f t="shared" si="11"/>
        <v>20.699600592749089</v>
      </c>
      <c r="X72" s="109">
        <f t="shared" si="12"/>
        <v>2.5021891179657985</v>
      </c>
      <c r="Y72" s="109">
        <f t="shared" si="13"/>
        <v>-1.8784087155116485</v>
      </c>
      <c r="Z72" s="109">
        <f t="shared" si="14"/>
        <v>-11.758028338877022</v>
      </c>
      <c r="AA72" s="109">
        <f t="shared" si="15"/>
        <v>-17.783761480069007</v>
      </c>
    </row>
    <row r="73" spans="1:27" ht="19.5" thickBot="1" x14ac:dyDescent="0.35">
      <c r="A73" s="93">
        <v>262</v>
      </c>
      <c r="B73" s="94" t="s">
        <v>475</v>
      </c>
      <c r="C73" s="93">
        <v>5006</v>
      </c>
      <c r="D73" s="94" t="s">
        <v>118</v>
      </c>
      <c r="E73" s="93">
        <v>4047</v>
      </c>
      <c r="F73" s="94" t="s">
        <v>128</v>
      </c>
      <c r="G73" s="95">
        <v>5.6126775106429232</v>
      </c>
      <c r="H73" s="96">
        <v>22.44917862483193</v>
      </c>
      <c r="I73" s="97">
        <v>14.981263370388831</v>
      </c>
      <c r="J73" s="98">
        <v>0.60311233072543113</v>
      </c>
      <c r="K73" s="99">
        <v>9</v>
      </c>
      <c r="M73" s="100">
        <f t="shared" si="8"/>
        <v>0.66734126984126985</v>
      </c>
      <c r="N73" s="89">
        <f t="shared" si="9"/>
        <v>14.981263370388831</v>
      </c>
      <c r="O73" s="100"/>
      <c r="V73" s="109">
        <f t="shared" si="10"/>
        <v>203.69168137541541</v>
      </c>
      <c r="W73" s="109">
        <f t="shared" si="11"/>
        <v>-5.4318325705818928</v>
      </c>
      <c r="X73" s="109">
        <f t="shared" si="12"/>
        <v>-46.58516269398288</v>
      </c>
      <c r="Y73" s="109">
        <f t="shared" si="13"/>
        <v>-56.491856787742677</v>
      </c>
      <c r="Z73" s="109">
        <f t="shared" si="14"/>
        <v>-78.83455362775176</v>
      </c>
      <c r="AA73" s="109">
        <f t="shared" si="15"/>
        <v>-92.461710739554377</v>
      </c>
    </row>
    <row r="74" spans="1:27" ht="19.5" thickBot="1" x14ac:dyDescent="0.35">
      <c r="A74" s="93">
        <v>262</v>
      </c>
      <c r="B74" s="94" t="s">
        <v>475</v>
      </c>
      <c r="C74" s="93">
        <v>5006</v>
      </c>
      <c r="D74" s="94" t="s">
        <v>118</v>
      </c>
      <c r="E74" s="93">
        <v>4026</v>
      </c>
      <c r="F74" s="94" t="s">
        <v>129</v>
      </c>
      <c r="G74" s="95">
        <v>4.1459520961535112</v>
      </c>
      <c r="H74" s="96">
        <v>6.9947744999044543</v>
      </c>
      <c r="I74" s="97">
        <v>4.4392698162324651</v>
      </c>
      <c r="J74" s="98">
        <v>0.88239366687005127</v>
      </c>
      <c r="K74" s="99">
        <v>155</v>
      </c>
      <c r="M74" s="100">
        <f t="shared" si="8"/>
        <v>0.6346551724137931</v>
      </c>
      <c r="N74" s="89">
        <f t="shared" si="9"/>
        <v>4.4392698162324651</v>
      </c>
      <c r="O74" s="100"/>
      <c r="V74" s="109">
        <f t="shared" si="10"/>
        <v>231.47378729620161</v>
      </c>
      <c r="W74" s="109">
        <f t="shared" si="11"/>
        <v>69.043423275878922</v>
      </c>
      <c r="X74" s="109">
        <f t="shared" si="12"/>
        <v>37.078818882712923</v>
      </c>
      <c r="Y74" s="109">
        <f t="shared" si="13"/>
        <v>29.38409389687072</v>
      </c>
      <c r="Z74" s="109">
        <f t="shared" si="14"/>
        <v>12.030079934310995</v>
      </c>
      <c r="AA74" s="109">
        <f t="shared" si="15"/>
        <v>1.445597833442037</v>
      </c>
    </row>
    <row r="75" spans="1:27" ht="19.5" thickBot="1" x14ac:dyDescent="0.35">
      <c r="A75" s="93">
        <v>262</v>
      </c>
      <c r="B75" s="94" t="s">
        <v>475</v>
      </c>
      <c r="C75" s="93">
        <v>5006</v>
      </c>
      <c r="D75" s="94" t="s">
        <v>118</v>
      </c>
      <c r="E75" s="93">
        <v>4045</v>
      </c>
      <c r="F75" s="94" t="s">
        <v>508</v>
      </c>
      <c r="G75" s="95">
        <v>5.8692347533858378</v>
      </c>
      <c r="H75" s="96">
        <v>20.104835631583537</v>
      </c>
      <c r="I75" s="97">
        <v>11.688917360210073</v>
      </c>
      <c r="J75" s="98">
        <v>0.69033404908918483</v>
      </c>
      <c r="K75" s="99">
        <v>16</v>
      </c>
      <c r="M75" s="100">
        <f t="shared" si="8"/>
        <v>0.58139830508474577</v>
      </c>
      <c r="N75" s="89">
        <f t="shared" si="9"/>
        <v>11.688917360210073</v>
      </c>
      <c r="O75" s="100"/>
      <c r="V75" s="109">
        <f t="shared" si="10"/>
        <v>279.84657287487073</v>
      </c>
      <c r="W75" s="109">
        <f t="shared" si="11"/>
        <v>28.838042605585922</v>
      </c>
      <c r="X75" s="109">
        <f t="shared" si="12"/>
        <v>-20.557822618011436</v>
      </c>
      <c r="Y75" s="109">
        <f t="shared" si="13"/>
        <v>-32.44871273065651</v>
      </c>
      <c r="Z75" s="109">
        <f t="shared" si="14"/>
        <v>-59.266392819520647</v>
      </c>
      <c r="AA75" s="109">
        <f t="shared" si="15"/>
        <v>-75.622911576495554</v>
      </c>
    </row>
    <row r="76" spans="1:27" ht="19.5" thickBot="1" x14ac:dyDescent="0.35">
      <c r="A76" s="93">
        <v>262</v>
      </c>
      <c r="B76" s="94" t="s">
        <v>475</v>
      </c>
      <c r="C76" s="93">
        <v>5006</v>
      </c>
      <c r="D76" s="94" t="s">
        <v>118</v>
      </c>
      <c r="E76" s="93">
        <v>4043</v>
      </c>
      <c r="F76" s="94" t="s">
        <v>131</v>
      </c>
      <c r="G76" s="95">
        <v>8.4237180108253167</v>
      </c>
      <c r="H76" s="96">
        <v>15.670040216252117</v>
      </c>
      <c r="I76" s="97">
        <v>9.786058827475328</v>
      </c>
      <c r="J76" s="98">
        <v>0.74074509049101001</v>
      </c>
      <c r="K76" s="99">
        <v>29</v>
      </c>
      <c r="M76" s="100">
        <f t="shared" si="8"/>
        <v>0.62450757575757576</v>
      </c>
      <c r="N76" s="89">
        <f t="shared" si="9"/>
        <v>9.786058827475328</v>
      </c>
      <c r="O76" s="100"/>
      <c r="V76" s="109">
        <f t="shared" si="10"/>
        <v>401.22489306972625</v>
      </c>
      <c r="W76" s="109">
        <f t="shared" si="11"/>
        <v>65.837394232419342</v>
      </c>
      <c r="X76" s="109">
        <f t="shared" si="12"/>
        <v>-0.16337344059172385</v>
      </c>
      <c r="Y76" s="109">
        <f t="shared" si="13"/>
        <v>-16.051502380077814</v>
      </c>
      <c r="Z76" s="109">
        <f t="shared" si="14"/>
        <v>-51.884207507564881</v>
      </c>
      <c r="AA76" s="109">
        <f t="shared" si="15"/>
        <v>-73.739129767386544</v>
      </c>
    </row>
    <row r="77" spans="1:27" ht="19.5" thickBot="1" x14ac:dyDescent="0.35">
      <c r="A77" s="93">
        <v>262</v>
      </c>
      <c r="B77" s="94" t="s">
        <v>475</v>
      </c>
      <c r="C77" s="93">
        <v>5006</v>
      </c>
      <c r="D77" s="94" t="s">
        <v>118</v>
      </c>
      <c r="E77" s="93">
        <v>4048</v>
      </c>
      <c r="F77" s="94" t="s">
        <v>509</v>
      </c>
      <c r="G77" s="95">
        <v>2.8112321713374335</v>
      </c>
      <c r="H77" s="96">
        <v>9.9600453799157762</v>
      </c>
      <c r="I77" s="97">
        <v>6.9382387548306141</v>
      </c>
      <c r="J77" s="98">
        <v>0.8161903078402567</v>
      </c>
      <c r="K77" s="99">
        <v>80</v>
      </c>
      <c r="M77" s="100">
        <f t="shared" si="8"/>
        <v>0.69660714285714276</v>
      </c>
      <c r="N77" s="89">
        <f t="shared" si="9"/>
        <v>6.9382387548306141</v>
      </c>
      <c r="O77" s="100"/>
      <c r="V77" s="109">
        <f t="shared" si="10"/>
        <v>132.26751776382073</v>
      </c>
      <c r="W77" s="109">
        <f t="shared" si="11"/>
        <v>31.923946751975599</v>
      </c>
      <c r="X77" s="109">
        <f t="shared" si="12"/>
        <v>12.177376767130376</v>
      </c>
      <c r="Y77" s="109">
        <f t="shared" si="13"/>
        <v>7.4238555416477325</v>
      </c>
      <c r="Z77" s="109">
        <f t="shared" si="14"/>
        <v>-3.2968230882098633</v>
      </c>
      <c r="AA77" s="109">
        <f t="shared" si="15"/>
        <v>-9.8355311537736636</v>
      </c>
    </row>
    <row r="78" spans="1:27" ht="19.5" thickBot="1" x14ac:dyDescent="0.35">
      <c r="A78" s="93">
        <v>262</v>
      </c>
      <c r="B78" s="94" t="s">
        <v>475</v>
      </c>
      <c r="C78" s="93">
        <v>5006</v>
      </c>
      <c r="D78" s="94" t="s">
        <v>118</v>
      </c>
      <c r="E78" s="93">
        <v>4010</v>
      </c>
      <c r="F78" s="94" t="s">
        <v>133</v>
      </c>
      <c r="G78" s="95">
        <v>2.5527409768204761</v>
      </c>
      <c r="H78" s="96">
        <v>30.555391521607334</v>
      </c>
      <c r="I78" s="97">
        <v>20.646434745465569</v>
      </c>
      <c r="J78" s="98">
        <v>0.45302908290406574</v>
      </c>
      <c r="K78" s="99">
        <v>3</v>
      </c>
      <c r="M78" s="100">
        <f t="shared" si="8"/>
        <v>0.67570512820512818</v>
      </c>
      <c r="N78" s="89">
        <f t="shared" si="9"/>
        <v>20.646434745465569</v>
      </c>
      <c r="O78" s="100"/>
      <c r="V78" s="109">
        <f t="shared" si="10"/>
        <v>68.727191500360206</v>
      </c>
      <c r="W78" s="109">
        <f t="shared" si="11"/>
        <v>-25.208426403251821</v>
      </c>
      <c r="X78" s="109">
        <f t="shared" si="12"/>
        <v>-43.693977936836276</v>
      </c>
      <c r="Y78" s="109">
        <f t="shared" si="13"/>
        <v>-48.143938696962479</v>
      </c>
      <c r="Z78" s="109">
        <f t="shared" si="14"/>
        <v>-58.179993436561524</v>
      </c>
      <c r="AA78" s="109">
        <f t="shared" si="15"/>
        <v>-64.301138779869675</v>
      </c>
    </row>
    <row r="79" spans="1:27" ht="19.5" thickBot="1" x14ac:dyDescent="0.35">
      <c r="A79" s="93">
        <v>262</v>
      </c>
      <c r="B79" s="94" t="s">
        <v>475</v>
      </c>
      <c r="C79" s="93">
        <v>5006</v>
      </c>
      <c r="D79" s="94" t="s">
        <v>118</v>
      </c>
      <c r="E79" s="93">
        <v>4054</v>
      </c>
      <c r="F79" s="94" t="s">
        <v>510</v>
      </c>
      <c r="G79" s="95">
        <v>2.6966891074729142</v>
      </c>
      <c r="H79" s="96">
        <v>6.6748517469512541</v>
      </c>
      <c r="I79" s="97">
        <v>4.1773447183003265</v>
      </c>
      <c r="J79" s="98">
        <v>0.889332657199016</v>
      </c>
      <c r="K79" s="99">
        <v>172</v>
      </c>
      <c r="M79" s="100">
        <f t="shared" si="8"/>
        <v>0.62583333333333335</v>
      </c>
      <c r="N79" s="89">
        <f t="shared" si="9"/>
        <v>4.1773447183003265</v>
      </c>
      <c r="O79" s="100"/>
      <c r="V79" s="109">
        <f t="shared" si="10"/>
        <v>153.8825624232683</v>
      </c>
      <c r="W79" s="109">
        <f t="shared" si="11"/>
        <v>46.742239335759535</v>
      </c>
      <c r="X79" s="109">
        <f t="shared" si="12"/>
        <v>25.658139311088529</v>
      </c>
      <c r="Y79" s="109">
        <f t="shared" si="13"/>
        <v>20.582639258958416</v>
      </c>
      <c r="Z79" s="109">
        <f t="shared" si="14"/>
        <v>9.1357975675788623</v>
      </c>
      <c r="AA79" s="109">
        <f t="shared" si="15"/>
        <v>2.1541913953537692</v>
      </c>
    </row>
    <row r="80" spans="1:27" ht="19.5" thickBot="1" x14ac:dyDescent="0.35">
      <c r="A80" s="93">
        <v>262</v>
      </c>
      <c r="B80" s="94" t="s">
        <v>475</v>
      </c>
      <c r="C80" s="93">
        <v>5006</v>
      </c>
      <c r="D80" s="94" t="s">
        <v>118</v>
      </c>
      <c r="E80" s="93">
        <v>4006</v>
      </c>
      <c r="F80" s="94" t="s">
        <v>135</v>
      </c>
      <c r="G80" s="95">
        <v>5.6576315338785204</v>
      </c>
      <c r="H80" s="96">
        <v>10.958649326796412</v>
      </c>
      <c r="I80" s="97">
        <v>6.6467743215190165</v>
      </c>
      <c r="J80" s="98">
        <v>0.82391186220810242</v>
      </c>
      <c r="K80" s="99">
        <v>88</v>
      </c>
      <c r="M80" s="100">
        <f t="shared" si="8"/>
        <v>0.60653225806451605</v>
      </c>
      <c r="N80" s="89">
        <f t="shared" si="9"/>
        <v>6.6467743215190165</v>
      </c>
      <c r="O80" s="100"/>
      <c r="V80" s="109">
        <f t="shared" si="10"/>
        <v>308.61319511888428</v>
      </c>
      <c r="W80" s="109">
        <f t="shared" si="11"/>
        <v>76.680743967423211</v>
      </c>
      <c r="X80" s="109">
        <f t="shared" si="12"/>
        <v>31.03885249160173</v>
      </c>
      <c r="Y80" s="109">
        <f t="shared" si="13"/>
        <v>20.051643063939025</v>
      </c>
      <c r="Z80" s="109">
        <f t="shared" si="14"/>
        <v>-4.7279541494832635</v>
      </c>
      <c r="AA80" s="109">
        <f t="shared" si="15"/>
        <v>-19.841414570689714</v>
      </c>
    </row>
    <row r="81" spans="1:27" ht="19.5" thickBot="1" x14ac:dyDescent="0.35">
      <c r="A81" s="93">
        <v>262</v>
      </c>
      <c r="B81" s="94" t="s">
        <v>475</v>
      </c>
      <c r="C81" s="93">
        <v>5006</v>
      </c>
      <c r="D81" s="94" t="s">
        <v>118</v>
      </c>
      <c r="E81" s="93">
        <v>4020</v>
      </c>
      <c r="F81" s="94" t="s">
        <v>136</v>
      </c>
      <c r="G81" s="95">
        <v>4.6944637314758273</v>
      </c>
      <c r="H81" s="96">
        <v>8.9467088047554686</v>
      </c>
      <c r="I81" s="97">
        <v>6.129560615639015</v>
      </c>
      <c r="J81" s="98">
        <v>0.83761402718367539</v>
      </c>
      <c r="K81" s="99">
        <v>102</v>
      </c>
      <c r="M81" s="100">
        <f t="shared" si="8"/>
        <v>0.68511904761904763</v>
      </c>
      <c r="N81" s="89">
        <f t="shared" si="9"/>
        <v>6.129560615639015</v>
      </c>
      <c r="O81" s="100"/>
      <c r="V81" s="109">
        <f t="shared" si="10"/>
        <v>230.47130825702777</v>
      </c>
      <c r="W81" s="109">
        <f t="shared" si="11"/>
        <v>60.098332888408862</v>
      </c>
      <c r="X81" s="109">
        <f t="shared" si="12"/>
        <v>26.570705281398482</v>
      </c>
      <c r="Y81" s="109">
        <f t="shared" si="13"/>
        <v>18.49971930295688</v>
      </c>
      <c r="Z81" s="109">
        <f t="shared" si="14"/>
        <v>0.2971189996051562</v>
      </c>
      <c r="AA81" s="109">
        <f t="shared" si="15"/>
        <v>-10.804929063497818</v>
      </c>
    </row>
    <row r="82" spans="1:27" ht="19.5" thickBot="1" x14ac:dyDescent="0.35">
      <c r="A82" s="93">
        <v>262</v>
      </c>
      <c r="B82" s="94" t="s">
        <v>475</v>
      </c>
      <c r="C82" s="93">
        <v>5006</v>
      </c>
      <c r="D82" s="94" t="s">
        <v>118</v>
      </c>
      <c r="E82" s="93">
        <v>4012</v>
      </c>
      <c r="F82" s="94" t="s">
        <v>511</v>
      </c>
      <c r="G82" s="95">
        <v>2.7150367024280069</v>
      </c>
      <c r="H82" s="96">
        <v>29.833850838024844</v>
      </c>
      <c r="I82" s="97">
        <v>19.775054956710541</v>
      </c>
      <c r="J82" s="98">
        <v>0.47611391125676117</v>
      </c>
      <c r="K82" s="99">
        <v>5</v>
      </c>
      <c r="M82" s="100">
        <f t="shared" si="8"/>
        <v>0.66283950617283949</v>
      </c>
      <c r="N82" s="89">
        <f t="shared" si="9"/>
        <v>19.775054956710541</v>
      </c>
      <c r="O82" s="100"/>
      <c r="V82" s="109">
        <f t="shared" si="10"/>
        <v>78.312514715264584</v>
      </c>
      <c r="W82" s="109">
        <f t="shared" si="11"/>
        <v>-23.534447877687963</v>
      </c>
      <c r="X82" s="109">
        <f t="shared" si="12"/>
        <v>-43.576869672186845</v>
      </c>
      <c r="Y82" s="109">
        <f t="shared" si="13"/>
        <v>-48.401610246541999</v>
      </c>
      <c r="Z82" s="109">
        <f t="shared" si="14"/>
        <v>-59.282910805969777</v>
      </c>
      <c r="AA82" s="109">
        <f t="shared" si="15"/>
        <v>-65.919584675998792</v>
      </c>
    </row>
    <row r="83" spans="1:27" ht="19.5" thickBot="1" x14ac:dyDescent="0.35">
      <c r="A83" s="93">
        <v>262</v>
      </c>
      <c r="B83" s="94" t="s">
        <v>475</v>
      </c>
      <c r="C83" s="93">
        <v>5006</v>
      </c>
      <c r="D83" s="94" t="s">
        <v>118</v>
      </c>
      <c r="E83" s="93">
        <v>4023</v>
      </c>
      <c r="F83" s="94" t="s">
        <v>138</v>
      </c>
      <c r="G83" s="95">
        <v>3.2678846701127418</v>
      </c>
      <c r="H83" s="96">
        <v>2.4480668100578962</v>
      </c>
      <c r="I83" s="97">
        <v>1.4290590003712969</v>
      </c>
      <c r="J83" s="98">
        <v>0.96214098358124733</v>
      </c>
      <c r="K83" s="99">
        <v>255</v>
      </c>
      <c r="M83" s="100">
        <f t="shared" si="8"/>
        <v>0.58374999999999999</v>
      </c>
      <c r="N83" s="89">
        <f t="shared" si="9"/>
        <v>1.4290590003712969</v>
      </c>
      <c r="O83" s="100"/>
      <c r="V83" s="109">
        <f t="shared" si="10"/>
        <v>216.28754989955706</v>
      </c>
      <c r="W83" s="109">
        <f t="shared" si="11"/>
        <v>77.093526217521031</v>
      </c>
      <c r="X83" s="109">
        <f t="shared" si="12"/>
        <v>49.701591663138203</v>
      </c>
      <c r="Y83" s="109">
        <f t="shared" si="13"/>
        <v>43.10762914654822</v>
      </c>
      <c r="Z83" s="109">
        <f t="shared" si="14"/>
        <v>28.23617918673224</v>
      </c>
      <c r="AA83" s="109">
        <f t="shared" si="15"/>
        <v>19.165851350576517</v>
      </c>
    </row>
    <row r="84" spans="1:27" ht="19.5" thickBot="1" x14ac:dyDescent="0.35">
      <c r="A84" s="93">
        <v>264</v>
      </c>
      <c r="B84" s="94" t="s">
        <v>512</v>
      </c>
      <c r="C84" s="93">
        <v>5130</v>
      </c>
      <c r="D84" s="94" t="s">
        <v>140</v>
      </c>
      <c r="E84" s="93">
        <v>4132</v>
      </c>
      <c r="F84" s="94" t="s">
        <v>141</v>
      </c>
      <c r="G84" s="95">
        <v>3.879630535638257</v>
      </c>
      <c r="H84" s="96">
        <v>8.7637211037690967</v>
      </c>
      <c r="I84" s="97">
        <v>7.0444852284120421</v>
      </c>
      <c r="J84" s="98">
        <v>0.81337559761016209</v>
      </c>
      <c r="K84" s="99">
        <v>76</v>
      </c>
      <c r="M84" s="100">
        <f t="shared" si="8"/>
        <v>0.80382352941176471</v>
      </c>
      <c r="N84" s="89">
        <f t="shared" si="9"/>
        <v>7.0444852284120421</v>
      </c>
      <c r="O84" s="100"/>
      <c r="V84" s="109">
        <f t="shared" si="10"/>
        <v>157.64266648657377</v>
      </c>
      <c r="W84" s="109">
        <f t="shared" si="11"/>
        <v>37.634606275397594</v>
      </c>
      <c r="X84" s="109">
        <f t="shared" si="12"/>
        <v>14.018269565338006</v>
      </c>
      <c r="Y84" s="109">
        <f t="shared" si="13"/>
        <v>8.3331932252156822</v>
      </c>
      <c r="Z84" s="109">
        <f t="shared" si="14"/>
        <v>-4.4884338460866333</v>
      </c>
      <c r="AA84" s="109">
        <f t="shared" si="15"/>
        <v>-12.308542930532647</v>
      </c>
    </row>
    <row r="85" spans="1:27" ht="19.5" thickBot="1" x14ac:dyDescent="0.35">
      <c r="A85" s="93">
        <v>264</v>
      </c>
      <c r="B85" s="94" t="s">
        <v>512</v>
      </c>
      <c r="C85" s="93">
        <v>5130</v>
      </c>
      <c r="D85" s="94" t="s">
        <v>140</v>
      </c>
      <c r="E85" s="93">
        <v>4130</v>
      </c>
      <c r="F85" s="94" t="s">
        <v>142</v>
      </c>
      <c r="G85" s="95">
        <v>7.9105611499017217</v>
      </c>
      <c r="H85" s="96">
        <v>7.5847969395629313</v>
      </c>
      <c r="I85" s="97">
        <v>6.0431869615967653</v>
      </c>
      <c r="J85" s="98">
        <v>0.83990226131934342</v>
      </c>
      <c r="K85" s="99">
        <v>105</v>
      </c>
      <c r="M85" s="100">
        <f t="shared" si="8"/>
        <v>0.79674999999999996</v>
      </c>
      <c r="N85" s="89">
        <f t="shared" si="9"/>
        <v>6.0431869615967653</v>
      </c>
      <c r="O85" s="100"/>
      <c r="V85" s="109">
        <f t="shared" si="10"/>
        <v>334.86283491074869</v>
      </c>
      <c r="W85" s="109">
        <f t="shared" si="11"/>
        <v>87.994162464260924</v>
      </c>
      <c r="X85" s="109">
        <f t="shared" si="12"/>
        <v>39.412978155453011</v>
      </c>
      <c r="Y85" s="109">
        <f t="shared" si="13"/>
        <v>27.718203268055628</v>
      </c>
      <c r="Z85" s="109">
        <f t="shared" si="14"/>
        <v>1.3428244132812017</v>
      </c>
      <c r="AA85" s="109">
        <f t="shared" si="15"/>
        <v>-14.743927965407096</v>
      </c>
    </row>
    <row r="86" spans="1:27" ht="19.5" thickBot="1" x14ac:dyDescent="0.35">
      <c r="A86" s="93">
        <v>264</v>
      </c>
      <c r="B86" s="94" t="s">
        <v>512</v>
      </c>
      <c r="C86" s="93">
        <v>5130</v>
      </c>
      <c r="D86" s="94" t="s">
        <v>140</v>
      </c>
      <c r="E86" s="93">
        <v>4134</v>
      </c>
      <c r="F86" s="94" t="s">
        <v>513</v>
      </c>
      <c r="G86" s="95">
        <v>0.90801949255786807</v>
      </c>
      <c r="H86" s="96">
        <v>0</v>
      </c>
      <c r="I86" s="97">
        <v>1.9162584220504604</v>
      </c>
      <c r="J86" s="98">
        <v>0.94923396511681302</v>
      </c>
      <c r="K86" s="99">
        <v>243</v>
      </c>
      <c r="M86" s="100">
        <f t="shared" si="8"/>
        <v>0.66291067257473968</v>
      </c>
      <c r="N86" s="89">
        <f t="shared" si="9"/>
        <v>1.9162584220504604</v>
      </c>
      <c r="O86" s="100"/>
      <c r="V86" s="109">
        <f t="shared" si="10"/>
        <v>52.211528734431063</v>
      </c>
      <c r="W86" s="109">
        <f t="shared" si="11"/>
        <v>18.153389050488979</v>
      </c>
      <c r="X86" s="109">
        <f t="shared" si="12"/>
        <v>11.45110177846029</v>
      </c>
      <c r="Y86" s="109">
        <f t="shared" si="13"/>
        <v>9.8376841149713119</v>
      </c>
      <c r="Z86" s="109">
        <f t="shared" si="14"/>
        <v>6.198922143472001</v>
      </c>
      <c r="AA86" s="109">
        <f t="shared" si="15"/>
        <v>3.9795848166869865</v>
      </c>
    </row>
    <row r="87" spans="1:27" ht="19.5" thickBot="1" x14ac:dyDescent="0.35">
      <c r="A87" s="93">
        <v>264</v>
      </c>
      <c r="B87" s="94" t="s">
        <v>512</v>
      </c>
      <c r="C87" s="93">
        <v>5130</v>
      </c>
      <c r="D87" s="94" t="s">
        <v>140</v>
      </c>
      <c r="E87" s="93">
        <v>4135</v>
      </c>
      <c r="F87" s="94" t="s">
        <v>514</v>
      </c>
      <c r="G87" s="95">
        <v>6.669059139075534</v>
      </c>
      <c r="H87" s="96">
        <v>10.496233207748014</v>
      </c>
      <c r="I87" s="97">
        <v>6.9687491190012709</v>
      </c>
      <c r="J87" s="98">
        <v>0.81538201904477736</v>
      </c>
      <c r="K87" s="99">
        <v>79</v>
      </c>
      <c r="M87" s="100">
        <f t="shared" si="8"/>
        <v>0.66392857142857142</v>
      </c>
      <c r="N87" s="89">
        <f t="shared" si="9"/>
        <v>6.9687491190012709</v>
      </c>
      <c r="O87" s="100"/>
      <c r="V87" s="109">
        <f t="shared" si="10"/>
        <v>328.89503651958978</v>
      </c>
      <c r="W87" s="109">
        <f t="shared" si="11"/>
        <v>79.13441187098033</v>
      </c>
      <c r="X87" s="109">
        <f t="shared" si="12"/>
        <v>29.984121480176569</v>
      </c>
      <c r="Y87" s="109">
        <f t="shared" si="13"/>
        <v>18.152347719435891</v>
      </c>
      <c r="Z87" s="109">
        <f t="shared" si="14"/>
        <v>-8.5320064873139536</v>
      </c>
      <c r="AA87" s="109">
        <f t="shared" si="15"/>
        <v>-24.8072077222524</v>
      </c>
    </row>
    <row r="88" spans="1:27" ht="19.5" thickBot="1" x14ac:dyDescent="0.35">
      <c r="A88" s="93">
        <v>264</v>
      </c>
      <c r="B88" s="94" t="s">
        <v>512</v>
      </c>
      <c r="C88" s="93">
        <v>5130</v>
      </c>
      <c r="D88" s="94" t="s">
        <v>140</v>
      </c>
      <c r="E88" s="93">
        <v>4133</v>
      </c>
      <c r="F88" s="94" t="s">
        <v>515</v>
      </c>
      <c r="G88" s="95">
        <v>1.4672043010752684</v>
      </c>
      <c r="H88" s="96">
        <v>-4.089410040307806</v>
      </c>
      <c r="I88" s="97">
        <v>-4.6823744961524376</v>
      </c>
      <c r="J88" s="98">
        <v>1.1240467278695463</v>
      </c>
      <c r="K88" s="99">
        <v>293</v>
      </c>
      <c r="M88" s="100">
        <f t="shared" si="8"/>
        <v>1.145</v>
      </c>
      <c r="N88" s="89">
        <f t="shared" si="9"/>
        <v>-4.6823744961524376</v>
      </c>
      <c r="O88" s="100"/>
      <c r="V88" s="109">
        <f t="shared" si="10"/>
        <v>57.839222939026904</v>
      </c>
      <c r="W88" s="109">
        <f t="shared" si="11"/>
        <v>25.97774872799982</v>
      </c>
      <c r="X88" s="109">
        <f t="shared" si="12"/>
        <v>19.707742349074774</v>
      </c>
      <c r="Y88" s="109">
        <f t="shared" si="13"/>
        <v>18.198386120169921</v>
      </c>
      <c r="Z88" s="109">
        <f t="shared" si="14"/>
        <v>14.794315263955376</v>
      </c>
      <c r="AA88" s="109">
        <f t="shared" si="15"/>
        <v>12.718119686066256</v>
      </c>
    </row>
    <row r="89" spans="1:27" ht="19.5" thickBot="1" x14ac:dyDescent="0.35">
      <c r="A89" s="93">
        <v>264</v>
      </c>
      <c r="B89" s="94" t="s">
        <v>512</v>
      </c>
      <c r="C89" s="93">
        <v>5130</v>
      </c>
      <c r="D89" s="94" t="s">
        <v>140</v>
      </c>
      <c r="E89" s="93">
        <v>4162</v>
      </c>
      <c r="F89" s="94" t="s">
        <v>516</v>
      </c>
      <c r="G89" s="95">
        <v>4.5305552577094907</v>
      </c>
      <c r="H89" s="96">
        <v>11.25689834887568</v>
      </c>
      <c r="I89" s="97">
        <v>7.1812389760915734</v>
      </c>
      <c r="J89" s="98">
        <v>0.80975268044762361</v>
      </c>
      <c r="K89" s="99">
        <v>74</v>
      </c>
      <c r="M89" s="100">
        <f t="shared" si="8"/>
        <v>0.63794117647058823</v>
      </c>
      <c r="N89" s="89">
        <f t="shared" si="9"/>
        <v>7.1812389760915734</v>
      </c>
      <c r="O89" s="100"/>
      <c r="V89" s="109">
        <f t="shared" si="10"/>
        <v>230.92777450300511</v>
      </c>
      <c r="W89" s="109">
        <f t="shared" si="11"/>
        <v>54.34368986331166</v>
      </c>
      <c r="X89" s="109">
        <f t="shared" si="12"/>
        <v>19.593780622629726</v>
      </c>
      <c r="Y89" s="109">
        <f t="shared" si="13"/>
        <v>11.228559154498809</v>
      </c>
      <c r="Z89" s="109">
        <f t="shared" si="14"/>
        <v>-7.6376342994520572</v>
      </c>
      <c r="AA89" s="109">
        <f t="shared" si="15"/>
        <v>-19.144418110718501</v>
      </c>
    </row>
    <row r="90" spans="1:27" ht="19.5" thickBot="1" x14ac:dyDescent="0.35">
      <c r="A90" s="93">
        <v>264</v>
      </c>
      <c r="B90" s="94" t="s">
        <v>512</v>
      </c>
      <c r="C90" s="93">
        <v>5130</v>
      </c>
      <c r="D90" s="94" t="s">
        <v>140</v>
      </c>
      <c r="E90" s="93">
        <v>4147</v>
      </c>
      <c r="F90" s="94" t="s">
        <v>517</v>
      </c>
      <c r="G90" s="95">
        <v>5.8922408078588093</v>
      </c>
      <c r="H90" s="96">
        <v>5.4308710460916361</v>
      </c>
      <c r="I90" s="97">
        <v>3.5444919311757448</v>
      </c>
      <c r="J90" s="98">
        <v>0.90609836389984355</v>
      </c>
      <c r="K90" s="99">
        <v>206</v>
      </c>
      <c r="M90" s="100">
        <f t="shared" si="8"/>
        <v>0.65265625000000005</v>
      </c>
      <c r="N90" s="89">
        <f t="shared" si="9"/>
        <v>3.5444919311757448</v>
      </c>
      <c r="O90" s="100"/>
      <c r="V90" s="109">
        <f t="shared" si="10"/>
        <v>328.49163263653168</v>
      </c>
      <c r="W90" s="109">
        <f t="shared" si="11"/>
        <v>104.01210078472532</v>
      </c>
      <c r="X90" s="109">
        <f t="shared" si="12"/>
        <v>59.83686622631275</v>
      </c>
      <c r="Y90" s="109">
        <f t="shared" si="13"/>
        <v>49.202719877086189</v>
      </c>
      <c r="Z90" s="109">
        <f t="shared" si="14"/>
        <v>25.219390445049022</v>
      </c>
      <c r="AA90" s="109">
        <f t="shared" si="15"/>
        <v>10.591586085763028</v>
      </c>
    </row>
    <row r="91" spans="1:27" ht="19.5" thickBot="1" x14ac:dyDescent="0.35">
      <c r="A91" s="93">
        <v>264</v>
      </c>
      <c r="B91" s="94" t="s">
        <v>512</v>
      </c>
      <c r="C91" s="93">
        <v>5130</v>
      </c>
      <c r="D91" s="94" t="s">
        <v>140</v>
      </c>
      <c r="E91" s="93">
        <v>4141</v>
      </c>
      <c r="F91" s="94" t="s">
        <v>518</v>
      </c>
      <c r="G91" s="95">
        <v>3.321253647314768</v>
      </c>
      <c r="H91" s="96">
        <v>14.452374042195776</v>
      </c>
      <c r="I91" s="97">
        <v>9.9977308348148064</v>
      </c>
      <c r="J91" s="98">
        <v>0.73513741859000836</v>
      </c>
      <c r="K91" s="99">
        <v>27</v>
      </c>
      <c r="M91" s="100">
        <f t="shared" si="8"/>
        <v>0.69177083333333322</v>
      </c>
      <c r="N91" s="89">
        <f t="shared" si="9"/>
        <v>9.9977308348148064</v>
      </c>
      <c r="O91" s="100"/>
      <c r="V91" s="109">
        <f t="shared" si="10"/>
        <v>141.72984274814854</v>
      </c>
      <c r="W91" s="109">
        <f t="shared" si="11"/>
        <v>22.35287073684292</v>
      </c>
      <c r="X91" s="109">
        <f t="shared" si="12"/>
        <v>-1.1392743864544008</v>
      </c>
      <c r="Y91" s="109">
        <f t="shared" si="13"/>
        <v>-6.7944545297104391</v>
      </c>
      <c r="Z91" s="109">
        <f t="shared" si="14"/>
        <v>-19.548656316964323</v>
      </c>
      <c r="AA91" s="109">
        <f t="shared" si="15"/>
        <v>-27.327641675585504</v>
      </c>
    </row>
    <row r="92" spans="1:27" ht="19.5" thickBot="1" x14ac:dyDescent="0.35">
      <c r="A92" s="93">
        <v>264</v>
      </c>
      <c r="B92" s="94" t="s">
        <v>512</v>
      </c>
      <c r="C92" s="93">
        <v>5130</v>
      </c>
      <c r="D92" s="94" t="s">
        <v>140</v>
      </c>
      <c r="E92" s="93">
        <v>4139</v>
      </c>
      <c r="F92" s="94" t="s">
        <v>519</v>
      </c>
      <c r="G92" s="95">
        <v>5.9620681714662158</v>
      </c>
      <c r="H92" s="96">
        <v>6.7090812868318883</v>
      </c>
      <c r="I92" s="97">
        <v>4.0690578004635407</v>
      </c>
      <c r="J92" s="98">
        <v>0.89220142342857944</v>
      </c>
      <c r="K92" s="99">
        <v>179</v>
      </c>
      <c r="M92" s="100">
        <f t="shared" si="8"/>
        <v>0.60650000000000004</v>
      </c>
      <c r="N92" s="89">
        <f t="shared" si="9"/>
        <v>4.0690578004635407</v>
      </c>
      <c r="O92" s="100"/>
      <c r="V92" s="109">
        <f t="shared" si="10"/>
        <v>352.19405696960695</v>
      </c>
      <c r="W92" s="109">
        <f t="shared" si="11"/>
        <v>107.76834210503955</v>
      </c>
      <c r="X92" s="109">
        <f t="shared" si="12"/>
        <v>59.667906411962107</v>
      </c>
      <c r="Y92" s="109">
        <f t="shared" si="13"/>
        <v>48.088860420811031</v>
      </c>
      <c r="Z92" s="109">
        <f t="shared" si="14"/>
        <v>21.974486460301833</v>
      </c>
      <c r="AA92" s="109">
        <f t="shared" si="15"/>
        <v>6.0469250121699849</v>
      </c>
    </row>
    <row r="93" spans="1:27" ht="19.5" thickBot="1" x14ac:dyDescent="0.35">
      <c r="A93" s="93">
        <v>264</v>
      </c>
      <c r="B93" s="94" t="s">
        <v>512</v>
      </c>
      <c r="C93" s="93">
        <v>5130</v>
      </c>
      <c r="D93" s="94" t="s">
        <v>140</v>
      </c>
      <c r="E93" s="93">
        <v>4143</v>
      </c>
      <c r="F93" s="94" t="s">
        <v>520</v>
      </c>
      <c r="G93" s="95">
        <v>5.3647351548576907</v>
      </c>
      <c r="H93" s="96">
        <v>2.7960373750077325</v>
      </c>
      <c r="I93" s="97">
        <v>3.6068882137599756</v>
      </c>
      <c r="J93" s="98">
        <v>0.90444534475492944</v>
      </c>
      <c r="K93" s="99">
        <v>205</v>
      </c>
      <c r="M93" s="100">
        <f t="shared" si="8"/>
        <v>1.2900000000000003</v>
      </c>
      <c r="N93" s="89">
        <f t="shared" si="9"/>
        <v>3.6068882137599756</v>
      </c>
      <c r="O93" s="100"/>
      <c r="V93" s="109">
        <f t="shared" si="10"/>
        <v>151.04066299141806</v>
      </c>
      <c r="W93" s="109">
        <f t="shared" si="11"/>
        <v>47.636187017922026</v>
      </c>
      <c r="X93" s="109">
        <f t="shared" si="12"/>
        <v>27.287262807163668</v>
      </c>
      <c r="Y93" s="109">
        <f t="shared" si="13"/>
        <v>22.38873900146913</v>
      </c>
      <c r="Z93" s="109">
        <f t="shared" si="14"/>
        <v>11.341034154789712</v>
      </c>
      <c r="AA93" s="109">
        <f t="shared" si="15"/>
        <v>4.6028677307197308</v>
      </c>
    </row>
    <row r="94" spans="1:27" ht="19.5" thickBot="1" x14ac:dyDescent="0.35">
      <c r="A94" s="93">
        <v>264</v>
      </c>
      <c r="B94" s="94" t="s">
        <v>512</v>
      </c>
      <c r="C94" s="93">
        <v>5130</v>
      </c>
      <c r="D94" s="94" t="s">
        <v>140</v>
      </c>
      <c r="E94" s="93">
        <v>4159</v>
      </c>
      <c r="F94" s="94" t="s">
        <v>152</v>
      </c>
      <c r="G94" s="95">
        <v>1.8719059011164272</v>
      </c>
      <c r="H94" s="96">
        <v>4.273719098395226</v>
      </c>
      <c r="I94" s="97">
        <v>3.2426843659073779</v>
      </c>
      <c r="J94" s="98">
        <v>0.91409393130876782</v>
      </c>
      <c r="K94" s="99">
        <v>214</v>
      </c>
      <c r="M94" s="100">
        <f t="shared" si="8"/>
        <v>0.75875000000000004</v>
      </c>
      <c r="N94" s="89">
        <f t="shared" si="9"/>
        <v>3.2426843659073779</v>
      </c>
      <c r="O94" s="100"/>
      <c r="V94" s="109">
        <f t="shared" si="10"/>
        <v>90.55847786040168</v>
      </c>
      <c r="W94" s="109">
        <f t="shared" si="11"/>
        <v>29.21532820573351</v>
      </c>
      <c r="X94" s="109">
        <f t="shared" si="12"/>
        <v>17.14363506653131</v>
      </c>
      <c r="Y94" s="109">
        <f t="shared" si="13"/>
        <v>14.237659516916858</v>
      </c>
      <c r="Z94" s="109">
        <f t="shared" si="14"/>
        <v>7.6837748289449124</v>
      </c>
      <c r="AA94" s="109">
        <f t="shared" si="15"/>
        <v>3.6864589733360136</v>
      </c>
    </row>
    <row r="95" spans="1:27" ht="19.5" thickBot="1" x14ac:dyDescent="0.35">
      <c r="A95" s="93">
        <v>264</v>
      </c>
      <c r="B95" s="94" t="s">
        <v>512</v>
      </c>
      <c r="C95" s="93">
        <v>5130</v>
      </c>
      <c r="D95" s="94" t="s">
        <v>140</v>
      </c>
      <c r="E95" s="93">
        <v>4157</v>
      </c>
      <c r="F95" s="94" t="s">
        <v>521</v>
      </c>
      <c r="G95" s="95">
        <v>3.3550369469127368</v>
      </c>
      <c r="H95" s="96">
        <v>11.624313119975419</v>
      </c>
      <c r="I95" s="97">
        <v>9.4022809581955027</v>
      </c>
      <c r="J95" s="98">
        <v>0.75091223729911505</v>
      </c>
      <c r="K95" s="99">
        <v>38</v>
      </c>
      <c r="M95" s="100">
        <f t="shared" si="8"/>
        <v>0.80884615384615388</v>
      </c>
      <c r="N95" s="89">
        <f t="shared" si="9"/>
        <v>9.4022809581955027</v>
      </c>
      <c r="O95" s="100"/>
      <c r="V95" s="109">
        <f t="shared" si="10"/>
        <v>125.07587318638762</v>
      </c>
      <c r="W95" s="109">
        <f t="shared" si="11"/>
        <v>21.939431404598334</v>
      </c>
      <c r="X95" s="109">
        <f t="shared" si="12"/>
        <v>1.6432535319610675</v>
      </c>
      <c r="Y95" s="109">
        <f t="shared" si="13"/>
        <v>-3.2425728362535651</v>
      </c>
      <c r="Z95" s="109">
        <f t="shared" si="14"/>
        <v>-14.261640986011344</v>
      </c>
      <c r="AA95" s="109">
        <f t="shared" si="15"/>
        <v>-20.982341444763495</v>
      </c>
    </row>
    <row r="96" spans="1:27" ht="19.5" thickBot="1" x14ac:dyDescent="0.35">
      <c r="A96" s="93">
        <v>264</v>
      </c>
      <c r="B96" s="94" t="s">
        <v>512</v>
      </c>
      <c r="C96" s="93">
        <v>5130</v>
      </c>
      <c r="D96" s="94" t="s">
        <v>140</v>
      </c>
      <c r="E96" s="93">
        <v>4148</v>
      </c>
      <c r="F96" s="94" t="s">
        <v>154</v>
      </c>
      <c r="G96" s="95">
        <v>3.1138969062267416</v>
      </c>
      <c r="H96" s="96">
        <v>18.305037615734566</v>
      </c>
      <c r="I96" s="97">
        <v>9.547522251154188</v>
      </c>
      <c r="J96" s="98">
        <v>0.74706446579816577</v>
      </c>
      <c r="K96" s="99">
        <v>34</v>
      </c>
      <c r="M96" s="100">
        <f t="shared" si="8"/>
        <v>0.52157894736842114</v>
      </c>
      <c r="N96" s="89">
        <f t="shared" si="9"/>
        <v>9.547522251154188</v>
      </c>
      <c r="O96" s="100"/>
      <c r="V96" s="109">
        <f t="shared" si="10"/>
        <v>179.09985542308806</v>
      </c>
      <c r="W96" s="109">
        <f t="shared" si="11"/>
        <v>30.655072772152756</v>
      </c>
      <c r="X96" s="109">
        <f t="shared" si="12"/>
        <v>1.4426851727936749</v>
      </c>
      <c r="Y96" s="109">
        <f t="shared" si="13"/>
        <v>-5.5895084996846673</v>
      </c>
      <c r="Z96" s="109">
        <f t="shared" si="14"/>
        <v>-21.449306920570805</v>
      </c>
      <c r="AA96" s="109">
        <f t="shared" si="15"/>
        <v>-31.12244380241405</v>
      </c>
    </row>
    <row r="97" spans="1:27" ht="19.5" thickBot="1" x14ac:dyDescent="0.35">
      <c r="A97" s="93">
        <v>264</v>
      </c>
      <c r="B97" s="94" t="s">
        <v>512</v>
      </c>
      <c r="C97" s="93">
        <v>5130</v>
      </c>
      <c r="D97" s="94" t="s">
        <v>140</v>
      </c>
      <c r="E97" s="93">
        <v>4144</v>
      </c>
      <c r="F97" s="94" t="s">
        <v>155</v>
      </c>
      <c r="G97" s="95">
        <v>2.7706717927390021</v>
      </c>
      <c r="H97" s="96">
        <v>10.466775630372112</v>
      </c>
      <c r="I97" s="97">
        <v>9.1277501962796794</v>
      </c>
      <c r="J97" s="98">
        <v>0.75818518027776294</v>
      </c>
      <c r="K97" s="99">
        <v>41</v>
      </c>
      <c r="M97" s="100">
        <f t="shared" si="8"/>
        <v>0.87206896551724133</v>
      </c>
      <c r="N97" s="89">
        <f t="shared" si="9"/>
        <v>9.1277501962796794</v>
      </c>
      <c r="O97" s="100"/>
      <c r="V97" s="109">
        <f t="shared" si="10"/>
        <v>96.730297251492232</v>
      </c>
      <c r="W97" s="109">
        <f t="shared" si="11"/>
        <v>17.732494208090849</v>
      </c>
      <c r="X97" s="109">
        <f t="shared" si="12"/>
        <v>2.1865491045286034</v>
      </c>
      <c r="Y97" s="109">
        <f t="shared" si="13"/>
        <v>-1.5557707047691687</v>
      </c>
      <c r="Z97" s="109">
        <f t="shared" si="14"/>
        <v>-9.9958735469643933</v>
      </c>
      <c r="AA97" s="109">
        <f t="shared" si="15"/>
        <v>-15.143623090985834</v>
      </c>
    </row>
    <row r="98" spans="1:27" ht="19.5" thickBot="1" x14ac:dyDescent="0.35">
      <c r="A98" s="93">
        <v>264</v>
      </c>
      <c r="B98" s="94" t="s">
        <v>512</v>
      </c>
      <c r="C98" s="93">
        <v>5130</v>
      </c>
      <c r="D98" s="94" t="s">
        <v>140</v>
      </c>
      <c r="E98" s="93">
        <v>4153</v>
      </c>
      <c r="F98" s="94" t="s">
        <v>156</v>
      </c>
      <c r="G98" s="95">
        <v>3.7470341111736376</v>
      </c>
      <c r="H98" s="96">
        <v>6.9388212726615235</v>
      </c>
      <c r="I98" s="97">
        <v>4.719732854116117</v>
      </c>
      <c r="J98" s="98">
        <v>0.87496356443667966</v>
      </c>
      <c r="K98" s="99">
        <v>147</v>
      </c>
      <c r="M98" s="100">
        <f t="shared" si="8"/>
        <v>0.68019230769230765</v>
      </c>
      <c r="N98" s="89">
        <f t="shared" si="9"/>
        <v>4.719732854116117</v>
      </c>
      <c r="O98" s="100"/>
      <c r="V98" s="109">
        <f t="shared" si="10"/>
        <v>193.5525413721644</v>
      </c>
      <c r="W98" s="109">
        <f t="shared" si="11"/>
        <v>56.578997510777114</v>
      </c>
      <c r="X98" s="109">
        <f t="shared" si="12"/>
        <v>29.624030265173854</v>
      </c>
      <c r="Y98" s="109">
        <f t="shared" si="13"/>
        <v>23.135257327266132</v>
      </c>
      <c r="Z98" s="109">
        <f t="shared" si="14"/>
        <v>8.5010428008836474</v>
      </c>
      <c r="AA98" s="109">
        <f t="shared" si="15"/>
        <v>-0.4245914673006545</v>
      </c>
    </row>
    <row r="99" spans="1:27" ht="19.5" thickBot="1" x14ac:dyDescent="0.35">
      <c r="A99" s="93">
        <v>264</v>
      </c>
      <c r="B99" s="94" t="s">
        <v>512</v>
      </c>
      <c r="C99" s="93">
        <v>5130</v>
      </c>
      <c r="D99" s="94" t="s">
        <v>140</v>
      </c>
      <c r="E99" s="93">
        <v>4164</v>
      </c>
      <c r="F99" s="94" t="s">
        <v>522</v>
      </c>
      <c r="G99" s="95">
        <v>2.7603896103896099</v>
      </c>
      <c r="H99" s="96">
        <v>1.0868031051517293</v>
      </c>
      <c r="I99" s="97">
        <v>0.73721477299458971</v>
      </c>
      <c r="J99" s="98">
        <v>0.98046950742572725</v>
      </c>
      <c r="K99" s="99">
        <v>271</v>
      </c>
      <c r="M99" s="100">
        <f t="shared" si="8"/>
        <v>0.67833333333333334</v>
      </c>
      <c r="N99" s="89">
        <f t="shared" si="9"/>
        <v>0.73721477299458971</v>
      </c>
      <c r="O99" s="100"/>
      <c r="V99" s="109">
        <f t="shared" si="10"/>
        <v>160.21910305245117</v>
      </c>
      <c r="W99" s="109">
        <f t="shared" si="11"/>
        <v>59.036001654789224</v>
      </c>
      <c r="X99" s="109">
        <f t="shared" si="12"/>
        <v>39.124220831314602</v>
      </c>
      <c r="Y99" s="109">
        <f t="shared" si="13"/>
        <v>34.330928991051394</v>
      </c>
      <c r="Z99" s="109">
        <f t="shared" si="14"/>
        <v>23.520555173195362</v>
      </c>
      <c r="AA99" s="109">
        <f t="shared" si="15"/>
        <v>16.927140622206817</v>
      </c>
    </row>
    <row r="100" spans="1:27" ht="19.5" thickBot="1" x14ac:dyDescent="0.35">
      <c r="A100" s="93">
        <v>264</v>
      </c>
      <c r="B100" s="94" t="s">
        <v>512</v>
      </c>
      <c r="C100" s="93">
        <v>5130</v>
      </c>
      <c r="D100" s="94" t="s">
        <v>140</v>
      </c>
      <c r="E100" s="93">
        <v>4140</v>
      </c>
      <c r="F100" s="94" t="s">
        <v>158</v>
      </c>
      <c r="G100" s="95">
        <v>2.3824674767676512</v>
      </c>
      <c r="H100" s="96">
        <v>3.7775961635415514</v>
      </c>
      <c r="I100" s="97">
        <v>3.6978469112001191</v>
      </c>
      <c r="J100" s="98">
        <v>0.90203564241309464</v>
      </c>
      <c r="K100" s="99">
        <v>200</v>
      </c>
      <c r="M100" s="100">
        <f t="shared" si="8"/>
        <v>0.97888888888888903</v>
      </c>
      <c r="N100" s="89">
        <f t="shared" si="9"/>
        <v>3.6978469112001191</v>
      </c>
      <c r="O100" s="100"/>
      <c r="V100" s="109">
        <f t="shared" si="10"/>
        <v>88.159731586572732</v>
      </c>
      <c r="W100" s="109">
        <f t="shared" si="11"/>
        <v>27.643156196308507</v>
      </c>
      <c r="X100" s="109">
        <f t="shared" si="12"/>
        <v>15.73412426594248</v>
      </c>
      <c r="Y100" s="109">
        <f t="shared" si="13"/>
        <v>12.867305567839903</v>
      </c>
      <c r="Z100" s="109">
        <f t="shared" si="14"/>
        <v>6.4017318395341203</v>
      </c>
      <c r="AA100" s="109">
        <f t="shared" si="15"/>
        <v>2.4582782070347378</v>
      </c>
    </row>
    <row r="101" spans="1:27" ht="19.5" thickBot="1" x14ac:dyDescent="0.35">
      <c r="A101" s="93">
        <v>264</v>
      </c>
      <c r="B101" s="94" t="s">
        <v>512</v>
      </c>
      <c r="C101" s="93">
        <v>5169</v>
      </c>
      <c r="D101" s="94" t="s">
        <v>159</v>
      </c>
      <c r="E101" s="93">
        <v>4189</v>
      </c>
      <c r="F101" s="94" t="s">
        <v>160</v>
      </c>
      <c r="G101" s="95">
        <v>3.8384928057491345</v>
      </c>
      <c r="H101" s="96">
        <v>2.084151359621655</v>
      </c>
      <c r="I101" s="97">
        <v>2.1948719006015556</v>
      </c>
      <c r="J101" s="98">
        <v>0.94185286170805871</v>
      </c>
      <c r="K101" s="99">
        <v>238</v>
      </c>
      <c r="M101" s="100">
        <f t="shared" si="8"/>
        <v>1.0531250000000001</v>
      </c>
      <c r="N101" s="89">
        <f t="shared" si="9"/>
        <v>2.1948719006015556</v>
      </c>
      <c r="O101" s="100"/>
      <c r="V101" s="109">
        <f t="shared" si="10"/>
        <v>137.85319916464707</v>
      </c>
      <c r="W101" s="109">
        <f t="shared" si="11"/>
        <v>47.225371505916108</v>
      </c>
      <c r="X101" s="109">
        <f t="shared" si="12"/>
        <v>29.390758651382871</v>
      </c>
      <c r="Y101" s="109">
        <f t="shared" si="13"/>
        <v>25.097496033249552</v>
      </c>
      <c r="Z101" s="109">
        <f t="shared" si="14"/>
        <v>15.414844664018515</v>
      </c>
      <c r="AA101" s="109">
        <f t="shared" si="15"/>
        <v>9.5092455140070271</v>
      </c>
    </row>
    <row r="102" spans="1:27" ht="19.5" thickBot="1" x14ac:dyDescent="0.35">
      <c r="A102" s="93">
        <v>264</v>
      </c>
      <c r="B102" s="94" t="s">
        <v>512</v>
      </c>
      <c r="C102" s="93">
        <v>5169</v>
      </c>
      <c r="D102" s="94" t="s">
        <v>159</v>
      </c>
      <c r="E102" s="93">
        <v>4195</v>
      </c>
      <c r="F102" s="94" t="s">
        <v>523</v>
      </c>
      <c r="G102" s="95">
        <v>3.0453563144121931</v>
      </c>
      <c r="H102" s="96">
        <v>-0.32836880048074685</v>
      </c>
      <c r="I102" s="97">
        <v>-0.32836880048074685</v>
      </c>
      <c r="J102" s="98">
        <v>1.0086992348150614</v>
      </c>
      <c r="K102" s="99">
        <v>288</v>
      </c>
      <c r="M102" s="100">
        <f t="shared" si="8"/>
        <v>1</v>
      </c>
      <c r="N102" s="89">
        <f t="shared" si="9"/>
        <v>-0.32836880048074685</v>
      </c>
      <c r="O102" s="100"/>
      <c r="V102" s="109">
        <f t="shared" si="10"/>
        <v>123.35387136562574</v>
      </c>
      <c r="W102" s="109">
        <f t="shared" si="11"/>
        <v>47.632429480203676</v>
      </c>
      <c r="X102" s="109">
        <f t="shared" si="12"/>
        <v>32.731238138634104</v>
      </c>
      <c r="Y102" s="109">
        <f t="shared" si="13"/>
        <v>29.144127598348327</v>
      </c>
      <c r="Z102" s="109">
        <f t="shared" si="14"/>
        <v>21.054070251802219</v>
      </c>
      <c r="AA102" s="109">
        <f t="shared" si="15"/>
        <v>16.119818881239745</v>
      </c>
    </row>
    <row r="103" spans="1:27" ht="19.5" thickBot="1" x14ac:dyDescent="0.35">
      <c r="A103" s="93">
        <v>264</v>
      </c>
      <c r="B103" s="94" t="s">
        <v>512</v>
      </c>
      <c r="C103" s="93">
        <v>5169</v>
      </c>
      <c r="D103" s="94" t="s">
        <v>159</v>
      </c>
      <c r="E103" s="93">
        <v>4193</v>
      </c>
      <c r="F103" s="94" t="s">
        <v>524</v>
      </c>
      <c r="G103" s="95">
        <v>3.5384896612690726</v>
      </c>
      <c r="H103" s="96">
        <v>3.1086709452345471</v>
      </c>
      <c r="I103" s="97">
        <v>2.6593266904233714</v>
      </c>
      <c r="J103" s="98">
        <v>0.92954840016443885</v>
      </c>
      <c r="K103" s="99">
        <v>225</v>
      </c>
      <c r="M103" s="100">
        <f t="shared" si="8"/>
        <v>0.85545454545454536</v>
      </c>
      <c r="N103" s="89">
        <f t="shared" si="9"/>
        <v>2.6593266904233714</v>
      </c>
      <c r="O103" s="100"/>
      <c r="V103" s="109">
        <f t="shared" si="10"/>
        <v>154.3995320172537</v>
      </c>
      <c r="W103" s="109">
        <f t="shared" si="11"/>
        <v>51.550133914558955</v>
      </c>
      <c r="X103" s="109">
        <f t="shared" si="12"/>
        <v>31.310443249231461</v>
      </c>
      <c r="Y103" s="109">
        <f t="shared" si="13"/>
        <v>26.43821484456803</v>
      </c>
      <c r="Z103" s="109">
        <f t="shared" si="14"/>
        <v>15.449814359965819</v>
      </c>
      <c r="AA103" s="109">
        <f t="shared" si="15"/>
        <v>8.7478185855371198</v>
      </c>
    </row>
    <row r="104" spans="1:27" ht="19.5" thickBot="1" x14ac:dyDescent="0.35">
      <c r="A104" s="93">
        <v>264</v>
      </c>
      <c r="B104" s="94" t="s">
        <v>512</v>
      </c>
      <c r="C104" s="93">
        <v>5169</v>
      </c>
      <c r="D104" s="94" t="s">
        <v>159</v>
      </c>
      <c r="E104" s="93">
        <v>4184</v>
      </c>
      <c r="F104" s="94" t="s">
        <v>525</v>
      </c>
      <c r="G104" s="95">
        <v>3.2184140154597252</v>
      </c>
      <c r="H104" s="96">
        <v>-1.5535602243783384</v>
      </c>
      <c r="I104" s="97">
        <v>-1.0921528377379719</v>
      </c>
      <c r="J104" s="98">
        <v>1.0289336075032356</v>
      </c>
      <c r="K104" s="99">
        <v>290</v>
      </c>
      <c r="M104" s="100">
        <f t="shared" si="8"/>
        <v>0.70299999999999996</v>
      </c>
      <c r="N104" s="89">
        <f t="shared" si="9"/>
        <v>-1.0921528377379719</v>
      </c>
      <c r="O104" s="100"/>
      <c r="V104" s="109">
        <f t="shared" si="10"/>
        <v>189.15895997858487</v>
      </c>
      <c r="W104" s="109">
        <f t="shared" si="11"/>
        <v>75.326178597513604</v>
      </c>
      <c r="X104" s="109">
        <f t="shared" si="12"/>
        <v>52.92507246341394</v>
      </c>
      <c r="Y104" s="109">
        <f t="shared" si="13"/>
        <v>47.532534237055891</v>
      </c>
      <c r="Z104" s="109">
        <f t="shared" si="14"/>
        <v>35.370672202215182</v>
      </c>
      <c r="AA104" s="109">
        <f t="shared" si="15"/>
        <v>27.952964039784849</v>
      </c>
    </row>
    <row r="105" spans="1:27" ht="19.5" thickBot="1" x14ac:dyDescent="0.35">
      <c r="A105" s="93">
        <v>264</v>
      </c>
      <c r="B105" s="94" t="s">
        <v>512</v>
      </c>
      <c r="C105" s="93">
        <v>5169</v>
      </c>
      <c r="D105" s="94" t="s">
        <v>159</v>
      </c>
      <c r="E105" s="93">
        <v>4196</v>
      </c>
      <c r="F105" s="94" t="s">
        <v>164</v>
      </c>
      <c r="G105" s="95">
        <v>2.4702380952380949</v>
      </c>
      <c r="H105" s="96">
        <v>6.4771084337349407</v>
      </c>
      <c r="I105" s="97">
        <v>4.9529638554216868</v>
      </c>
      <c r="J105" s="98">
        <v>0.8687847458536152</v>
      </c>
      <c r="K105" s="99">
        <v>138</v>
      </c>
      <c r="M105" s="100">
        <f t="shared" si="8"/>
        <v>0.76468749999999985</v>
      </c>
      <c r="N105" s="89">
        <f t="shared" si="9"/>
        <v>4.9529638554216868</v>
      </c>
      <c r="O105" s="100"/>
      <c r="V105" s="109">
        <f t="shared" si="10"/>
        <v>112.69898120869937</v>
      </c>
      <c r="W105" s="109">
        <f t="shared" si="11"/>
        <v>32.376782966542542</v>
      </c>
      <c r="X105" s="109">
        <f t="shared" si="12"/>
        <v>16.570210677639931</v>
      </c>
      <c r="Y105" s="109">
        <f t="shared" si="13"/>
        <v>12.765151017400754</v>
      </c>
      <c r="Z105" s="109">
        <f t="shared" si="14"/>
        <v>4.1835501682917879</v>
      </c>
      <c r="AA105" s="109">
        <f t="shared" si="15"/>
        <v>-1.0505012033482275</v>
      </c>
    </row>
    <row r="106" spans="1:27" ht="19.5" thickBot="1" x14ac:dyDescent="0.35">
      <c r="A106" s="93">
        <v>264</v>
      </c>
      <c r="B106" s="94" t="s">
        <v>512</v>
      </c>
      <c r="C106" s="93">
        <v>5169</v>
      </c>
      <c r="D106" s="94" t="s">
        <v>159</v>
      </c>
      <c r="E106" s="93">
        <v>4174</v>
      </c>
      <c r="F106" s="94" t="s">
        <v>526</v>
      </c>
      <c r="G106" s="95">
        <v>5.5325690622723656</v>
      </c>
      <c r="H106" s="96">
        <v>1.2652349968361576</v>
      </c>
      <c r="I106" s="97">
        <v>1.3420528359297814</v>
      </c>
      <c r="J106" s="98">
        <v>0.96444597435298451</v>
      </c>
      <c r="K106" s="99">
        <v>257</v>
      </c>
      <c r="M106" s="100">
        <f t="shared" si="8"/>
        <v>1.0607142857142857</v>
      </c>
      <c r="N106" s="89">
        <f t="shared" si="9"/>
        <v>1.3420528359297814</v>
      </c>
      <c r="O106" s="100"/>
      <c r="V106" s="109">
        <f t="shared" si="10"/>
        <v>202.00369322919582</v>
      </c>
      <c r="W106" s="109">
        <f t="shared" si="11"/>
        <v>72.312887741991347</v>
      </c>
      <c r="X106" s="109">
        <f t="shared" si="12"/>
        <v>46.791087579610021</v>
      </c>
      <c r="Y106" s="109">
        <f t="shared" si="13"/>
        <v>40.647315832034948</v>
      </c>
      <c r="Z106" s="109">
        <f t="shared" si="14"/>
        <v>26.791187005290649</v>
      </c>
      <c r="AA106" s="109">
        <f t="shared" si="15"/>
        <v>18.340119265549294</v>
      </c>
    </row>
    <row r="107" spans="1:27" ht="19.5" thickBot="1" x14ac:dyDescent="0.35">
      <c r="A107" s="93">
        <v>264</v>
      </c>
      <c r="B107" s="94" t="s">
        <v>512</v>
      </c>
      <c r="C107" s="93">
        <v>5169</v>
      </c>
      <c r="D107" s="94" t="s">
        <v>159</v>
      </c>
      <c r="E107" s="93">
        <v>4170</v>
      </c>
      <c r="F107" s="94" t="s">
        <v>527</v>
      </c>
      <c r="G107" s="95">
        <v>4.8375503127086148</v>
      </c>
      <c r="H107" s="96">
        <v>5.5813372998041872</v>
      </c>
      <c r="I107" s="97">
        <v>3.3581046087155193</v>
      </c>
      <c r="J107" s="98">
        <v>0.91103618711038659</v>
      </c>
      <c r="K107" s="99">
        <v>211</v>
      </c>
      <c r="M107" s="100">
        <f t="shared" si="8"/>
        <v>0.60166666666666668</v>
      </c>
      <c r="N107" s="89">
        <f t="shared" si="9"/>
        <v>3.3581046087155193</v>
      </c>
      <c r="O107" s="100"/>
      <c r="V107" s="109">
        <f t="shared" si="10"/>
        <v>294.14275134616412</v>
      </c>
      <c r="W107" s="109">
        <f t="shared" si="11"/>
        <v>94.225484800175551</v>
      </c>
      <c r="X107" s="109">
        <f t="shared" si="12"/>
        <v>54.883848308453395</v>
      </c>
      <c r="Y107" s="109">
        <f t="shared" si="13"/>
        <v>45.413276748321792</v>
      </c>
      <c r="Z107" s="109">
        <f t="shared" si="14"/>
        <v>24.054172766003649</v>
      </c>
      <c r="AA107" s="109">
        <f t="shared" si="15"/>
        <v>11.0269241836763</v>
      </c>
    </row>
    <row r="108" spans="1:27" ht="19.5" thickBot="1" x14ac:dyDescent="0.35">
      <c r="A108" s="93">
        <v>264</v>
      </c>
      <c r="B108" s="94" t="s">
        <v>512</v>
      </c>
      <c r="C108" s="93">
        <v>5169</v>
      </c>
      <c r="D108" s="94" t="s">
        <v>159</v>
      </c>
      <c r="E108" s="93">
        <v>4169</v>
      </c>
      <c r="F108" s="94" t="s">
        <v>167</v>
      </c>
      <c r="G108" s="95">
        <v>5.717801751901872</v>
      </c>
      <c r="H108" s="96">
        <v>6.9956955025058507</v>
      </c>
      <c r="I108" s="97">
        <v>4.0443864623861954</v>
      </c>
      <c r="J108" s="98">
        <v>0.89285502317015786</v>
      </c>
      <c r="K108" s="99">
        <v>180</v>
      </c>
      <c r="M108" s="100">
        <f t="shared" si="8"/>
        <v>0.57812500000000011</v>
      </c>
      <c r="N108" s="89">
        <f t="shared" si="9"/>
        <v>4.0443864623861954</v>
      </c>
      <c r="O108" s="100"/>
      <c r="V108" s="109">
        <f t="shared" si="10"/>
        <v>354.6020718594815</v>
      </c>
      <c r="W108" s="109">
        <f t="shared" si="11"/>
        <v>108.68532504178495</v>
      </c>
      <c r="X108" s="109">
        <f t="shared" si="12"/>
        <v>60.291469785149985</v>
      </c>
      <c r="Y108" s="109">
        <f t="shared" si="13"/>
        <v>48.641789951037161</v>
      </c>
      <c r="Z108" s="109">
        <f t="shared" si="14"/>
        <v>22.368114560100906</v>
      </c>
      <c r="AA108" s="109">
        <f t="shared" si="15"/>
        <v>6.3433927003988257</v>
      </c>
    </row>
    <row r="109" spans="1:27" ht="19.5" thickBot="1" x14ac:dyDescent="0.35">
      <c r="A109" s="93">
        <v>264</v>
      </c>
      <c r="B109" s="94" t="s">
        <v>512</v>
      </c>
      <c r="C109" s="93">
        <v>5169</v>
      </c>
      <c r="D109" s="94" t="s">
        <v>159</v>
      </c>
      <c r="E109" s="93">
        <v>4188</v>
      </c>
      <c r="F109" s="94" t="s">
        <v>168</v>
      </c>
      <c r="G109" s="95">
        <v>3.0981008239072763</v>
      </c>
      <c r="H109" s="96">
        <v>1.9366703477496559</v>
      </c>
      <c r="I109" s="97">
        <v>1.87534245340425</v>
      </c>
      <c r="J109" s="98">
        <v>0.95031792199218601</v>
      </c>
      <c r="K109" s="99">
        <v>245</v>
      </c>
      <c r="M109" s="100">
        <f t="shared" si="8"/>
        <v>0.96833333333333327</v>
      </c>
      <c r="N109" s="89">
        <f t="shared" si="9"/>
        <v>1.87534245340425</v>
      </c>
      <c r="O109" s="100"/>
      <c r="V109" s="109">
        <f t="shared" si="10"/>
        <v>122.09350574248985</v>
      </c>
      <c r="W109" s="109">
        <f t="shared" si="11"/>
        <v>42.541446338770442</v>
      </c>
      <c r="X109" s="109">
        <f t="shared" si="12"/>
        <v>26.886429354486779</v>
      </c>
      <c r="Y109" s="109">
        <f t="shared" si="13"/>
        <v>23.117853061125668</v>
      </c>
      <c r="Z109" s="109">
        <f t="shared" si="14"/>
        <v>14.618533626799964</v>
      </c>
      <c r="AA109" s="109">
        <f t="shared" si="15"/>
        <v>9.4346669653881747</v>
      </c>
    </row>
    <row r="110" spans="1:27" ht="19.5" thickBot="1" x14ac:dyDescent="0.35">
      <c r="A110" s="93">
        <v>264</v>
      </c>
      <c r="B110" s="94" t="s">
        <v>512</v>
      </c>
      <c r="C110" s="93">
        <v>5169</v>
      </c>
      <c r="D110" s="94" t="s">
        <v>159</v>
      </c>
      <c r="E110" s="93">
        <v>4180</v>
      </c>
      <c r="F110" s="94" t="s">
        <v>528</v>
      </c>
      <c r="G110" s="95">
        <v>3.3840418051056504</v>
      </c>
      <c r="H110" s="96">
        <v>6.2055970964414184</v>
      </c>
      <c r="I110" s="97">
        <v>4.3439179675089923</v>
      </c>
      <c r="J110" s="98">
        <v>0.88491975376040533</v>
      </c>
      <c r="K110" s="99">
        <v>161</v>
      </c>
      <c r="M110" s="100">
        <f t="shared" si="8"/>
        <v>0.69999999999999984</v>
      </c>
      <c r="N110" s="89">
        <f t="shared" si="9"/>
        <v>4.3439179675089923</v>
      </c>
      <c r="O110" s="100"/>
      <c r="V110" s="109">
        <f t="shared" si="10"/>
        <v>171.78868230300057</v>
      </c>
      <c r="W110" s="109">
        <f t="shared" si="11"/>
        <v>51.584814780661063</v>
      </c>
      <c r="X110" s="109">
        <f t="shared" si="12"/>
        <v>27.929945230535662</v>
      </c>
      <c r="Y110" s="109">
        <f t="shared" si="13"/>
        <v>22.235593017526476</v>
      </c>
      <c r="Z110" s="109">
        <f t="shared" si="14"/>
        <v>9.3930459487077176</v>
      </c>
      <c r="AA110" s="109">
        <f t="shared" si="15"/>
        <v>1.5601774335190099</v>
      </c>
    </row>
    <row r="111" spans="1:27" ht="19.5" thickBot="1" x14ac:dyDescent="0.35">
      <c r="A111" s="93">
        <v>264</v>
      </c>
      <c r="B111" s="94" t="s">
        <v>512</v>
      </c>
      <c r="C111" s="93">
        <v>5169</v>
      </c>
      <c r="D111" s="94" t="s">
        <v>159</v>
      </c>
      <c r="E111" s="93">
        <v>4185</v>
      </c>
      <c r="F111" s="94" t="s">
        <v>529</v>
      </c>
      <c r="G111" s="95">
        <v>3.3237792407123892</v>
      </c>
      <c r="H111" s="96">
        <v>0.9025870199962519</v>
      </c>
      <c r="I111" s="97">
        <v>0.48137974399800104</v>
      </c>
      <c r="J111" s="98">
        <v>0.9872471580061144</v>
      </c>
      <c r="K111" s="99">
        <v>276</v>
      </c>
      <c r="M111" s="100">
        <f t="shared" si="8"/>
        <v>0.53333333333333333</v>
      </c>
      <c r="N111" s="89">
        <f t="shared" si="9"/>
        <v>0.48137974399800104</v>
      </c>
      <c r="O111" s="100"/>
      <c r="V111" s="109">
        <f t="shared" si="10"/>
        <v>247.06561907203312</v>
      </c>
      <c r="W111" s="109">
        <f t="shared" si="11"/>
        <v>92.107546868488811</v>
      </c>
      <c r="X111" s="109">
        <f t="shared" si="12"/>
        <v>61.613411702392533</v>
      </c>
      <c r="Y111" s="109">
        <f t="shared" si="13"/>
        <v>54.272667518667319</v>
      </c>
      <c r="Z111" s="109">
        <f t="shared" si="14"/>
        <v>37.716991091720516</v>
      </c>
      <c r="AA111" s="109">
        <f t="shared" si="15"/>
        <v>27.619427427956488</v>
      </c>
    </row>
    <row r="112" spans="1:27" ht="19.5" thickBot="1" x14ac:dyDescent="0.35">
      <c r="A112" s="93">
        <v>264</v>
      </c>
      <c r="B112" s="94" t="s">
        <v>512</v>
      </c>
      <c r="C112" s="93">
        <v>5169</v>
      </c>
      <c r="D112" s="94" t="s">
        <v>159</v>
      </c>
      <c r="E112" s="93">
        <v>4178</v>
      </c>
      <c r="F112" s="94" t="s">
        <v>171</v>
      </c>
      <c r="G112" s="95">
        <v>7.6860129277685472</v>
      </c>
      <c r="H112" s="96">
        <v>9.1074528052248347</v>
      </c>
      <c r="I112" s="97">
        <v>6.8195305540837099</v>
      </c>
      <c r="J112" s="98">
        <v>0.81933515750703045</v>
      </c>
      <c r="K112" s="99">
        <v>82</v>
      </c>
      <c r="M112" s="100">
        <f t="shared" si="8"/>
        <v>0.74878571428571428</v>
      </c>
      <c r="N112" s="89">
        <f t="shared" si="9"/>
        <v>6.8195305540837099</v>
      </c>
      <c r="O112" s="100"/>
      <c r="V112" s="109">
        <f t="shared" si="10"/>
        <v>337.7210496406326</v>
      </c>
      <c r="W112" s="109">
        <f t="shared" si="11"/>
        <v>82.495397496741731</v>
      </c>
      <c r="X112" s="109">
        <f t="shared" si="12"/>
        <v>32.269646597442247</v>
      </c>
      <c r="Y112" s="109">
        <f t="shared" si="13"/>
        <v>20.178981071791185</v>
      </c>
      <c r="Z112" s="109">
        <f t="shared" si="14"/>
        <v>-7.0892551205153724</v>
      </c>
      <c r="AA112" s="109">
        <f t="shared" si="15"/>
        <v>-23.720575028544552</v>
      </c>
    </row>
    <row r="113" spans="1:27" ht="19.5" thickBot="1" x14ac:dyDescent="0.35">
      <c r="A113" s="93">
        <v>264</v>
      </c>
      <c r="B113" s="94" t="s">
        <v>512</v>
      </c>
      <c r="C113" s="93">
        <v>5169</v>
      </c>
      <c r="D113" s="94" t="s">
        <v>159</v>
      </c>
      <c r="E113" s="93">
        <v>4194</v>
      </c>
      <c r="F113" s="94" t="s">
        <v>172</v>
      </c>
      <c r="G113" s="95">
        <v>6.0284288101875241</v>
      </c>
      <c r="H113" s="96">
        <v>7.6305122691776628</v>
      </c>
      <c r="I113" s="97">
        <v>5.1182490449016687</v>
      </c>
      <c r="J113" s="98">
        <v>0.86440596604069397</v>
      </c>
      <c r="K113" s="99">
        <v>129</v>
      </c>
      <c r="M113" s="100">
        <f t="shared" si="8"/>
        <v>0.6707608695652173</v>
      </c>
      <c r="N113" s="89">
        <f t="shared" si="9"/>
        <v>5.1182490449016687</v>
      </c>
      <c r="O113" s="100"/>
      <c r="V113" s="109">
        <f t="shared" si="10"/>
        <v>311.96591953148112</v>
      </c>
      <c r="W113" s="109">
        <f t="shared" si="11"/>
        <v>88.496974209565607</v>
      </c>
      <c r="X113" s="109">
        <f t="shared" si="12"/>
        <v>44.520612557877442</v>
      </c>
      <c r="Y113" s="109">
        <f t="shared" si="13"/>
        <v>33.934340172788112</v>
      </c>
      <c r="Z113" s="109">
        <f t="shared" si="14"/>
        <v>10.058981518603206</v>
      </c>
      <c r="AA113" s="109">
        <f t="shared" si="15"/>
        <v>-4.5029697897367811</v>
      </c>
    </row>
    <row r="114" spans="1:27" ht="19.5" thickBot="1" x14ac:dyDescent="0.35">
      <c r="A114" s="93">
        <v>264</v>
      </c>
      <c r="B114" s="94" t="s">
        <v>512</v>
      </c>
      <c r="C114" s="93">
        <v>5169</v>
      </c>
      <c r="D114" s="94" t="s">
        <v>159</v>
      </c>
      <c r="E114" s="93">
        <v>4181</v>
      </c>
      <c r="F114" s="94" t="s">
        <v>173</v>
      </c>
      <c r="G114" s="95">
        <v>3.9875897970733272</v>
      </c>
      <c r="H114" s="96">
        <v>12.789680633005734</v>
      </c>
      <c r="I114" s="97">
        <v>8.5314693163697086</v>
      </c>
      <c r="J114" s="98">
        <v>0.77398201415014645</v>
      </c>
      <c r="K114" s="99">
        <v>52</v>
      </c>
      <c r="M114" s="100">
        <f t="shared" si="8"/>
        <v>0.66705882352941193</v>
      </c>
      <c r="N114" s="89">
        <f t="shared" si="9"/>
        <v>8.5314693163697086</v>
      </c>
      <c r="O114" s="100"/>
      <c r="V114" s="109">
        <f t="shared" si="10"/>
        <v>185.79336080425398</v>
      </c>
      <c r="W114" s="109">
        <f t="shared" si="11"/>
        <v>37.156301448150487</v>
      </c>
      <c r="X114" s="109">
        <f t="shared" si="12"/>
        <v>7.9060757952243197</v>
      </c>
      <c r="Y114" s="109">
        <f t="shared" si="13"/>
        <v>0.8647735033300411</v>
      </c>
      <c r="Z114" s="109">
        <f t="shared" si="14"/>
        <v>-15.015567706130691</v>
      </c>
      <c r="AA114" s="109">
        <f t="shared" si="15"/>
        <v>-24.701233953136303</v>
      </c>
    </row>
    <row r="115" spans="1:27" ht="19.5" thickBot="1" x14ac:dyDescent="0.35">
      <c r="A115" s="93">
        <v>264</v>
      </c>
      <c r="B115" s="94" t="s">
        <v>512</v>
      </c>
      <c r="C115" s="93">
        <v>5169</v>
      </c>
      <c r="D115" s="94" t="s">
        <v>159</v>
      </c>
      <c r="E115" s="93">
        <v>4183</v>
      </c>
      <c r="F115" s="94" t="s">
        <v>530</v>
      </c>
      <c r="G115" s="95">
        <v>2.396021284883763</v>
      </c>
      <c r="H115" s="96">
        <v>6.6777370054858256</v>
      </c>
      <c r="I115" s="97">
        <v>4.703631003239078</v>
      </c>
      <c r="J115" s="98">
        <v>0.8753901390123745</v>
      </c>
      <c r="K115" s="99">
        <v>148</v>
      </c>
      <c r="M115" s="100">
        <f t="shared" si="8"/>
        <v>0.70437499999999997</v>
      </c>
      <c r="N115" s="89">
        <f t="shared" si="9"/>
        <v>4.703631003239078</v>
      </c>
      <c r="O115" s="100"/>
      <c r="V115" s="109">
        <f t="shared" si="10"/>
        <v>119.57526930229609</v>
      </c>
      <c r="W115" s="109">
        <f t="shared" si="11"/>
        <v>34.99530450330208</v>
      </c>
      <c r="X115" s="109">
        <f t="shared" si="12"/>
        <v>18.350848088431967</v>
      </c>
      <c r="Y115" s="109">
        <f t="shared" si="13"/>
        <v>14.344087576837932</v>
      </c>
      <c r="Z115" s="109">
        <f t="shared" si="14"/>
        <v>5.3075881579798576</v>
      </c>
      <c r="AA115" s="109">
        <f t="shared" si="15"/>
        <v>-0.20391290222259364</v>
      </c>
    </row>
    <row r="116" spans="1:27" ht="19.5" thickBot="1" x14ac:dyDescent="0.35">
      <c r="A116" s="93">
        <v>30</v>
      </c>
      <c r="B116" s="94" t="s">
        <v>531</v>
      </c>
      <c r="C116" s="93">
        <v>6</v>
      </c>
      <c r="D116" s="94" t="s">
        <v>176</v>
      </c>
      <c r="E116" s="93">
        <v>551110</v>
      </c>
      <c r="F116" s="94" t="s">
        <v>177</v>
      </c>
      <c r="G116" s="95">
        <v>5.4250344559601231</v>
      </c>
      <c r="H116" s="96">
        <v>5.5299187947167789</v>
      </c>
      <c r="I116" s="97">
        <v>3.8193305808843885</v>
      </c>
      <c r="J116" s="98">
        <v>0.89881726427475872</v>
      </c>
      <c r="K116" s="99">
        <v>193</v>
      </c>
      <c r="M116" s="100">
        <f t="shared" si="8"/>
        <v>0.69066666666666665</v>
      </c>
      <c r="N116" s="89">
        <f t="shared" si="9"/>
        <v>3.8193305808843885</v>
      </c>
      <c r="O116" s="100"/>
      <c r="V116" s="109">
        <f t="shared" si="10"/>
        <v>283.50347680226878</v>
      </c>
      <c r="W116" s="109">
        <f t="shared" si="11"/>
        <v>88.197845231373719</v>
      </c>
      <c r="X116" s="109">
        <f t="shared" si="12"/>
        <v>49.763730485808033</v>
      </c>
      <c r="Y116" s="109">
        <f t="shared" si="13"/>
        <v>40.511623392480153</v>
      </c>
      <c r="Z116" s="109">
        <f t="shared" si="14"/>
        <v>19.645225181220855</v>
      </c>
      <c r="AA116" s="109">
        <f t="shared" si="15"/>
        <v>6.9184854855417628</v>
      </c>
    </row>
    <row r="117" spans="1:27" ht="19.5" thickBot="1" x14ac:dyDescent="0.35">
      <c r="A117" s="93">
        <v>30</v>
      </c>
      <c r="B117" s="94" t="s">
        <v>531</v>
      </c>
      <c r="C117" s="93">
        <v>6</v>
      </c>
      <c r="D117" s="94" t="s">
        <v>176</v>
      </c>
      <c r="E117" s="93">
        <v>451101</v>
      </c>
      <c r="F117" s="94" t="s">
        <v>178</v>
      </c>
      <c r="G117" s="95">
        <v>9.6966778931555275</v>
      </c>
      <c r="H117" s="96">
        <v>9.5909136123460126</v>
      </c>
      <c r="I117" s="97">
        <v>6.8095486647656687</v>
      </c>
      <c r="J117" s="98">
        <v>0.81959960041070601</v>
      </c>
      <c r="K117" s="99">
        <v>83</v>
      </c>
      <c r="M117" s="100">
        <f t="shared" si="8"/>
        <v>0.71</v>
      </c>
      <c r="N117" s="89">
        <f t="shared" si="9"/>
        <v>6.8095486647656687</v>
      </c>
      <c r="O117" s="100"/>
      <c r="V117" s="109">
        <f t="shared" si="10"/>
        <v>449.4892791654371</v>
      </c>
      <c r="W117" s="109">
        <f t="shared" si="11"/>
        <v>109.90671579736731</v>
      </c>
      <c r="X117" s="109">
        <f t="shared" si="12"/>
        <v>43.080403104258522</v>
      </c>
      <c r="Y117" s="109">
        <f t="shared" si="13"/>
        <v>26.993543662278196</v>
      </c>
      <c r="Z117" s="109">
        <f t="shared" si="14"/>
        <v>-9.2873609682992466</v>
      </c>
      <c r="AA117" s="109">
        <f t="shared" si="15"/>
        <v>-31.415647052093455</v>
      </c>
    </row>
    <row r="118" spans="1:27" ht="19.5" thickBot="1" x14ac:dyDescent="0.35">
      <c r="A118" s="93">
        <v>30</v>
      </c>
      <c r="B118" s="94" t="s">
        <v>531</v>
      </c>
      <c r="C118" s="93">
        <v>6</v>
      </c>
      <c r="D118" s="94" t="s">
        <v>176</v>
      </c>
      <c r="E118" s="93">
        <v>551103</v>
      </c>
      <c r="F118" s="94" t="s">
        <v>179</v>
      </c>
      <c r="G118" s="95">
        <v>2.7443158290984373</v>
      </c>
      <c r="H118" s="96">
        <v>6.1946222879109509</v>
      </c>
      <c r="I118" s="97">
        <v>3.7404586932591717</v>
      </c>
      <c r="J118" s="98">
        <v>0.90090675959147082</v>
      </c>
      <c r="K118" s="99">
        <v>197</v>
      </c>
      <c r="M118" s="100">
        <f t="shared" si="8"/>
        <v>0.60382352941176476</v>
      </c>
      <c r="N118" s="89">
        <f t="shared" si="9"/>
        <v>3.7404586932591717</v>
      </c>
      <c r="O118" s="100"/>
      <c r="V118" s="109">
        <f t="shared" si="10"/>
        <v>164.42084769037405</v>
      </c>
      <c r="W118" s="109">
        <f t="shared" si="11"/>
        <v>51.413984525231591</v>
      </c>
      <c r="X118" s="109">
        <f t="shared" si="12"/>
        <v>29.17541049645904</v>
      </c>
      <c r="Y118" s="109">
        <f t="shared" si="13"/>
        <v>23.821998042986504</v>
      </c>
      <c r="Z118" s="109">
        <f t="shared" si="14"/>
        <v>11.748376875779185</v>
      </c>
      <c r="AA118" s="109">
        <f t="shared" si="15"/>
        <v>4.384488186241164</v>
      </c>
    </row>
    <row r="119" spans="1:27" ht="19.5" thickBot="1" x14ac:dyDescent="0.35">
      <c r="A119" s="93">
        <v>30</v>
      </c>
      <c r="B119" s="94" t="s">
        <v>531</v>
      </c>
      <c r="C119" s="93">
        <v>6</v>
      </c>
      <c r="D119" s="94" t="s">
        <v>176</v>
      </c>
      <c r="E119" s="93">
        <v>551330</v>
      </c>
      <c r="F119" s="94" t="s">
        <v>180</v>
      </c>
      <c r="G119" s="95">
        <v>3.0633542255265329</v>
      </c>
      <c r="H119" s="96">
        <v>6.855230722261803</v>
      </c>
      <c r="I119" s="97">
        <v>4.1718975538336114</v>
      </c>
      <c r="J119" s="98">
        <v>0.88947696494903006</v>
      </c>
      <c r="K119" s="99">
        <v>173</v>
      </c>
      <c r="M119" s="100">
        <f t="shared" si="8"/>
        <v>0.60857142857142854</v>
      </c>
      <c r="N119" s="89">
        <f t="shared" si="9"/>
        <v>4.1718975538336114</v>
      </c>
      <c r="O119" s="100"/>
      <c r="V119" s="109">
        <f t="shared" si="10"/>
        <v>179.7932339501302</v>
      </c>
      <c r="W119" s="109">
        <f t="shared" si="11"/>
        <v>54.632984170136069</v>
      </c>
      <c r="X119" s="109">
        <f t="shared" si="12"/>
        <v>30.002750198199639</v>
      </c>
      <c r="Y119" s="109">
        <f t="shared" si="13"/>
        <v>24.073601993521141</v>
      </c>
      <c r="Z119" s="109">
        <f t="shared" si="14"/>
        <v>10.701516451881131</v>
      </c>
      <c r="AA119" s="109">
        <f t="shared" si="15"/>
        <v>2.5456742143368811</v>
      </c>
    </row>
    <row r="120" spans="1:27" ht="19.5" thickBot="1" x14ac:dyDescent="0.35">
      <c r="A120" s="93">
        <v>30</v>
      </c>
      <c r="B120" s="94" t="s">
        <v>531</v>
      </c>
      <c r="C120" s="93">
        <v>6</v>
      </c>
      <c r="D120" s="94" t="s">
        <v>176</v>
      </c>
      <c r="E120" s="93">
        <v>451115</v>
      </c>
      <c r="F120" s="94" t="s">
        <v>532</v>
      </c>
      <c r="G120" s="95">
        <v>2.9594163433574372</v>
      </c>
      <c r="H120" s="96">
        <v>9.1234205895371545</v>
      </c>
      <c r="I120" s="97">
        <v>7.4355877804727806</v>
      </c>
      <c r="J120" s="98">
        <v>0.80301440333054419</v>
      </c>
      <c r="K120" s="99">
        <v>70</v>
      </c>
      <c r="M120" s="100">
        <f t="shared" si="8"/>
        <v>0.81499999999999995</v>
      </c>
      <c r="N120" s="89">
        <f t="shared" si="9"/>
        <v>7.4355877804727806</v>
      </c>
      <c r="O120" s="100"/>
      <c r="V120" s="109">
        <f t="shared" si="10"/>
        <v>117.09133926380915</v>
      </c>
      <c r="W120" s="109">
        <f t="shared" si="11"/>
        <v>26.803508096922329</v>
      </c>
      <c r="X120" s="109">
        <f t="shared" si="12"/>
        <v>9.0358030118964088</v>
      </c>
      <c r="Y120" s="109">
        <f t="shared" si="13"/>
        <v>4.7586468620128626</v>
      </c>
      <c r="Z120" s="109">
        <f t="shared" si="14"/>
        <v>-4.8876793785867658</v>
      </c>
      <c r="AA120" s="109">
        <f t="shared" si="15"/>
        <v>-10.771123269610889</v>
      </c>
    </row>
    <row r="121" spans="1:27" ht="19.5" thickBot="1" x14ac:dyDescent="0.35">
      <c r="A121" s="93">
        <v>30</v>
      </c>
      <c r="B121" s="94" t="s">
        <v>531</v>
      </c>
      <c r="C121" s="93">
        <v>6</v>
      </c>
      <c r="D121" s="94" t="s">
        <v>176</v>
      </c>
      <c r="E121" s="93">
        <v>551128</v>
      </c>
      <c r="F121" s="94" t="s">
        <v>182</v>
      </c>
      <c r="G121" s="95">
        <v>3.2638924002598619</v>
      </c>
      <c r="H121" s="96">
        <v>16.851045701022819</v>
      </c>
      <c r="I121" s="97">
        <v>11.034371107678853</v>
      </c>
      <c r="J121" s="98">
        <v>0.70767446492574171</v>
      </c>
      <c r="K121" s="99">
        <v>22</v>
      </c>
      <c r="M121" s="100">
        <f t="shared" si="8"/>
        <v>0.65481818181818185</v>
      </c>
      <c r="N121" s="89">
        <f t="shared" si="9"/>
        <v>11.034371107678853</v>
      </c>
      <c r="O121" s="100"/>
      <c r="V121" s="109">
        <f t="shared" si="10"/>
        <v>141.64511711025204</v>
      </c>
      <c r="W121" s="109">
        <f t="shared" si="11"/>
        <v>17.709576607115256</v>
      </c>
      <c r="X121" s="109">
        <f t="shared" si="12"/>
        <v>-6.6796473309676001</v>
      </c>
      <c r="Y121" s="109">
        <f t="shared" si="13"/>
        <v>-12.550778051477639</v>
      </c>
      <c r="Z121" s="109">
        <f t="shared" si="14"/>
        <v>-25.792016001789221</v>
      </c>
      <c r="AA121" s="109">
        <f t="shared" si="15"/>
        <v>-33.868052265260523</v>
      </c>
    </row>
    <row r="122" spans="1:27" ht="19.5" thickBot="1" x14ac:dyDescent="0.35">
      <c r="A122" s="93">
        <v>30</v>
      </c>
      <c r="B122" s="94" t="s">
        <v>531</v>
      </c>
      <c r="C122" s="93">
        <v>6</v>
      </c>
      <c r="D122" s="94" t="s">
        <v>176</v>
      </c>
      <c r="E122" s="93">
        <v>451120</v>
      </c>
      <c r="F122" s="94" t="s">
        <v>183</v>
      </c>
      <c r="G122" s="95">
        <v>2.4787637980425372</v>
      </c>
      <c r="H122" s="96">
        <v>8.4719649434058848</v>
      </c>
      <c r="I122" s="97">
        <v>5.5067772132138257</v>
      </c>
      <c r="J122" s="98">
        <v>0.85411297302958944</v>
      </c>
      <c r="K122" s="99">
        <v>121</v>
      </c>
      <c r="M122" s="100">
        <f t="shared" si="8"/>
        <v>0.65</v>
      </c>
      <c r="N122" s="89">
        <f t="shared" si="9"/>
        <v>5.5067772132138257</v>
      </c>
      <c r="O122" s="100"/>
      <c r="V122" s="109">
        <f t="shared" si="10"/>
        <v>130.79468178949256</v>
      </c>
      <c r="W122" s="109">
        <f t="shared" si="11"/>
        <v>35.974114390938816</v>
      </c>
      <c r="X122" s="109">
        <f t="shared" si="12"/>
        <v>17.314414010958849</v>
      </c>
      <c r="Y122" s="109">
        <f t="shared" si="13"/>
        <v>12.822531021383707</v>
      </c>
      <c r="Z122" s="109">
        <f t="shared" si="14"/>
        <v>2.6919285290661059</v>
      </c>
      <c r="AA122" s="109">
        <f t="shared" si="15"/>
        <v>-3.4868829541037543</v>
      </c>
    </row>
    <row r="123" spans="1:27" ht="19.5" thickBot="1" x14ac:dyDescent="0.35">
      <c r="A123" s="93">
        <v>30</v>
      </c>
      <c r="B123" s="94" t="s">
        <v>531</v>
      </c>
      <c r="C123" s="93">
        <v>6</v>
      </c>
      <c r="D123" s="94" t="s">
        <v>176</v>
      </c>
      <c r="E123" s="93">
        <v>451381</v>
      </c>
      <c r="F123" s="94" t="s">
        <v>533</v>
      </c>
      <c r="G123" s="95">
        <v>6.43451863436003</v>
      </c>
      <c r="H123" s="96">
        <v>6.9935301391003977</v>
      </c>
      <c r="I123" s="97">
        <v>4.207773967025406</v>
      </c>
      <c r="J123" s="98">
        <v>0.88852651733579568</v>
      </c>
      <c r="K123" s="99">
        <v>170</v>
      </c>
      <c r="M123" s="100">
        <f t="shared" si="8"/>
        <v>0.60166666666666668</v>
      </c>
      <c r="N123" s="89">
        <f t="shared" si="9"/>
        <v>4.207773967025406</v>
      </c>
      <c r="O123" s="100"/>
      <c r="V123" s="109">
        <f t="shared" si="10"/>
        <v>381.57813767372596</v>
      </c>
      <c r="W123" s="109">
        <f t="shared" si="11"/>
        <v>115.66433962162333</v>
      </c>
      <c r="X123" s="109">
        <f t="shared" si="12"/>
        <v>63.335272893950297</v>
      </c>
      <c r="Y123" s="109">
        <f t="shared" si="13"/>
        <v>50.73828366541106</v>
      </c>
      <c r="Z123" s="109">
        <f t="shared" si="14"/>
        <v>22.328128999648545</v>
      </c>
      <c r="AA123" s="109">
        <f t="shared" si="15"/>
        <v>5.0003353150612506</v>
      </c>
    </row>
    <row r="124" spans="1:27" ht="19.5" thickBot="1" x14ac:dyDescent="0.35">
      <c r="A124" s="93">
        <v>30</v>
      </c>
      <c r="B124" s="94" t="s">
        <v>531</v>
      </c>
      <c r="C124" s="93">
        <v>6</v>
      </c>
      <c r="D124" s="94" t="s">
        <v>176</v>
      </c>
      <c r="E124" s="93">
        <v>551354</v>
      </c>
      <c r="F124" s="94" t="s">
        <v>185</v>
      </c>
      <c r="G124" s="95">
        <v>2.7579815947493387</v>
      </c>
      <c r="H124" s="96">
        <v>6.1639280089340325</v>
      </c>
      <c r="I124" s="97">
        <v>3.7527444054392491</v>
      </c>
      <c r="J124" s="98">
        <v>0.90058128319125164</v>
      </c>
      <c r="K124" s="99">
        <v>196</v>
      </c>
      <c r="M124" s="100">
        <f t="shared" si="8"/>
        <v>0.60882352941176465</v>
      </c>
      <c r="N124" s="89">
        <f t="shared" si="9"/>
        <v>3.7527444054392491</v>
      </c>
      <c r="O124" s="100"/>
      <c r="V124" s="109">
        <f t="shared" si="10"/>
        <v>163.82336078994837</v>
      </c>
      <c r="W124" s="109">
        <f t="shared" si="11"/>
        <v>51.186458817262313</v>
      </c>
      <c r="X124" s="109">
        <f t="shared" si="12"/>
        <v>29.020689299081219</v>
      </c>
      <c r="Y124" s="109">
        <f t="shared" si="13"/>
        <v>23.68480281526686</v>
      </c>
      <c r="Z124" s="109">
        <f t="shared" si="14"/>
        <v>11.650708196794541</v>
      </c>
      <c r="AA124" s="109">
        <f t="shared" si="15"/>
        <v>4.3109273619866926</v>
      </c>
    </row>
    <row r="125" spans="1:27" ht="19.5" thickBot="1" x14ac:dyDescent="0.35">
      <c r="A125" s="93">
        <v>30</v>
      </c>
      <c r="B125" s="94" t="s">
        <v>531</v>
      </c>
      <c r="C125" s="93">
        <v>6</v>
      </c>
      <c r="D125" s="94" t="s">
        <v>176</v>
      </c>
      <c r="E125" s="93">
        <v>451166</v>
      </c>
      <c r="F125" s="94" t="s">
        <v>186</v>
      </c>
      <c r="G125" s="95">
        <v>6.4187983828466999</v>
      </c>
      <c r="H125" s="96">
        <v>2.6484707862814347</v>
      </c>
      <c r="I125" s="97">
        <v>1.3958998967695091</v>
      </c>
      <c r="J125" s="98">
        <v>0.96301944349603397</v>
      </c>
      <c r="K125" s="99">
        <v>256</v>
      </c>
      <c r="M125" s="100">
        <f t="shared" si="8"/>
        <v>0.5270588235294118</v>
      </c>
      <c r="N125" s="89">
        <f t="shared" si="9"/>
        <v>1.3958998967695091</v>
      </c>
      <c r="O125" s="100"/>
      <c r="V125" s="109">
        <f t="shared" si="10"/>
        <v>470.95854500282803</v>
      </c>
      <c r="W125" s="109">
        <f t="shared" si="11"/>
        <v>168.14492297861025</v>
      </c>
      <c r="X125" s="109">
        <f t="shared" si="12"/>
        <v>108.55435509898172</v>
      </c>
      <c r="Y125" s="109">
        <f t="shared" si="13"/>
        <v>94.209330648063187</v>
      </c>
      <c r="Z125" s="109">
        <f t="shared" si="14"/>
        <v>61.856809268476368</v>
      </c>
      <c r="AA125" s="109">
        <f t="shared" si="15"/>
        <v>42.124505018923514</v>
      </c>
    </row>
    <row r="126" spans="1:27" ht="19.5" thickBot="1" x14ac:dyDescent="0.35">
      <c r="A126" s="93">
        <v>30</v>
      </c>
      <c r="B126" s="94" t="s">
        <v>531</v>
      </c>
      <c r="C126" s="93">
        <v>2</v>
      </c>
      <c r="D126" s="94" t="s">
        <v>187</v>
      </c>
      <c r="E126" s="93">
        <v>508815</v>
      </c>
      <c r="F126" s="94" t="s">
        <v>188</v>
      </c>
      <c r="G126" s="95">
        <v>2.9248729531338227</v>
      </c>
      <c r="H126" s="96">
        <v>11.282541337271596</v>
      </c>
      <c r="I126" s="97">
        <v>7.4823762777632998</v>
      </c>
      <c r="J126" s="98">
        <v>0.80177486984265434</v>
      </c>
      <c r="K126" s="99">
        <v>68</v>
      </c>
      <c r="M126" s="100">
        <f t="shared" si="8"/>
        <v>0.66318181818181821</v>
      </c>
      <c r="N126" s="89">
        <f t="shared" si="9"/>
        <v>7.4823762777632998</v>
      </c>
      <c r="O126" s="100"/>
      <c r="V126" s="109">
        <f t="shared" si="10"/>
        <v>141.99721105527689</v>
      </c>
      <c r="W126" s="109">
        <f t="shared" si="11"/>
        <v>32.335464847198566</v>
      </c>
      <c r="X126" s="109">
        <f t="shared" si="12"/>
        <v>10.755175005784281</v>
      </c>
      <c r="Y126" s="109">
        <f t="shared" si="13"/>
        <v>5.5602289522692399</v>
      </c>
      <c r="Z126" s="109">
        <f t="shared" si="14"/>
        <v>-6.1560008692410229</v>
      </c>
      <c r="AA126" s="109">
        <f t="shared" si="15"/>
        <v>-13.301911037516058</v>
      </c>
    </row>
    <row r="127" spans="1:27" ht="19.5" thickBot="1" x14ac:dyDescent="0.35">
      <c r="A127" s="93">
        <v>30</v>
      </c>
      <c r="B127" s="94" t="s">
        <v>531</v>
      </c>
      <c r="C127" s="93">
        <v>2</v>
      </c>
      <c r="D127" s="94" t="s">
        <v>187</v>
      </c>
      <c r="E127" s="93">
        <v>408801</v>
      </c>
      <c r="F127" s="94" t="s">
        <v>189</v>
      </c>
      <c r="G127" s="95">
        <v>8.4911208399423579</v>
      </c>
      <c r="H127" s="96">
        <v>10.599307405523977</v>
      </c>
      <c r="I127" s="97">
        <v>6.7770793850097473</v>
      </c>
      <c r="J127" s="98">
        <v>0.82045978532613995</v>
      </c>
      <c r="K127" s="99">
        <v>85</v>
      </c>
      <c r="M127" s="100">
        <f t="shared" si="8"/>
        <v>0.6393888888888889</v>
      </c>
      <c r="N127" s="89">
        <f t="shared" si="9"/>
        <v>6.7770793850097473</v>
      </c>
      <c r="O127" s="100"/>
      <c r="V127" s="109">
        <f t="shared" si="10"/>
        <v>437.53239595864579</v>
      </c>
      <c r="W127" s="109">
        <f t="shared" si="11"/>
        <v>107.32963652472218</v>
      </c>
      <c r="X127" s="109">
        <f t="shared" si="12"/>
        <v>42.349171582117314</v>
      </c>
      <c r="Y127" s="109">
        <f t="shared" si="13"/>
        <v>26.706656472735691</v>
      </c>
      <c r="Z127" s="109">
        <f t="shared" si="14"/>
        <v>-8.5721125693327007</v>
      </c>
      <c r="AA127" s="109">
        <f t="shared" si="15"/>
        <v>-30.089180624715613</v>
      </c>
    </row>
    <row r="128" spans="1:27" ht="19.5" thickBot="1" x14ac:dyDescent="0.35">
      <c r="A128" s="93">
        <v>30</v>
      </c>
      <c r="B128" s="94" t="s">
        <v>531</v>
      </c>
      <c r="C128" s="93">
        <v>2</v>
      </c>
      <c r="D128" s="94" t="s">
        <v>187</v>
      </c>
      <c r="E128" s="93">
        <v>408822</v>
      </c>
      <c r="F128" s="94" t="s">
        <v>187</v>
      </c>
      <c r="G128" s="95">
        <v>4.1714948070162663</v>
      </c>
      <c r="H128" s="96">
        <v>15.581944364565175</v>
      </c>
      <c r="I128" s="97">
        <v>9.7746735610022295</v>
      </c>
      <c r="J128" s="98">
        <v>0.74104671204073247</v>
      </c>
      <c r="K128" s="99">
        <v>30</v>
      </c>
      <c r="M128" s="100">
        <f t="shared" si="8"/>
        <v>0.62730769230769223</v>
      </c>
      <c r="N128" s="89">
        <f t="shared" si="9"/>
        <v>9.7746735610022295</v>
      </c>
      <c r="O128" s="100"/>
      <c r="V128" s="109">
        <f t="shared" si="10"/>
        <v>197.88353410716664</v>
      </c>
      <c r="W128" s="109">
        <f t="shared" si="11"/>
        <v>32.538233552439273</v>
      </c>
      <c r="X128" s="109">
        <f t="shared" si="12"/>
        <v>0</v>
      </c>
      <c r="Y128" s="109">
        <f t="shared" si="13"/>
        <v>-7.8328126834146961</v>
      </c>
      <c r="Z128" s="109">
        <f t="shared" si="14"/>
        <v>-25.498257637483526</v>
      </c>
      <c r="AA128" s="109">
        <f t="shared" si="15"/>
        <v>-36.272686327216348</v>
      </c>
    </row>
    <row r="129" spans="1:27" ht="19.5" thickBot="1" x14ac:dyDescent="0.35">
      <c r="A129" s="93">
        <v>30</v>
      </c>
      <c r="B129" s="94" t="s">
        <v>531</v>
      </c>
      <c r="C129" s="93">
        <v>2</v>
      </c>
      <c r="D129" s="94" t="s">
        <v>187</v>
      </c>
      <c r="E129" s="93">
        <v>508817</v>
      </c>
      <c r="F129" s="94" t="s">
        <v>190</v>
      </c>
      <c r="G129" s="95">
        <v>3.2126528654608597</v>
      </c>
      <c r="H129" s="96">
        <v>5.9141154664633904</v>
      </c>
      <c r="I129" s="97">
        <v>3.8441750532012038</v>
      </c>
      <c r="J129" s="98">
        <v>0.89815907781421844</v>
      </c>
      <c r="K129" s="99">
        <v>191</v>
      </c>
      <c r="M129" s="100">
        <f t="shared" si="8"/>
        <v>0.65</v>
      </c>
      <c r="N129" s="89">
        <f t="shared" si="9"/>
        <v>3.8441750532012038</v>
      </c>
      <c r="O129" s="100"/>
      <c r="V129" s="109">
        <f t="shared" si="10"/>
        <v>178.26114338691309</v>
      </c>
      <c r="W129" s="109">
        <f t="shared" si="11"/>
        <v>55.366994376769902</v>
      </c>
      <c r="X129" s="109">
        <f t="shared" si="12"/>
        <v>31.182705441404778</v>
      </c>
      <c r="Y129" s="109">
        <f t="shared" si="13"/>
        <v>25.360907991736749</v>
      </c>
      <c r="Z129" s="109">
        <f t="shared" si="14"/>
        <v>12.230932012786875</v>
      </c>
      <c r="AA129" s="109">
        <f t="shared" si="15"/>
        <v>4.2227561501960871</v>
      </c>
    </row>
    <row r="130" spans="1:27" ht="19.5" thickBot="1" x14ac:dyDescent="0.35">
      <c r="A130" s="93">
        <v>30</v>
      </c>
      <c r="B130" s="94" t="s">
        <v>531</v>
      </c>
      <c r="C130" s="93">
        <v>2</v>
      </c>
      <c r="D130" s="94" t="s">
        <v>187</v>
      </c>
      <c r="E130" s="93">
        <v>508802</v>
      </c>
      <c r="F130" s="94" t="s">
        <v>191</v>
      </c>
      <c r="G130" s="95">
        <v>3.5938136066738315</v>
      </c>
      <c r="H130" s="96">
        <v>8.3476783393242773</v>
      </c>
      <c r="I130" s="97">
        <v>5.402339165266028</v>
      </c>
      <c r="J130" s="98">
        <v>0.85687977396011139</v>
      </c>
      <c r="K130" s="99">
        <v>123</v>
      </c>
      <c r="M130" s="100">
        <f t="shared" si="8"/>
        <v>0.64716666666666667</v>
      </c>
      <c r="N130" s="89">
        <f t="shared" si="9"/>
        <v>5.402339165266028</v>
      </c>
      <c r="O130" s="100"/>
      <c r="V130" s="109">
        <f t="shared" si="10"/>
        <v>191.07870065054482</v>
      </c>
      <c r="W130" s="109">
        <f t="shared" si="11"/>
        <v>53.002073386264804</v>
      </c>
      <c r="X130" s="109">
        <f t="shared" si="12"/>
        <v>25.830030812419825</v>
      </c>
      <c r="Y130" s="109">
        <f t="shared" si="13"/>
        <v>19.289002106491758</v>
      </c>
      <c r="Z130" s="109">
        <f t="shared" si="14"/>
        <v>4.536934462614111</v>
      </c>
      <c r="AA130" s="109">
        <f t="shared" si="15"/>
        <v>-4.4605802486394621</v>
      </c>
    </row>
    <row r="131" spans="1:27" ht="19.5" thickBot="1" x14ac:dyDescent="0.35">
      <c r="A131" s="93">
        <v>30</v>
      </c>
      <c r="B131" s="94" t="s">
        <v>531</v>
      </c>
      <c r="C131" s="93">
        <v>2</v>
      </c>
      <c r="D131" s="94" t="s">
        <v>187</v>
      </c>
      <c r="E131" s="93">
        <v>508839</v>
      </c>
      <c r="F131" s="94" t="s">
        <v>192</v>
      </c>
      <c r="G131" s="95">
        <v>2.8551411182552848</v>
      </c>
      <c r="H131" s="96">
        <v>7.3551530835830095</v>
      </c>
      <c r="I131" s="97">
        <v>4.996250416062459</v>
      </c>
      <c r="J131" s="98">
        <v>0.86763798661583391</v>
      </c>
      <c r="K131" s="99">
        <v>134</v>
      </c>
      <c r="M131" s="100">
        <f t="shared" si="8"/>
        <v>0.67928571428571438</v>
      </c>
      <c r="N131" s="89">
        <f t="shared" si="9"/>
        <v>4.996250416062459</v>
      </c>
      <c r="O131" s="100"/>
      <c r="V131" s="109">
        <f t="shared" si="10"/>
        <v>146.44233139906555</v>
      </c>
      <c r="W131" s="109">
        <f t="shared" si="11"/>
        <v>41.932809975623428</v>
      </c>
      <c r="X131" s="109">
        <f t="shared" si="12"/>
        <v>21.366424326192337</v>
      </c>
      <c r="Y131" s="109">
        <f t="shared" si="13"/>
        <v>16.415551805493212</v>
      </c>
      <c r="Z131" s="109">
        <f t="shared" si="14"/>
        <v>5.2497842167686644</v>
      </c>
      <c r="AA131" s="109">
        <f t="shared" si="15"/>
        <v>-1.5603905036327692</v>
      </c>
    </row>
    <row r="132" spans="1:27" ht="19.5" thickBot="1" x14ac:dyDescent="0.35">
      <c r="A132" s="93">
        <v>30</v>
      </c>
      <c r="B132" s="94" t="s">
        <v>531</v>
      </c>
      <c r="C132" s="93">
        <v>2</v>
      </c>
      <c r="D132" s="94" t="s">
        <v>187</v>
      </c>
      <c r="E132" s="93">
        <v>508819</v>
      </c>
      <c r="F132" s="94" t="s">
        <v>193</v>
      </c>
      <c r="G132" s="95">
        <v>1.959072087332957</v>
      </c>
      <c r="H132" s="96">
        <v>4.5940116538807034</v>
      </c>
      <c r="I132" s="97">
        <v>2.9861075750224573</v>
      </c>
      <c r="J132" s="98">
        <v>0.92089123284513497</v>
      </c>
      <c r="K132" s="99">
        <v>219</v>
      </c>
      <c r="M132" s="100">
        <f t="shared" si="8"/>
        <v>0.65</v>
      </c>
      <c r="N132" s="89">
        <f t="shared" si="9"/>
        <v>2.9861075750224573</v>
      </c>
      <c r="O132" s="100"/>
      <c r="V132" s="109">
        <f t="shared" si="10"/>
        <v>111.45469757441151</v>
      </c>
      <c r="W132" s="109">
        <f t="shared" si="11"/>
        <v>36.513984367984357</v>
      </c>
      <c r="X132" s="109">
        <f t="shared" si="12"/>
        <v>21.766432301392648</v>
      </c>
      <c r="Y132" s="109">
        <f t="shared" si="13"/>
        <v>18.216306794722094</v>
      </c>
      <c r="Z132" s="109">
        <f t="shared" si="14"/>
        <v>10.209662278516959</v>
      </c>
      <c r="AA132" s="109">
        <f t="shared" si="15"/>
        <v>5.3262856860681529</v>
      </c>
    </row>
    <row r="133" spans="1:27" ht="19.5" thickBot="1" x14ac:dyDescent="0.35">
      <c r="A133" s="93">
        <v>30</v>
      </c>
      <c r="B133" s="94" t="s">
        <v>531</v>
      </c>
      <c r="C133" s="93">
        <v>2</v>
      </c>
      <c r="D133" s="94" t="s">
        <v>187</v>
      </c>
      <c r="E133" s="93">
        <v>408840</v>
      </c>
      <c r="F133" s="94" t="s">
        <v>194</v>
      </c>
      <c r="G133" s="95">
        <v>5.9522628003132896</v>
      </c>
      <c r="H133" s="96">
        <v>12.600250109261385</v>
      </c>
      <c r="I133" s="97">
        <v>8.8226951265048221</v>
      </c>
      <c r="J133" s="98">
        <v>0.76626678145184268</v>
      </c>
      <c r="K133" s="99">
        <v>46</v>
      </c>
      <c r="M133" s="100">
        <f t="shared" si="8"/>
        <v>0.70020000000000004</v>
      </c>
      <c r="N133" s="89">
        <f t="shared" si="9"/>
        <v>8.8226951265048221</v>
      </c>
      <c r="O133" s="100"/>
      <c r="V133" s="109">
        <f t="shared" si="10"/>
        <v>261.57303360855178</v>
      </c>
      <c r="W133" s="109">
        <f t="shared" si="11"/>
        <v>50.204296340066065</v>
      </c>
      <c r="X133" s="109">
        <f t="shared" si="12"/>
        <v>8.6091296443560186</v>
      </c>
      <c r="Y133" s="109">
        <f t="shared" si="13"/>
        <v>-1.4039261884945509</v>
      </c>
      <c r="Z133" s="109">
        <f t="shared" si="14"/>
        <v>-23.986502050646656</v>
      </c>
      <c r="AA133" s="109">
        <f t="shared" si="15"/>
        <v>-37.759965096149948</v>
      </c>
    </row>
    <row r="134" spans="1:27" ht="19.5" thickBot="1" x14ac:dyDescent="0.35">
      <c r="A134" s="93">
        <v>30</v>
      </c>
      <c r="B134" s="94" t="s">
        <v>531</v>
      </c>
      <c r="C134" s="93">
        <v>2</v>
      </c>
      <c r="D134" s="94" t="s">
        <v>187</v>
      </c>
      <c r="E134" s="93">
        <v>408862</v>
      </c>
      <c r="F134" s="94" t="s">
        <v>195</v>
      </c>
      <c r="G134" s="95">
        <v>3.864050781102955</v>
      </c>
      <c r="H134" s="96">
        <v>14.233767389646157</v>
      </c>
      <c r="I134" s="97">
        <v>9.1859558817361879</v>
      </c>
      <c r="J134" s="98">
        <v>0.75664317956205396</v>
      </c>
      <c r="K134" s="99">
        <v>39</v>
      </c>
      <c r="M134" s="100">
        <f t="shared" ref="M134:M197" si="16">IF(ISERROR(I134/H134),$O$3,(I134/H134))</f>
        <v>0.64536363636363636</v>
      </c>
      <c r="N134" s="89">
        <f t="shared" ref="N134:N197" si="17">I134</f>
        <v>9.1859558817361879</v>
      </c>
      <c r="O134" s="100"/>
      <c r="V134" s="109">
        <f t="shared" ref="V134:V197" si="18">(((($O$5-N134))/M134)*G134)+((((($O$5-N134)/$T$2))*$T$3/M134)*G134)</f>
        <v>181.92083262854896</v>
      </c>
      <c r="W134" s="109">
        <f t="shared" ref="W134:W197" si="19">(((($P$5-N134))/M134)*G134)+((((($P$5-N134)/$T$2))*$T$3/M134)*G134)</f>
        <v>33.046750829246712</v>
      </c>
      <c r="X134" s="109">
        <f t="shared" ref="X134:X197" si="20">(((($Q$5-N134))/M134)*G134)+((((($Q$5-N134)/$T$2))*$T$3/M134)*G134)</f>
        <v>3.7498816274074764</v>
      </c>
      <c r="Y134" s="109">
        <f t="shared" ref="Y134:Y197" si="21">(((($R$5-N134))/M134)*G134)+((((($R$5-N134)/$T$2))*$T$3/M134)*G134)</f>
        <v>-3.3026489993297785</v>
      </c>
      <c r="Z134" s="109">
        <f t="shared" ref="Z134:Z197" si="22">(((($S$5-N134))/M134)*G134)+((((($S$5-N134)/$T$2))*$T$3/M134)*G134)</f>
        <v>-19.208313619308733</v>
      </c>
      <c r="AA134" s="109">
        <f t="shared" ref="AA134:AA197" si="23">(((($T$5-N134))/M134)*G134)+((((($T$5-N134)/$T$2))*$T$3/M134)*G134)</f>
        <v>-28.909425006899188</v>
      </c>
    </row>
    <row r="135" spans="1:27" ht="19.5" thickBot="1" x14ac:dyDescent="0.35">
      <c r="A135" s="93">
        <v>30</v>
      </c>
      <c r="B135" s="94" t="s">
        <v>531</v>
      </c>
      <c r="C135" s="93">
        <v>2</v>
      </c>
      <c r="D135" s="94" t="s">
        <v>187</v>
      </c>
      <c r="E135" s="93">
        <v>508860</v>
      </c>
      <c r="F135" s="94" t="s">
        <v>196</v>
      </c>
      <c r="G135" s="95">
        <v>2.8689487577336168</v>
      </c>
      <c r="H135" s="96">
        <v>8.7139932118373729</v>
      </c>
      <c r="I135" s="97">
        <v>6.0928240537166909</v>
      </c>
      <c r="J135" s="98">
        <v>0.83858726208903933</v>
      </c>
      <c r="K135" s="99">
        <v>103</v>
      </c>
      <c r="M135" s="100">
        <f t="shared" si="16"/>
        <v>0.69919999999999993</v>
      </c>
      <c r="N135" s="89">
        <f t="shared" si="17"/>
        <v>6.0928240537166909</v>
      </c>
      <c r="O135" s="100"/>
      <c r="V135" s="109">
        <f t="shared" si="18"/>
        <v>138.17281711333612</v>
      </c>
      <c r="W135" s="109">
        <f t="shared" si="19"/>
        <v>36.148867203683913</v>
      </c>
      <c r="X135" s="109">
        <f t="shared" si="20"/>
        <v>16.071616148073446</v>
      </c>
      <c r="Y135" s="109">
        <f t="shared" si="21"/>
        <v>11.238491250157855</v>
      </c>
      <c r="Z135" s="109">
        <f t="shared" si="22"/>
        <v>0.33828141607734652</v>
      </c>
      <c r="AA135" s="109">
        <f t="shared" si="23"/>
        <v>-6.3099255136538179</v>
      </c>
    </row>
    <row r="136" spans="1:27" ht="19.5" thickBot="1" x14ac:dyDescent="0.35">
      <c r="A136" s="93">
        <v>30</v>
      </c>
      <c r="B136" s="94" t="s">
        <v>531</v>
      </c>
      <c r="C136" s="93">
        <v>2</v>
      </c>
      <c r="D136" s="94" t="s">
        <v>187</v>
      </c>
      <c r="E136" s="93">
        <v>408806</v>
      </c>
      <c r="F136" s="94" t="s">
        <v>534</v>
      </c>
      <c r="G136" s="95">
        <v>8.6557671709969206</v>
      </c>
      <c r="H136" s="96">
        <v>6.4696749454676299</v>
      </c>
      <c r="I136" s="97">
        <v>4.6598989093828012</v>
      </c>
      <c r="J136" s="98">
        <v>0.87654870143624974</v>
      </c>
      <c r="K136" s="99">
        <v>149</v>
      </c>
      <c r="M136" s="100">
        <f t="shared" si="16"/>
        <v>0.72026785714285713</v>
      </c>
      <c r="N136" s="89">
        <f t="shared" si="17"/>
        <v>4.6598989093828012</v>
      </c>
      <c r="O136" s="100"/>
      <c r="V136" s="109">
        <f t="shared" si="18"/>
        <v>423.00018911335303</v>
      </c>
      <c r="W136" s="109">
        <f t="shared" si="19"/>
        <v>124.19213909722353</v>
      </c>
      <c r="X136" s="109">
        <f t="shared" si="20"/>
        <v>65.389826082251062</v>
      </c>
      <c r="Y136" s="109">
        <f t="shared" si="21"/>
        <v>51.234555407968607</v>
      </c>
      <c r="Z136" s="109">
        <f t="shared" si="22"/>
        <v>19.309988204164505</v>
      </c>
      <c r="AA136" s="109">
        <f t="shared" si="23"/>
        <v>-0.16130016034085778</v>
      </c>
    </row>
    <row r="137" spans="1:27" ht="19.5" thickBot="1" x14ac:dyDescent="0.35">
      <c r="A137" s="93">
        <v>30</v>
      </c>
      <c r="B137" s="94" t="s">
        <v>531</v>
      </c>
      <c r="C137" s="93">
        <v>2</v>
      </c>
      <c r="D137" s="94" t="s">
        <v>187</v>
      </c>
      <c r="E137" s="93">
        <v>508833</v>
      </c>
      <c r="F137" s="94" t="s">
        <v>198</v>
      </c>
      <c r="G137" s="95">
        <v>2.89958394564762</v>
      </c>
      <c r="H137" s="96">
        <v>28.279919304659192</v>
      </c>
      <c r="I137" s="97">
        <v>16.881732316622774</v>
      </c>
      <c r="J137" s="98">
        <v>0.55276459489359597</v>
      </c>
      <c r="K137" s="99">
        <v>7</v>
      </c>
      <c r="M137" s="100">
        <f t="shared" si="16"/>
        <v>0.5969512195121951</v>
      </c>
      <c r="N137" s="89">
        <f t="shared" si="17"/>
        <v>16.881732316622774</v>
      </c>
      <c r="O137" s="100"/>
      <c r="V137" s="109">
        <f t="shared" si="18"/>
        <v>107.81769431106058</v>
      </c>
      <c r="W137" s="109">
        <f t="shared" si="19"/>
        <v>-12.957460942683712</v>
      </c>
      <c r="X137" s="109">
        <f t="shared" si="20"/>
        <v>-36.724753970027557</v>
      </c>
      <c r="Y137" s="109">
        <f t="shared" si="21"/>
        <v>-42.446169484947433</v>
      </c>
      <c r="Z137" s="109">
        <f t="shared" si="22"/>
        <v>-55.349752772746747</v>
      </c>
      <c r="AA137" s="109">
        <f t="shared" si="23"/>
        <v>-63.219848223945661</v>
      </c>
    </row>
    <row r="138" spans="1:27" ht="19.5" thickBot="1" x14ac:dyDescent="0.35">
      <c r="A138" s="93">
        <v>30</v>
      </c>
      <c r="B138" s="94" t="s">
        <v>531</v>
      </c>
      <c r="C138" s="93">
        <v>2</v>
      </c>
      <c r="D138" s="94" t="s">
        <v>187</v>
      </c>
      <c r="E138" s="93">
        <v>508820</v>
      </c>
      <c r="F138" s="94" t="s">
        <v>199</v>
      </c>
      <c r="G138" s="95">
        <v>2.7614788437369091</v>
      </c>
      <c r="H138" s="96">
        <v>27.883610325184126</v>
      </c>
      <c r="I138" s="97">
        <v>19.991100103919347</v>
      </c>
      <c r="J138" s="98">
        <v>0.47039038495501651</v>
      </c>
      <c r="K138" s="99">
        <v>4</v>
      </c>
      <c r="M138" s="100">
        <f t="shared" si="16"/>
        <v>0.716948051948052</v>
      </c>
      <c r="N138" s="89">
        <f t="shared" si="17"/>
        <v>19.991100103919347</v>
      </c>
      <c r="O138" s="100"/>
      <c r="V138" s="109">
        <f t="shared" si="18"/>
        <v>72.755435791676604</v>
      </c>
      <c r="W138" s="109">
        <f t="shared" si="19"/>
        <v>-23.01573419530995</v>
      </c>
      <c r="X138" s="109">
        <f t="shared" si="20"/>
        <v>-41.86250326689597</v>
      </c>
      <c r="Y138" s="109">
        <f t="shared" si="21"/>
        <v>-46.399418634086828</v>
      </c>
      <c r="Z138" s="109">
        <f t="shared" si="22"/>
        <v>-56.631583236986437</v>
      </c>
      <c r="AA138" s="109">
        <f t="shared" si="23"/>
        <v>-62.872339025600624</v>
      </c>
    </row>
    <row r="139" spans="1:27" ht="19.5" thickBot="1" x14ac:dyDescent="0.35">
      <c r="A139" s="93">
        <v>30</v>
      </c>
      <c r="B139" s="94" t="s">
        <v>531</v>
      </c>
      <c r="C139" s="93">
        <v>2</v>
      </c>
      <c r="D139" s="94" t="s">
        <v>187</v>
      </c>
      <c r="E139" s="93">
        <v>408814</v>
      </c>
      <c r="F139" s="94" t="s">
        <v>200</v>
      </c>
      <c r="G139" s="95">
        <v>0.5621150677279716</v>
      </c>
      <c r="H139" s="96">
        <v>30.242918178145924</v>
      </c>
      <c r="I139" s="97">
        <v>21.054408037550413</v>
      </c>
      <c r="J139" s="98">
        <v>0.44222094443011917</v>
      </c>
      <c r="K139" s="99">
        <v>2</v>
      </c>
      <c r="M139" s="100">
        <f t="shared" si="16"/>
        <v>0.69617647058823529</v>
      </c>
      <c r="N139" s="89">
        <f t="shared" si="17"/>
        <v>21.054408037550413</v>
      </c>
      <c r="O139" s="100"/>
      <c r="V139" s="109">
        <f t="shared" si="18"/>
        <v>14.338316838786453</v>
      </c>
      <c r="W139" s="109">
        <f t="shared" si="19"/>
        <v>-5.7381205025117792</v>
      </c>
      <c r="X139" s="109">
        <f t="shared" si="20"/>
        <v>-9.6889543328077661</v>
      </c>
      <c r="Y139" s="109">
        <f t="shared" si="21"/>
        <v>-10.640024441949764</v>
      </c>
      <c r="Z139" s="109">
        <f t="shared" si="22"/>
        <v>-12.784985305891148</v>
      </c>
      <c r="AA139" s="109">
        <f t="shared" si="23"/>
        <v>-14.093230183441266</v>
      </c>
    </row>
    <row r="140" spans="1:27" ht="19.5" thickBot="1" x14ac:dyDescent="0.35">
      <c r="A140" s="93">
        <v>30</v>
      </c>
      <c r="B140" s="94" t="s">
        <v>531</v>
      </c>
      <c r="C140" s="93">
        <v>11</v>
      </c>
      <c r="D140" s="94" t="s">
        <v>201</v>
      </c>
      <c r="E140" s="93">
        <v>551367</v>
      </c>
      <c r="F140" s="94" t="s">
        <v>202</v>
      </c>
      <c r="G140" s="95">
        <v>2.714268410411468</v>
      </c>
      <c r="H140" s="96">
        <v>13.631665850759028</v>
      </c>
      <c r="I140" s="97">
        <v>8.7003186233966066</v>
      </c>
      <c r="J140" s="98">
        <v>0.76950881277402028</v>
      </c>
      <c r="K140" s="99">
        <v>49</v>
      </c>
      <c r="M140" s="100">
        <f t="shared" si="16"/>
        <v>0.63824324324324322</v>
      </c>
      <c r="N140" s="89">
        <f t="shared" si="17"/>
        <v>8.7003186233966066</v>
      </c>
      <c r="O140" s="100"/>
      <c r="V140" s="109">
        <f t="shared" si="18"/>
        <v>131.41143068226563</v>
      </c>
      <c r="W140" s="109">
        <f t="shared" si="19"/>
        <v>25.669477496576949</v>
      </c>
      <c r="X140" s="109">
        <f t="shared" si="20"/>
        <v>4.8605621085752144</v>
      </c>
      <c r="Y140" s="109">
        <f t="shared" si="21"/>
        <v>-0.14869372937804951</v>
      </c>
      <c r="Z140" s="109">
        <f t="shared" si="22"/>
        <v>-11.446133977576862</v>
      </c>
      <c r="AA140" s="109">
        <f t="shared" si="23"/>
        <v>-18.336617893901838</v>
      </c>
    </row>
    <row r="141" spans="1:27" ht="19.5" thickBot="1" x14ac:dyDescent="0.35">
      <c r="A141" s="93">
        <v>30</v>
      </c>
      <c r="B141" s="94" t="s">
        <v>531</v>
      </c>
      <c r="C141" s="93">
        <v>11</v>
      </c>
      <c r="D141" s="94" t="s">
        <v>201</v>
      </c>
      <c r="E141" s="93">
        <v>551340</v>
      </c>
      <c r="F141" s="94" t="s">
        <v>203</v>
      </c>
      <c r="G141" s="95">
        <v>2.981780538302278</v>
      </c>
      <c r="H141" s="96">
        <v>9.3903624496597686</v>
      </c>
      <c r="I141" s="97">
        <v>5.6090647132342726</v>
      </c>
      <c r="J141" s="98">
        <v>0.85140314499470682</v>
      </c>
      <c r="K141" s="99">
        <v>119</v>
      </c>
      <c r="M141" s="100">
        <f t="shared" si="16"/>
        <v>0.59732142857142856</v>
      </c>
      <c r="N141" s="89">
        <f t="shared" si="17"/>
        <v>5.6090647132342726</v>
      </c>
      <c r="O141" s="100"/>
      <c r="V141" s="109">
        <f t="shared" si="18"/>
        <v>170.66945827096953</v>
      </c>
      <c r="W141" s="109">
        <f t="shared" si="19"/>
        <v>46.547578994052124</v>
      </c>
      <c r="X141" s="109">
        <f t="shared" si="20"/>
        <v>22.121685525472735</v>
      </c>
      <c r="Y141" s="109">
        <f t="shared" si="21"/>
        <v>16.241727479929661</v>
      </c>
      <c r="Z141" s="109">
        <f t="shared" si="22"/>
        <v>2.980581147946594</v>
      </c>
      <c r="AA141" s="109">
        <f t="shared" si="23"/>
        <v>-5.1075975460836451</v>
      </c>
    </row>
    <row r="142" spans="1:27" ht="19.5" thickBot="1" x14ac:dyDescent="0.35">
      <c r="A142" s="93">
        <v>30</v>
      </c>
      <c r="B142" s="94" t="s">
        <v>531</v>
      </c>
      <c r="C142" s="93">
        <v>11</v>
      </c>
      <c r="D142" s="94" t="s">
        <v>201</v>
      </c>
      <c r="E142" s="93">
        <v>551369</v>
      </c>
      <c r="F142" s="94" t="s">
        <v>204</v>
      </c>
      <c r="G142" s="95">
        <v>2.932298136645962</v>
      </c>
      <c r="H142" s="96">
        <v>3.4102944291463682</v>
      </c>
      <c r="I142" s="97">
        <v>2.6617348019487403</v>
      </c>
      <c r="J142" s="98">
        <v>0.92948460382450226</v>
      </c>
      <c r="K142" s="99">
        <v>224</v>
      </c>
      <c r="M142" s="100">
        <f t="shared" si="16"/>
        <v>0.78049999999999997</v>
      </c>
      <c r="N142" s="89">
        <f t="shared" si="17"/>
        <v>2.6617348019487403</v>
      </c>
      <c r="O142" s="100"/>
      <c r="V142" s="109">
        <f t="shared" si="18"/>
        <v>140.22659758770874</v>
      </c>
      <c r="W142" s="109">
        <f t="shared" si="19"/>
        <v>46.811735128892437</v>
      </c>
      <c r="X142" s="109">
        <f t="shared" si="20"/>
        <v>28.428662844670477</v>
      </c>
      <c r="Y142" s="109">
        <f t="shared" si="21"/>
        <v>24.003371548020219</v>
      </c>
      <c r="Z142" s="109">
        <f t="shared" si="22"/>
        <v>14.02295417225133</v>
      </c>
      <c r="AA142" s="109">
        <f t="shared" si="23"/>
        <v>7.9357429195155493</v>
      </c>
    </row>
    <row r="143" spans="1:27" ht="19.5" thickBot="1" x14ac:dyDescent="0.35">
      <c r="A143" s="93">
        <v>30</v>
      </c>
      <c r="B143" s="94" t="s">
        <v>531</v>
      </c>
      <c r="C143" s="93">
        <v>11</v>
      </c>
      <c r="D143" s="94" t="s">
        <v>201</v>
      </c>
      <c r="E143" s="93">
        <v>551365</v>
      </c>
      <c r="F143" s="94" t="s">
        <v>205</v>
      </c>
      <c r="G143" s="95">
        <v>2.6795987322635288</v>
      </c>
      <c r="H143" s="96">
        <v>6.7174236885815057</v>
      </c>
      <c r="I143" s="97">
        <v>4.3663253975779783</v>
      </c>
      <c r="J143" s="98">
        <v>0.88432613008030292</v>
      </c>
      <c r="K143" s="99">
        <v>159</v>
      </c>
      <c r="M143" s="100">
        <f t="shared" si="16"/>
        <v>0.64999999999999991</v>
      </c>
      <c r="N143" s="89">
        <f t="shared" si="17"/>
        <v>4.3663253975779783</v>
      </c>
      <c r="O143" s="100"/>
      <c r="V143" s="109">
        <f t="shared" si="18"/>
        <v>146.39351679264155</v>
      </c>
      <c r="W143" s="109">
        <f t="shared" si="19"/>
        <v>43.890376963699751</v>
      </c>
      <c r="X143" s="109">
        <f t="shared" si="20"/>
        <v>23.718826321360737</v>
      </c>
      <c r="Y143" s="109">
        <f t="shared" si="21"/>
        <v>18.863001020923978</v>
      </c>
      <c r="Z143" s="109">
        <f t="shared" si="22"/>
        <v>7.9115946719539938</v>
      </c>
      <c r="AA143" s="109">
        <f t="shared" si="23"/>
        <v>1.2321621942519898</v>
      </c>
    </row>
    <row r="144" spans="1:27" ht="19.5" thickBot="1" x14ac:dyDescent="0.35">
      <c r="A144" s="93">
        <v>30</v>
      </c>
      <c r="B144" s="94" t="s">
        <v>531</v>
      </c>
      <c r="C144" s="93">
        <v>11</v>
      </c>
      <c r="D144" s="94" t="s">
        <v>201</v>
      </c>
      <c r="E144" s="93">
        <v>451370</v>
      </c>
      <c r="F144" s="94" t="s">
        <v>535</v>
      </c>
      <c r="G144" s="95">
        <v>10.612858166942914</v>
      </c>
      <c r="H144" s="96">
        <v>13.756897312993679</v>
      </c>
      <c r="I144" s="97">
        <v>9.4696450681908555</v>
      </c>
      <c r="J144" s="98">
        <v>0.74912760913072862</v>
      </c>
      <c r="K144" s="99">
        <v>37</v>
      </c>
      <c r="M144" s="100">
        <f t="shared" si="16"/>
        <v>0.68835616438356173</v>
      </c>
      <c r="N144" s="89">
        <f t="shared" si="17"/>
        <v>9.4696450681908555</v>
      </c>
      <c r="O144" s="100"/>
      <c r="V144" s="109">
        <f t="shared" si="18"/>
        <v>463.7970017011728</v>
      </c>
      <c r="W144" s="109">
        <f t="shared" si="19"/>
        <v>80.443075120323456</v>
      </c>
      <c r="X144" s="109">
        <f t="shared" si="20"/>
        <v>5.0030139000549152</v>
      </c>
      <c r="Y144" s="109">
        <f t="shared" si="21"/>
        <v>-13.157402442503495</v>
      </c>
      <c r="Z144" s="109">
        <f t="shared" si="22"/>
        <v>-54.114827087896707</v>
      </c>
      <c r="AA144" s="109">
        <f t="shared" si="23"/>
        <v>-79.095395214217959</v>
      </c>
    </row>
    <row r="145" spans="1:27" ht="19.5" thickBot="1" x14ac:dyDescent="0.35">
      <c r="A145" s="93">
        <v>30</v>
      </c>
      <c r="B145" s="94" t="s">
        <v>531</v>
      </c>
      <c r="C145" s="93">
        <v>11</v>
      </c>
      <c r="D145" s="94" t="s">
        <v>201</v>
      </c>
      <c r="E145" s="93">
        <v>551314</v>
      </c>
      <c r="F145" s="94" t="s">
        <v>207</v>
      </c>
      <c r="G145" s="95">
        <v>2.424654620741578</v>
      </c>
      <c r="H145" s="96">
        <v>1.6497194964520778</v>
      </c>
      <c r="I145" s="97">
        <v>1.4311316631721778</v>
      </c>
      <c r="J145" s="98">
        <v>0.96208607403938173</v>
      </c>
      <c r="K145" s="99">
        <v>254</v>
      </c>
      <c r="M145" s="100">
        <f t="shared" si="16"/>
        <v>0.86750000000000016</v>
      </c>
      <c r="N145" s="89">
        <f t="shared" si="17"/>
        <v>1.4311316631721778</v>
      </c>
      <c r="O145" s="100"/>
      <c r="V145" s="109">
        <f t="shared" si="18"/>
        <v>107.98099089071107</v>
      </c>
      <c r="W145" s="109">
        <f t="shared" si="19"/>
        <v>38.484774204469815</v>
      </c>
      <c r="X145" s="109">
        <f t="shared" si="20"/>
        <v>24.808642364246232</v>
      </c>
      <c r="Y145" s="109">
        <f t="shared" si="21"/>
        <v>21.516436019807955</v>
      </c>
      <c r="Z145" s="109">
        <f t="shared" si="22"/>
        <v>14.091479965611018</v>
      </c>
      <c r="AA145" s="109">
        <f t="shared" si="23"/>
        <v>9.5628841822413655</v>
      </c>
    </row>
    <row r="146" spans="1:27" ht="19.5" thickBot="1" x14ac:dyDescent="0.35">
      <c r="A146" s="93">
        <v>30</v>
      </c>
      <c r="B146" s="94" t="s">
        <v>531</v>
      </c>
      <c r="C146" s="93">
        <v>11</v>
      </c>
      <c r="D146" s="94" t="s">
        <v>201</v>
      </c>
      <c r="E146" s="93">
        <v>451361</v>
      </c>
      <c r="F146" s="94" t="s">
        <v>208</v>
      </c>
      <c r="G146" s="95">
        <v>1.900911944530457</v>
      </c>
      <c r="H146" s="96">
        <v>19.990405189119034</v>
      </c>
      <c r="I146" s="97">
        <v>13.411983692015522</v>
      </c>
      <c r="J146" s="98">
        <v>0.64468611115976859</v>
      </c>
      <c r="K146" s="99">
        <v>12</v>
      </c>
      <c r="M146" s="100">
        <f t="shared" si="16"/>
        <v>0.67092105263157897</v>
      </c>
      <c r="N146" s="89">
        <f t="shared" si="17"/>
        <v>13.411983692015522</v>
      </c>
      <c r="O146" s="100"/>
      <c r="V146" s="109">
        <f t="shared" si="18"/>
        <v>73.348607471678903</v>
      </c>
      <c r="W146" s="109">
        <f t="shared" si="19"/>
        <v>2.9001737936047189</v>
      </c>
      <c r="X146" s="109">
        <f t="shared" si="20"/>
        <v>-10.96334443600467</v>
      </c>
      <c r="Y146" s="109">
        <f t="shared" si="21"/>
        <v>-14.30065963630984</v>
      </c>
      <c r="Z146" s="109">
        <f t="shared" si="22"/>
        <v>-21.827350283489572</v>
      </c>
      <c r="AA146" s="109">
        <f t="shared" si="23"/>
        <v>-26.417995571993238</v>
      </c>
    </row>
    <row r="147" spans="1:27" ht="19.5" thickBot="1" x14ac:dyDescent="0.35">
      <c r="A147" s="93">
        <v>30</v>
      </c>
      <c r="B147" s="94" t="s">
        <v>531</v>
      </c>
      <c r="C147" s="93">
        <v>11</v>
      </c>
      <c r="D147" s="94" t="s">
        <v>201</v>
      </c>
      <c r="E147" s="93">
        <v>451350</v>
      </c>
      <c r="F147" s="94" t="s">
        <v>209</v>
      </c>
      <c r="G147" s="95">
        <v>7.976325185191234</v>
      </c>
      <c r="H147" s="96">
        <v>6.8954059323098376</v>
      </c>
      <c r="I147" s="97">
        <v>5.0073184170264531</v>
      </c>
      <c r="J147" s="98">
        <v>0.86734477014953693</v>
      </c>
      <c r="K147" s="99">
        <v>133</v>
      </c>
      <c r="M147" s="100">
        <f t="shared" si="16"/>
        <v>0.72618181818181815</v>
      </c>
      <c r="N147" s="89">
        <f t="shared" si="17"/>
        <v>5.0073184170264531</v>
      </c>
      <c r="O147" s="100"/>
      <c r="V147" s="109">
        <f t="shared" si="18"/>
        <v>382.56234739465611</v>
      </c>
      <c r="W147" s="109">
        <f t="shared" si="19"/>
        <v>109.45194508984694</v>
      </c>
      <c r="X147" s="109">
        <f t="shared" si="20"/>
        <v>55.706661577218838</v>
      </c>
      <c r="Y147" s="109">
        <f t="shared" si="21"/>
        <v>42.768751543074622</v>
      </c>
      <c r="Z147" s="109">
        <f t="shared" si="22"/>
        <v>13.589713722750803</v>
      </c>
      <c r="AA147" s="109">
        <f t="shared" si="23"/>
        <v>-4.2070337153987234</v>
      </c>
    </row>
    <row r="148" spans="1:27" ht="19.5" thickBot="1" x14ac:dyDescent="0.35">
      <c r="A148" s="93">
        <v>30</v>
      </c>
      <c r="B148" s="94" t="s">
        <v>531</v>
      </c>
      <c r="C148" s="93">
        <v>11</v>
      </c>
      <c r="D148" s="94" t="s">
        <v>201</v>
      </c>
      <c r="E148" s="93">
        <v>551310</v>
      </c>
      <c r="F148" s="94" t="s">
        <v>210</v>
      </c>
      <c r="G148" s="95">
        <v>3.6432673006563321</v>
      </c>
      <c r="H148" s="96">
        <v>18.390086279952612</v>
      </c>
      <c r="I148" s="97">
        <v>11.668098026280381</v>
      </c>
      <c r="J148" s="98">
        <v>0.69088560049809578</v>
      </c>
      <c r="K148" s="99">
        <v>17</v>
      </c>
      <c r="M148" s="100">
        <f t="shared" si="16"/>
        <v>0.6344776119402985</v>
      </c>
      <c r="N148" s="89">
        <f t="shared" si="17"/>
        <v>11.668098026280381</v>
      </c>
      <c r="O148" s="100"/>
      <c r="V148" s="109">
        <f t="shared" si="18"/>
        <v>159.30663124032333</v>
      </c>
      <c r="W148" s="109">
        <f t="shared" si="19"/>
        <v>16.530537647243474</v>
      </c>
      <c r="X148" s="109">
        <f t="shared" si="20"/>
        <v>-11.566310968655925</v>
      </c>
      <c r="Y148" s="109">
        <f t="shared" si="21"/>
        <v>-18.329964928171528</v>
      </c>
      <c r="Z148" s="109">
        <f t="shared" si="22"/>
        <v>-33.584122219994363</v>
      </c>
      <c r="AA148" s="109">
        <f t="shared" si="23"/>
        <v>-42.887869189858115</v>
      </c>
    </row>
    <row r="149" spans="1:27" ht="19.5" thickBot="1" x14ac:dyDescent="0.35">
      <c r="A149" s="93">
        <v>30</v>
      </c>
      <c r="B149" s="94" t="s">
        <v>531</v>
      </c>
      <c r="C149" s="93">
        <v>11</v>
      </c>
      <c r="D149" s="94" t="s">
        <v>201</v>
      </c>
      <c r="E149" s="93">
        <v>551309</v>
      </c>
      <c r="F149" s="94" t="s">
        <v>211</v>
      </c>
      <c r="G149" s="95">
        <v>2.7951370648986362</v>
      </c>
      <c r="H149" s="96">
        <v>17.888210430858859</v>
      </c>
      <c r="I149" s="97">
        <v>10.382317334070482</v>
      </c>
      <c r="J149" s="98">
        <v>0.72494884933851611</v>
      </c>
      <c r="K149" s="99">
        <v>25</v>
      </c>
      <c r="M149" s="100">
        <f t="shared" si="16"/>
        <v>0.58040000000000003</v>
      </c>
      <c r="N149" s="89">
        <f t="shared" si="17"/>
        <v>10.382317334070482</v>
      </c>
      <c r="O149" s="100"/>
      <c r="V149" s="109">
        <f t="shared" si="18"/>
        <v>140.19613775339747</v>
      </c>
      <c r="W149" s="109">
        <f t="shared" si="19"/>
        <v>20.451391746677903</v>
      </c>
      <c r="X149" s="109">
        <f t="shared" si="20"/>
        <v>-3.1131274696063023</v>
      </c>
      <c r="Y149" s="109">
        <f t="shared" si="21"/>
        <v>-8.7857299696287168</v>
      </c>
      <c r="Z149" s="109">
        <f t="shared" si="22"/>
        <v>-21.57922462610674</v>
      </c>
      <c r="AA149" s="109">
        <f t="shared" si="23"/>
        <v>-29.382175314702412</v>
      </c>
    </row>
    <row r="150" spans="1:27" ht="19.5" thickBot="1" x14ac:dyDescent="0.35">
      <c r="A150" s="93">
        <v>30</v>
      </c>
      <c r="B150" s="94" t="s">
        <v>531</v>
      </c>
      <c r="C150" s="93">
        <v>11</v>
      </c>
      <c r="D150" s="94" t="s">
        <v>201</v>
      </c>
      <c r="E150" s="93">
        <v>551305</v>
      </c>
      <c r="F150" s="94" t="s">
        <v>212</v>
      </c>
      <c r="G150" s="95">
        <v>3.6878874074779828</v>
      </c>
      <c r="H150" s="96">
        <v>0.54231590583393918</v>
      </c>
      <c r="I150" s="97">
        <v>0.23455162927317871</v>
      </c>
      <c r="J150" s="98">
        <v>0.99378619498467791</v>
      </c>
      <c r="K150" s="99">
        <v>279</v>
      </c>
      <c r="M150" s="100">
        <f t="shared" si="16"/>
        <v>0.43250000000000005</v>
      </c>
      <c r="N150" s="89">
        <f t="shared" si="17"/>
        <v>0.23455162927317871</v>
      </c>
      <c r="O150" s="100"/>
      <c r="V150" s="109">
        <f t="shared" si="18"/>
        <v>340.28082753152239</v>
      </c>
      <c r="W150" s="109">
        <f t="shared" si="19"/>
        <v>128.26303750688561</v>
      </c>
      <c r="X150" s="109">
        <f t="shared" si="20"/>
        <v>86.540143986786603</v>
      </c>
      <c r="Y150" s="109">
        <f t="shared" si="21"/>
        <v>76.49634093194949</v>
      </c>
      <c r="Z150" s="109">
        <f t="shared" si="22"/>
        <v>53.84442045765779</v>
      </c>
      <c r="AA150" s="109">
        <f t="shared" si="23"/>
        <v>40.028663058377518</v>
      </c>
    </row>
    <row r="151" spans="1:27" ht="19.5" thickBot="1" x14ac:dyDescent="0.35">
      <c r="A151" s="93">
        <v>30</v>
      </c>
      <c r="B151" s="94" t="s">
        <v>531</v>
      </c>
      <c r="C151" s="93">
        <v>11</v>
      </c>
      <c r="D151" s="94" t="s">
        <v>201</v>
      </c>
      <c r="E151" s="93">
        <v>451301</v>
      </c>
      <c r="F151" s="94" t="s">
        <v>213</v>
      </c>
      <c r="G151" s="95">
        <v>7.8660762164623588</v>
      </c>
      <c r="H151" s="96">
        <v>7.8819475293469123</v>
      </c>
      <c r="I151" s="97">
        <v>5.2338674158582643</v>
      </c>
      <c r="J151" s="98">
        <v>0.86134297297797369</v>
      </c>
      <c r="K151" s="99">
        <v>126</v>
      </c>
      <c r="M151" s="100">
        <f t="shared" si="16"/>
        <v>0.66403225806451616</v>
      </c>
      <c r="N151" s="89">
        <f t="shared" si="17"/>
        <v>5.2338674158582643</v>
      </c>
      <c r="O151" s="100"/>
      <c r="V151" s="109">
        <f t="shared" si="18"/>
        <v>409.73028590216541</v>
      </c>
      <c r="W151" s="109">
        <f t="shared" si="19"/>
        <v>115.18658845015446</v>
      </c>
      <c r="X151" s="109">
        <f t="shared" si="20"/>
        <v>57.22345561880811</v>
      </c>
      <c r="Y151" s="109">
        <f t="shared" si="21"/>
        <v>43.270197791209036</v>
      </c>
      <c r="Z151" s="109">
        <f t="shared" si="22"/>
        <v>11.801232804301598</v>
      </c>
      <c r="AA151" s="109">
        <f t="shared" si="23"/>
        <v>-7.3921767063395905</v>
      </c>
    </row>
    <row r="152" spans="1:27" ht="19.5" thickBot="1" x14ac:dyDescent="0.35">
      <c r="A152" s="93">
        <v>30</v>
      </c>
      <c r="B152" s="94" t="s">
        <v>531</v>
      </c>
      <c r="C152" s="93">
        <v>11</v>
      </c>
      <c r="D152" s="94" t="s">
        <v>201</v>
      </c>
      <c r="E152" s="93">
        <v>551341</v>
      </c>
      <c r="F152" s="94" t="s">
        <v>214</v>
      </c>
      <c r="G152" s="95">
        <v>4.0876529267833606</v>
      </c>
      <c r="H152" s="96">
        <v>6.849896628095979</v>
      </c>
      <c r="I152" s="97">
        <v>4.0059663316097014</v>
      </c>
      <c r="J152" s="98">
        <v>0.89387285963562213</v>
      </c>
      <c r="K152" s="99">
        <v>184</v>
      </c>
      <c r="M152" s="100">
        <f t="shared" si="16"/>
        <v>0.58482142857142849</v>
      </c>
      <c r="N152" s="89">
        <f t="shared" si="17"/>
        <v>4.0059663316097014</v>
      </c>
      <c r="O152" s="100"/>
      <c r="V152" s="109">
        <f t="shared" si="18"/>
        <v>250.88775578833668</v>
      </c>
      <c r="W152" s="109">
        <f t="shared" si="19"/>
        <v>77.095068690857403</v>
      </c>
      <c r="X152" s="109">
        <f t="shared" si="20"/>
        <v>42.8944774220897</v>
      </c>
      <c r="Y152" s="109">
        <f t="shared" si="21"/>
        <v>34.661491306277547</v>
      </c>
      <c r="Z152" s="109">
        <f t="shared" si="22"/>
        <v>16.093529972994585</v>
      </c>
      <c r="AA152" s="109">
        <f t="shared" si="23"/>
        <v>4.7686425546850595</v>
      </c>
    </row>
    <row r="153" spans="1:27" ht="19.5" thickBot="1" x14ac:dyDescent="0.35">
      <c r="A153" s="93">
        <v>30</v>
      </c>
      <c r="B153" s="94" t="s">
        <v>531</v>
      </c>
      <c r="C153" s="93">
        <v>11</v>
      </c>
      <c r="D153" s="94" t="s">
        <v>201</v>
      </c>
      <c r="E153" s="93">
        <v>551306</v>
      </c>
      <c r="F153" s="94" t="s">
        <v>216</v>
      </c>
      <c r="G153" s="95">
        <v>4.8233411048979065</v>
      </c>
      <c r="H153" s="96">
        <v>19.488565696617812</v>
      </c>
      <c r="I153" s="97">
        <v>12.814768571361139</v>
      </c>
      <c r="J153" s="98">
        <v>0.66050769518989416</v>
      </c>
      <c r="K153" s="99">
        <v>14</v>
      </c>
      <c r="M153" s="100">
        <f t="shared" si="16"/>
        <v>0.65755319148936175</v>
      </c>
      <c r="N153" s="89">
        <f t="shared" si="17"/>
        <v>12.814768571361139</v>
      </c>
      <c r="O153" s="100"/>
      <c r="V153" s="109">
        <f t="shared" si="18"/>
        <v>194.55748652663789</v>
      </c>
      <c r="W153" s="109">
        <f t="shared" si="19"/>
        <v>12.168820122881298</v>
      </c>
      <c r="X153" s="109">
        <f t="shared" si="20"/>
        <v>-23.723370370909485</v>
      </c>
      <c r="Y153" s="109">
        <f t="shared" si="21"/>
        <v>-32.363569123008766</v>
      </c>
      <c r="Z153" s="109">
        <f t="shared" si="22"/>
        <v>-51.849922444161358</v>
      </c>
      <c r="AA153" s="109">
        <f t="shared" si="23"/>
        <v>-63.734951370836576</v>
      </c>
    </row>
    <row r="154" spans="1:27" ht="19.5" thickBot="1" x14ac:dyDescent="0.35">
      <c r="A154" s="93">
        <v>30</v>
      </c>
      <c r="B154" s="94" t="s">
        <v>531</v>
      </c>
      <c r="C154" s="93">
        <v>11</v>
      </c>
      <c r="D154" s="94" t="s">
        <v>201</v>
      </c>
      <c r="E154" s="93">
        <v>551349</v>
      </c>
      <c r="F154" s="94" t="s">
        <v>217</v>
      </c>
      <c r="G154" s="95">
        <v>2.8270338856545751</v>
      </c>
      <c r="H154" s="96">
        <v>19.808747353247124</v>
      </c>
      <c r="I154" s="97">
        <v>13.1268323978393</v>
      </c>
      <c r="J154" s="98">
        <v>0.65224041614314665</v>
      </c>
      <c r="K154" s="99">
        <v>13</v>
      </c>
      <c r="M154" s="100">
        <f t="shared" si="16"/>
        <v>0.66267857142857145</v>
      </c>
      <c r="N154" s="89">
        <f t="shared" si="17"/>
        <v>13.1268323978393</v>
      </c>
      <c r="O154" s="100"/>
      <c r="V154" s="109">
        <f t="shared" si="18"/>
        <v>111.73488139245899</v>
      </c>
      <c r="W154" s="109">
        <f t="shared" si="19"/>
        <v>5.6609052659596966</v>
      </c>
      <c r="X154" s="109">
        <f t="shared" si="20"/>
        <v>-15.213348779727609</v>
      </c>
      <c r="Y154" s="109">
        <f t="shared" si="21"/>
        <v>-20.238333359249221</v>
      </c>
      <c r="Z154" s="109">
        <f t="shared" si="22"/>
        <v>-31.571246844151464</v>
      </c>
      <c r="AA154" s="109">
        <f t="shared" si="23"/>
        <v>-38.483366437372723</v>
      </c>
    </row>
    <row r="155" spans="1:27" ht="19.5" thickBot="1" x14ac:dyDescent="0.35">
      <c r="A155" s="93">
        <v>30</v>
      </c>
      <c r="B155" s="94" t="s">
        <v>531</v>
      </c>
      <c r="C155" s="93">
        <v>11</v>
      </c>
      <c r="D155" s="94" t="s">
        <v>201</v>
      </c>
      <c r="E155" s="93">
        <v>451308</v>
      </c>
      <c r="F155" s="94" t="s">
        <v>218</v>
      </c>
      <c r="G155" s="95">
        <v>8.2089189504703022</v>
      </c>
      <c r="H155" s="96">
        <v>9.5018601682662798</v>
      </c>
      <c r="I155" s="97">
        <v>6.4539557912147112</v>
      </c>
      <c r="J155" s="98">
        <v>0.82902006271118445</v>
      </c>
      <c r="K155" s="99">
        <v>90</v>
      </c>
      <c r="M155" s="100">
        <f t="shared" si="16"/>
        <v>0.67923076923076919</v>
      </c>
      <c r="N155" s="89">
        <f t="shared" si="17"/>
        <v>6.4539557912147112</v>
      </c>
      <c r="O155" s="100"/>
      <c r="V155" s="109">
        <f t="shared" si="18"/>
        <v>402.33390870935614</v>
      </c>
      <c r="W155" s="109">
        <f t="shared" si="19"/>
        <v>101.83051698146075</v>
      </c>
      <c r="X155" s="109">
        <f t="shared" si="20"/>
        <v>42.694578369730742</v>
      </c>
      <c r="Y155" s="109">
        <f t="shared" si="21"/>
        <v>28.458995197795858</v>
      </c>
      <c r="Z155" s="109">
        <f t="shared" si="22"/>
        <v>-3.6467018330251544</v>
      </c>
      <c r="AA155" s="109">
        <f t="shared" si="23"/>
        <v>-23.22846408651839</v>
      </c>
    </row>
    <row r="156" spans="1:27" ht="19.5" thickBot="1" x14ac:dyDescent="0.35">
      <c r="A156" s="93">
        <v>30</v>
      </c>
      <c r="B156" s="94" t="s">
        <v>531</v>
      </c>
      <c r="C156" s="93">
        <v>11</v>
      </c>
      <c r="D156" s="94" t="s">
        <v>201</v>
      </c>
      <c r="E156" s="93">
        <v>551307</v>
      </c>
      <c r="F156" s="94" t="s">
        <v>215</v>
      </c>
      <c r="G156" s="95">
        <v>2.9715644149462772</v>
      </c>
      <c r="H156" s="96">
        <v>11.441784613178134</v>
      </c>
      <c r="I156" s="97">
        <v>6.9979973832658624</v>
      </c>
      <c r="J156" s="98">
        <v>0.81460716614036588</v>
      </c>
      <c r="K156" s="99">
        <v>78</v>
      </c>
      <c r="M156" s="100">
        <f t="shared" si="16"/>
        <v>0.6116176470588236</v>
      </c>
      <c r="N156" s="89">
        <f t="shared" si="17"/>
        <v>6.9979973832658624</v>
      </c>
      <c r="O156" s="100"/>
      <c r="V156" s="109">
        <f t="shared" si="18"/>
        <v>158.93016955703393</v>
      </c>
      <c r="W156" s="109">
        <f t="shared" si="19"/>
        <v>38.124893254761268</v>
      </c>
      <c r="X156" s="109">
        <f t="shared" si="20"/>
        <v>14.351672718691312</v>
      </c>
      <c r="Y156" s="109">
        <f t="shared" si="21"/>
        <v>8.628830295778533</v>
      </c>
      <c r="Z156" s="109">
        <f t="shared" si="22"/>
        <v>-4.277971116291341</v>
      </c>
      <c r="AA156" s="109">
        <f t="shared" si="23"/>
        <v>-12.150029351363401</v>
      </c>
    </row>
    <row r="157" spans="1:27" ht="19.5" thickBot="1" x14ac:dyDescent="0.35">
      <c r="A157" s="93">
        <v>30</v>
      </c>
      <c r="B157" s="94" t="s">
        <v>531</v>
      </c>
      <c r="C157" s="93">
        <v>11</v>
      </c>
      <c r="D157" s="94" t="s">
        <v>201</v>
      </c>
      <c r="E157" s="93">
        <v>451336</v>
      </c>
      <c r="F157" s="94" t="s">
        <v>219</v>
      </c>
      <c r="G157" s="95">
        <v>5.1753039335353268</v>
      </c>
      <c r="H157" s="96">
        <v>8.5019161318981613</v>
      </c>
      <c r="I157" s="97">
        <v>5.7455562768634501</v>
      </c>
      <c r="J157" s="98">
        <v>0.84778717368273482</v>
      </c>
      <c r="K157" s="99">
        <v>112</v>
      </c>
      <c r="M157" s="100">
        <f t="shared" si="16"/>
        <v>0.67579545454545453</v>
      </c>
      <c r="N157" s="89">
        <f t="shared" si="17"/>
        <v>5.7455562768634501</v>
      </c>
      <c r="O157" s="100"/>
      <c r="V157" s="109">
        <f t="shared" si="18"/>
        <v>260.71163579622402</v>
      </c>
      <c r="W157" s="109">
        <f t="shared" si="19"/>
        <v>70.296548874275629</v>
      </c>
      <c r="X157" s="109">
        <f t="shared" si="20"/>
        <v>32.824842394636967</v>
      </c>
      <c r="Y157" s="109">
        <f t="shared" si="21"/>
        <v>23.804412403872973</v>
      </c>
      <c r="Z157" s="109">
        <f t="shared" si="22"/>
        <v>3.4605185940181116</v>
      </c>
      <c r="AA157" s="109">
        <f t="shared" si="23"/>
        <v>-8.9475375684898051</v>
      </c>
    </row>
    <row r="158" spans="1:27" ht="19.5" thickBot="1" x14ac:dyDescent="0.35">
      <c r="A158" s="93">
        <v>110</v>
      </c>
      <c r="B158" s="94" t="s">
        <v>220</v>
      </c>
      <c r="C158" s="93">
        <v>26</v>
      </c>
      <c r="D158" s="94" t="s">
        <v>221</v>
      </c>
      <c r="E158" s="93">
        <v>554116</v>
      </c>
      <c r="F158" s="94" t="s">
        <v>222</v>
      </c>
      <c r="G158" s="95">
        <v>2.4519047283898914</v>
      </c>
      <c r="H158" s="96">
        <v>6.525539028796941</v>
      </c>
      <c r="I158" s="97">
        <v>4.2416003687180117</v>
      </c>
      <c r="J158" s="98">
        <v>0.88763037918003374</v>
      </c>
      <c r="K158" s="99">
        <v>167</v>
      </c>
      <c r="M158" s="100">
        <f t="shared" si="16"/>
        <v>0.65</v>
      </c>
      <c r="N158" s="89">
        <f t="shared" si="17"/>
        <v>4.2416003687180117</v>
      </c>
      <c r="O158" s="100"/>
      <c r="V158" s="109">
        <f t="shared" si="18"/>
        <v>134.45450904400064</v>
      </c>
      <c r="W158" s="109">
        <f t="shared" si="19"/>
        <v>40.661386142688812</v>
      </c>
      <c r="X158" s="109">
        <f t="shared" si="20"/>
        <v>22.20387614188056</v>
      </c>
      <c r="Y158" s="109">
        <f t="shared" si="21"/>
        <v>17.760665719729477</v>
      </c>
      <c r="Z158" s="109">
        <f t="shared" si="22"/>
        <v>7.7398351057083463</v>
      </c>
      <c r="AA158" s="109">
        <f t="shared" si="23"/>
        <v>1.6279751925622554</v>
      </c>
    </row>
    <row r="159" spans="1:27" ht="19.5" thickBot="1" x14ac:dyDescent="0.35">
      <c r="A159" s="93">
        <v>110</v>
      </c>
      <c r="B159" s="94" t="s">
        <v>220</v>
      </c>
      <c r="C159" s="93">
        <v>26</v>
      </c>
      <c r="D159" s="94" t="s">
        <v>221</v>
      </c>
      <c r="E159" s="93">
        <v>454161</v>
      </c>
      <c r="F159" s="94" t="s">
        <v>223</v>
      </c>
      <c r="G159" s="95">
        <v>1.3371805613741101</v>
      </c>
      <c r="H159" s="96">
        <v>13.461158889045533</v>
      </c>
      <c r="I159" s="97">
        <v>9.0114980340554833</v>
      </c>
      <c r="J159" s="98">
        <v>0.7612649639096617</v>
      </c>
      <c r="K159" s="99">
        <v>43</v>
      </c>
      <c r="M159" s="100">
        <f t="shared" si="16"/>
        <v>0.66944444444444451</v>
      </c>
      <c r="N159" s="89">
        <f t="shared" si="17"/>
        <v>9.0114980340554833</v>
      </c>
      <c r="O159" s="100"/>
      <c r="V159" s="109">
        <f t="shared" si="18"/>
        <v>61.061059328590908</v>
      </c>
      <c r="W159" s="109">
        <f t="shared" si="19"/>
        <v>11.395392080458915</v>
      </c>
      <c r="X159" s="109">
        <f t="shared" si="20"/>
        <v>1.6217058914004929</v>
      </c>
      <c r="Y159" s="109">
        <f t="shared" si="21"/>
        <v>-0.7310786573364122</v>
      </c>
      <c r="Z159" s="109">
        <f t="shared" si="22"/>
        <v>-6.0373444413377966</v>
      </c>
      <c r="AA159" s="109">
        <f t="shared" si="23"/>
        <v>-9.2737181894739216</v>
      </c>
    </row>
    <row r="160" spans="1:27" ht="19.5" thickBot="1" x14ac:dyDescent="0.35">
      <c r="A160" s="93">
        <v>110</v>
      </c>
      <c r="B160" s="94" t="s">
        <v>220</v>
      </c>
      <c r="C160" s="93">
        <v>26</v>
      </c>
      <c r="D160" s="94" t="s">
        <v>221</v>
      </c>
      <c r="E160" s="93">
        <v>554166</v>
      </c>
      <c r="F160" s="94" t="s">
        <v>224</v>
      </c>
      <c r="G160" s="95">
        <v>2.7313369804833663</v>
      </c>
      <c r="H160" s="96">
        <v>5.4918159521076166</v>
      </c>
      <c r="I160" s="97">
        <v>3.5385600784746738</v>
      </c>
      <c r="J160" s="98">
        <v>0.9062555121412702</v>
      </c>
      <c r="K160" s="99">
        <v>207</v>
      </c>
      <c r="M160" s="100">
        <f t="shared" si="16"/>
        <v>0.6443333333333332</v>
      </c>
      <c r="N160" s="89">
        <f t="shared" si="17"/>
        <v>3.5385600784746738</v>
      </c>
      <c r="O160" s="100"/>
      <c r="V160" s="109">
        <f t="shared" si="18"/>
        <v>154.26532759672213</v>
      </c>
      <c r="W160" s="109">
        <f t="shared" si="19"/>
        <v>48.864153851609224</v>
      </c>
      <c r="X160" s="109">
        <f t="shared" si="20"/>
        <v>28.122300309273029</v>
      </c>
      <c r="Y160" s="109">
        <f t="shared" si="21"/>
        <v>23.129188029772489</v>
      </c>
      <c r="Z160" s="109">
        <f t="shared" si="22"/>
        <v>11.86815656022522</v>
      </c>
      <c r="AA160" s="109">
        <f t="shared" si="23"/>
        <v>4.9998789223314519</v>
      </c>
    </row>
    <row r="161" spans="1:27" ht="19.5" thickBot="1" x14ac:dyDescent="0.35">
      <c r="A161" s="93">
        <v>110</v>
      </c>
      <c r="B161" s="94" t="s">
        <v>220</v>
      </c>
      <c r="C161" s="93">
        <v>26</v>
      </c>
      <c r="D161" s="94" t="s">
        <v>221</v>
      </c>
      <c r="E161" s="93">
        <v>454171</v>
      </c>
      <c r="F161" s="94" t="s">
        <v>225</v>
      </c>
      <c r="G161" s="95">
        <v>1.1206443221981375</v>
      </c>
      <c r="H161" s="96">
        <v>1.7846875769441382</v>
      </c>
      <c r="I161" s="97">
        <v>0.7718773770283397</v>
      </c>
      <c r="J161" s="98">
        <v>0.97955121637204123</v>
      </c>
      <c r="K161" s="99">
        <v>270</v>
      </c>
      <c r="M161" s="100">
        <f t="shared" si="16"/>
        <v>0.4325</v>
      </c>
      <c r="N161" s="89">
        <f t="shared" si="17"/>
        <v>0.7718773770283397</v>
      </c>
      <c r="O161" s="100"/>
      <c r="V161" s="109">
        <f t="shared" si="18"/>
        <v>101.92056222582649</v>
      </c>
      <c r="W161" s="109">
        <f t="shared" si="19"/>
        <v>37.494372826896296</v>
      </c>
      <c r="X161" s="109">
        <f t="shared" si="20"/>
        <v>24.815969567033324</v>
      </c>
      <c r="Y161" s="109">
        <f t="shared" si="21"/>
        <v>21.763942858230745</v>
      </c>
      <c r="Z161" s="109">
        <f t="shared" si="22"/>
        <v>14.880667079548964</v>
      </c>
      <c r="AA161" s="109">
        <f t="shared" si="23"/>
        <v>10.682450492194333</v>
      </c>
    </row>
    <row r="162" spans="1:27" ht="19.5" thickBot="1" x14ac:dyDescent="0.35">
      <c r="A162" s="93">
        <v>110</v>
      </c>
      <c r="B162" s="94" t="s">
        <v>220</v>
      </c>
      <c r="C162" s="93">
        <v>26</v>
      </c>
      <c r="D162" s="94" t="s">
        <v>221</v>
      </c>
      <c r="E162" s="93">
        <v>554266</v>
      </c>
      <c r="F162" s="94" t="s">
        <v>226</v>
      </c>
      <c r="G162" s="95">
        <v>3.1999230109651928</v>
      </c>
      <c r="H162" s="96">
        <v>15.000360894783453</v>
      </c>
      <c r="I162" s="97">
        <v>9.5049161794758064</v>
      </c>
      <c r="J162" s="98">
        <v>0.74819319733884482</v>
      </c>
      <c r="K162" s="99">
        <v>36</v>
      </c>
      <c r="M162" s="100">
        <f t="shared" si="16"/>
        <v>0.63364583333333335</v>
      </c>
      <c r="N162" s="89">
        <f t="shared" si="17"/>
        <v>9.5049161794758064</v>
      </c>
      <c r="O162" s="100"/>
      <c r="V162" s="109">
        <f t="shared" si="18"/>
        <v>151.72588537367164</v>
      </c>
      <c r="W162" s="109">
        <f t="shared" si="19"/>
        <v>26.159408877918345</v>
      </c>
      <c r="X162" s="109">
        <f t="shared" si="20"/>
        <v>1.4492337180058017</v>
      </c>
      <c r="Y162" s="109">
        <f t="shared" si="21"/>
        <v>-4.4991584431738252</v>
      </c>
      <c r="Z162" s="109">
        <f t="shared" si="22"/>
        <v>-17.91464513175929</v>
      </c>
      <c r="AA162" s="109">
        <f t="shared" si="23"/>
        <v>-26.096958401538064</v>
      </c>
    </row>
    <row r="163" spans="1:27" ht="19.5" thickBot="1" x14ac:dyDescent="0.35">
      <c r="A163" s="93">
        <v>110</v>
      </c>
      <c r="B163" s="94" t="s">
        <v>220</v>
      </c>
      <c r="C163" s="93">
        <v>26</v>
      </c>
      <c r="D163" s="94" t="s">
        <v>221</v>
      </c>
      <c r="E163" s="93">
        <v>554296</v>
      </c>
      <c r="F163" s="94" t="s">
        <v>227</v>
      </c>
      <c r="G163" s="95">
        <v>3.723699629029221</v>
      </c>
      <c r="H163" s="96">
        <v>2.685501247748876</v>
      </c>
      <c r="I163" s="97">
        <v>2.9876201381206244</v>
      </c>
      <c r="J163" s="98">
        <v>0.92085116161563851</v>
      </c>
      <c r="K163" s="99">
        <v>218</v>
      </c>
      <c r="M163" s="100">
        <f t="shared" si="16"/>
        <v>1.1125</v>
      </c>
      <c r="N163" s="89">
        <f t="shared" si="17"/>
        <v>2.9876201381206244</v>
      </c>
      <c r="O163" s="100"/>
      <c r="V163" s="109">
        <f t="shared" si="18"/>
        <v>123.77047033571428</v>
      </c>
      <c r="W163" s="109">
        <f t="shared" si="19"/>
        <v>40.545167609545786</v>
      </c>
      <c r="X163" s="109">
        <f t="shared" si="20"/>
        <v>24.167294585690399</v>
      </c>
      <c r="Y163" s="109">
        <f t="shared" si="21"/>
        <v>20.224707741144478</v>
      </c>
      <c r="Z163" s="109">
        <f t="shared" si="22"/>
        <v>11.332940033430154</v>
      </c>
      <c r="AA163" s="109">
        <f t="shared" si="23"/>
        <v>5.9097130871781811</v>
      </c>
    </row>
    <row r="164" spans="1:27" ht="19.5" thickBot="1" x14ac:dyDescent="0.35">
      <c r="A164" s="93">
        <v>110</v>
      </c>
      <c r="B164" s="94" t="s">
        <v>220</v>
      </c>
      <c r="C164" s="93">
        <v>26</v>
      </c>
      <c r="D164" s="94" t="s">
        <v>221</v>
      </c>
      <c r="E164" s="93">
        <v>554356</v>
      </c>
      <c r="F164" s="94" t="s">
        <v>228</v>
      </c>
      <c r="G164" s="95">
        <v>3.6316184890378431</v>
      </c>
      <c r="H164" s="96">
        <v>16.521559238976209</v>
      </c>
      <c r="I164" s="97">
        <v>10.71560796307932</v>
      </c>
      <c r="J164" s="98">
        <v>0.71611922411479634</v>
      </c>
      <c r="K164" s="99">
        <v>24</v>
      </c>
      <c r="M164" s="100">
        <f t="shared" si="16"/>
        <v>0.64858333333333329</v>
      </c>
      <c r="N164" s="89">
        <f t="shared" si="17"/>
        <v>10.71560796307932</v>
      </c>
      <c r="O164" s="100"/>
      <c r="V164" s="109">
        <f t="shared" si="18"/>
        <v>161.01737628031324</v>
      </c>
      <c r="W164" s="109">
        <f t="shared" si="19"/>
        <v>21.793027303047953</v>
      </c>
      <c r="X164" s="109">
        <f t="shared" si="20"/>
        <v>-5.6048749536850844</v>
      </c>
      <c r="Y164" s="109">
        <f t="shared" si="21"/>
        <v>-12.200274053935463</v>
      </c>
      <c r="Z164" s="109">
        <f t="shared" si="22"/>
        <v>-27.074963959681501</v>
      </c>
      <c r="AA164" s="109">
        <f t="shared" si="23"/>
        <v>-36.147267889078741</v>
      </c>
    </row>
    <row r="165" spans="1:27" ht="19.5" thickBot="1" x14ac:dyDescent="0.35">
      <c r="A165" s="93">
        <v>110</v>
      </c>
      <c r="B165" s="94" t="s">
        <v>220</v>
      </c>
      <c r="C165" s="93">
        <v>26</v>
      </c>
      <c r="D165" s="94" t="s">
        <v>221</v>
      </c>
      <c r="E165" s="93">
        <v>454426</v>
      </c>
      <c r="F165" s="94" t="s">
        <v>229</v>
      </c>
      <c r="G165" s="95">
        <v>8.4869231768698743</v>
      </c>
      <c r="H165" s="96">
        <v>13.078944829207083</v>
      </c>
      <c r="I165" s="97">
        <v>8.6674520868150733</v>
      </c>
      <c r="J165" s="98">
        <v>0.77037952192440828</v>
      </c>
      <c r="K165" s="99">
        <v>50</v>
      </c>
      <c r="M165" s="100">
        <f t="shared" si="16"/>
        <v>0.66270270270270271</v>
      </c>
      <c r="N165" s="89">
        <f t="shared" si="17"/>
        <v>8.6674520868150733</v>
      </c>
      <c r="O165" s="100"/>
      <c r="V165" s="109">
        <f t="shared" si="18"/>
        <v>396.17698109558154</v>
      </c>
      <c r="W165" s="109">
        <f t="shared" si="19"/>
        <v>77.748217246307078</v>
      </c>
      <c r="X165" s="109">
        <f t="shared" si="20"/>
        <v>15.084752042390893</v>
      </c>
      <c r="Y165" s="109">
        <f t="shared" si="21"/>
        <v>0</v>
      </c>
      <c r="Z165" s="109">
        <f t="shared" si="22"/>
        <v>-34.020838697557473</v>
      </c>
      <c r="AA165" s="109">
        <f t="shared" si="23"/>
        <v>-54.770675538055976</v>
      </c>
    </row>
    <row r="166" spans="1:27" ht="19.5" thickBot="1" x14ac:dyDescent="0.35">
      <c r="A166" s="93">
        <v>110</v>
      </c>
      <c r="B166" s="94" t="s">
        <v>220</v>
      </c>
      <c r="C166" s="93">
        <v>26</v>
      </c>
      <c r="D166" s="94" t="s">
        <v>221</v>
      </c>
      <c r="E166" s="93">
        <v>554431</v>
      </c>
      <c r="F166" s="94" t="s">
        <v>230</v>
      </c>
      <c r="G166" s="95">
        <v>1.855739421868454</v>
      </c>
      <c r="H166" s="96">
        <v>7.0052938719763418</v>
      </c>
      <c r="I166" s="97">
        <v>5.0222568374476548</v>
      </c>
      <c r="J166" s="98">
        <v>0.86694901748722586</v>
      </c>
      <c r="K166" s="99">
        <v>131</v>
      </c>
      <c r="M166" s="100">
        <f t="shared" si="16"/>
        <v>0.716923076923077</v>
      </c>
      <c r="N166" s="89">
        <f t="shared" si="17"/>
        <v>5.0222568374476548</v>
      </c>
      <c r="O166" s="100"/>
      <c r="V166" s="109">
        <f t="shared" si="18"/>
        <v>90.113731053879704</v>
      </c>
      <c r="W166" s="109">
        <f t="shared" si="19"/>
        <v>25.752373597313497</v>
      </c>
      <c r="X166" s="109">
        <f t="shared" si="20"/>
        <v>13.086728588669162</v>
      </c>
      <c r="Y166" s="109">
        <f t="shared" si="21"/>
        <v>10.037773128089153</v>
      </c>
      <c r="Z166" s="109">
        <f t="shared" si="22"/>
        <v>3.1614239757176099</v>
      </c>
      <c r="AA166" s="109">
        <f t="shared" si="23"/>
        <v>-1.0325679548885454</v>
      </c>
    </row>
    <row r="167" spans="1:27" ht="19.5" thickBot="1" x14ac:dyDescent="0.35">
      <c r="A167" s="93">
        <v>110</v>
      </c>
      <c r="B167" s="94" t="s">
        <v>220</v>
      </c>
      <c r="C167" s="93">
        <v>26</v>
      </c>
      <c r="D167" s="94" t="s">
        <v>221</v>
      </c>
      <c r="E167" s="93">
        <v>554476</v>
      </c>
      <c r="F167" s="94" t="s">
        <v>231</v>
      </c>
      <c r="G167" s="95">
        <v>2.096152129590839</v>
      </c>
      <c r="H167" s="96">
        <v>9.0642276062800509</v>
      </c>
      <c r="I167" s="97">
        <v>5.7700964683135378</v>
      </c>
      <c r="J167" s="98">
        <v>0.84713704831297254</v>
      </c>
      <c r="K167" s="99">
        <v>111</v>
      </c>
      <c r="M167" s="100">
        <f t="shared" si="16"/>
        <v>0.63657894736842102</v>
      </c>
      <c r="N167" s="89">
        <f t="shared" si="17"/>
        <v>5.7700964683135378</v>
      </c>
      <c r="O167" s="100"/>
      <c r="V167" s="109">
        <f t="shared" si="18"/>
        <v>112.01525747383273</v>
      </c>
      <c r="W167" s="109">
        <f t="shared" si="19"/>
        <v>30.140262072367094</v>
      </c>
      <c r="X167" s="109">
        <f t="shared" si="20"/>
        <v>14.028115470438086</v>
      </c>
      <c r="Y167" s="109">
        <f t="shared" si="21"/>
        <v>10.149495997834126</v>
      </c>
      <c r="Z167" s="109">
        <f t="shared" si="22"/>
        <v>1.4019947412108582</v>
      </c>
      <c r="AA167" s="109">
        <f t="shared" si="23"/>
        <v>-3.9332418604082515</v>
      </c>
    </row>
    <row r="168" spans="1:27" ht="19.5" thickBot="1" x14ac:dyDescent="0.35">
      <c r="A168" s="93">
        <v>110</v>
      </c>
      <c r="B168" s="94" t="s">
        <v>220</v>
      </c>
      <c r="C168" s="93">
        <v>26</v>
      </c>
      <c r="D168" s="94" t="s">
        <v>221</v>
      </c>
      <c r="E168" s="93">
        <v>554471</v>
      </c>
      <c r="F168" s="94" t="s">
        <v>232</v>
      </c>
      <c r="G168" s="95">
        <v>1.8666392638061642</v>
      </c>
      <c r="H168" s="96">
        <v>9.1072765529083597</v>
      </c>
      <c r="I168" s="97">
        <v>6.4313444128038153</v>
      </c>
      <c r="J168" s="98">
        <v>0.82961908944576024</v>
      </c>
      <c r="K168" s="99">
        <v>91</v>
      </c>
      <c r="M168" s="100">
        <f t="shared" si="16"/>
        <v>0.70617647058823529</v>
      </c>
      <c r="N168" s="89">
        <f t="shared" si="17"/>
        <v>6.4313444128038153</v>
      </c>
      <c r="O168" s="100"/>
      <c r="V168" s="109">
        <f t="shared" si="18"/>
        <v>88.060038188375387</v>
      </c>
      <c r="W168" s="109">
        <f t="shared" si="19"/>
        <v>22.335443672416766</v>
      </c>
      <c r="X168" s="109">
        <f t="shared" si="20"/>
        <v>9.4015278046852142</v>
      </c>
      <c r="Y168" s="109">
        <f t="shared" si="21"/>
        <v>6.287992458898394</v>
      </c>
      <c r="Z168" s="109">
        <f t="shared" si="22"/>
        <v>-0.73400455374645956</v>
      </c>
      <c r="AA168" s="109">
        <f t="shared" si="23"/>
        <v>-5.0168293718574102</v>
      </c>
    </row>
    <row r="169" spans="1:27" ht="19.5" thickBot="1" x14ac:dyDescent="0.35">
      <c r="A169" s="93">
        <v>110</v>
      </c>
      <c r="B169" s="94" t="s">
        <v>220</v>
      </c>
      <c r="C169" s="93">
        <v>26</v>
      </c>
      <c r="D169" s="94" t="s">
        <v>221</v>
      </c>
      <c r="E169" s="93">
        <v>454481</v>
      </c>
      <c r="F169" s="94" t="s">
        <v>233</v>
      </c>
      <c r="G169" s="95">
        <v>10.446022454723625</v>
      </c>
      <c r="H169" s="96">
        <v>13.115039776508375</v>
      </c>
      <c r="I169" s="97">
        <v>8.7928204633014175</v>
      </c>
      <c r="J169" s="98">
        <v>0.76705822908586518</v>
      </c>
      <c r="K169" s="99">
        <v>47</v>
      </c>
      <c r="M169" s="100">
        <f t="shared" si="16"/>
        <v>0.67043795620437951</v>
      </c>
      <c r="N169" s="89">
        <f t="shared" si="17"/>
        <v>8.7928204633014175</v>
      </c>
      <c r="O169" s="100"/>
      <c r="V169" s="109">
        <f t="shared" si="18"/>
        <v>479.92533221321872</v>
      </c>
      <c r="W169" s="109">
        <f t="shared" si="19"/>
        <v>92.513283593311655</v>
      </c>
      <c r="X169" s="109">
        <f t="shared" si="20"/>
        <v>16.274626209449966</v>
      </c>
      <c r="Y169" s="109">
        <f t="shared" si="21"/>
        <v>-2.0780333336816255</v>
      </c>
      <c r="Z169" s="109">
        <f t="shared" si="22"/>
        <v>-43.469026585242375</v>
      </c>
      <c r="AA169" s="109">
        <f t="shared" si="23"/>
        <v>-68.714034924725837</v>
      </c>
    </row>
    <row r="170" spans="1:27" ht="19.5" thickBot="1" x14ac:dyDescent="0.35">
      <c r="A170" s="93">
        <v>110</v>
      </c>
      <c r="B170" s="94" t="s">
        <v>220</v>
      </c>
      <c r="C170" s="93">
        <v>26</v>
      </c>
      <c r="D170" s="94" t="s">
        <v>221</v>
      </c>
      <c r="E170" s="93">
        <v>554486</v>
      </c>
      <c r="F170" s="94" t="s">
        <v>234</v>
      </c>
      <c r="G170" s="95">
        <v>4.6766736719616731</v>
      </c>
      <c r="H170" s="96">
        <v>7.0562973418151396</v>
      </c>
      <c r="I170" s="97">
        <v>4.2145339577932246</v>
      </c>
      <c r="J170" s="98">
        <v>0.8883474298373768</v>
      </c>
      <c r="K170" s="99">
        <v>169</v>
      </c>
      <c r="M170" s="100">
        <f t="shared" si="16"/>
        <v>0.59727272727272729</v>
      </c>
      <c r="N170" s="89">
        <f t="shared" si="17"/>
        <v>4.2145339577932246</v>
      </c>
      <c r="O170" s="100"/>
      <c r="V170" s="109">
        <f t="shared" si="18"/>
        <v>279.31882843907511</v>
      </c>
      <c r="W170" s="109">
        <f t="shared" si="19"/>
        <v>84.628156440061616</v>
      </c>
      <c r="X170" s="109">
        <f t="shared" si="20"/>
        <v>46.31505933520333</v>
      </c>
      <c r="Y170" s="109">
        <f t="shared" si="21"/>
        <v>37.092084386050459</v>
      </c>
      <c r="Z170" s="109">
        <f t="shared" si="22"/>
        <v>16.291388280805695</v>
      </c>
      <c r="AA170" s="109">
        <f t="shared" si="23"/>
        <v>3.6047213179595095</v>
      </c>
    </row>
    <row r="171" spans="1:27" ht="19.5" thickBot="1" x14ac:dyDescent="0.35">
      <c r="A171" s="93">
        <v>110</v>
      </c>
      <c r="B171" s="94" t="s">
        <v>220</v>
      </c>
      <c r="C171" s="93">
        <v>26</v>
      </c>
      <c r="D171" s="94" t="s">
        <v>221</v>
      </c>
      <c r="E171" s="93">
        <v>554491</v>
      </c>
      <c r="F171" s="94" t="s">
        <v>235</v>
      </c>
      <c r="G171" s="95">
        <v>3.3325728901477198</v>
      </c>
      <c r="H171" s="96">
        <v>7.5017113875915395</v>
      </c>
      <c r="I171" s="97">
        <v>5.2707024209218165</v>
      </c>
      <c r="J171" s="98">
        <v>0.86036713009036481</v>
      </c>
      <c r="K171" s="99">
        <v>125</v>
      </c>
      <c r="M171" s="100">
        <f t="shared" si="16"/>
        <v>0.70260000000000011</v>
      </c>
      <c r="N171" s="89">
        <f t="shared" si="17"/>
        <v>5.2707024209218165</v>
      </c>
      <c r="O171" s="100"/>
      <c r="V171" s="109">
        <f t="shared" si="18"/>
        <v>163.87333826546922</v>
      </c>
      <c r="W171" s="109">
        <f t="shared" si="19"/>
        <v>45.935741637504215</v>
      </c>
      <c r="X171" s="109">
        <f t="shared" si="20"/>
        <v>22.726850602685012</v>
      </c>
      <c r="Y171" s="109">
        <f t="shared" si="21"/>
        <v>17.139857203902515</v>
      </c>
      <c r="Z171" s="109">
        <f t="shared" si="22"/>
        <v>4.5394378738296792</v>
      </c>
      <c r="AA171" s="109">
        <f t="shared" si="23"/>
        <v>-3.1457531805474126</v>
      </c>
    </row>
    <row r="172" spans="1:27" ht="19.5" thickBot="1" x14ac:dyDescent="0.35">
      <c r="A172" s="93">
        <v>110</v>
      </c>
      <c r="B172" s="94" t="s">
        <v>220</v>
      </c>
      <c r="C172" s="93">
        <v>26</v>
      </c>
      <c r="D172" s="94" t="s">
        <v>221</v>
      </c>
      <c r="E172" s="93">
        <v>554601</v>
      </c>
      <c r="F172" s="94" t="s">
        <v>236</v>
      </c>
      <c r="G172" s="95">
        <v>4.0624214284196407</v>
      </c>
      <c r="H172" s="96">
        <v>0.24615860703280582</v>
      </c>
      <c r="I172" s="97">
        <v>-5.4154893547217281E-2</v>
      </c>
      <c r="J172" s="98">
        <v>1.0014346860440524</v>
      </c>
      <c r="K172" s="99">
        <v>284</v>
      </c>
      <c r="M172" s="100">
        <f t="shared" si="16"/>
        <v>-0.22</v>
      </c>
      <c r="N172" s="89">
        <f t="shared" si="17"/>
        <v>-5.4154893547217281E-2</v>
      </c>
      <c r="O172" s="100"/>
      <c r="V172" s="109">
        <f t="shared" si="18"/>
        <v>-742.57085959655694</v>
      </c>
      <c r="W172" s="109">
        <f t="shared" si="19"/>
        <v>-283.43305294738673</v>
      </c>
      <c r="X172" s="109">
        <f t="shared" si="20"/>
        <v>-193.0795132012687</v>
      </c>
      <c r="Y172" s="109">
        <f t="shared" si="21"/>
        <v>-171.3290284684627</v>
      </c>
      <c r="Z172" s="109">
        <f t="shared" si="22"/>
        <v>-122.27487559879461</v>
      </c>
      <c r="AA172" s="109">
        <f t="shared" si="23"/>
        <v>-92.355987430186318</v>
      </c>
    </row>
    <row r="173" spans="1:27" ht="19.5" thickBot="1" x14ac:dyDescent="0.35">
      <c r="A173" s="93">
        <v>110</v>
      </c>
      <c r="B173" s="94" t="s">
        <v>220</v>
      </c>
      <c r="C173" s="93">
        <v>26</v>
      </c>
      <c r="D173" s="94" t="s">
        <v>221</v>
      </c>
      <c r="E173" s="93">
        <v>554611</v>
      </c>
      <c r="F173" s="94" t="s">
        <v>237</v>
      </c>
      <c r="G173" s="95">
        <v>2.9971506287074314</v>
      </c>
      <c r="H173" s="96">
        <v>2.0019013867806819</v>
      </c>
      <c r="I173" s="97">
        <v>0.86582234978264505</v>
      </c>
      <c r="J173" s="98">
        <v>0.9770624008192611</v>
      </c>
      <c r="K173" s="99">
        <v>268</v>
      </c>
      <c r="M173" s="100">
        <f t="shared" si="16"/>
        <v>0.43250000000000005</v>
      </c>
      <c r="N173" s="89">
        <f t="shared" si="17"/>
        <v>0.86582234978264505</v>
      </c>
      <c r="O173" s="100"/>
      <c r="V173" s="109">
        <f t="shared" si="18"/>
        <v>271.89281958961857</v>
      </c>
      <c r="W173" s="109">
        <f t="shared" si="19"/>
        <v>99.585701053138678</v>
      </c>
      <c r="X173" s="109">
        <f t="shared" si="20"/>
        <v>65.677454209242995</v>
      </c>
      <c r="Y173" s="109">
        <f t="shared" si="21"/>
        <v>57.514843122098952</v>
      </c>
      <c r="Z173" s="109">
        <f t="shared" si="22"/>
        <v>39.105599511979484</v>
      </c>
      <c r="AA173" s="109">
        <f t="shared" si="23"/>
        <v>27.877516493132763</v>
      </c>
    </row>
    <row r="174" spans="1:27" ht="19.5" thickBot="1" x14ac:dyDescent="0.35">
      <c r="A174" s="93">
        <v>110</v>
      </c>
      <c r="B174" s="94" t="s">
        <v>220</v>
      </c>
      <c r="C174" s="93">
        <v>26</v>
      </c>
      <c r="D174" s="94" t="s">
        <v>221</v>
      </c>
      <c r="E174" s="93">
        <v>554636</v>
      </c>
      <c r="F174" s="94" t="s">
        <v>238</v>
      </c>
      <c r="G174" s="95">
        <v>2.7185394315829101</v>
      </c>
      <c r="H174" s="96">
        <v>6.2533578886150263</v>
      </c>
      <c r="I174" s="97">
        <v>4.6109318313993741</v>
      </c>
      <c r="J174" s="98">
        <v>0.87784595047136393</v>
      </c>
      <c r="K174" s="99">
        <v>151</v>
      </c>
      <c r="M174" s="100">
        <f t="shared" si="16"/>
        <v>0.73735294117647066</v>
      </c>
      <c r="N174" s="89">
        <f t="shared" si="17"/>
        <v>4.6109318313993741</v>
      </c>
      <c r="O174" s="100"/>
      <c r="V174" s="109">
        <f t="shared" si="18"/>
        <v>129.96652557490512</v>
      </c>
      <c r="W174" s="109">
        <f t="shared" si="19"/>
        <v>38.293623181177466</v>
      </c>
      <c r="X174" s="109">
        <f t="shared" si="20"/>
        <v>20.253350500250654</v>
      </c>
      <c r="Y174" s="109">
        <f t="shared" si="21"/>
        <v>15.910580127062103</v>
      </c>
      <c r="Z174" s="109">
        <f t="shared" si="22"/>
        <v>6.1162732699397626</v>
      </c>
      <c r="AA174" s="109">
        <f t="shared" si="23"/>
        <v>0.1425737072168968</v>
      </c>
    </row>
    <row r="175" spans="1:27" ht="19.5" thickBot="1" x14ac:dyDescent="0.35">
      <c r="A175" s="93">
        <v>110</v>
      </c>
      <c r="B175" s="94" t="s">
        <v>220</v>
      </c>
      <c r="C175" s="93">
        <v>26</v>
      </c>
      <c r="D175" s="94" t="s">
        <v>221</v>
      </c>
      <c r="E175" s="93">
        <v>454671</v>
      </c>
      <c r="F175" s="94" t="s">
        <v>239</v>
      </c>
      <c r="G175" s="95">
        <v>4.4235571915611969</v>
      </c>
      <c r="H175" s="96">
        <v>10.850995685456359</v>
      </c>
      <c r="I175" s="97">
        <v>6.4246936954306202</v>
      </c>
      <c r="J175" s="98">
        <v>0.8297952820439406</v>
      </c>
      <c r="K175" s="99">
        <v>92</v>
      </c>
      <c r="M175" s="100">
        <f t="shared" si="16"/>
        <v>0.59208333333333341</v>
      </c>
      <c r="N175" s="89">
        <f t="shared" si="17"/>
        <v>6.4246936954306202</v>
      </c>
      <c r="O175" s="100"/>
      <c r="V175" s="109">
        <f t="shared" si="18"/>
        <v>248.95035548591937</v>
      </c>
      <c r="W175" s="109">
        <f t="shared" si="19"/>
        <v>63.182925842838316</v>
      </c>
      <c r="X175" s="109">
        <f t="shared" si="20"/>
        <v>26.62582992366988</v>
      </c>
      <c r="Y175" s="109">
        <f t="shared" si="21"/>
        <v>17.825570864646561</v>
      </c>
      <c r="Z175" s="109">
        <f t="shared" si="22"/>
        <v>-2.0217685614444108</v>
      </c>
      <c r="AA175" s="109">
        <f t="shared" si="23"/>
        <v>-14.126968508762234</v>
      </c>
    </row>
    <row r="176" spans="1:27" ht="19.5" thickBot="1" x14ac:dyDescent="0.35">
      <c r="A176" s="93">
        <v>110</v>
      </c>
      <c r="B176" s="94" t="s">
        <v>220</v>
      </c>
      <c r="C176" s="93">
        <v>27</v>
      </c>
      <c r="D176" s="94" t="s">
        <v>240</v>
      </c>
      <c r="E176" s="93">
        <v>554184</v>
      </c>
      <c r="F176" s="94" t="s">
        <v>536</v>
      </c>
      <c r="G176" s="95">
        <v>4.0428715832699478</v>
      </c>
      <c r="H176" s="96">
        <v>1.2367446991615572</v>
      </c>
      <c r="I176" s="97">
        <v>1.1266744209361785</v>
      </c>
      <c r="J176" s="98">
        <v>0.97015183740508348</v>
      </c>
      <c r="K176" s="99">
        <v>261</v>
      </c>
      <c r="M176" s="100">
        <f t="shared" si="16"/>
        <v>0.91099999999999992</v>
      </c>
      <c r="N176" s="89">
        <f t="shared" si="17"/>
        <v>1.1266744209361785</v>
      </c>
      <c r="O176" s="100"/>
      <c r="V176" s="109">
        <f t="shared" si="18"/>
        <v>172.88776478106163</v>
      </c>
      <c r="W176" s="109">
        <f t="shared" si="19"/>
        <v>62.542848004091923</v>
      </c>
      <c r="X176" s="109">
        <f t="shared" si="20"/>
        <v>40.828117307980463</v>
      </c>
      <c r="Y176" s="109">
        <f t="shared" si="21"/>
        <v>35.600807787956271</v>
      </c>
      <c r="Z176" s="109">
        <f t="shared" si="22"/>
        <v>23.811588216882509</v>
      </c>
      <c r="AA176" s="109">
        <f t="shared" si="23"/>
        <v>16.621160469016466</v>
      </c>
    </row>
    <row r="177" spans="1:27" ht="19.5" thickBot="1" x14ac:dyDescent="0.35">
      <c r="A177" s="93">
        <v>110</v>
      </c>
      <c r="B177" s="94" t="s">
        <v>220</v>
      </c>
      <c r="C177" s="93">
        <v>27</v>
      </c>
      <c r="D177" s="94" t="s">
        <v>240</v>
      </c>
      <c r="E177" s="93">
        <v>554506</v>
      </c>
      <c r="F177" s="94" t="s">
        <v>242</v>
      </c>
      <c r="G177" s="95">
        <v>2.6587267141460678</v>
      </c>
      <c r="H177" s="96">
        <v>10.531356927743913</v>
      </c>
      <c r="I177" s="97">
        <v>7.0089941553038511</v>
      </c>
      <c r="J177" s="98">
        <v>0.81431583668998531</v>
      </c>
      <c r="K177" s="99">
        <v>77</v>
      </c>
      <c r="M177" s="100">
        <f t="shared" si="16"/>
        <v>0.66553571428571434</v>
      </c>
      <c r="N177" s="89">
        <f t="shared" si="17"/>
        <v>7.0089941553038511</v>
      </c>
      <c r="O177" s="100"/>
      <c r="V177" s="109">
        <f t="shared" si="18"/>
        <v>130.63158418924723</v>
      </c>
      <c r="W177" s="109">
        <f t="shared" si="19"/>
        <v>31.300975864278531</v>
      </c>
      <c r="X177" s="109">
        <f t="shared" si="20"/>
        <v>11.75374638911161</v>
      </c>
      <c r="Y177" s="109">
        <f t="shared" si="21"/>
        <v>7.0482116921542532</v>
      </c>
      <c r="Z177" s="109">
        <f t="shared" si="22"/>
        <v>-3.5642422919135539</v>
      </c>
      <c r="AA177" s="109">
        <f t="shared" si="23"/>
        <v>-10.036942468541328</v>
      </c>
    </row>
    <row r="178" spans="1:27" ht="19.5" thickBot="1" x14ac:dyDescent="0.35">
      <c r="A178" s="93">
        <v>110</v>
      </c>
      <c r="B178" s="94" t="s">
        <v>220</v>
      </c>
      <c r="C178" s="93">
        <v>27</v>
      </c>
      <c r="D178" s="94" t="s">
        <v>240</v>
      </c>
      <c r="E178" s="93">
        <v>554196</v>
      </c>
      <c r="F178" s="94" t="s">
        <v>243</v>
      </c>
      <c r="G178" s="95">
        <v>3.2063500094108797</v>
      </c>
      <c r="H178" s="96">
        <v>12.475244400204899</v>
      </c>
      <c r="I178" s="97">
        <v>7.8375722944287274</v>
      </c>
      <c r="J178" s="98">
        <v>0.79236492118180968</v>
      </c>
      <c r="K178" s="99">
        <v>62</v>
      </c>
      <c r="M178" s="100">
        <f t="shared" si="16"/>
        <v>0.62824999999999998</v>
      </c>
      <c r="N178" s="89">
        <f t="shared" si="17"/>
        <v>7.8375722944287274</v>
      </c>
      <c r="O178" s="100"/>
      <c r="V178" s="109">
        <f t="shared" si="18"/>
        <v>162.38901640520209</v>
      </c>
      <c r="W178" s="109">
        <f t="shared" si="19"/>
        <v>35.489726122350646</v>
      </c>
      <c r="X178" s="109">
        <f t="shared" si="20"/>
        <v>10.51726708656734</v>
      </c>
      <c r="Y178" s="109">
        <f t="shared" si="21"/>
        <v>4.5057362652553259</v>
      </c>
      <c r="Z178" s="109">
        <f t="shared" si="22"/>
        <v>-9.0521478698315789</v>
      </c>
      <c r="AA178" s="109">
        <f t="shared" si="23"/>
        <v>-17.32131154937467</v>
      </c>
    </row>
    <row r="179" spans="1:27" ht="19.5" thickBot="1" x14ac:dyDescent="0.35">
      <c r="A179" s="93">
        <v>110</v>
      </c>
      <c r="B179" s="94" t="s">
        <v>220</v>
      </c>
      <c r="C179" s="93">
        <v>27</v>
      </c>
      <c r="D179" s="94" t="s">
        <v>240</v>
      </c>
      <c r="E179" s="93">
        <v>554257</v>
      </c>
      <c r="F179" s="94" t="s">
        <v>244</v>
      </c>
      <c r="G179" s="95">
        <v>3.5085191890858076</v>
      </c>
      <c r="H179" s="96">
        <v>7.9805748496692077</v>
      </c>
      <c r="I179" s="97">
        <v>4.8154218601843306</v>
      </c>
      <c r="J179" s="98">
        <v>0.87242854548302595</v>
      </c>
      <c r="K179" s="99">
        <v>143</v>
      </c>
      <c r="M179" s="100">
        <f t="shared" si="16"/>
        <v>0.60339285714285706</v>
      </c>
      <c r="N179" s="89">
        <f t="shared" si="17"/>
        <v>4.8154218601843306</v>
      </c>
      <c r="O179" s="100"/>
      <c r="V179" s="109">
        <f t="shared" si="18"/>
        <v>203.70727423390341</v>
      </c>
      <c r="W179" s="109">
        <f t="shared" si="19"/>
        <v>59.128528402934506</v>
      </c>
      <c r="X179" s="109">
        <f t="shared" si="20"/>
        <v>30.676936596067627</v>
      </c>
      <c r="Y179" s="109">
        <f t="shared" si="21"/>
        <v>23.827886575911947</v>
      </c>
      <c r="Z179" s="109">
        <f t="shared" si="22"/>
        <v>8.3811344309368394</v>
      </c>
      <c r="AA179" s="109">
        <f t="shared" si="23"/>
        <v>-1.040079125061276</v>
      </c>
    </row>
    <row r="180" spans="1:27" ht="19.5" thickBot="1" x14ac:dyDescent="0.35">
      <c r="A180" s="93">
        <v>110</v>
      </c>
      <c r="B180" s="94" t="s">
        <v>220</v>
      </c>
      <c r="C180" s="93">
        <v>27</v>
      </c>
      <c r="D180" s="94" t="s">
        <v>240</v>
      </c>
      <c r="E180" s="93">
        <v>554321</v>
      </c>
      <c r="F180" s="94" t="s">
        <v>245</v>
      </c>
      <c r="G180" s="95">
        <v>2.5722025560324151</v>
      </c>
      <c r="H180" s="96">
        <v>9.3305249012036011</v>
      </c>
      <c r="I180" s="97">
        <v>5.8957254219480255</v>
      </c>
      <c r="J180" s="98">
        <v>0.84380885219434976</v>
      </c>
      <c r="K180" s="99">
        <v>108</v>
      </c>
      <c r="M180" s="100">
        <f t="shared" si="16"/>
        <v>0.63187499999999996</v>
      </c>
      <c r="N180" s="89">
        <f t="shared" si="17"/>
        <v>5.8957254219480255</v>
      </c>
      <c r="O180" s="100"/>
      <c r="V180" s="109">
        <f t="shared" si="18"/>
        <v>137.93391048969195</v>
      </c>
      <c r="W180" s="109">
        <f t="shared" si="19"/>
        <v>36.716609086779371</v>
      </c>
      <c r="X180" s="109">
        <f t="shared" si="20"/>
        <v>16.798098058366318</v>
      </c>
      <c r="Y180" s="109">
        <f t="shared" si="21"/>
        <v>12.00318607991956</v>
      </c>
      <c r="Z180" s="109">
        <f t="shared" si="22"/>
        <v>1.1891583432151693</v>
      </c>
      <c r="AA180" s="109">
        <f t="shared" si="23"/>
        <v>-5.406484789514284</v>
      </c>
    </row>
    <row r="181" spans="1:27" ht="19.5" thickBot="1" x14ac:dyDescent="0.35">
      <c r="A181" s="93">
        <v>110</v>
      </c>
      <c r="B181" s="94" t="s">
        <v>220</v>
      </c>
      <c r="C181" s="93">
        <v>27</v>
      </c>
      <c r="D181" s="94" t="s">
        <v>240</v>
      </c>
      <c r="E181" s="93">
        <v>454355</v>
      </c>
      <c r="F181" s="94" t="s">
        <v>246</v>
      </c>
      <c r="G181" s="95">
        <v>3.8299949952945602</v>
      </c>
      <c r="H181" s="96">
        <v>6.7885206199859205</v>
      </c>
      <c r="I181" s="97">
        <v>3.8224593029459184</v>
      </c>
      <c r="J181" s="98">
        <v>0.8987343773261679</v>
      </c>
      <c r="K181" s="99">
        <v>192</v>
      </c>
      <c r="M181" s="100">
        <f t="shared" si="16"/>
        <v>0.56307692307692314</v>
      </c>
      <c r="N181" s="89">
        <f t="shared" si="17"/>
        <v>3.8224593029459184</v>
      </c>
      <c r="O181" s="100"/>
      <c r="V181" s="109">
        <f t="shared" si="18"/>
        <v>245.47926315279449</v>
      </c>
      <c r="W181" s="109">
        <f t="shared" si="19"/>
        <v>76.352927495257944</v>
      </c>
      <c r="X181" s="109">
        <f t="shared" si="20"/>
        <v>43.070625603214111</v>
      </c>
      <c r="Y181" s="109">
        <f t="shared" si="21"/>
        <v>35.058696007432651</v>
      </c>
      <c r="Z181" s="109">
        <f t="shared" si="22"/>
        <v>16.989286336773834</v>
      </c>
      <c r="AA181" s="109">
        <f t="shared" si="23"/>
        <v>5.9684733049888514</v>
      </c>
    </row>
    <row r="182" spans="1:27" ht="19.5" thickBot="1" x14ac:dyDescent="0.35">
      <c r="A182" s="93">
        <v>110</v>
      </c>
      <c r="B182" s="94" t="s">
        <v>220</v>
      </c>
      <c r="C182" s="93">
        <v>27</v>
      </c>
      <c r="D182" s="94" t="s">
        <v>240</v>
      </c>
      <c r="E182" s="93">
        <v>554357</v>
      </c>
      <c r="F182" s="94" t="s">
        <v>537</v>
      </c>
      <c r="G182" s="95">
        <v>4.3873447963910781</v>
      </c>
      <c r="H182" s="96">
        <v>4.3306375226375948</v>
      </c>
      <c r="I182" s="97">
        <v>2.894689291447234</v>
      </c>
      <c r="J182" s="98">
        <v>0.923313110666799</v>
      </c>
      <c r="K182" s="99">
        <v>220</v>
      </c>
      <c r="M182" s="100">
        <f t="shared" si="16"/>
        <v>0.6684210526315788</v>
      </c>
      <c r="N182" s="89">
        <f t="shared" si="17"/>
        <v>2.894689291447234</v>
      </c>
      <c r="O182" s="100"/>
      <c r="V182" s="109">
        <f t="shared" si="18"/>
        <v>243.36248312617789</v>
      </c>
      <c r="W182" s="109">
        <f t="shared" si="19"/>
        <v>80.157878333174779</v>
      </c>
      <c r="X182" s="109">
        <f t="shared" si="20"/>
        <v>48.040911417440711</v>
      </c>
      <c r="Y182" s="109">
        <f t="shared" si="21"/>
        <v>40.309508746028229</v>
      </c>
      <c r="Z182" s="109">
        <f t="shared" si="22"/>
        <v>22.872775119195651</v>
      </c>
      <c r="AA182" s="109">
        <f t="shared" si="23"/>
        <v>12.237841012941955</v>
      </c>
    </row>
    <row r="183" spans="1:27" ht="19.5" thickBot="1" x14ac:dyDescent="0.35">
      <c r="A183" s="93">
        <v>110</v>
      </c>
      <c r="B183" s="94" t="s">
        <v>220</v>
      </c>
      <c r="C183" s="93">
        <v>27</v>
      </c>
      <c r="D183" s="94" t="s">
        <v>240</v>
      </c>
      <c r="E183" s="93">
        <v>554381</v>
      </c>
      <c r="F183" s="94" t="s">
        <v>248</v>
      </c>
      <c r="G183" s="95">
        <v>4.4287659362610263</v>
      </c>
      <c r="H183" s="96">
        <v>5.4191168251853776</v>
      </c>
      <c r="I183" s="97">
        <v>3.2661468698461036</v>
      </c>
      <c r="J183" s="98">
        <v>0.91347235632718182</v>
      </c>
      <c r="K183" s="99">
        <v>213</v>
      </c>
      <c r="M183" s="100">
        <f t="shared" si="16"/>
        <v>0.60270833333333329</v>
      </c>
      <c r="N183" s="89">
        <f t="shared" si="17"/>
        <v>3.2661468698461036</v>
      </c>
      <c r="O183" s="100"/>
      <c r="V183" s="109">
        <f t="shared" si="18"/>
        <v>269.5404320451176</v>
      </c>
      <c r="W183" s="109">
        <f t="shared" si="19"/>
        <v>86.832966397608217</v>
      </c>
      <c r="X183" s="109">
        <f t="shared" si="20"/>
        <v>50.878039532025994</v>
      </c>
      <c r="Y183" s="109">
        <f t="shared" si="21"/>
        <v>42.222738477342041</v>
      </c>
      <c r="Z183" s="109">
        <f t="shared" si="22"/>
        <v>22.702324735524225</v>
      </c>
      <c r="AA183" s="109">
        <f t="shared" si="23"/>
        <v>10.796521830352905</v>
      </c>
    </row>
    <row r="184" spans="1:27" ht="19.5" thickBot="1" x14ac:dyDescent="0.35">
      <c r="A184" s="93">
        <v>110</v>
      </c>
      <c r="B184" s="94" t="s">
        <v>220</v>
      </c>
      <c r="C184" s="93">
        <v>27</v>
      </c>
      <c r="D184" s="94" t="s">
        <v>240</v>
      </c>
      <c r="E184" s="93">
        <v>554376</v>
      </c>
      <c r="F184" s="94" t="s">
        <v>538</v>
      </c>
      <c r="G184" s="95">
        <v>3.0178712591756058</v>
      </c>
      <c r="H184" s="96">
        <v>8.6153443162788985</v>
      </c>
      <c r="I184" s="97">
        <v>5.7441151431805659</v>
      </c>
      <c r="J184" s="98">
        <v>0.84782535258489877</v>
      </c>
      <c r="K184" s="99">
        <v>113</v>
      </c>
      <c r="M184" s="100">
        <f t="shared" si="16"/>
        <v>0.66673076923076924</v>
      </c>
      <c r="N184" s="89">
        <f t="shared" si="17"/>
        <v>5.7441151431805659</v>
      </c>
      <c r="O184" s="100"/>
      <c r="V184" s="109">
        <f t="shared" si="18"/>
        <v>154.10246630494501</v>
      </c>
      <c r="W184" s="109">
        <f t="shared" si="19"/>
        <v>41.556230898294771</v>
      </c>
      <c r="X184" s="109">
        <f t="shared" si="20"/>
        <v>19.408303616277479</v>
      </c>
      <c r="Y184" s="109">
        <f t="shared" si="21"/>
        <v>14.076712230213243</v>
      </c>
      <c r="Z184" s="109">
        <f t="shared" si="22"/>
        <v>2.0523044019073655</v>
      </c>
      <c r="AA184" s="109">
        <f t="shared" si="23"/>
        <v>-5.2815683094339052</v>
      </c>
    </row>
    <row r="185" spans="1:27" ht="19.5" thickBot="1" x14ac:dyDescent="0.35">
      <c r="A185" s="93">
        <v>110</v>
      </c>
      <c r="B185" s="94" t="s">
        <v>220</v>
      </c>
      <c r="C185" s="93">
        <v>27</v>
      </c>
      <c r="D185" s="94" t="s">
        <v>240</v>
      </c>
      <c r="E185" s="93">
        <v>554416</v>
      </c>
      <c r="F185" s="94" t="s">
        <v>250</v>
      </c>
      <c r="G185" s="95">
        <v>3.9319019689987416</v>
      </c>
      <c r="H185" s="96">
        <v>5.595256487435341</v>
      </c>
      <c r="I185" s="97">
        <v>3.6585347532616992</v>
      </c>
      <c r="J185" s="98">
        <v>0.90307711070268981</v>
      </c>
      <c r="K185" s="99">
        <v>201</v>
      </c>
      <c r="M185" s="100">
        <f t="shared" si="16"/>
        <v>0.65386363636363642</v>
      </c>
      <c r="N185" s="89">
        <f t="shared" si="17"/>
        <v>3.6585347532616992</v>
      </c>
      <c r="O185" s="100"/>
      <c r="V185" s="109">
        <f t="shared" si="18"/>
        <v>218.06868764437081</v>
      </c>
      <c r="W185" s="109">
        <f t="shared" si="19"/>
        <v>68.549731059562106</v>
      </c>
      <c r="X185" s="109">
        <f t="shared" si="20"/>
        <v>39.125957214455163</v>
      </c>
      <c r="Y185" s="109">
        <f t="shared" si="21"/>
        <v>32.042877286454534</v>
      </c>
      <c r="Z185" s="109">
        <f t="shared" si="22"/>
        <v>16.068314427533128</v>
      </c>
      <c r="AA185" s="109">
        <f t="shared" si="23"/>
        <v>6.3251809360973512</v>
      </c>
    </row>
    <row r="186" spans="1:27" ht="19.5" thickBot="1" x14ac:dyDescent="0.35">
      <c r="A186" s="93">
        <v>110</v>
      </c>
      <c r="B186" s="94" t="s">
        <v>220</v>
      </c>
      <c r="C186" s="93">
        <v>27</v>
      </c>
      <c r="D186" s="94" t="s">
        <v>240</v>
      </c>
      <c r="E186" s="93">
        <v>454466</v>
      </c>
      <c r="F186" s="94" t="s">
        <v>251</v>
      </c>
      <c r="G186" s="95">
        <v>1.845993697746853</v>
      </c>
      <c r="H186" s="96">
        <v>1.0834273174611164</v>
      </c>
      <c r="I186" s="97">
        <v>0.46858231480193291</v>
      </c>
      <c r="J186" s="98">
        <v>0.98758619095151812</v>
      </c>
      <c r="K186" s="99">
        <v>277</v>
      </c>
      <c r="M186" s="100">
        <f t="shared" si="16"/>
        <v>0.43250000000000005</v>
      </c>
      <c r="N186" s="89">
        <f t="shared" si="17"/>
        <v>0.46858231480193291</v>
      </c>
      <c r="O186" s="100"/>
      <c r="V186" s="109">
        <f t="shared" si="18"/>
        <v>169.26691933024773</v>
      </c>
      <c r="W186" s="109">
        <f t="shared" si="19"/>
        <v>63.140169527072864</v>
      </c>
      <c r="X186" s="109">
        <f t="shared" si="20"/>
        <v>42.255530171302183</v>
      </c>
      <c r="Y186" s="109">
        <f t="shared" si="21"/>
        <v>37.22804557319747</v>
      </c>
      <c r="Z186" s="109">
        <f t="shared" si="22"/>
        <v>25.889493763666657</v>
      </c>
      <c r="AA186" s="109">
        <f t="shared" si="23"/>
        <v>18.973935268861094</v>
      </c>
    </row>
    <row r="187" spans="1:27" ht="19.5" thickBot="1" x14ac:dyDescent="0.35">
      <c r="A187" s="93">
        <v>110</v>
      </c>
      <c r="B187" s="94" t="s">
        <v>220</v>
      </c>
      <c r="C187" s="93">
        <v>27</v>
      </c>
      <c r="D187" s="94" t="s">
        <v>240</v>
      </c>
      <c r="E187" s="93">
        <v>554496</v>
      </c>
      <c r="F187" s="94" t="s">
        <v>252</v>
      </c>
      <c r="G187" s="95">
        <v>3.1022424753270625</v>
      </c>
      <c r="H187" s="96">
        <v>5.1575594516715384</v>
      </c>
      <c r="I187" s="97">
        <v>3.3524136435865</v>
      </c>
      <c r="J187" s="98">
        <v>0.91118695369329328</v>
      </c>
      <c r="K187" s="99">
        <v>212</v>
      </c>
      <c r="M187" s="100">
        <f t="shared" si="16"/>
        <v>0.65</v>
      </c>
      <c r="N187" s="89">
        <f t="shared" si="17"/>
        <v>3.3524136435865</v>
      </c>
      <c r="O187" s="100"/>
      <c r="V187" s="109">
        <f t="shared" si="18"/>
        <v>174.63160891573153</v>
      </c>
      <c r="W187" s="109">
        <f t="shared" si="19"/>
        <v>55.961007081583766</v>
      </c>
      <c r="X187" s="109">
        <f t="shared" si="20"/>
        <v>32.607868254333141</v>
      </c>
      <c r="Y187" s="109">
        <f t="shared" si="21"/>
        <v>26.986150599967111</v>
      </c>
      <c r="Z187" s="109">
        <f t="shared" si="22"/>
        <v>14.307417201835346</v>
      </c>
      <c r="AA187" s="109">
        <f t="shared" si="23"/>
        <v>6.5744611834905893</v>
      </c>
    </row>
    <row r="188" spans="1:27" ht="19.5" thickBot="1" x14ac:dyDescent="0.35">
      <c r="A188" s="93">
        <v>110</v>
      </c>
      <c r="B188" s="94" t="s">
        <v>220</v>
      </c>
      <c r="C188" s="93">
        <v>27</v>
      </c>
      <c r="D188" s="94" t="s">
        <v>240</v>
      </c>
      <c r="E188" s="93">
        <v>554516</v>
      </c>
      <c r="F188" s="94" t="s">
        <v>253</v>
      </c>
      <c r="G188" s="95">
        <v>2.5928609072087352</v>
      </c>
      <c r="H188" s="96">
        <v>6.1707899392198051</v>
      </c>
      <c r="I188" s="97">
        <v>4.8170728963034604</v>
      </c>
      <c r="J188" s="98">
        <v>0.87238480578891553</v>
      </c>
      <c r="K188" s="99">
        <v>142</v>
      </c>
      <c r="M188" s="100">
        <f t="shared" si="16"/>
        <v>0.78062500000000001</v>
      </c>
      <c r="N188" s="89">
        <f t="shared" si="17"/>
        <v>4.8170728963034604</v>
      </c>
      <c r="O188" s="100"/>
      <c r="V188" s="109">
        <f t="shared" si="18"/>
        <v>116.35842557036489</v>
      </c>
      <c r="W188" s="109">
        <f t="shared" si="19"/>
        <v>33.770315893488629</v>
      </c>
      <c r="X188" s="109">
        <f t="shared" si="20"/>
        <v>17.517835827197221</v>
      </c>
      <c r="Y188" s="109">
        <f t="shared" si="21"/>
        <v>13.605434381217417</v>
      </c>
      <c r="Z188" s="109">
        <f t="shared" si="22"/>
        <v>4.7817441979299939</v>
      </c>
      <c r="AA188" s="109">
        <f t="shared" si="23"/>
        <v>-0.59996121098067101</v>
      </c>
    </row>
    <row r="189" spans="1:27" ht="19.5" thickBot="1" x14ac:dyDescent="0.35">
      <c r="A189" s="93">
        <v>110</v>
      </c>
      <c r="B189" s="94" t="s">
        <v>220</v>
      </c>
      <c r="C189" s="93">
        <v>27</v>
      </c>
      <c r="D189" s="94" t="s">
        <v>240</v>
      </c>
      <c r="E189" s="93">
        <v>554531</v>
      </c>
      <c r="F189" s="94" t="s">
        <v>254</v>
      </c>
      <c r="G189" s="95">
        <v>2.547061984299011</v>
      </c>
      <c r="H189" s="96">
        <v>18.060023777811548</v>
      </c>
      <c r="I189" s="97">
        <v>11.568230448113418</v>
      </c>
      <c r="J189" s="98">
        <v>0.69353131931064427</v>
      </c>
      <c r="K189" s="99">
        <v>20</v>
      </c>
      <c r="M189" s="100">
        <f t="shared" si="16"/>
        <v>0.64054347826086955</v>
      </c>
      <c r="N189" s="89">
        <f t="shared" si="17"/>
        <v>11.568230448113418</v>
      </c>
      <c r="O189" s="100"/>
      <c r="V189" s="109">
        <f t="shared" si="18"/>
        <v>110.74138673266587</v>
      </c>
      <c r="W189" s="109">
        <f t="shared" si="19"/>
        <v>11.869764051116807</v>
      </c>
      <c r="X189" s="109">
        <f t="shared" si="20"/>
        <v>-7.5871418284432224</v>
      </c>
      <c r="Y189" s="109">
        <f t="shared" si="21"/>
        <v>-12.2709332490134</v>
      </c>
      <c r="Z189" s="109">
        <f t="shared" si="22"/>
        <v>-22.834349337287769</v>
      </c>
      <c r="AA189" s="109">
        <f t="shared" si="23"/>
        <v>-29.277140541189709</v>
      </c>
    </row>
    <row r="190" spans="1:27" ht="19.5" thickBot="1" x14ac:dyDescent="0.35">
      <c r="A190" s="93">
        <v>110</v>
      </c>
      <c r="B190" s="94" t="s">
        <v>220</v>
      </c>
      <c r="C190" s="93">
        <v>27</v>
      </c>
      <c r="D190" s="94" t="s">
        <v>240</v>
      </c>
      <c r="E190" s="93">
        <v>554533</v>
      </c>
      <c r="F190" s="94" t="s">
        <v>255</v>
      </c>
      <c r="G190" s="95">
        <v>3.4525823809523799</v>
      </c>
      <c r="H190" s="96">
        <v>1.7378296411119742</v>
      </c>
      <c r="I190" s="97">
        <v>0.9543581112439925</v>
      </c>
      <c r="J190" s="98">
        <v>0.9747168875507809</v>
      </c>
      <c r="K190" s="99">
        <v>265</v>
      </c>
      <c r="M190" s="100">
        <f t="shared" si="16"/>
        <v>0.54916666666666669</v>
      </c>
      <c r="N190" s="89">
        <f t="shared" si="17"/>
        <v>0.9543581112439925</v>
      </c>
      <c r="O190" s="100"/>
      <c r="V190" s="109">
        <f t="shared" si="18"/>
        <v>246.07718559475123</v>
      </c>
      <c r="W190" s="109">
        <f t="shared" si="19"/>
        <v>89.754991129333888</v>
      </c>
      <c r="X190" s="109">
        <f t="shared" si="20"/>
        <v>58.992410905519044</v>
      </c>
      <c r="Y190" s="109">
        <f t="shared" si="21"/>
        <v>51.587044902373016</v>
      </c>
      <c r="Z190" s="109">
        <f t="shared" si="22"/>
        <v>34.885626040371264</v>
      </c>
      <c r="AA190" s="109">
        <f t="shared" si="23"/>
        <v>24.699171806477224</v>
      </c>
    </row>
    <row r="191" spans="1:27" ht="19.5" thickBot="1" x14ac:dyDescent="0.35">
      <c r="A191" s="93">
        <v>110</v>
      </c>
      <c r="B191" s="94" t="s">
        <v>220</v>
      </c>
      <c r="C191" s="93">
        <v>27</v>
      </c>
      <c r="D191" s="94" t="s">
        <v>240</v>
      </c>
      <c r="E191" s="93">
        <v>454535</v>
      </c>
      <c r="F191" s="94" t="s">
        <v>256</v>
      </c>
      <c r="G191" s="95">
        <v>7.5857846084163612</v>
      </c>
      <c r="H191" s="96">
        <v>7.7777056752362856</v>
      </c>
      <c r="I191" s="97">
        <v>5.0429852645112563</v>
      </c>
      <c r="J191" s="98">
        <v>0.86639987440752664</v>
      </c>
      <c r="K191" s="99">
        <v>130</v>
      </c>
      <c r="M191" s="100">
        <f t="shared" si="16"/>
        <v>0.64838983050847465</v>
      </c>
      <c r="N191" s="89">
        <f t="shared" si="17"/>
        <v>5.0429852645112563</v>
      </c>
      <c r="O191" s="100"/>
      <c r="V191" s="109">
        <f t="shared" si="18"/>
        <v>407.0386716166883</v>
      </c>
      <c r="W191" s="109">
        <f t="shared" si="19"/>
        <v>116.13776539424966</v>
      </c>
      <c r="X191" s="109">
        <f t="shared" si="20"/>
        <v>58.891495947668034</v>
      </c>
      <c r="Y191" s="109">
        <f t="shared" si="21"/>
        <v>45.110806080877616</v>
      </c>
      <c r="Z191" s="109">
        <f t="shared" si="22"/>
        <v>14.031035874404079</v>
      </c>
      <c r="AA191" s="109">
        <f t="shared" si="23"/>
        <v>-4.9249977071787576</v>
      </c>
    </row>
    <row r="192" spans="1:27" ht="19.5" thickBot="1" x14ac:dyDescent="0.35">
      <c r="A192" s="93">
        <v>110</v>
      </c>
      <c r="B192" s="94" t="s">
        <v>220</v>
      </c>
      <c r="C192" s="93">
        <v>27</v>
      </c>
      <c r="D192" s="94" t="s">
        <v>240</v>
      </c>
      <c r="E192" s="93">
        <v>454651</v>
      </c>
      <c r="F192" s="94" t="s">
        <v>539</v>
      </c>
      <c r="G192" s="95">
        <v>10.875606546817368</v>
      </c>
      <c r="H192" s="96">
        <v>57.651956909335318</v>
      </c>
      <c r="I192" s="97">
        <v>37.746860208006915</v>
      </c>
      <c r="J192" s="98">
        <v>0</v>
      </c>
      <c r="K192" s="99">
        <v>1</v>
      </c>
      <c r="M192" s="100">
        <f t="shared" si="16"/>
        <v>0.65473684210526317</v>
      </c>
      <c r="N192" s="89">
        <f t="shared" si="17"/>
        <v>37.746860208006915</v>
      </c>
      <c r="O192" s="100"/>
      <c r="V192" s="109">
        <f t="shared" si="18"/>
        <v>0</v>
      </c>
      <c r="W192" s="109">
        <f t="shared" si="19"/>
        <v>-413.01656439218442</v>
      </c>
      <c r="X192" s="109">
        <f t="shared" si="20"/>
        <v>-494.29392388248851</v>
      </c>
      <c r="Y192" s="109">
        <f t="shared" si="21"/>
        <v>-513.85953217723829</v>
      </c>
      <c r="Z192" s="109">
        <f t="shared" si="22"/>
        <v>-557.98610462236093</v>
      </c>
      <c r="AA192" s="109">
        <f t="shared" si="23"/>
        <v>-584.89958511314228</v>
      </c>
    </row>
    <row r="193" spans="1:27" ht="19.5" thickBot="1" x14ac:dyDescent="0.35">
      <c r="A193" s="93">
        <v>110</v>
      </c>
      <c r="B193" s="94" t="s">
        <v>220</v>
      </c>
      <c r="C193" s="93">
        <v>27</v>
      </c>
      <c r="D193" s="94" t="s">
        <v>240</v>
      </c>
      <c r="E193" s="93">
        <v>554686</v>
      </c>
      <c r="F193" s="94" t="s">
        <v>258</v>
      </c>
      <c r="G193" s="95">
        <v>1.70819687558818</v>
      </c>
      <c r="H193" s="96">
        <v>8.1957766110416337</v>
      </c>
      <c r="I193" s="97">
        <v>4.8179458220623319</v>
      </c>
      <c r="J193" s="98">
        <v>0.87236168000430547</v>
      </c>
      <c r="K193" s="99">
        <v>141</v>
      </c>
      <c r="M193" s="100">
        <f t="shared" si="16"/>
        <v>0.58785714285714286</v>
      </c>
      <c r="N193" s="89">
        <f t="shared" si="17"/>
        <v>4.8179458220623319</v>
      </c>
      <c r="O193" s="100"/>
      <c r="V193" s="109">
        <f t="shared" si="18"/>
        <v>101.79247710609044</v>
      </c>
      <c r="W193" s="109">
        <f t="shared" si="19"/>
        <v>29.540974193333682</v>
      </c>
      <c r="X193" s="109">
        <f t="shared" si="20"/>
        <v>15.322630712129671</v>
      </c>
      <c r="Y193" s="109">
        <f t="shared" si="21"/>
        <v>11.899899697022907</v>
      </c>
      <c r="Z193" s="109">
        <f t="shared" si="22"/>
        <v>4.1805696448718948</v>
      </c>
      <c r="AA193" s="109">
        <f t="shared" si="23"/>
        <v>-0.52756940261108221</v>
      </c>
    </row>
    <row r="194" spans="1:27" ht="19.5" thickBot="1" x14ac:dyDescent="0.35">
      <c r="A194" s="93">
        <v>110</v>
      </c>
      <c r="B194" s="94" t="s">
        <v>220</v>
      </c>
      <c r="C194" s="93">
        <v>27</v>
      </c>
      <c r="D194" s="94" t="s">
        <v>240</v>
      </c>
      <c r="E194" s="93">
        <v>454696</v>
      </c>
      <c r="F194" s="94" t="s">
        <v>259</v>
      </c>
      <c r="G194" s="95">
        <v>4.7522852115626311</v>
      </c>
      <c r="H194" s="96">
        <v>1.2625504852700327</v>
      </c>
      <c r="I194" s="97">
        <v>0.91219272560759868</v>
      </c>
      <c r="J194" s="98">
        <v>0.97583394431799386</v>
      </c>
      <c r="K194" s="99">
        <v>266</v>
      </c>
      <c r="M194" s="100">
        <f t="shared" si="16"/>
        <v>0.72250000000000003</v>
      </c>
      <c r="N194" s="89">
        <f t="shared" si="17"/>
        <v>0.91219272560759868</v>
      </c>
      <c r="O194" s="100"/>
      <c r="V194" s="109">
        <f t="shared" si="18"/>
        <v>257.74695656251669</v>
      </c>
      <c r="W194" s="109">
        <f t="shared" si="19"/>
        <v>94.198892576191639</v>
      </c>
      <c r="X194" s="109">
        <f t="shared" si="20"/>
        <v>62.014336467353509</v>
      </c>
      <c r="Y194" s="109">
        <f t="shared" si="21"/>
        <v>54.266663291023981</v>
      </c>
      <c r="Z194" s="109">
        <f t="shared" si="22"/>
        <v>36.793234581517495</v>
      </c>
      <c r="AA194" s="109">
        <f t="shared" si="23"/>
        <v>26.13591957557167</v>
      </c>
    </row>
    <row r="195" spans="1:27" ht="19.5" thickBot="1" x14ac:dyDescent="0.35">
      <c r="A195" s="93">
        <v>110</v>
      </c>
      <c r="B195" s="94" t="s">
        <v>220</v>
      </c>
      <c r="C195" s="93">
        <v>31</v>
      </c>
      <c r="D195" s="94" t="s">
        <v>260</v>
      </c>
      <c r="E195" s="93">
        <v>455151</v>
      </c>
      <c r="F195" s="94" t="s">
        <v>261</v>
      </c>
      <c r="G195" s="95">
        <v>9.7581728930256268</v>
      </c>
      <c r="H195" s="96">
        <v>13.527122489738135</v>
      </c>
      <c r="I195" s="97">
        <v>8.6435238363406288</v>
      </c>
      <c r="J195" s="98">
        <v>0.77101343558881885</v>
      </c>
      <c r="K195" s="99">
        <v>51</v>
      </c>
      <c r="M195" s="100">
        <f t="shared" si="16"/>
        <v>0.63897727272727278</v>
      </c>
      <c r="N195" s="89">
        <f t="shared" si="17"/>
        <v>8.6435238363406288</v>
      </c>
      <c r="O195" s="100"/>
      <c r="V195" s="109">
        <f t="shared" si="18"/>
        <v>472.82237752462089</v>
      </c>
      <c r="W195" s="109">
        <f t="shared" si="19"/>
        <v>93.10203941177582</v>
      </c>
      <c r="X195" s="109">
        <f t="shared" si="20"/>
        <v>18.377030568615762</v>
      </c>
      <c r="Y195" s="109">
        <f t="shared" si="21"/>
        <v>0.38874622946481469</v>
      </c>
      <c r="Z195" s="109">
        <f t="shared" si="22"/>
        <v>-40.18046685592688</v>
      </c>
      <c r="AA195" s="109">
        <f t="shared" si="23"/>
        <v>-64.924258734571296</v>
      </c>
    </row>
    <row r="196" spans="1:27" ht="19.5" thickBot="1" x14ac:dyDescent="0.35">
      <c r="A196" s="93">
        <v>110</v>
      </c>
      <c r="B196" s="94" t="s">
        <v>220</v>
      </c>
      <c r="C196" s="93">
        <v>31</v>
      </c>
      <c r="D196" s="94" t="s">
        <v>260</v>
      </c>
      <c r="E196" s="93">
        <v>455231</v>
      </c>
      <c r="F196" s="94" t="s">
        <v>262</v>
      </c>
      <c r="G196" s="95">
        <v>4.5313841277936655</v>
      </c>
      <c r="H196" s="96">
        <v>11.696205509243759</v>
      </c>
      <c r="I196" s="97">
        <v>7.9324548496182441</v>
      </c>
      <c r="J196" s="98">
        <v>0.78985126694231367</v>
      </c>
      <c r="K196" s="99">
        <v>59</v>
      </c>
      <c r="M196" s="100">
        <f t="shared" si="16"/>
        <v>0.67820754716981135</v>
      </c>
      <c r="N196" s="89">
        <f t="shared" si="17"/>
        <v>7.9324548496182441</v>
      </c>
      <c r="O196" s="100"/>
      <c r="V196" s="109">
        <f t="shared" si="18"/>
        <v>211.91737171424035</v>
      </c>
      <c r="W196" s="109">
        <f t="shared" si="19"/>
        <v>45.787005485856653</v>
      </c>
      <c r="X196" s="109">
        <f t="shared" si="20"/>
        <v>13.094279183047512</v>
      </c>
      <c r="Y196" s="109">
        <f t="shared" si="21"/>
        <v>5.2242760119364728</v>
      </c>
      <c r="Z196" s="109">
        <f t="shared" si="22"/>
        <v>-12.525045135751267</v>
      </c>
      <c r="AA196" s="109">
        <f t="shared" si="23"/>
        <v>-23.350631216043045</v>
      </c>
    </row>
    <row r="197" spans="1:27" ht="19.5" thickBot="1" x14ac:dyDescent="0.35">
      <c r="A197" s="93">
        <v>110</v>
      </c>
      <c r="B197" s="94" t="s">
        <v>220</v>
      </c>
      <c r="C197" s="93">
        <v>31</v>
      </c>
      <c r="D197" s="94" t="s">
        <v>260</v>
      </c>
      <c r="E197" s="93">
        <v>455298</v>
      </c>
      <c r="F197" s="94" t="s">
        <v>263</v>
      </c>
      <c r="G197" s="95">
        <v>1.9389090350509712</v>
      </c>
      <c r="H197" s="96">
        <v>11.346586973546003</v>
      </c>
      <c r="I197" s="97">
        <v>6.2973557703180321</v>
      </c>
      <c r="J197" s="98">
        <v>0.83316875269582746</v>
      </c>
      <c r="K197" s="99">
        <v>97</v>
      </c>
      <c r="M197" s="100">
        <f t="shared" si="16"/>
        <v>0.55500000000000005</v>
      </c>
      <c r="N197" s="89">
        <f t="shared" si="17"/>
        <v>6.2973557703180321</v>
      </c>
      <c r="O197" s="100"/>
      <c r="V197" s="109">
        <f t="shared" si="18"/>
        <v>116.88274545162082</v>
      </c>
      <c r="W197" s="109">
        <f t="shared" si="19"/>
        <v>30.017667649398447</v>
      </c>
      <c r="X197" s="109">
        <f t="shared" si="20"/>
        <v>12.923524788386183</v>
      </c>
      <c r="Y197" s="109">
        <f t="shared" si="21"/>
        <v>8.8085128656261062</v>
      </c>
      <c r="Z197" s="109">
        <f t="shared" si="22"/>
        <v>-0.47212737753678125</v>
      </c>
      <c r="AA197" s="109">
        <f t="shared" si="23"/>
        <v>-6.1325337106357907</v>
      </c>
    </row>
    <row r="198" spans="1:27" ht="19.5" thickBot="1" x14ac:dyDescent="0.35">
      <c r="A198" s="93">
        <v>110</v>
      </c>
      <c r="B198" s="94" t="s">
        <v>220</v>
      </c>
      <c r="C198" s="93">
        <v>31</v>
      </c>
      <c r="D198" s="94" t="s">
        <v>260</v>
      </c>
      <c r="E198" s="93">
        <v>555406</v>
      </c>
      <c r="F198" s="94" t="s">
        <v>264</v>
      </c>
      <c r="G198" s="95">
        <v>2.6634026095456691</v>
      </c>
      <c r="H198" s="96">
        <v>7.8846509816937669</v>
      </c>
      <c r="I198" s="97">
        <v>4.1450736589475801</v>
      </c>
      <c r="J198" s="98">
        <v>0.8901875908060739</v>
      </c>
      <c r="K198" s="99">
        <v>175</v>
      </c>
      <c r="M198" s="100">
        <f t="shared" ref="M198:M261" si="24">IF(ISERROR(I198/H198),$O$3,(I198/H198))</f>
        <v>0.52571428571428569</v>
      </c>
      <c r="N198" s="89">
        <f t="shared" ref="N198:N261" si="25">I198</f>
        <v>4.1450736589475801</v>
      </c>
      <c r="O198" s="100"/>
      <c r="V198" s="109">
        <f t="shared" ref="V198:V261" si="26">(((($O$5-N198))/M198)*G198)+((((($O$5-N198)/$T$2))*$T$3/M198)*G198)</f>
        <v>181.10129563515505</v>
      </c>
      <c r="W198" s="109">
        <f t="shared" ref="W198:W261" si="27">(((($P$5-N198))/M198)*G198)+((((($P$5-N198)/$T$2))*$T$3/M198)*G198)</f>
        <v>55.131099962701121</v>
      </c>
      <c r="X198" s="109">
        <f t="shared" ref="X198:X261" si="28">(((($Q$5-N198))/M198)*G198)+((((($Q$5-N198)/$T$2))*$T$3/M198)*G198)</f>
        <v>30.341477072390372</v>
      </c>
      <c r="Y198" s="109">
        <f t="shared" ref="Y198:Y261" si="29">(((($R$5-N198))/M198)*G198)+((((($R$5-N198)/$T$2))*$T$3/M198)*G198)</f>
        <v>24.373959742988912</v>
      </c>
      <c r="Z198" s="109">
        <f t="shared" ref="Z198:Z261" si="30">(((($S$5-N198))/M198)*G198)+((((($S$5-N198)/$T$2))*$T$3/M198)*G198)</f>
        <v>10.915339812218887</v>
      </c>
      <c r="AA198" s="109">
        <f t="shared" ref="AA198:AA261" si="31">(((($T$5-N198))/M198)*G198)+((((($T$5-N198)/$T$2))*$T$3/M198)*G198)</f>
        <v>2.7067189094717401</v>
      </c>
    </row>
    <row r="199" spans="1:27" ht="19.5" thickBot="1" x14ac:dyDescent="0.35">
      <c r="A199" s="93">
        <v>110</v>
      </c>
      <c r="B199" s="94" t="s">
        <v>220</v>
      </c>
      <c r="C199" s="93">
        <v>31</v>
      </c>
      <c r="D199" s="94" t="s">
        <v>260</v>
      </c>
      <c r="E199" s="93">
        <v>554412</v>
      </c>
      <c r="F199" s="94" t="s">
        <v>265</v>
      </c>
      <c r="G199" s="95">
        <v>2.72292665518472</v>
      </c>
      <c r="H199" s="96">
        <v>8.4467938040878696</v>
      </c>
      <c r="I199" s="97">
        <v>4.5631049137300774</v>
      </c>
      <c r="J199" s="98">
        <v>0.87911299407196397</v>
      </c>
      <c r="K199" s="99">
        <v>154</v>
      </c>
      <c r="M199" s="100">
        <f t="shared" si="24"/>
        <v>0.54021739130434787</v>
      </c>
      <c r="N199" s="89">
        <f t="shared" si="25"/>
        <v>4.5631049137300774</v>
      </c>
      <c r="O199" s="100"/>
      <c r="V199" s="109">
        <f t="shared" si="26"/>
        <v>177.93650683916346</v>
      </c>
      <c r="W199" s="109">
        <f t="shared" si="27"/>
        <v>52.608496900409882</v>
      </c>
      <c r="X199" s="109">
        <f t="shared" si="28"/>
        <v>27.945249475970144</v>
      </c>
      <c r="Y199" s="109">
        <f t="shared" si="29"/>
        <v>22.00815406084844</v>
      </c>
      <c r="Z199" s="109">
        <f t="shared" si="30"/>
        <v>8.6181450714895735</v>
      </c>
      <c r="AA199" s="109">
        <f t="shared" si="31"/>
        <v>0.45137104537033529</v>
      </c>
    </row>
    <row r="200" spans="1:27" ht="19.5" thickBot="1" x14ac:dyDescent="0.35">
      <c r="A200" s="93">
        <v>110</v>
      </c>
      <c r="B200" s="94" t="s">
        <v>220</v>
      </c>
      <c r="C200" s="93">
        <v>31</v>
      </c>
      <c r="D200" s="94" t="s">
        <v>260</v>
      </c>
      <c r="E200" s="93">
        <v>554413</v>
      </c>
      <c r="F200" s="94" t="s">
        <v>266</v>
      </c>
      <c r="G200" s="95">
        <v>3.86437587657784</v>
      </c>
      <c r="H200" s="96">
        <v>6.4693499800384719</v>
      </c>
      <c r="I200" s="97">
        <v>4.0239356875839292</v>
      </c>
      <c r="J200" s="98">
        <v>0.89339681061127396</v>
      </c>
      <c r="K200" s="99">
        <v>182</v>
      </c>
      <c r="M200" s="100">
        <f t="shared" si="24"/>
        <v>0.62199999999999989</v>
      </c>
      <c r="N200" s="89">
        <f t="shared" si="25"/>
        <v>4.0239356875839292</v>
      </c>
      <c r="O200" s="100"/>
      <c r="V200" s="109">
        <f t="shared" si="26"/>
        <v>222.88782924741386</v>
      </c>
      <c r="W200" s="109">
        <f t="shared" si="27"/>
        <v>68.408726118917201</v>
      </c>
      <c r="X200" s="109">
        <f t="shared" si="28"/>
        <v>38.008847079702107</v>
      </c>
      <c r="Y200" s="109">
        <f t="shared" si="29"/>
        <v>30.690792836564327</v>
      </c>
      <c r="Z200" s="109">
        <f t="shared" si="30"/>
        <v>14.186289329570906</v>
      </c>
      <c r="AA200" s="109">
        <f t="shared" si="31"/>
        <v>4.1199368228604767</v>
      </c>
    </row>
    <row r="201" spans="1:27" ht="19.5" thickBot="1" x14ac:dyDescent="0.35">
      <c r="A201" s="93">
        <v>110</v>
      </c>
      <c r="B201" s="94" t="s">
        <v>220</v>
      </c>
      <c r="C201" s="93">
        <v>31</v>
      </c>
      <c r="D201" s="94" t="s">
        <v>260</v>
      </c>
      <c r="E201" s="93">
        <v>454414</v>
      </c>
      <c r="F201" s="94" t="s">
        <v>267</v>
      </c>
      <c r="G201" s="95">
        <v>3.3153751046554638</v>
      </c>
      <c r="H201" s="96">
        <v>8.1438748701727555</v>
      </c>
      <c r="I201" s="97">
        <v>5.6102249105634536</v>
      </c>
      <c r="J201" s="98">
        <v>0.85137240873418651</v>
      </c>
      <c r="K201" s="99">
        <v>118</v>
      </c>
      <c r="M201" s="100">
        <f t="shared" si="24"/>
        <v>0.68888888888888888</v>
      </c>
      <c r="N201" s="89">
        <f t="shared" si="25"/>
        <v>5.6102249105634536</v>
      </c>
      <c r="O201" s="100"/>
      <c r="V201" s="109">
        <f t="shared" si="26"/>
        <v>164.53414645038174</v>
      </c>
      <c r="W201" s="109">
        <f t="shared" si="27"/>
        <v>44.869943169364298</v>
      </c>
      <c r="X201" s="109">
        <f t="shared" si="28"/>
        <v>21.321273922876948</v>
      </c>
      <c r="Y201" s="109">
        <f t="shared" si="29"/>
        <v>15.652486929441778</v>
      </c>
      <c r="Z201" s="109">
        <f t="shared" si="30"/>
        <v>2.8675974349040536</v>
      </c>
      <c r="AA201" s="109">
        <f t="shared" si="31"/>
        <v>-4.9301048320452665</v>
      </c>
    </row>
    <row r="202" spans="1:27" ht="19.5" thickBot="1" x14ac:dyDescent="0.35">
      <c r="A202" s="93">
        <v>110</v>
      </c>
      <c r="B202" s="94" t="s">
        <v>220</v>
      </c>
      <c r="C202" s="93">
        <v>31</v>
      </c>
      <c r="D202" s="94" t="s">
        <v>260</v>
      </c>
      <c r="E202" s="93">
        <v>455456</v>
      </c>
      <c r="F202" s="94" t="s">
        <v>268</v>
      </c>
      <c r="G202" s="95">
        <v>1.6811262612095721</v>
      </c>
      <c r="H202" s="96">
        <v>2.9741965938968171</v>
      </c>
      <c r="I202" s="97">
        <v>2.0343504702254229</v>
      </c>
      <c r="J202" s="98">
        <v>0.94610543873013586</v>
      </c>
      <c r="K202" s="99">
        <v>242</v>
      </c>
      <c r="M202" s="100">
        <f t="shared" si="24"/>
        <v>0.68400000000000005</v>
      </c>
      <c r="N202" s="89">
        <f t="shared" si="25"/>
        <v>2.0343504702254229</v>
      </c>
      <c r="O202" s="100"/>
      <c r="V202" s="109">
        <f t="shared" si="26"/>
        <v>93.376318859473415</v>
      </c>
      <c r="W202" s="109">
        <f t="shared" si="27"/>
        <v>32.26453058477798</v>
      </c>
      <c r="X202" s="109">
        <f t="shared" si="28"/>
        <v>20.238366956189701</v>
      </c>
      <c r="Y202" s="109">
        <f t="shared" si="29"/>
        <v>17.343351562959636</v>
      </c>
      <c r="Z202" s="109">
        <f t="shared" si="30"/>
        <v>10.814185459118557</v>
      </c>
      <c r="AA202" s="109">
        <f t="shared" si="31"/>
        <v>6.83194585110612</v>
      </c>
    </row>
    <row r="203" spans="1:27" ht="19.5" thickBot="1" x14ac:dyDescent="0.35">
      <c r="A203" s="93">
        <v>110</v>
      </c>
      <c r="B203" s="94" t="s">
        <v>220</v>
      </c>
      <c r="C203" s="93">
        <v>31</v>
      </c>
      <c r="D203" s="94" t="s">
        <v>260</v>
      </c>
      <c r="E203" s="93">
        <v>455566</v>
      </c>
      <c r="F203" s="94" t="s">
        <v>269</v>
      </c>
      <c r="G203" s="95">
        <v>2.9011900208253651</v>
      </c>
      <c r="H203" s="96">
        <v>9.3065258759985383</v>
      </c>
      <c r="I203" s="97">
        <v>7.2194512767699779</v>
      </c>
      <c r="J203" s="98">
        <v>0.80874034987316434</v>
      </c>
      <c r="K203" s="99">
        <v>73</v>
      </c>
      <c r="M203" s="100">
        <f t="shared" si="24"/>
        <v>0.77574074074074084</v>
      </c>
      <c r="N203" s="89">
        <f t="shared" si="25"/>
        <v>7.2194512767699779</v>
      </c>
      <c r="O203" s="100"/>
      <c r="V203" s="109">
        <f t="shared" si="26"/>
        <v>121.4567525956996</v>
      </c>
      <c r="W203" s="109">
        <f t="shared" si="27"/>
        <v>28.465877193565767</v>
      </c>
      <c r="X203" s="109">
        <f t="shared" si="28"/>
        <v>10.166241147490666</v>
      </c>
      <c r="Y203" s="109">
        <f t="shared" si="29"/>
        <v>5.7610351582791122</v>
      </c>
      <c r="Z203" s="109">
        <f t="shared" si="30"/>
        <v>-4.1740835607639211</v>
      </c>
      <c r="AA203" s="109">
        <f t="shared" si="31"/>
        <v>-10.233666460638934</v>
      </c>
    </row>
    <row r="204" spans="1:27" ht="19.5" thickBot="1" x14ac:dyDescent="0.35">
      <c r="A204" s="93">
        <v>110</v>
      </c>
      <c r="B204" s="94" t="s">
        <v>220</v>
      </c>
      <c r="C204" s="93">
        <v>31</v>
      </c>
      <c r="D204" s="94" t="s">
        <v>260</v>
      </c>
      <c r="E204" s="93">
        <v>555624</v>
      </c>
      <c r="F204" s="94" t="s">
        <v>270</v>
      </c>
      <c r="G204" s="95">
        <v>2.679098606582758</v>
      </c>
      <c r="H204" s="96">
        <v>4.852378321595916</v>
      </c>
      <c r="I204" s="97">
        <v>2.5363008227110959</v>
      </c>
      <c r="J204" s="98">
        <v>0.93280763462882421</v>
      </c>
      <c r="K204" s="99">
        <v>229</v>
      </c>
      <c r="M204" s="100">
        <f t="shared" si="24"/>
        <v>0.52269230769230768</v>
      </c>
      <c r="N204" s="89">
        <f t="shared" si="25"/>
        <v>2.5363008227110959</v>
      </c>
      <c r="O204" s="100"/>
      <c r="V204" s="109">
        <f t="shared" si="26"/>
        <v>191.99400178790589</v>
      </c>
      <c r="W204" s="109">
        <f t="shared" si="27"/>
        <v>64.548840449300883</v>
      </c>
      <c r="X204" s="109">
        <f t="shared" si="28"/>
        <v>39.468959673425573</v>
      </c>
      <c r="Y204" s="109">
        <f t="shared" si="29"/>
        <v>33.431569600506947</v>
      </c>
      <c r="Z204" s="109">
        <f t="shared" si="30"/>
        <v>19.81536475684786</v>
      </c>
      <c r="AA204" s="109">
        <f t="shared" si="31"/>
        <v>11.510630373182707</v>
      </c>
    </row>
    <row r="205" spans="1:27" ht="19.5" thickBot="1" x14ac:dyDescent="0.35">
      <c r="A205" s="93">
        <v>110</v>
      </c>
      <c r="B205" s="94" t="s">
        <v>220</v>
      </c>
      <c r="C205" s="93">
        <v>31</v>
      </c>
      <c r="D205" s="94" t="s">
        <v>260</v>
      </c>
      <c r="E205" s="93">
        <v>455676</v>
      </c>
      <c r="F205" s="94" t="s">
        <v>271</v>
      </c>
      <c r="G205" s="95">
        <v>1.8440784320868473</v>
      </c>
      <c r="H205" s="96">
        <v>4.3382102739235542</v>
      </c>
      <c r="I205" s="97">
        <v>2.6300399785661543</v>
      </c>
      <c r="J205" s="98">
        <v>0.93032427163284259</v>
      </c>
      <c r="K205" s="99">
        <v>227</v>
      </c>
      <c r="M205" s="100">
        <f t="shared" si="24"/>
        <v>0.60624999999999996</v>
      </c>
      <c r="N205" s="89">
        <f t="shared" si="25"/>
        <v>2.6300399785661543</v>
      </c>
      <c r="O205" s="100"/>
      <c r="V205" s="109">
        <f t="shared" si="26"/>
        <v>113.63574606463314</v>
      </c>
      <c r="W205" s="109">
        <f t="shared" si="27"/>
        <v>38.003256079003954</v>
      </c>
      <c r="X205" s="109">
        <f t="shared" si="28"/>
        <v>23.119569545134901</v>
      </c>
      <c r="Y205" s="109">
        <f t="shared" si="29"/>
        <v>19.536672874651131</v>
      </c>
      <c r="Z205" s="109">
        <f t="shared" si="30"/>
        <v>11.456119123817031</v>
      </c>
      <c r="AA205" s="109">
        <f t="shared" si="31"/>
        <v>6.5276641435838823</v>
      </c>
    </row>
    <row r="206" spans="1:27" ht="19.5" thickBot="1" x14ac:dyDescent="0.35">
      <c r="A206" s="93">
        <v>110</v>
      </c>
      <c r="B206" s="94" t="s">
        <v>220</v>
      </c>
      <c r="C206" s="93">
        <v>31</v>
      </c>
      <c r="D206" s="94" t="s">
        <v>260</v>
      </c>
      <c r="E206" s="93">
        <v>455678</v>
      </c>
      <c r="F206" s="94" t="s">
        <v>272</v>
      </c>
      <c r="G206" s="95">
        <v>9.2280619185625046</v>
      </c>
      <c r="H206" s="96">
        <v>5.9600813784491367</v>
      </c>
      <c r="I206" s="97">
        <v>3.4210867112298047</v>
      </c>
      <c r="J206" s="98">
        <v>0.90936764826590477</v>
      </c>
      <c r="K206" s="99">
        <v>209</v>
      </c>
      <c r="M206" s="100">
        <f t="shared" si="24"/>
        <v>0.57400000000000007</v>
      </c>
      <c r="N206" s="89">
        <f t="shared" si="25"/>
        <v>3.4210867112298047</v>
      </c>
      <c r="O206" s="100"/>
      <c r="V206" s="109">
        <f t="shared" si="26"/>
        <v>587.07161989549058</v>
      </c>
      <c r="W206" s="109">
        <f t="shared" si="27"/>
        <v>187.32999894991383</v>
      </c>
      <c r="X206" s="109">
        <f t="shared" si="28"/>
        <v>108.66501010946776</v>
      </c>
      <c r="Y206" s="109">
        <f t="shared" si="29"/>
        <v>89.72826846560767</v>
      </c>
      <c r="Z206" s="109">
        <f t="shared" si="30"/>
        <v>47.019987208306254</v>
      </c>
      <c r="AA206" s="109">
        <f t="shared" si="31"/>
        <v>20.971544496317836</v>
      </c>
    </row>
    <row r="207" spans="1:27" ht="19.5" thickBot="1" x14ac:dyDescent="0.35">
      <c r="A207" s="93">
        <v>110</v>
      </c>
      <c r="B207" s="94" t="s">
        <v>220</v>
      </c>
      <c r="C207" s="93">
        <v>31</v>
      </c>
      <c r="D207" s="94" t="s">
        <v>260</v>
      </c>
      <c r="E207" s="93">
        <v>555679</v>
      </c>
      <c r="F207" s="94" t="s">
        <v>273</v>
      </c>
      <c r="G207" s="95">
        <v>3.805125832559213</v>
      </c>
      <c r="H207" s="96">
        <v>9.9865291378399288</v>
      </c>
      <c r="I207" s="97">
        <v>5.9196465481537999</v>
      </c>
      <c r="J207" s="98">
        <v>0.84317512726798616</v>
      </c>
      <c r="K207" s="99">
        <v>107</v>
      </c>
      <c r="M207" s="100">
        <f t="shared" si="24"/>
        <v>0.59276315789473688</v>
      </c>
      <c r="N207" s="89">
        <f t="shared" si="25"/>
        <v>5.9196465481537999</v>
      </c>
      <c r="O207" s="100"/>
      <c r="V207" s="109">
        <f t="shared" si="26"/>
        <v>217.34947029393177</v>
      </c>
      <c r="W207" s="109">
        <f t="shared" si="27"/>
        <v>57.736352190952182</v>
      </c>
      <c r="X207" s="109">
        <f t="shared" si="28"/>
        <v>26.326152460789153</v>
      </c>
      <c r="Y207" s="109">
        <f t="shared" si="29"/>
        <v>18.764887328233552</v>
      </c>
      <c r="Z207" s="109">
        <f t="shared" si="30"/>
        <v>1.7118671193997042</v>
      </c>
      <c r="AA207" s="109">
        <f t="shared" si="31"/>
        <v>-8.6890342257053046</v>
      </c>
    </row>
    <row r="208" spans="1:27" ht="19.5" thickBot="1" x14ac:dyDescent="0.35">
      <c r="A208" s="93">
        <v>110</v>
      </c>
      <c r="B208" s="94" t="s">
        <v>220</v>
      </c>
      <c r="C208" s="93">
        <v>31</v>
      </c>
      <c r="D208" s="94" t="s">
        <v>260</v>
      </c>
      <c r="E208" s="93">
        <v>554700</v>
      </c>
      <c r="F208" s="94" t="s">
        <v>274</v>
      </c>
      <c r="G208" s="95">
        <v>2.6579345241916128</v>
      </c>
      <c r="H208" s="96">
        <v>13.544351703302052</v>
      </c>
      <c r="I208" s="97">
        <v>7.6582021922420358</v>
      </c>
      <c r="J208" s="98">
        <v>0.79711684230050028</v>
      </c>
      <c r="K208" s="99">
        <v>66</v>
      </c>
      <c r="M208" s="100">
        <f t="shared" si="24"/>
        <v>0.56541666666666668</v>
      </c>
      <c r="N208" s="89">
        <f t="shared" si="25"/>
        <v>7.6582021922420358</v>
      </c>
      <c r="O208" s="100"/>
      <c r="V208" s="109">
        <f t="shared" si="26"/>
        <v>150.4702480628975</v>
      </c>
      <c r="W208" s="109">
        <f t="shared" si="27"/>
        <v>33.585879765599827</v>
      </c>
      <c r="X208" s="109">
        <f t="shared" si="28"/>
        <v>10.584253099905856</v>
      </c>
      <c r="Y208" s="109">
        <f t="shared" si="29"/>
        <v>5.0471537120163479</v>
      </c>
      <c r="Z208" s="109">
        <f t="shared" si="30"/>
        <v>-7.4407390023193152</v>
      </c>
      <c r="AA208" s="109">
        <f t="shared" si="31"/>
        <v>-15.057298329609461</v>
      </c>
    </row>
    <row r="209" spans="1:27" ht="19.5" thickBot="1" x14ac:dyDescent="0.35">
      <c r="A209" s="93">
        <v>160</v>
      </c>
      <c r="B209" s="94" t="s">
        <v>275</v>
      </c>
      <c r="C209" s="93">
        <v>45</v>
      </c>
      <c r="D209" s="94" t="s">
        <v>276</v>
      </c>
      <c r="E209" s="93">
        <v>557105</v>
      </c>
      <c r="F209" s="94" t="s">
        <v>277</v>
      </c>
      <c r="G209" s="95">
        <v>3.8329039945897279</v>
      </c>
      <c r="H209" s="96">
        <v>5.4788745112432249</v>
      </c>
      <c r="I209" s="97">
        <v>3.9265267330576448</v>
      </c>
      <c r="J209" s="98">
        <v>0.8959773949033053</v>
      </c>
      <c r="K209" s="99">
        <v>187</v>
      </c>
      <c r="M209" s="100">
        <f t="shared" si="24"/>
        <v>0.71666666666666667</v>
      </c>
      <c r="N209" s="89">
        <f t="shared" si="25"/>
        <v>3.9265267330576448</v>
      </c>
      <c r="O209" s="100"/>
      <c r="V209" s="109">
        <f t="shared" si="26"/>
        <v>192.42467779488831</v>
      </c>
      <c r="W209" s="109">
        <f t="shared" si="27"/>
        <v>59.443094988306754</v>
      </c>
      <c r="X209" s="109">
        <f t="shared" si="28"/>
        <v>33.273704113472604</v>
      </c>
      <c r="Y209" s="109">
        <f t="shared" si="29"/>
        <v>26.974040167939485</v>
      </c>
      <c r="Z209" s="109">
        <f t="shared" si="30"/>
        <v>12.766325626956441</v>
      </c>
      <c r="AA209" s="109">
        <f t="shared" si="31"/>
        <v>4.1008203105651084</v>
      </c>
    </row>
    <row r="210" spans="1:27" ht="19.5" thickBot="1" x14ac:dyDescent="0.35">
      <c r="A210" s="93">
        <v>160</v>
      </c>
      <c r="B210" s="94" t="s">
        <v>275</v>
      </c>
      <c r="C210" s="93">
        <v>45</v>
      </c>
      <c r="D210" s="94" t="s">
        <v>276</v>
      </c>
      <c r="E210" s="93">
        <v>557178</v>
      </c>
      <c r="F210" s="94" t="s">
        <v>278</v>
      </c>
      <c r="G210" s="95">
        <v>2.9999554737973488</v>
      </c>
      <c r="H210" s="96">
        <v>1.6666914038130678</v>
      </c>
      <c r="I210" s="97">
        <v>0.96668101421157926</v>
      </c>
      <c r="J210" s="98">
        <v>0.9743904258821896</v>
      </c>
      <c r="K210" s="99">
        <v>263</v>
      </c>
      <c r="M210" s="100">
        <f t="shared" si="24"/>
        <v>0.57999999999999996</v>
      </c>
      <c r="N210" s="89">
        <f t="shared" si="25"/>
        <v>0.96668101421157926</v>
      </c>
      <c r="O210" s="100"/>
      <c r="V210" s="109">
        <f t="shared" si="26"/>
        <v>202.3824282826003</v>
      </c>
      <c r="W210" s="109">
        <f t="shared" si="27"/>
        <v>73.774548966443177</v>
      </c>
      <c r="X210" s="109">
        <f t="shared" si="28"/>
        <v>48.465857398956096</v>
      </c>
      <c r="Y210" s="109">
        <f t="shared" si="29"/>
        <v>42.373386521858286</v>
      </c>
      <c r="Z210" s="109">
        <f t="shared" si="30"/>
        <v>28.632957219683323</v>
      </c>
      <c r="AA210" s="109">
        <f t="shared" si="31"/>
        <v>20.252456413305364</v>
      </c>
    </row>
    <row r="211" spans="1:27" ht="19.5" thickBot="1" x14ac:dyDescent="0.35">
      <c r="A211" s="93">
        <v>160</v>
      </c>
      <c r="B211" s="94" t="s">
        <v>275</v>
      </c>
      <c r="C211" s="93">
        <v>45</v>
      </c>
      <c r="D211" s="94" t="s">
        <v>276</v>
      </c>
      <c r="E211" s="93">
        <v>557224</v>
      </c>
      <c r="F211" s="94" t="s">
        <v>279</v>
      </c>
      <c r="G211" s="95">
        <v>3.3130774244478118</v>
      </c>
      <c r="H211" s="96">
        <v>0.9055025330414691</v>
      </c>
      <c r="I211" s="97">
        <v>0.85117238105898085</v>
      </c>
      <c r="J211" s="98">
        <v>0.97745051174141295</v>
      </c>
      <c r="K211" s="99">
        <v>269</v>
      </c>
      <c r="M211" s="100">
        <f t="shared" si="24"/>
        <v>0.93999999999999984</v>
      </c>
      <c r="N211" s="89">
        <f t="shared" si="25"/>
        <v>0.85117238105898085</v>
      </c>
      <c r="O211" s="100"/>
      <c r="V211" s="109">
        <f t="shared" si="26"/>
        <v>138.34118424506019</v>
      </c>
      <c r="W211" s="109">
        <f t="shared" si="27"/>
        <v>50.704791444155809</v>
      </c>
      <c r="X211" s="109">
        <f t="shared" si="28"/>
        <v>33.458861822434798</v>
      </c>
      <c r="Y211" s="109">
        <f t="shared" si="29"/>
        <v>29.307310815199301</v>
      </c>
      <c r="Z211" s="109">
        <f t="shared" si="30"/>
        <v>19.944263496626643</v>
      </c>
      <c r="AA211" s="109">
        <f t="shared" si="31"/>
        <v>14.233595810935578</v>
      </c>
    </row>
    <row r="212" spans="1:27" ht="19.5" thickBot="1" x14ac:dyDescent="0.35">
      <c r="A212" s="93">
        <v>160</v>
      </c>
      <c r="B212" s="94" t="s">
        <v>275</v>
      </c>
      <c r="C212" s="93">
        <v>45</v>
      </c>
      <c r="D212" s="94" t="s">
        <v>276</v>
      </c>
      <c r="E212" s="93">
        <v>557432</v>
      </c>
      <c r="F212" s="94" t="s">
        <v>280</v>
      </c>
      <c r="G212" s="95">
        <v>3.7658184204937859</v>
      </c>
      <c r="H212" s="96">
        <v>6.3731166296788802</v>
      </c>
      <c r="I212" s="97">
        <v>4.3509798323870195</v>
      </c>
      <c r="J212" s="98">
        <v>0.88473266893165114</v>
      </c>
      <c r="K212" s="99">
        <v>160</v>
      </c>
      <c r="M212" s="100">
        <f t="shared" si="24"/>
        <v>0.68270833333333347</v>
      </c>
      <c r="N212" s="89">
        <f t="shared" si="25"/>
        <v>4.3509798323870195</v>
      </c>
      <c r="O212" s="100"/>
      <c r="V212" s="109">
        <f t="shared" si="26"/>
        <v>195.96982941655196</v>
      </c>
      <c r="W212" s="109">
        <f t="shared" si="27"/>
        <v>58.816948913600847</v>
      </c>
      <c r="X212" s="109">
        <f t="shared" si="28"/>
        <v>31.826690084214199</v>
      </c>
      <c r="Y212" s="109">
        <f t="shared" si="29"/>
        <v>25.329421529461435</v>
      </c>
      <c r="Z212" s="109">
        <f t="shared" si="30"/>
        <v>10.676046727224934</v>
      </c>
      <c r="AA212" s="109">
        <f t="shared" si="31"/>
        <v>1.7387263098153238</v>
      </c>
    </row>
    <row r="213" spans="1:27" ht="19.5" thickBot="1" x14ac:dyDescent="0.35">
      <c r="A213" s="93">
        <v>160</v>
      </c>
      <c r="B213" s="94" t="s">
        <v>275</v>
      </c>
      <c r="C213" s="93">
        <v>45</v>
      </c>
      <c r="D213" s="94" t="s">
        <v>276</v>
      </c>
      <c r="E213" s="93">
        <v>557433</v>
      </c>
      <c r="F213" s="94" t="s">
        <v>281</v>
      </c>
      <c r="G213" s="95">
        <v>3.1091044286239744</v>
      </c>
      <c r="H213" s="96">
        <v>0.64327205660478859</v>
      </c>
      <c r="I213" s="97">
        <v>0.13830349217002955</v>
      </c>
      <c r="J213" s="98">
        <v>0.99633602658849241</v>
      </c>
      <c r="K213" s="99">
        <v>280</v>
      </c>
      <c r="M213" s="100">
        <f t="shared" si="24"/>
        <v>0.215</v>
      </c>
      <c r="N213" s="89">
        <f t="shared" si="25"/>
        <v>0.13830349217002955</v>
      </c>
      <c r="O213" s="100"/>
      <c r="V213" s="109">
        <f t="shared" si="26"/>
        <v>578.56966966533582</v>
      </c>
      <c r="W213" s="109">
        <f t="shared" si="27"/>
        <v>219.00450392070979</v>
      </c>
      <c r="X213" s="109">
        <f t="shared" si="28"/>
        <v>148.24582314134443</v>
      </c>
      <c r="Y213" s="109">
        <f t="shared" si="29"/>
        <v>131.21233878279492</v>
      </c>
      <c r="Z213" s="109">
        <f t="shared" si="30"/>
        <v>92.796498589260494</v>
      </c>
      <c r="AA213" s="109">
        <f t="shared" si="31"/>
        <v>69.366082214377485</v>
      </c>
    </row>
    <row r="214" spans="1:27" ht="19.5" thickBot="1" x14ac:dyDescent="0.35">
      <c r="A214" s="93">
        <v>160</v>
      </c>
      <c r="B214" s="94" t="s">
        <v>275</v>
      </c>
      <c r="C214" s="93">
        <v>45</v>
      </c>
      <c r="D214" s="94" t="s">
        <v>276</v>
      </c>
      <c r="E214" s="93">
        <v>557434</v>
      </c>
      <c r="F214" s="94" t="s">
        <v>282</v>
      </c>
      <c r="G214" s="95">
        <v>3.7737096625031326</v>
      </c>
      <c r="H214" s="96">
        <v>8.7447108949316537</v>
      </c>
      <c r="I214" s="97">
        <v>6.1703210057116236</v>
      </c>
      <c r="J214" s="98">
        <v>0.83653419193782985</v>
      </c>
      <c r="K214" s="99">
        <v>100</v>
      </c>
      <c r="M214" s="100">
        <f t="shared" si="24"/>
        <v>0.70560606060606068</v>
      </c>
      <c r="N214" s="89">
        <f t="shared" si="25"/>
        <v>6.1703210057116236</v>
      </c>
      <c r="O214" s="100"/>
      <c r="V214" s="109">
        <f t="shared" si="26"/>
        <v>179.65646801071151</v>
      </c>
      <c r="W214" s="109">
        <f t="shared" si="27"/>
        <v>46.676279841264261</v>
      </c>
      <c r="X214" s="109">
        <f t="shared" si="28"/>
        <v>20.507163416496986</v>
      </c>
      <c r="Y214" s="109">
        <f t="shared" si="29"/>
        <v>14.207565538347689</v>
      </c>
      <c r="Z214" s="109">
        <f t="shared" si="30"/>
        <v>0</v>
      </c>
      <c r="AA214" s="109">
        <f t="shared" si="31"/>
        <v>-8.6654144373745048</v>
      </c>
    </row>
    <row r="215" spans="1:27" ht="19.5" thickBot="1" x14ac:dyDescent="0.35">
      <c r="A215" s="93">
        <v>160</v>
      </c>
      <c r="B215" s="94" t="s">
        <v>275</v>
      </c>
      <c r="C215" s="93">
        <v>45</v>
      </c>
      <c r="D215" s="94" t="s">
        <v>276</v>
      </c>
      <c r="E215" s="93">
        <v>557436</v>
      </c>
      <c r="F215" s="94" t="s">
        <v>283</v>
      </c>
      <c r="G215" s="95">
        <v>4.8901018720292821</v>
      </c>
      <c r="H215" s="96">
        <v>9.4067569968457594</v>
      </c>
      <c r="I215" s="97">
        <v>6.4027295993747986</v>
      </c>
      <c r="J215" s="98">
        <v>0.83037716079981028</v>
      </c>
      <c r="K215" s="99">
        <v>93</v>
      </c>
      <c r="M215" s="100">
        <f t="shared" si="24"/>
        <v>0.68065217391304345</v>
      </c>
      <c r="N215" s="89">
        <f t="shared" si="25"/>
        <v>6.4027295993747986</v>
      </c>
      <c r="O215" s="100"/>
      <c r="V215" s="109">
        <f t="shared" si="26"/>
        <v>239.56371838425977</v>
      </c>
      <c r="W215" s="109">
        <f t="shared" si="27"/>
        <v>60.925889282315254</v>
      </c>
      <c r="X215" s="109">
        <f t="shared" si="28"/>
        <v>25.771824515316236</v>
      </c>
      <c r="Y215" s="109">
        <f t="shared" si="29"/>
        <v>17.309312131638013</v>
      </c>
      <c r="Z215" s="109">
        <f t="shared" si="30"/>
        <v>-1.7763027974070995</v>
      </c>
      <c r="AA215" s="109">
        <f t="shared" si="31"/>
        <v>-13.416915167339678</v>
      </c>
    </row>
    <row r="216" spans="1:27" ht="19.5" thickBot="1" x14ac:dyDescent="0.35">
      <c r="A216" s="93">
        <v>160</v>
      </c>
      <c r="B216" s="94" t="s">
        <v>275</v>
      </c>
      <c r="C216" s="93">
        <v>45</v>
      </c>
      <c r="D216" s="94" t="s">
        <v>276</v>
      </c>
      <c r="E216" s="93">
        <v>557437</v>
      </c>
      <c r="F216" s="94" t="s">
        <v>540</v>
      </c>
      <c r="G216" s="95">
        <v>3.2304346183598343</v>
      </c>
      <c r="H216" s="96">
        <v>1.5477793519122869</v>
      </c>
      <c r="I216" s="97">
        <v>1.2753701859757245</v>
      </c>
      <c r="J216" s="98">
        <v>0.96621254909818455</v>
      </c>
      <c r="K216" s="99">
        <v>258</v>
      </c>
      <c r="M216" s="100">
        <f t="shared" si="24"/>
        <v>0.82400000000000007</v>
      </c>
      <c r="N216" s="89">
        <f t="shared" si="25"/>
        <v>1.2753701859757245</v>
      </c>
      <c r="O216" s="100"/>
      <c r="V216" s="109">
        <f t="shared" si="26"/>
        <v>152.11057109886235</v>
      </c>
      <c r="W216" s="109">
        <f t="shared" si="27"/>
        <v>54.630798888388604</v>
      </c>
      <c r="X216" s="109">
        <f t="shared" si="28"/>
        <v>35.447794689408433</v>
      </c>
      <c r="Y216" s="109">
        <f t="shared" si="29"/>
        <v>30.829938641580512</v>
      </c>
      <c r="Z216" s="109">
        <f t="shared" si="30"/>
        <v>20.415227462357592</v>
      </c>
      <c r="AA216" s="109">
        <f t="shared" si="31"/>
        <v>14.063133687394119</v>
      </c>
    </row>
    <row r="217" spans="1:27" ht="19.5" thickBot="1" x14ac:dyDescent="0.35">
      <c r="A217" s="93">
        <v>160</v>
      </c>
      <c r="B217" s="94" t="s">
        <v>275</v>
      </c>
      <c r="C217" s="93">
        <v>45</v>
      </c>
      <c r="D217" s="94" t="s">
        <v>276</v>
      </c>
      <c r="E217" s="93">
        <v>557440</v>
      </c>
      <c r="F217" s="94" t="s">
        <v>284</v>
      </c>
      <c r="G217" s="95">
        <v>2.8985915401731601</v>
      </c>
      <c r="H217" s="96">
        <v>2.0699708519957811</v>
      </c>
      <c r="I217" s="97">
        <v>1.1660835799576235</v>
      </c>
      <c r="J217" s="98">
        <v>0.96910779933663804</v>
      </c>
      <c r="K217" s="99">
        <v>260</v>
      </c>
      <c r="M217" s="100">
        <f t="shared" si="24"/>
        <v>0.56333333333333335</v>
      </c>
      <c r="N217" s="89">
        <f t="shared" si="25"/>
        <v>1.1660835799576235</v>
      </c>
      <c r="O217" s="100"/>
      <c r="V217" s="109">
        <f t="shared" si="26"/>
        <v>200.23806433405716</v>
      </c>
      <c r="W217" s="109">
        <f t="shared" si="27"/>
        <v>72.299246894441566</v>
      </c>
      <c r="X217" s="109">
        <f t="shared" si="28"/>
        <v>47.122219737898753</v>
      </c>
      <c r="Y217" s="109">
        <f t="shared" si="29"/>
        <v>41.061443963927431</v>
      </c>
      <c r="Z217" s="109">
        <f t="shared" si="30"/>
        <v>27.392497042632105</v>
      </c>
      <c r="AA217" s="109">
        <f t="shared" si="31"/>
        <v>19.055594448320839</v>
      </c>
    </row>
    <row r="218" spans="1:27" ht="19.5" thickBot="1" x14ac:dyDescent="0.35">
      <c r="A218" s="93">
        <v>160</v>
      </c>
      <c r="B218" s="94" t="s">
        <v>275</v>
      </c>
      <c r="C218" s="93">
        <v>45</v>
      </c>
      <c r="D218" s="94" t="s">
        <v>276</v>
      </c>
      <c r="E218" s="93">
        <v>557441</v>
      </c>
      <c r="F218" s="94" t="s">
        <v>285</v>
      </c>
      <c r="G218" s="95">
        <v>2.6161258949061263</v>
      </c>
      <c r="H218" s="96">
        <v>5.7336690215125294</v>
      </c>
      <c r="I218" s="97">
        <v>4.0269468761089664</v>
      </c>
      <c r="J218" s="98">
        <v>0.89331703739282764</v>
      </c>
      <c r="K218" s="99">
        <v>181</v>
      </c>
      <c r="M218" s="100">
        <f t="shared" si="24"/>
        <v>0.70233333333333337</v>
      </c>
      <c r="N218" s="89">
        <f t="shared" si="25"/>
        <v>4.0269468761089664</v>
      </c>
      <c r="O218" s="100"/>
      <c r="V218" s="109">
        <f t="shared" si="26"/>
        <v>133.62076529335124</v>
      </c>
      <c r="W218" s="109">
        <f t="shared" si="27"/>
        <v>41.00261136349117</v>
      </c>
      <c r="X218" s="109">
        <f t="shared" si="28"/>
        <v>22.776323022335191</v>
      </c>
      <c r="Y218" s="109">
        <f t="shared" si="29"/>
        <v>18.38877376401113</v>
      </c>
      <c r="Z218" s="109">
        <f t="shared" si="30"/>
        <v>8.4934765012148841</v>
      </c>
      <c r="AA218" s="109">
        <f t="shared" si="31"/>
        <v>2.4581813247325073</v>
      </c>
    </row>
    <row r="219" spans="1:27" ht="19.5" thickBot="1" x14ac:dyDescent="0.35">
      <c r="A219" s="93">
        <v>160</v>
      </c>
      <c r="B219" s="94" t="s">
        <v>275</v>
      </c>
      <c r="C219" s="93">
        <v>45</v>
      </c>
      <c r="D219" s="94" t="s">
        <v>276</v>
      </c>
      <c r="E219" s="93">
        <v>557439</v>
      </c>
      <c r="F219" s="94" t="s">
        <v>286</v>
      </c>
      <c r="G219" s="95">
        <v>3.8096855577145412</v>
      </c>
      <c r="H219" s="96">
        <v>1.0499554200477452</v>
      </c>
      <c r="I219" s="97">
        <v>1.2560091712321153</v>
      </c>
      <c r="J219" s="98">
        <v>0.96672546632194623</v>
      </c>
      <c r="K219" s="99">
        <v>259</v>
      </c>
      <c r="M219" s="100">
        <f t="shared" si="24"/>
        <v>1.19625</v>
      </c>
      <c r="N219" s="89">
        <f t="shared" si="25"/>
        <v>1.2560091712321153</v>
      </c>
      <c r="O219" s="100"/>
      <c r="V219" s="109">
        <f t="shared" si="26"/>
        <v>123.62984342338748</v>
      </c>
      <c r="W219" s="109">
        <f t="shared" si="27"/>
        <v>44.44392786770063</v>
      </c>
      <c r="X219" s="109">
        <f t="shared" si="28"/>
        <v>28.860964180372491</v>
      </c>
      <c r="Y219" s="109">
        <f t="shared" si="29"/>
        <v>25.109733019695543</v>
      </c>
      <c r="Z219" s="109">
        <f t="shared" si="30"/>
        <v>16.649532290110706</v>
      </c>
      <c r="AA219" s="109">
        <f t="shared" si="31"/>
        <v>11.489524733055529</v>
      </c>
    </row>
    <row r="220" spans="1:27" ht="19.5" thickBot="1" x14ac:dyDescent="0.35">
      <c r="A220" s="93">
        <v>160</v>
      </c>
      <c r="B220" s="94" t="s">
        <v>275</v>
      </c>
      <c r="C220" s="93">
        <v>45</v>
      </c>
      <c r="D220" s="94" t="s">
        <v>276</v>
      </c>
      <c r="E220" s="93">
        <v>457443</v>
      </c>
      <c r="F220" s="94" t="s">
        <v>287</v>
      </c>
      <c r="G220" s="95">
        <v>3.9282501081079944</v>
      </c>
      <c r="H220" s="96">
        <v>8.4006870977709074</v>
      </c>
      <c r="I220" s="97">
        <v>5.7277412030256185</v>
      </c>
      <c r="J220" s="98">
        <v>0.84825913542311948</v>
      </c>
      <c r="K220" s="99">
        <v>114</v>
      </c>
      <c r="M220" s="100">
        <f t="shared" si="24"/>
        <v>0.68181818181818177</v>
      </c>
      <c r="N220" s="89">
        <f t="shared" si="25"/>
        <v>5.7277412030256185</v>
      </c>
      <c r="O220" s="100"/>
      <c r="V220" s="109">
        <f t="shared" si="26"/>
        <v>196.25109001719798</v>
      </c>
      <c r="W220" s="109">
        <f t="shared" si="27"/>
        <v>52.995586788108582</v>
      </c>
      <c r="X220" s="109">
        <f t="shared" si="28"/>
        <v>24.804395347517875</v>
      </c>
      <c r="Y220" s="109">
        <f t="shared" si="29"/>
        <v>18.01803057696084</v>
      </c>
      <c r="Z220" s="109">
        <f t="shared" si="30"/>
        <v>2.7126532957765757</v>
      </c>
      <c r="AA220" s="109">
        <f t="shared" si="31"/>
        <v>-6.6223335395023248</v>
      </c>
    </row>
    <row r="221" spans="1:27" ht="19.5" thickBot="1" x14ac:dyDescent="0.35">
      <c r="A221" s="93">
        <v>160</v>
      </c>
      <c r="B221" s="94" t="s">
        <v>275</v>
      </c>
      <c r="C221" s="93">
        <v>45</v>
      </c>
      <c r="D221" s="94" t="s">
        <v>276</v>
      </c>
      <c r="E221" s="93">
        <v>557444</v>
      </c>
      <c r="F221" s="94" t="s">
        <v>541</v>
      </c>
      <c r="G221" s="95">
        <v>5.9821857505261598</v>
      </c>
      <c r="H221" s="96">
        <v>14.877505265056682</v>
      </c>
      <c r="I221" s="97">
        <v>9.583453672423591</v>
      </c>
      <c r="J221" s="98">
        <v>0.746112560896105</v>
      </c>
      <c r="K221" s="99">
        <v>33</v>
      </c>
      <c r="M221" s="100">
        <f t="shared" si="24"/>
        <v>0.64415730337078658</v>
      </c>
      <c r="N221" s="89">
        <f t="shared" si="25"/>
        <v>9.583453672423591</v>
      </c>
      <c r="O221" s="100"/>
      <c r="V221" s="109">
        <f t="shared" si="26"/>
        <v>278.24366776234501</v>
      </c>
      <c r="W221" s="109">
        <f t="shared" si="27"/>
        <v>47.330488606677548</v>
      </c>
      <c r="X221" s="109">
        <f t="shared" si="28"/>
        <v>1.8891792468359268</v>
      </c>
      <c r="Y221" s="109">
        <f t="shared" si="29"/>
        <v>-9.0497447648535569</v>
      </c>
      <c r="Z221" s="109">
        <f t="shared" si="30"/>
        <v>-33.720443247713156</v>
      </c>
      <c r="AA221" s="109">
        <f t="shared" si="31"/>
        <v>-48.767484645232365</v>
      </c>
    </row>
    <row r="222" spans="1:27" ht="19.5" thickBot="1" x14ac:dyDescent="0.35">
      <c r="A222" s="93">
        <v>160</v>
      </c>
      <c r="B222" s="94" t="s">
        <v>275</v>
      </c>
      <c r="C222" s="93">
        <v>45</v>
      </c>
      <c r="D222" s="94" t="s">
        <v>276</v>
      </c>
      <c r="E222" s="93">
        <v>557445</v>
      </c>
      <c r="F222" s="94" t="s">
        <v>288</v>
      </c>
      <c r="G222" s="95">
        <v>3.051458348283218</v>
      </c>
      <c r="H222" s="96">
        <v>13.108486315241501</v>
      </c>
      <c r="I222" s="97">
        <v>7.4669215173194408</v>
      </c>
      <c r="J222" s="98">
        <v>0.80218430152408948</v>
      </c>
      <c r="K222" s="99">
        <v>69</v>
      </c>
      <c r="M222" s="100">
        <f t="shared" si="24"/>
        <v>0.56962500000000005</v>
      </c>
      <c r="N222" s="89">
        <f t="shared" si="25"/>
        <v>7.4669215173194408</v>
      </c>
      <c r="O222" s="100"/>
      <c r="V222" s="109">
        <f t="shared" si="26"/>
        <v>172.56214979657631</v>
      </c>
      <c r="W222" s="109">
        <f t="shared" si="27"/>
        <v>39.363701226222048</v>
      </c>
      <c r="X222" s="109">
        <f t="shared" si="28"/>
        <v>13.151633427111907</v>
      </c>
      <c r="Y222" s="109">
        <f t="shared" si="29"/>
        <v>6.8416960181094382</v>
      </c>
      <c r="Z222" s="109">
        <f t="shared" si="30"/>
        <v>-7.3891883994863452</v>
      </c>
      <c r="AA222" s="109">
        <f t="shared" si="31"/>
        <v>-16.068825382754053</v>
      </c>
    </row>
    <row r="223" spans="1:27" ht="19.5" thickBot="1" x14ac:dyDescent="0.35">
      <c r="A223" s="93">
        <v>160</v>
      </c>
      <c r="B223" s="94" t="s">
        <v>275</v>
      </c>
      <c r="C223" s="93">
        <v>45</v>
      </c>
      <c r="D223" s="94" t="s">
        <v>276</v>
      </c>
      <c r="E223" s="93">
        <v>457446</v>
      </c>
      <c r="F223" s="94" t="s">
        <v>289</v>
      </c>
      <c r="G223" s="95">
        <v>7.0990085753429479</v>
      </c>
      <c r="H223" s="96">
        <v>5.2119953944713409</v>
      </c>
      <c r="I223" s="97">
        <v>3.7927831350308341</v>
      </c>
      <c r="J223" s="98">
        <v>0.89952056636948308</v>
      </c>
      <c r="K223" s="99">
        <v>195</v>
      </c>
      <c r="M223" s="100">
        <f t="shared" si="24"/>
        <v>0.72770270270270276</v>
      </c>
      <c r="N223" s="89">
        <f t="shared" si="25"/>
        <v>3.7927831350308341</v>
      </c>
      <c r="O223" s="100"/>
      <c r="V223" s="109">
        <f t="shared" si="26"/>
        <v>352.37719115074441</v>
      </c>
      <c r="W223" s="109">
        <f t="shared" si="27"/>
        <v>109.81423623813765</v>
      </c>
      <c r="X223" s="109">
        <f t="shared" si="28"/>
        <v>62.080372308307709</v>
      </c>
      <c r="Y223" s="109">
        <f t="shared" si="29"/>
        <v>50.589569827730699</v>
      </c>
      <c r="Z223" s="109">
        <f t="shared" si="30"/>
        <v>24.674212611474935</v>
      </c>
      <c r="AA223" s="109">
        <f t="shared" si="31"/>
        <v>8.8680345603985611</v>
      </c>
    </row>
    <row r="224" spans="1:27" ht="19.5" thickBot="1" x14ac:dyDescent="0.35">
      <c r="A224" s="93">
        <v>160</v>
      </c>
      <c r="B224" s="94" t="s">
        <v>275</v>
      </c>
      <c r="C224" s="93">
        <v>45</v>
      </c>
      <c r="D224" s="94" t="s">
        <v>276</v>
      </c>
      <c r="E224" s="93">
        <v>557447</v>
      </c>
      <c r="F224" s="94" t="s">
        <v>290</v>
      </c>
      <c r="G224" s="95">
        <v>2.9671499978994009</v>
      </c>
      <c r="H224" s="96">
        <v>4.3813086662970777</v>
      </c>
      <c r="I224" s="97">
        <v>3.4949362207308221</v>
      </c>
      <c r="J224" s="98">
        <v>0.90741120714486678</v>
      </c>
      <c r="K224" s="99">
        <v>208</v>
      </c>
      <c r="M224" s="100">
        <f t="shared" si="24"/>
        <v>0.79769230769230759</v>
      </c>
      <c r="N224" s="89">
        <f t="shared" si="25"/>
        <v>3.4949362207308221</v>
      </c>
      <c r="O224" s="100"/>
      <c r="V224" s="109">
        <f t="shared" si="26"/>
        <v>135.53804452590916</v>
      </c>
      <c r="W224" s="109">
        <f t="shared" si="27"/>
        <v>43.050157154373657</v>
      </c>
      <c r="X224" s="109">
        <f t="shared" si="28"/>
        <v>24.849503915543639</v>
      </c>
      <c r="Y224" s="109">
        <f t="shared" si="29"/>
        <v>20.46812570379209</v>
      </c>
      <c r="Z224" s="109">
        <f t="shared" si="30"/>
        <v>10.586746083092223</v>
      </c>
      <c r="AA224" s="109">
        <f t="shared" si="31"/>
        <v>4.5599394922461869</v>
      </c>
    </row>
    <row r="225" spans="1:27" ht="19.5" thickBot="1" x14ac:dyDescent="0.35">
      <c r="A225" s="93">
        <v>160</v>
      </c>
      <c r="B225" s="94" t="s">
        <v>275</v>
      </c>
      <c r="C225" s="93">
        <v>45</v>
      </c>
      <c r="D225" s="94" t="s">
        <v>276</v>
      </c>
      <c r="E225" s="93">
        <v>457453</v>
      </c>
      <c r="F225" s="94" t="s">
        <v>542</v>
      </c>
      <c r="G225" s="95">
        <v>7.6823512051361167</v>
      </c>
      <c r="H225" s="96">
        <v>3.3843805503993916</v>
      </c>
      <c r="I225" s="97">
        <v>2.0989667836611612</v>
      </c>
      <c r="J225" s="98">
        <v>0.94439360592921773</v>
      </c>
      <c r="K225" s="99">
        <v>241</v>
      </c>
      <c r="M225" s="100">
        <f t="shared" si="24"/>
        <v>0.62019230769230771</v>
      </c>
      <c r="N225" s="89">
        <f t="shared" si="25"/>
        <v>2.0989667836611612</v>
      </c>
      <c r="O225" s="100"/>
      <c r="V225" s="109">
        <f t="shared" si="26"/>
        <v>469.75758286236174</v>
      </c>
      <c r="W225" s="109">
        <f t="shared" si="27"/>
        <v>161.75912374445588</v>
      </c>
      <c r="X225" s="109">
        <f t="shared" si="28"/>
        <v>101.14823390998633</v>
      </c>
      <c r="Y225" s="109">
        <f t="shared" si="29"/>
        <v>86.557591001133872</v>
      </c>
      <c r="Z225" s="109">
        <f t="shared" si="30"/>
        <v>53.651123098923975</v>
      </c>
      <c r="AA225" s="109">
        <f t="shared" si="31"/>
        <v>33.580958279119621</v>
      </c>
    </row>
    <row r="226" spans="1:27" ht="19.5" thickBot="1" x14ac:dyDescent="0.35">
      <c r="A226" s="93">
        <v>160</v>
      </c>
      <c r="B226" s="94" t="s">
        <v>275</v>
      </c>
      <c r="C226" s="93">
        <v>45</v>
      </c>
      <c r="D226" s="94" t="s">
        <v>276</v>
      </c>
      <c r="E226" s="93">
        <v>557459</v>
      </c>
      <c r="F226" s="94" t="s">
        <v>293</v>
      </c>
      <c r="G226" s="95">
        <v>2.8462753676030181</v>
      </c>
      <c r="H226" s="96">
        <v>7.7293997096729372</v>
      </c>
      <c r="I226" s="97">
        <v>4.1071219366398468</v>
      </c>
      <c r="J226" s="98">
        <v>0.89119301806806595</v>
      </c>
      <c r="K226" s="99">
        <v>176</v>
      </c>
      <c r="M226" s="100">
        <f t="shared" si="24"/>
        <v>0.53136363636363637</v>
      </c>
      <c r="N226" s="89">
        <f t="shared" si="25"/>
        <v>4.1071219366398468</v>
      </c>
      <c r="O226" s="100"/>
      <c r="V226" s="109">
        <f t="shared" si="26"/>
        <v>191.69458212300944</v>
      </c>
      <c r="W226" s="109">
        <f t="shared" si="27"/>
        <v>58.506352658246414</v>
      </c>
      <c r="X226" s="109">
        <f t="shared" si="28"/>
        <v>32.296295872713969</v>
      </c>
      <c r="Y226" s="109">
        <f t="shared" si="29"/>
        <v>25.986842567823437</v>
      </c>
      <c r="Z226" s="109">
        <f t="shared" si="30"/>
        <v>11.757049956566849</v>
      </c>
      <c r="AA226" s="109">
        <f t="shared" si="31"/>
        <v>3.0780788829082821</v>
      </c>
    </row>
    <row r="227" spans="1:27" ht="19.5" thickBot="1" x14ac:dyDescent="0.35">
      <c r="A227" s="93">
        <v>160</v>
      </c>
      <c r="B227" s="94" t="s">
        <v>275</v>
      </c>
      <c r="C227" s="93">
        <v>45</v>
      </c>
      <c r="D227" s="94" t="s">
        <v>276</v>
      </c>
      <c r="E227" s="93">
        <v>557559</v>
      </c>
      <c r="F227" s="94" t="s">
        <v>294</v>
      </c>
      <c r="G227" s="95">
        <v>3.0811951635880193</v>
      </c>
      <c r="H227" s="96">
        <v>7.1400865027910898</v>
      </c>
      <c r="I227" s="97">
        <v>5.6601413003943915</v>
      </c>
      <c r="J227" s="98">
        <v>0.85005001027360272</v>
      </c>
      <c r="K227" s="99">
        <v>116</v>
      </c>
      <c r="M227" s="100">
        <f t="shared" si="24"/>
        <v>0.79272727272727272</v>
      </c>
      <c r="N227" s="89">
        <f t="shared" si="25"/>
        <v>5.6601413003943915</v>
      </c>
      <c r="O227" s="100"/>
      <c r="V227" s="109">
        <f t="shared" si="26"/>
        <v>132.67615096732669</v>
      </c>
      <c r="W227" s="109">
        <f t="shared" si="27"/>
        <v>36.031867740893077</v>
      </c>
      <c r="X227" s="109">
        <f t="shared" si="28"/>
        <v>17.013279074752251</v>
      </c>
      <c r="Y227" s="109">
        <f t="shared" si="29"/>
        <v>12.435002190584175</v>
      </c>
      <c r="Z227" s="109">
        <f t="shared" si="30"/>
        <v>2.1095544171416138</v>
      </c>
      <c r="AA227" s="109">
        <f t="shared" si="31"/>
        <v>-4.1880962230644974</v>
      </c>
    </row>
    <row r="228" spans="1:27" ht="19.5" thickBot="1" x14ac:dyDescent="0.35">
      <c r="A228" s="93">
        <v>160</v>
      </c>
      <c r="B228" s="94" t="s">
        <v>275</v>
      </c>
      <c r="C228" s="93">
        <v>45</v>
      </c>
      <c r="D228" s="94" t="s">
        <v>276</v>
      </c>
      <c r="E228" s="93">
        <v>457574</v>
      </c>
      <c r="F228" s="94" t="s">
        <v>295</v>
      </c>
      <c r="G228" s="95">
        <v>3.2922099681706554</v>
      </c>
      <c r="H228" s="96">
        <v>12.453640684036323</v>
      </c>
      <c r="I228" s="97">
        <v>8.520112711883387</v>
      </c>
      <c r="J228" s="98">
        <v>0.7742828763787859</v>
      </c>
      <c r="K228" s="99">
        <v>53</v>
      </c>
      <c r="M228" s="100">
        <f t="shared" si="24"/>
        <v>0.68414634146341469</v>
      </c>
      <c r="N228" s="89">
        <f t="shared" si="25"/>
        <v>8.520112711883387</v>
      </c>
      <c r="O228" s="100"/>
      <c r="V228" s="109">
        <f t="shared" si="26"/>
        <v>149.62051682791858</v>
      </c>
      <c r="W228" s="109">
        <f t="shared" si="27"/>
        <v>29.968705259244715</v>
      </c>
      <c r="X228" s="109">
        <f t="shared" si="28"/>
        <v>6.4224745727224741</v>
      </c>
      <c r="Y228" s="109">
        <f t="shared" si="29"/>
        <v>0.75427460511318589</v>
      </c>
      <c r="Z228" s="109">
        <f t="shared" si="30"/>
        <v>-12.02929096239693</v>
      </c>
      <c r="AA228" s="109">
        <f t="shared" si="31"/>
        <v>-19.826185745731404</v>
      </c>
    </row>
    <row r="229" spans="1:27" ht="19.5" thickBot="1" x14ac:dyDescent="0.35">
      <c r="A229" s="93">
        <v>160</v>
      </c>
      <c r="B229" s="94" t="s">
        <v>275</v>
      </c>
      <c r="C229" s="93">
        <v>45</v>
      </c>
      <c r="D229" s="94" t="s">
        <v>276</v>
      </c>
      <c r="E229" s="93">
        <v>557612</v>
      </c>
      <c r="F229" s="94" t="s">
        <v>296</v>
      </c>
      <c r="G229" s="95">
        <v>3.782552822511259</v>
      </c>
      <c r="H229" s="96">
        <v>-0.26437172114257329</v>
      </c>
      <c r="I229" s="97">
        <v>3.5690182354247396E-2</v>
      </c>
      <c r="J229" s="98">
        <v>0.99905448606433567</v>
      </c>
      <c r="K229" s="99">
        <v>282</v>
      </c>
      <c r="M229" s="100">
        <f t="shared" si="24"/>
        <v>-0.13500000000000001</v>
      </c>
      <c r="N229" s="89">
        <f t="shared" si="25"/>
        <v>3.5690182354247396E-2</v>
      </c>
      <c r="O229" s="100"/>
      <c r="V229" s="109">
        <f t="shared" si="26"/>
        <v>-1124.0700758135104</v>
      </c>
      <c r="W229" s="109">
        <f t="shared" si="27"/>
        <v>-427.39223887246254</v>
      </c>
      <c r="X229" s="109">
        <f t="shared" si="28"/>
        <v>-290.29329446253081</v>
      </c>
      <c r="Y229" s="109">
        <f t="shared" si="29"/>
        <v>-257.28995551586644</v>
      </c>
      <c r="Z229" s="109">
        <f t="shared" si="30"/>
        <v>-182.85709326993705</v>
      </c>
      <c r="AA229" s="109">
        <f t="shared" si="31"/>
        <v>-137.45933688584117</v>
      </c>
    </row>
    <row r="230" spans="1:27" ht="19.5" thickBot="1" x14ac:dyDescent="0.35">
      <c r="A230" s="93">
        <v>160</v>
      </c>
      <c r="B230" s="94" t="s">
        <v>275</v>
      </c>
      <c r="C230" s="93">
        <v>45</v>
      </c>
      <c r="D230" s="94" t="s">
        <v>276</v>
      </c>
      <c r="E230" s="93">
        <v>557712</v>
      </c>
      <c r="F230" s="94" t="s">
        <v>543</v>
      </c>
      <c r="G230" s="95">
        <v>5.6556242556549732</v>
      </c>
      <c r="H230" s="96">
        <v>6.3653450746845754</v>
      </c>
      <c r="I230" s="97">
        <v>4.2462156102375017</v>
      </c>
      <c r="J230" s="98">
        <v>0.88750811095708604</v>
      </c>
      <c r="K230" s="99">
        <v>166</v>
      </c>
      <c r="M230" s="100">
        <f t="shared" si="24"/>
        <v>0.66708333333333325</v>
      </c>
      <c r="N230" s="89">
        <f t="shared" si="25"/>
        <v>4.2462156102375017</v>
      </c>
      <c r="O230" s="100"/>
      <c r="V230" s="109">
        <f t="shared" si="26"/>
        <v>302.15220513863113</v>
      </c>
      <c r="W230" s="109">
        <f t="shared" si="27"/>
        <v>91.347053517250245</v>
      </c>
      <c r="X230" s="109">
        <f t="shared" si="28"/>
        <v>49.862794608763537</v>
      </c>
      <c r="Y230" s="109">
        <f t="shared" si="29"/>
        <v>39.876437211187664</v>
      </c>
      <c r="Z230" s="109">
        <f t="shared" si="30"/>
        <v>17.354074679516874</v>
      </c>
      <c r="AA230" s="109">
        <f t="shared" si="31"/>
        <v>3.617336677573435</v>
      </c>
    </row>
    <row r="231" spans="1:27" ht="19.5" thickBot="1" x14ac:dyDescent="0.35">
      <c r="A231" s="93">
        <v>160</v>
      </c>
      <c r="B231" s="94" t="s">
        <v>275</v>
      </c>
      <c r="C231" s="93">
        <v>42</v>
      </c>
      <c r="D231" s="94" t="s">
        <v>299</v>
      </c>
      <c r="E231" s="93">
        <v>457163</v>
      </c>
      <c r="F231" s="94" t="s">
        <v>300</v>
      </c>
      <c r="G231" s="95">
        <v>2.446257751706499</v>
      </c>
      <c r="H231" s="96">
        <v>8.9933286811877835</v>
      </c>
      <c r="I231" s="97">
        <v>6.8083585993264792</v>
      </c>
      <c r="J231" s="98">
        <v>0.8196311279452515</v>
      </c>
      <c r="K231" s="99">
        <v>84</v>
      </c>
      <c r="M231" s="100">
        <f t="shared" si="24"/>
        <v>0.75704545454545458</v>
      </c>
      <c r="N231" s="89">
        <f t="shared" si="25"/>
        <v>6.8083585993264792</v>
      </c>
      <c r="O231" s="100"/>
      <c r="V231" s="109">
        <f t="shared" si="26"/>
        <v>106.35347422991032</v>
      </c>
      <c r="W231" s="109">
        <f t="shared" si="27"/>
        <v>26.008073652586997</v>
      </c>
      <c r="X231" s="109">
        <f t="shared" si="28"/>
        <v>10.196935385709356</v>
      </c>
      <c r="Y231" s="109">
        <f t="shared" si="29"/>
        <v>6.3907765739093705</v>
      </c>
      <c r="Z231" s="109">
        <f t="shared" si="30"/>
        <v>-2.1933032060994422</v>
      </c>
      <c r="AA231" s="109">
        <f t="shared" si="31"/>
        <v>-7.4288665161184015</v>
      </c>
    </row>
    <row r="232" spans="1:27" ht="19.5" thickBot="1" x14ac:dyDescent="0.35">
      <c r="A232" s="93">
        <v>160</v>
      </c>
      <c r="B232" s="94" t="s">
        <v>275</v>
      </c>
      <c r="C232" s="93">
        <v>42</v>
      </c>
      <c r="D232" s="94" t="s">
        <v>299</v>
      </c>
      <c r="E232" s="93">
        <v>457165</v>
      </c>
      <c r="F232" s="94" t="s">
        <v>301</v>
      </c>
      <c r="G232" s="95">
        <v>3.2867156132296058</v>
      </c>
      <c r="H232" s="96">
        <v>10.64892863231576</v>
      </c>
      <c r="I232" s="97">
        <v>7.9030263206971965</v>
      </c>
      <c r="J232" s="98">
        <v>0.79063089546661691</v>
      </c>
      <c r="K232" s="99">
        <v>60</v>
      </c>
      <c r="M232" s="100">
        <f t="shared" si="24"/>
        <v>0.7421428571428571</v>
      </c>
      <c r="N232" s="89">
        <f t="shared" si="25"/>
        <v>7.9030263206971965</v>
      </c>
      <c r="O232" s="100"/>
      <c r="V232" s="109">
        <f t="shared" si="26"/>
        <v>140.60519803664766</v>
      </c>
      <c r="W232" s="109">
        <f t="shared" si="27"/>
        <v>30.487942800956038</v>
      </c>
      <c r="X232" s="109">
        <f t="shared" si="28"/>
        <v>8.8180135257265775</v>
      </c>
      <c r="Y232" s="109">
        <f t="shared" si="29"/>
        <v>3.6014888916475338</v>
      </c>
      <c r="Z232" s="109">
        <f t="shared" si="30"/>
        <v>-8.1634073850107587</v>
      </c>
      <c r="AA232" s="109">
        <f t="shared" si="31"/>
        <v>-15.338999978604708</v>
      </c>
    </row>
    <row r="233" spans="1:27" ht="19.5" thickBot="1" x14ac:dyDescent="0.35">
      <c r="A233" s="93">
        <v>160</v>
      </c>
      <c r="B233" s="94" t="s">
        <v>275</v>
      </c>
      <c r="C233" s="93">
        <v>42</v>
      </c>
      <c r="D233" s="94" t="s">
        <v>299</v>
      </c>
      <c r="E233" s="93">
        <v>557210</v>
      </c>
      <c r="F233" s="94" t="s">
        <v>302</v>
      </c>
      <c r="G233" s="95">
        <v>2.3582831220937974</v>
      </c>
      <c r="H233" s="96">
        <v>6.7845967475671154</v>
      </c>
      <c r="I233" s="97">
        <v>3.8926623839166323</v>
      </c>
      <c r="J233" s="98">
        <v>0.89687453837310382</v>
      </c>
      <c r="K233" s="99">
        <v>189</v>
      </c>
      <c r="M233" s="100">
        <f t="shared" si="24"/>
        <v>0.57374999999999998</v>
      </c>
      <c r="N233" s="89">
        <f t="shared" si="25"/>
        <v>3.8926623839166323</v>
      </c>
      <c r="O233" s="100"/>
      <c r="V233" s="109">
        <f t="shared" si="26"/>
        <v>148.0327879118837</v>
      </c>
      <c r="W233" s="109">
        <f t="shared" si="27"/>
        <v>45.83205601046064</v>
      </c>
      <c r="X233" s="109">
        <f t="shared" si="28"/>
        <v>25.720016099546722</v>
      </c>
      <c r="Y233" s="109">
        <f t="shared" si="29"/>
        <v>20.878516604816486</v>
      </c>
      <c r="Z233" s="109">
        <f t="shared" si="30"/>
        <v>9.9594194329403383</v>
      </c>
      <c r="AA233" s="109">
        <f t="shared" si="31"/>
        <v>3.2996928231361768</v>
      </c>
    </row>
    <row r="234" spans="1:27" ht="19.5" thickBot="1" x14ac:dyDescent="0.35">
      <c r="A234" s="93">
        <v>160</v>
      </c>
      <c r="B234" s="94" t="s">
        <v>275</v>
      </c>
      <c r="C234" s="93">
        <v>42</v>
      </c>
      <c r="D234" s="94" t="s">
        <v>299</v>
      </c>
      <c r="E234" s="93">
        <v>557250</v>
      </c>
      <c r="F234" s="94" t="s">
        <v>303</v>
      </c>
      <c r="G234" s="95">
        <v>2.9549106548231645</v>
      </c>
      <c r="H234" s="96">
        <v>8.4604926917819494</v>
      </c>
      <c r="I234" s="97">
        <v>6.1778517635391799</v>
      </c>
      <c r="J234" s="98">
        <v>0.83633468507060815</v>
      </c>
      <c r="K234" s="99">
        <v>99</v>
      </c>
      <c r="M234" s="100">
        <f t="shared" si="24"/>
        <v>0.73020000000000007</v>
      </c>
      <c r="N234" s="89">
        <f t="shared" si="25"/>
        <v>6.1778517635391799</v>
      </c>
      <c r="O234" s="100"/>
      <c r="V234" s="109">
        <f t="shared" si="26"/>
        <v>135.90505576257183</v>
      </c>
      <c r="W234" s="109">
        <f t="shared" si="27"/>
        <v>35.285293447555667</v>
      </c>
      <c r="X234" s="109">
        <f t="shared" si="28"/>
        <v>15.48437188998609</v>
      </c>
      <c r="Y234" s="109">
        <f t="shared" si="29"/>
        <v>10.717766804634014</v>
      </c>
      <c r="Z234" s="109">
        <f t="shared" si="30"/>
        <v>-3.2420025617491938E-2</v>
      </c>
      <c r="AA234" s="109">
        <f t="shared" si="31"/>
        <v>-6.589125599975052</v>
      </c>
    </row>
    <row r="235" spans="1:27" ht="19.5" thickBot="1" x14ac:dyDescent="0.35">
      <c r="A235" s="93">
        <v>160</v>
      </c>
      <c r="B235" s="94" t="s">
        <v>275</v>
      </c>
      <c r="C235" s="93">
        <v>42</v>
      </c>
      <c r="D235" s="94" t="s">
        <v>299</v>
      </c>
      <c r="E235" s="93">
        <v>457258</v>
      </c>
      <c r="F235" s="94" t="s">
        <v>304</v>
      </c>
      <c r="G235" s="95">
        <v>3.2319854415753091</v>
      </c>
      <c r="H235" s="96">
        <v>2.1658513401558253</v>
      </c>
      <c r="I235" s="97">
        <v>1.4897963146928999</v>
      </c>
      <c r="J235" s="98">
        <v>0.96053191427092832</v>
      </c>
      <c r="K235" s="99">
        <v>253</v>
      </c>
      <c r="M235" s="100">
        <f t="shared" si="24"/>
        <v>0.68785714285714283</v>
      </c>
      <c r="N235" s="89">
        <f t="shared" si="25"/>
        <v>1.4897963146928999</v>
      </c>
      <c r="O235" s="100"/>
      <c r="V235" s="109">
        <f t="shared" si="26"/>
        <v>181.23243379558488</v>
      </c>
      <c r="W235" s="109">
        <f t="shared" si="27"/>
        <v>64.403098414930056</v>
      </c>
      <c r="X235" s="109">
        <f t="shared" si="28"/>
        <v>41.412301654221523</v>
      </c>
      <c r="Y235" s="109">
        <f t="shared" si="29"/>
        <v>35.877809310657071</v>
      </c>
      <c r="Z235" s="109">
        <f t="shared" si="30"/>
        <v>23.395796297506465</v>
      </c>
      <c r="AA235" s="109">
        <f t="shared" si="31"/>
        <v>15.78282309110374</v>
      </c>
    </row>
    <row r="236" spans="1:27" ht="19.5" thickBot="1" x14ac:dyDescent="0.35">
      <c r="A236" s="93">
        <v>160</v>
      </c>
      <c r="B236" s="94" t="s">
        <v>275</v>
      </c>
      <c r="C236" s="93">
        <v>42</v>
      </c>
      <c r="D236" s="94" t="s">
        <v>299</v>
      </c>
      <c r="E236" s="93">
        <v>557305</v>
      </c>
      <c r="F236" s="94" t="s">
        <v>305</v>
      </c>
      <c r="G236" s="95">
        <v>2.895036046810425</v>
      </c>
      <c r="H236" s="96">
        <v>15.543847908069493</v>
      </c>
      <c r="I236" s="97">
        <v>9.6820901525152863</v>
      </c>
      <c r="J236" s="98">
        <v>0.74349945666576245</v>
      </c>
      <c r="K236" s="99">
        <v>31</v>
      </c>
      <c r="M236" s="100">
        <f t="shared" si="24"/>
        <v>0.62288888888888894</v>
      </c>
      <c r="N236" s="89">
        <f t="shared" si="25"/>
        <v>9.6820901525152863</v>
      </c>
      <c r="O236" s="100"/>
      <c r="V236" s="109">
        <f t="shared" si="26"/>
        <v>138.76406900753119</v>
      </c>
      <c r="W236" s="109">
        <f t="shared" si="27"/>
        <v>23.199646523217641</v>
      </c>
      <c r="X236" s="109">
        <f t="shared" si="28"/>
        <v>0.45777145007182163</v>
      </c>
      <c r="Y236" s="109">
        <f t="shared" si="29"/>
        <v>-5.0167988652001059</v>
      </c>
      <c r="Z236" s="109">
        <f t="shared" si="30"/>
        <v>-17.363668943734229</v>
      </c>
      <c r="AA236" s="109">
        <f t="shared" si="31"/>
        <v>-24.89421637961533</v>
      </c>
    </row>
    <row r="237" spans="1:27" ht="19.5" thickBot="1" x14ac:dyDescent="0.35">
      <c r="A237" s="93">
        <v>160</v>
      </c>
      <c r="B237" s="94" t="s">
        <v>275</v>
      </c>
      <c r="C237" s="93">
        <v>42</v>
      </c>
      <c r="D237" s="94" t="s">
        <v>299</v>
      </c>
      <c r="E237" s="93">
        <v>457308</v>
      </c>
      <c r="F237" s="94" t="s">
        <v>306</v>
      </c>
      <c r="G237" s="95">
        <v>9.4580011961370065</v>
      </c>
      <c r="H237" s="96">
        <v>10.678789091425797</v>
      </c>
      <c r="I237" s="97">
        <v>6.60234638429786</v>
      </c>
      <c r="J237" s="98">
        <v>0.82508885910205154</v>
      </c>
      <c r="K237" s="99">
        <v>89</v>
      </c>
      <c r="M237" s="100">
        <f t="shared" si="24"/>
        <v>0.61826732673267326</v>
      </c>
      <c r="N237" s="89">
        <f t="shared" si="25"/>
        <v>6.60234638429786</v>
      </c>
      <c r="O237" s="100"/>
      <c r="V237" s="109">
        <f t="shared" si="26"/>
        <v>506.84687203500488</v>
      </c>
      <c r="W237" s="109">
        <f t="shared" si="27"/>
        <v>126.47899717251028</v>
      </c>
      <c r="X237" s="109">
        <f t="shared" si="28"/>
        <v>51.62655983925589</v>
      </c>
      <c r="Y237" s="109">
        <f t="shared" si="29"/>
        <v>33.607600095067028</v>
      </c>
      <c r="Z237" s="109">
        <f t="shared" si="30"/>
        <v>-7.0307956327601815</v>
      </c>
      <c r="AA237" s="109">
        <f t="shared" si="31"/>
        <v>-31.816783077348553</v>
      </c>
    </row>
    <row r="238" spans="1:27" ht="19.5" thickBot="1" x14ac:dyDescent="0.35">
      <c r="A238" s="93">
        <v>160</v>
      </c>
      <c r="B238" s="94" t="s">
        <v>275</v>
      </c>
      <c r="C238" s="93">
        <v>42</v>
      </c>
      <c r="D238" s="94" t="s">
        <v>299</v>
      </c>
      <c r="E238" s="93">
        <v>457345</v>
      </c>
      <c r="F238" s="94" t="s">
        <v>307</v>
      </c>
      <c r="G238" s="95">
        <v>2.4953960784280431</v>
      </c>
      <c r="H238" s="96">
        <v>2.0036899325215396</v>
      </c>
      <c r="I238" s="97">
        <v>1.7912987996742562</v>
      </c>
      <c r="J238" s="98">
        <v>0.95254442913123971</v>
      </c>
      <c r="K238" s="99">
        <v>249</v>
      </c>
      <c r="M238" s="100">
        <f t="shared" si="24"/>
        <v>0.89399999999999991</v>
      </c>
      <c r="N238" s="89">
        <f t="shared" si="25"/>
        <v>1.7912987996742562</v>
      </c>
      <c r="O238" s="100"/>
      <c r="V238" s="109">
        <f t="shared" si="26"/>
        <v>106.76777444908373</v>
      </c>
      <c r="W238" s="109">
        <f t="shared" si="27"/>
        <v>37.364057305103636</v>
      </c>
      <c r="X238" s="109">
        <f t="shared" si="28"/>
        <v>23.706128411679806</v>
      </c>
      <c r="Y238" s="109">
        <f t="shared" si="29"/>
        <v>20.418303997574011</v>
      </c>
      <c r="Z238" s="109">
        <f t="shared" si="30"/>
        <v>13.003230568202872</v>
      </c>
      <c r="AA238" s="109">
        <f t="shared" si="31"/>
        <v>8.4806623508939563</v>
      </c>
    </row>
    <row r="239" spans="1:27" ht="19.5" thickBot="1" x14ac:dyDescent="0.35">
      <c r="A239" s="93">
        <v>160</v>
      </c>
      <c r="B239" s="94" t="s">
        <v>275</v>
      </c>
      <c r="C239" s="93">
        <v>42</v>
      </c>
      <c r="D239" s="94" t="s">
        <v>299</v>
      </c>
      <c r="E239" s="93">
        <v>557353</v>
      </c>
      <c r="F239" s="94" t="s">
        <v>308</v>
      </c>
      <c r="G239" s="95">
        <v>2.3401625074782282</v>
      </c>
      <c r="H239" s="96">
        <v>5.9824905130569226</v>
      </c>
      <c r="I239" s="97">
        <v>4.3373056219662693</v>
      </c>
      <c r="J239" s="98">
        <v>0.88509492980170468</v>
      </c>
      <c r="K239" s="99">
        <v>162</v>
      </c>
      <c r="M239" s="100">
        <f t="shared" si="24"/>
        <v>0.72500000000000009</v>
      </c>
      <c r="N239" s="89">
        <f t="shared" si="25"/>
        <v>4.3373056219662693</v>
      </c>
      <c r="O239" s="100"/>
      <c r="V239" s="109">
        <f t="shared" si="26"/>
        <v>114.7230917590603</v>
      </c>
      <c r="W239" s="109">
        <f t="shared" si="27"/>
        <v>34.465010605343551</v>
      </c>
      <c r="X239" s="109">
        <f t="shared" si="28"/>
        <v>18.671055891850504</v>
      </c>
      <c r="Y239" s="109">
        <f t="shared" si="29"/>
        <v>14.869033615449098</v>
      </c>
      <c r="Z239" s="109">
        <f t="shared" si="30"/>
        <v>6.2942830178601525</v>
      </c>
      <c r="AA239" s="109">
        <f t="shared" si="31"/>
        <v>1.0644097208002619</v>
      </c>
    </row>
    <row r="240" spans="1:27" ht="19.5" thickBot="1" x14ac:dyDescent="0.35">
      <c r="A240" s="93">
        <v>160</v>
      </c>
      <c r="B240" s="94" t="s">
        <v>275</v>
      </c>
      <c r="C240" s="93">
        <v>42</v>
      </c>
      <c r="D240" s="94" t="s">
        <v>299</v>
      </c>
      <c r="E240" s="93">
        <v>457435</v>
      </c>
      <c r="F240" s="94" t="s">
        <v>309</v>
      </c>
      <c r="G240" s="95">
        <v>3.4293753761305177</v>
      </c>
      <c r="H240" s="96">
        <v>4.3739743699113562</v>
      </c>
      <c r="I240" s="97">
        <v>3.6070708637202311</v>
      </c>
      <c r="J240" s="98">
        <v>0.90444050594292624</v>
      </c>
      <c r="K240" s="99">
        <v>204</v>
      </c>
      <c r="M240" s="100">
        <f t="shared" si="24"/>
        <v>0.82466666666666655</v>
      </c>
      <c r="N240" s="89">
        <f t="shared" si="25"/>
        <v>3.6070708637202311</v>
      </c>
      <c r="O240" s="100"/>
      <c r="V240" s="109">
        <f t="shared" si="26"/>
        <v>151.03220676772023</v>
      </c>
      <c r="W240" s="109">
        <f t="shared" si="27"/>
        <v>47.632966849777368</v>
      </c>
      <c r="X240" s="109">
        <f t="shared" si="28"/>
        <v>27.285073040233385</v>
      </c>
      <c r="Y240" s="109">
        <f t="shared" si="29"/>
        <v>22.386797279340914</v>
      </c>
      <c r="Z240" s="109">
        <f t="shared" si="30"/>
        <v>11.339651851349785</v>
      </c>
      <c r="AA240" s="109">
        <f t="shared" si="31"/>
        <v>4.601826625408715</v>
      </c>
    </row>
    <row r="241" spans="1:27" ht="19.5" thickBot="1" x14ac:dyDescent="0.35">
      <c r="A241" s="93">
        <v>160</v>
      </c>
      <c r="B241" s="94" t="s">
        <v>275</v>
      </c>
      <c r="C241" s="93">
        <v>42</v>
      </c>
      <c r="D241" s="94" t="s">
        <v>299</v>
      </c>
      <c r="E241" s="93">
        <v>557458</v>
      </c>
      <c r="F241" s="94" t="s">
        <v>310</v>
      </c>
      <c r="G241" s="95">
        <v>2.2933005833727047</v>
      </c>
      <c r="H241" s="96">
        <v>20.930531456721429</v>
      </c>
      <c r="I241" s="97">
        <v>13.757463905407523</v>
      </c>
      <c r="J241" s="98">
        <v>0.63553355617934892</v>
      </c>
      <c r="K241" s="99">
        <v>11</v>
      </c>
      <c r="M241" s="100">
        <f t="shared" si="24"/>
        <v>0.65729166666666672</v>
      </c>
      <c r="N241" s="89">
        <f t="shared" si="25"/>
        <v>13.757463905407523</v>
      </c>
      <c r="O241" s="100"/>
      <c r="V241" s="109">
        <f t="shared" si="26"/>
        <v>89.041879950921839</v>
      </c>
      <c r="W241" s="109">
        <f t="shared" si="27"/>
        <v>2.2890567379794922</v>
      </c>
      <c r="X241" s="109">
        <f t="shared" si="28"/>
        <v>-14.782995588671817</v>
      </c>
      <c r="Y241" s="109">
        <f t="shared" si="29"/>
        <v>-18.892689736038616</v>
      </c>
      <c r="Z241" s="109">
        <f t="shared" si="30"/>
        <v>-28.161336730762539</v>
      </c>
      <c r="AA241" s="109">
        <f t="shared" si="31"/>
        <v>-33.814428195744732</v>
      </c>
    </row>
    <row r="242" spans="1:27" ht="19.5" thickBot="1" x14ac:dyDescent="0.35">
      <c r="A242" s="93">
        <v>160</v>
      </c>
      <c r="B242" s="94" t="s">
        <v>275</v>
      </c>
      <c r="C242" s="93">
        <v>42</v>
      </c>
      <c r="D242" s="94" t="s">
        <v>299</v>
      </c>
      <c r="E242" s="93">
        <v>557503</v>
      </c>
      <c r="F242" s="94" t="s">
        <v>311</v>
      </c>
      <c r="G242" s="95">
        <v>2.7186061751380932</v>
      </c>
      <c r="H242" s="96">
        <v>11.402902076622164</v>
      </c>
      <c r="I242" s="97">
        <v>7.798113678206124</v>
      </c>
      <c r="J242" s="98">
        <v>0.79341026948376547</v>
      </c>
      <c r="K242" s="99">
        <v>63</v>
      </c>
      <c r="M242" s="100">
        <f t="shared" si="24"/>
        <v>0.68387096774193545</v>
      </c>
      <c r="N242" s="89">
        <f t="shared" si="25"/>
        <v>7.798113678206124</v>
      </c>
      <c r="O242" s="100"/>
      <c r="V242" s="109">
        <f t="shared" si="26"/>
        <v>126.65517186172326</v>
      </c>
      <c r="W242" s="109">
        <f t="shared" si="27"/>
        <v>27.810584295059005</v>
      </c>
      <c r="X242" s="109">
        <f t="shared" si="28"/>
        <v>8.3589986446151787</v>
      </c>
      <c r="Y242" s="109">
        <f t="shared" si="29"/>
        <v>3.6764879437876048</v>
      </c>
      <c r="Z242" s="109">
        <f t="shared" si="30"/>
        <v>-6.8840397204903025</v>
      </c>
      <c r="AA242" s="109">
        <f t="shared" si="31"/>
        <v>-13.32506922982658</v>
      </c>
    </row>
    <row r="243" spans="1:27" ht="19.5" thickBot="1" x14ac:dyDescent="0.35">
      <c r="A243" s="93">
        <v>160</v>
      </c>
      <c r="B243" s="94" t="s">
        <v>275</v>
      </c>
      <c r="C243" s="93">
        <v>42</v>
      </c>
      <c r="D243" s="94" t="s">
        <v>299</v>
      </c>
      <c r="E243" s="93">
        <v>557523</v>
      </c>
      <c r="F243" s="94" t="s">
        <v>312</v>
      </c>
      <c r="G243" s="95">
        <v>3.5315548920620055</v>
      </c>
      <c r="H243" s="96">
        <v>2.8316139223766097</v>
      </c>
      <c r="I243" s="97">
        <v>2.1619372297345416</v>
      </c>
      <c r="J243" s="98">
        <v>0.94272537589031191</v>
      </c>
      <c r="K243" s="99">
        <v>239</v>
      </c>
      <c r="M243" s="100">
        <f t="shared" si="24"/>
        <v>0.76350000000000007</v>
      </c>
      <c r="N243" s="89">
        <f t="shared" si="25"/>
        <v>2.1619372297345416</v>
      </c>
      <c r="O243" s="100"/>
      <c r="V243" s="109">
        <f t="shared" si="26"/>
        <v>175.10360856019656</v>
      </c>
      <c r="W243" s="109">
        <f t="shared" si="27"/>
        <v>60.093058297173037</v>
      </c>
      <c r="X243" s="109">
        <f t="shared" si="28"/>
        <v>37.460179510187643</v>
      </c>
      <c r="Y243" s="109">
        <f t="shared" si="29"/>
        <v>32.011847481370523</v>
      </c>
      <c r="Z243" s="109">
        <f t="shared" si="30"/>
        <v>19.724152953662216</v>
      </c>
      <c r="AA243" s="109">
        <f t="shared" si="31"/>
        <v>12.229697603443618</v>
      </c>
    </row>
    <row r="244" spans="1:27" ht="19.5" thickBot="1" x14ac:dyDescent="0.35">
      <c r="A244" s="93">
        <v>160</v>
      </c>
      <c r="B244" s="94" t="s">
        <v>275</v>
      </c>
      <c r="C244" s="93">
        <v>42</v>
      </c>
      <c r="D244" s="94" t="s">
        <v>299</v>
      </c>
      <c r="E244" s="93">
        <v>457543</v>
      </c>
      <c r="F244" s="94" t="s">
        <v>313</v>
      </c>
      <c r="G244" s="95">
        <v>3.0483447717785292</v>
      </c>
      <c r="H244" s="96">
        <v>3.2804688277322351</v>
      </c>
      <c r="I244" s="97">
        <v>1.8190199649775245</v>
      </c>
      <c r="J244" s="98">
        <v>0.9518100325443315</v>
      </c>
      <c r="K244" s="99">
        <v>248</v>
      </c>
      <c r="M244" s="100">
        <f t="shared" si="24"/>
        <v>0.55449999999999999</v>
      </c>
      <c r="N244" s="89">
        <f t="shared" si="25"/>
        <v>1.8190199649775245</v>
      </c>
      <c r="O244" s="100"/>
      <c r="V244" s="109">
        <f t="shared" si="26"/>
        <v>210.11922561274849</v>
      </c>
      <c r="W244" s="109">
        <f t="shared" si="27"/>
        <v>73.427163286231604</v>
      </c>
      <c r="X244" s="109">
        <f t="shared" si="28"/>
        <v>46.52758867586855</v>
      </c>
      <c r="Y244" s="109">
        <f t="shared" si="29"/>
        <v>40.052150209089326</v>
      </c>
      <c r="Z244" s="109">
        <f t="shared" si="30"/>
        <v>25.448009089953118</v>
      </c>
      <c r="AA244" s="109">
        <f t="shared" si="31"/>
        <v>16.540717058982469</v>
      </c>
    </row>
    <row r="245" spans="1:27" ht="19.5" thickBot="1" x14ac:dyDescent="0.35">
      <c r="A245" s="93">
        <v>160</v>
      </c>
      <c r="B245" s="94" t="s">
        <v>275</v>
      </c>
      <c r="C245" s="93">
        <v>42</v>
      </c>
      <c r="D245" s="94" t="s">
        <v>299</v>
      </c>
      <c r="E245" s="93">
        <v>457583</v>
      </c>
      <c r="F245" s="94" t="s">
        <v>314</v>
      </c>
      <c r="G245" s="95">
        <v>6.1679190817437588</v>
      </c>
      <c r="H245" s="96">
        <v>6.1609109160454256</v>
      </c>
      <c r="I245" s="97">
        <v>4.0905205897848971</v>
      </c>
      <c r="J245" s="98">
        <v>0.89163282542590905</v>
      </c>
      <c r="K245" s="99">
        <v>177</v>
      </c>
      <c r="M245" s="100">
        <f t="shared" si="24"/>
        <v>0.66394736842105262</v>
      </c>
      <c r="N245" s="89">
        <f t="shared" si="25"/>
        <v>4.0905205897848971</v>
      </c>
      <c r="O245" s="100"/>
      <c r="V245" s="109">
        <f t="shared" si="26"/>
        <v>332.61669303722533</v>
      </c>
      <c r="W245" s="109">
        <f t="shared" si="27"/>
        <v>101.63063077954723</v>
      </c>
      <c r="X245" s="109">
        <f t="shared" si="28"/>
        <v>56.174978784098258</v>
      </c>
      <c r="Y245" s="109">
        <f t="shared" si="29"/>
        <v>45.232602120994308</v>
      </c>
      <c r="Z245" s="109">
        <f t="shared" si="30"/>
        <v>20.554116828214315</v>
      </c>
      <c r="AA245" s="109">
        <f t="shared" si="31"/>
        <v>5.5023261346300627</v>
      </c>
    </row>
    <row r="246" spans="1:27" ht="19.5" thickBot="1" x14ac:dyDescent="0.35">
      <c r="A246" s="93">
        <v>160</v>
      </c>
      <c r="B246" s="94" t="s">
        <v>275</v>
      </c>
      <c r="C246" s="93">
        <v>42</v>
      </c>
      <c r="D246" s="94" t="s">
        <v>299</v>
      </c>
      <c r="E246" s="93">
        <v>457614</v>
      </c>
      <c r="F246" s="94" t="s">
        <v>315</v>
      </c>
      <c r="G246" s="95">
        <v>8.5209209199683276</v>
      </c>
      <c r="H246" s="96">
        <v>3.4033879990647531</v>
      </c>
      <c r="I246" s="97">
        <v>2.6517086840988995</v>
      </c>
      <c r="J246" s="98">
        <v>0.92975021844236949</v>
      </c>
      <c r="K246" s="99">
        <v>226</v>
      </c>
      <c r="M246" s="100">
        <f t="shared" si="24"/>
        <v>0.7791379310344827</v>
      </c>
      <c r="N246" s="89">
        <f t="shared" si="25"/>
        <v>2.6517086840988995</v>
      </c>
      <c r="O246" s="100"/>
      <c r="V246" s="109">
        <f t="shared" si="26"/>
        <v>408.31135270353815</v>
      </c>
      <c r="W246" s="109">
        <f t="shared" si="27"/>
        <v>136.38396620025634</v>
      </c>
      <c r="X246" s="109">
        <f t="shared" si="28"/>
        <v>82.871487879654737</v>
      </c>
      <c r="Y246" s="109">
        <f t="shared" si="29"/>
        <v>69.989620207427052</v>
      </c>
      <c r="Z246" s="109">
        <f t="shared" si="30"/>
        <v>40.936975459368128</v>
      </c>
      <c r="AA246" s="109">
        <f t="shared" si="31"/>
        <v>23.217317115070198</v>
      </c>
    </row>
    <row r="247" spans="1:27" ht="19.5" thickBot="1" x14ac:dyDescent="0.35">
      <c r="A247" s="93">
        <v>160</v>
      </c>
      <c r="B247" s="94" t="s">
        <v>275</v>
      </c>
      <c r="C247" s="93">
        <v>42</v>
      </c>
      <c r="D247" s="94" t="s">
        <v>299</v>
      </c>
      <c r="E247" s="93">
        <v>457617</v>
      </c>
      <c r="F247" s="94" t="s">
        <v>544</v>
      </c>
      <c r="G247" s="95">
        <v>7.6256604154574292</v>
      </c>
      <c r="H247" s="96">
        <v>6.2945367856536913</v>
      </c>
      <c r="I247" s="97">
        <v>4.3097906554272623</v>
      </c>
      <c r="J247" s="98">
        <v>0.88582386371534383</v>
      </c>
      <c r="K247" s="99">
        <v>163</v>
      </c>
      <c r="M247" s="100">
        <f t="shared" si="24"/>
        <v>0.68468750000000012</v>
      </c>
      <c r="N247" s="89">
        <f t="shared" si="25"/>
        <v>4.3097906554272623</v>
      </c>
      <c r="O247" s="100"/>
      <c r="V247" s="109">
        <f t="shared" si="26"/>
        <v>396.17349535683263</v>
      </c>
      <c r="W247" s="109">
        <f t="shared" si="27"/>
        <v>119.24616188152869</v>
      </c>
      <c r="X247" s="109">
        <f t="shared" si="28"/>
        <v>64.749746056929993</v>
      </c>
      <c r="Y247" s="109">
        <f t="shared" si="29"/>
        <v>51.63101862559536</v>
      </c>
      <c r="Z247" s="109">
        <f t="shared" si="30"/>
        <v>22.044180963004319</v>
      </c>
      <c r="AA247" s="109">
        <f t="shared" si="31"/>
        <v>3.9987100802080984</v>
      </c>
    </row>
    <row r="248" spans="1:27" ht="19.5" thickBot="1" x14ac:dyDescent="0.35">
      <c r="A248" s="93">
        <v>160</v>
      </c>
      <c r="B248" s="94" t="s">
        <v>275</v>
      </c>
      <c r="C248" s="93">
        <v>42</v>
      </c>
      <c r="D248" s="94" t="s">
        <v>299</v>
      </c>
      <c r="E248" s="93">
        <v>557668</v>
      </c>
      <c r="F248" s="94" t="s">
        <v>317</v>
      </c>
      <c r="G248" s="95">
        <v>4.1503367731124419</v>
      </c>
      <c r="H248" s="96">
        <v>2.6503873303155645</v>
      </c>
      <c r="I248" s="97">
        <v>1.9118930423685458</v>
      </c>
      <c r="J248" s="98">
        <v>0.94934961393257833</v>
      </c>
      <c r="K248" s="99">
        <v>244</v>
      </c>
      <c r="M248" s="100">
        <f t="shared" si="24"/>
        <v>0.72136363636363632</v>
      </c>
      <c r="N248" s="89">
        <f t="shared" si="25"/>
        <v>1.9118930423685458</v>
      </c>
      <c r="O248" s="100"/>
      <c r="V248" s="109">
        <f t="shared" si="26"/>
        <v>219.33515691309503</v>
      </c>
      <c r="W248" s="109">
        <f t="shared" si="27"/>
        <v>76.277912910764599</v>
      </c>
      <c r="X248" s="109">
        <f t="shared" si="28"/>
        <v>48.125736821699242</v>
      </c>
      <c r="Y248" s="109">
        <f t="shared" si="29"/>
        <v>41.348764077288408</v>
      </c>
      <c r="Z248" s="109">
        <f t="shared" si="30"/>
        <v>26.064568755586492</v>
      </c>
      <c r="AA248" s="109">
        <f t="shared" si="31"/>
        <v>16.742501125713666</v>
      </c>
    </row>
    <row r="249" spans="1:27" ht="19.5" thickBot="1" x14ac:dyDescent="0.35">
      <c r="A249" s="93">
        <v>160</v>
      </c>
      <c r="B249" s="94" t="s">
        <v>275</v>
      </c>
      <c r="C249" s="93">
        <v>44</v>
      </c>
      <c r="D249" s="94" t="s">
        <v>318</v>
      </c>
      <c r="E249" s="93">
        <v>557113</v>
      </c>
      <c r="F249" s="94" t="s">
        <v>319</v>
      </c>
      <c r="G249" s="95">
        <v>2.609015620706443</v>
      </c>
      <c r="H249" s="96">
        <v>8.4322990730285703</v>
      </c>
      <c r="I249" s="97">
        <v>5.6477239473216354</v>
      </c>
      <c r="J249" s="98">
        <v>0.85037897413985086</v>
      </c>
      <c r="K249" s="99">
        <v>117</v>
      </c>
      <c r="M249" s="100">
        <f t="shared" si="24"/>
        <v>0.6697727272727273</v>
      </c>
      <c r="N249" s="89">
        <f t="shared" si="25"/>
        <v>5.6477239473216354</v>
      </c>
      <c r="O249" s="100"/>
      <c r="V249" s="109">
        <f t="shared" si="26"/>
        <v>133.01931673298304</v>
      </c>
      <c r="W249" s="109">
        <f t="shared" si="27"/>
        <v>36.162546813063784</v>
      </c>
      <c r="X249" s="109">
        <f t="shared" si="28"/>
        <v>17.102142978084025</v>
      </c>
      <c r="Y249" s="109">
        <f t="shared" si="29"/>
        <v>12.513800077753363</v>
      </c>
      <c r="Z249" s="109">
        <f t="shared" si="30"/>
        <v>2.1656502863239036</v>
      </c>
      <c r="AA249" s="109">
        <f t="shared" si="31"/>
        <v>-4.1458466665309315</v>
      </c>
    </row>
    <row r="250" spans="1:27" ht="19.5" thickBot="1" x14ac:dyDescent="0.35">
      <c r="A250" s="93">
        <v>160</v>
      </c>
      <c r="B250" s="94" t="s">
        <v>275</v>
      </c>
      <c r="C250" s="93">
        <v>44</v>
      </c>
      <c r="D250" s="94" t="s">
        <v>318</v>
      </c>
      <c r="E250" s="93">
        <v>457180</v>
      </c>
      <c r="F250" s="94" t="s">
        <v>320</v>
      </c>
      <c r="G250" s="95">
        <v>2.2652346622280293</v>
      </c>
      <c r="H250" s="96">
        <v>6.6218305105954753</v>
      </c>
      <c r="I250" s="97">
        <v>3.8450762498191065</v>
      </c>
      <c r="J250" s="98">
        <v>0.89813520307038719</v>
      </c>
      <c r="K250" s="99">
        <v>190</v>
      </c>
      <c r="M250" s="100">
        <f t="shared" si="24"/>
        <v>0.58066666666666678</v>
      </c>
      <c r="N250" s="89">
        <f t="shared" si="25"/>
        <v>3.8450762498191065</v>
      </c>
      <c r="O250" s="100"/>
      <c r="V250" s="109">
        <f t="shared" si="26"/>
        <v>140.69575713923803</v>
      </c>
      <c r="W250" s="109">
        <f t="shared" si="27"/>
        <v>43.696800185815867</v>
      </c>
      <c r="X250" s="109">
        <f t="shared" si="28"/>
        <v>24.608415423112582</v>
      </c>
      <c r="Y250" s="109">
        <f t="shared" si="29"/>
        <v>20.013336774044571</v>
      </c>
      <c r="Z250" s="109">
        <f t="shared" si="30"/>
        <v>9.6499957603360329</v>
      </c>
      <c r="AA250" s="109">
        <f t="shared" si="31"/>
        <v>3.3292334455510901</v>
      </c>
    </row>
    <row r="251" spans="1:27" ht="19.5" thickBot="1" x14ac:dyDescent="0.35">
      <c r="A251" s="93">
        <v>160</v>
      </c>
      <c r="B251" s="94" t="s">
        <v>275</v>
      </c>
      <c r="C251" s="93">
        <v>44</v>
      </c>
      <c r="D251" s="94" t="s">
        <v>318</v>
      </c>
      <c r="E251" s="93">
        <v>557182</v>
      </c>
      <c r="F251" s="94" t="s">
        <v>321</v>
      </c>
      <c r="G251" s="95">
        <v>2.8398721827825186</v>
      </c>
      <c r="H251" s="96">
        <v>0.35212852397469374</v>
      </c>
      <c r="I251" s="97">
        <v>0.53523535644153453</v>
      </c>
      <c r="J251" s="98">
        <v>0.98582040059776954</v>
      </c>
      <c r="K251" s="99">
        <v>273</v>
      </c>
      <c r="M251" s="100">
        <f t="shared" si="24"/>
        <v>1.52</v>
      </c>
      <c r="N251" s="89">
        <f t="shared" si="25"/>
        <v>0.53523535644153453</v>
      </c>
      <c r="O251" s="100"/>
      <c r="V251" s="109">
        <f t="shared" si="26"/>
        <v>73.961546956956326</v>
      </c>
      <c r="W251" s="109">
        <f t="shared" si="27"/>
        <v>27.50617224498199</v>
      </c>
      <c r="X251" s="109">
        <f t="shared" si="28"/>
        <v>18.364238201056814</v>
      </c>
      <c r="Y251" s="109">
        <f t="shared" si="29"/>
        <v>16.163533088568325</v>
      </c>
      <c r="Z251" s="109">
        <f t="shared" si="30"/>
        <v>11.20025404742378</v>
      </c>
      <c r="AA251" s="109">
        <f t="shared" si="31"/>
        <v>8.1730732300088018</v>
      </c>
    </row>
    <row r="252" spans="1:27" ht="19.5" thickBot="1" x14ac:dyDescent="0.35">
      <c r="A252" s="93">
        <v>160</v>
      </c>
      <c r="B252" s="94" t="s">
        <v>275</v>
      </c>
      <c r="C252" s="93">
        <v>44</v>
      </c>
      <c r="D252" s="94" t="s">
        <v>318</v>
      </c>
      <c r="E252" s="93">
        <v>457192</v>
      </c>
      <c r="F252" s="94" t="s">
        <v>322</v>
      </c>
      <c r="G252" s="95">
        <v>2.6045092899078925</v>
      </c>
      <c r="H252" s="96">
        <v>4.2234443327284161</v>
      </c>
      <c r="I252" s="97">
        <v>2.846985429743746</v>
      </c>
      <c r="J252" s="98">
        <v>0.92457689423556766</v>
      </c>
      <c r="K252" s="99">
        <v>222</v>
      </c>
      <c r="M252" s="100">
        <f t="shared" si="24"/>
        <v>0.67409090909090907</v>
      </c>
      <c r="N252" s="89">
        <f t="shared" si="25"/>
        <v>2.846985429743746</v>
      </c>
      <c r="O252" s="100"/>
      <c r="V252" s="109">
        <f t="shared" si="26"/>
        <v>143.45095893067452</v>
      </c>
      <c r="W252" s="109">
        <f t="shared" si="27"/>
        <v>47.380867875416342</v>
      </c>
      <c r="X252" s="109">
        <f t="shared" si="28"/>
        <v>28.47527424999943</v>
      </c>
      <c r="Y252" s="109">
        <f t="shared" si="29"/>
        <v>23.924198258182155</v>
      </c>
      <c r="Z252" s="109">
        <f t="shared" si="30"/>
        <v>13.660097013240424</v>
      </c>
      <c r="AA252" s="109">
        <f t="shared" si="31"/>
        <v>7.3998625716306883</v>
      </c>
    </row>
    <row r="253" spans="1:27" ht="19.5" thickBot="1" x14ac:dyDescent="0.35">
      <c r="A253" s="93">
        <v>160</v>
      </c>
      <c r="B253" s="94" t="s">
        <v>275</v>
      </c>
      <c r="C253" s="93">
        <v>44</v>
      </c>
      <c r="D253" s="94" t="s">
        <v>318</v>
      </c>
      <c r="E253" s="93">
        <v>557303</v>
      </c>
      <c r="F253" s="94" t="s">
        <v>323</v>
      </c>
      <c r="G253" s="95">
        <v>3.4099257872156699</v>
      </c>
      <c r="H253" s="96">
        <v>0.87978454289165353</v>
      </c>
      <c r="I253" s="97">
        <v>0.52200549544904773</v>
      </c>
      <c r="J253" s="98">
        <v>0.98617088964293986</v>
      </c>
      <c r="K253" s="99">
        <v>274</v>
      </c>
      <c r="M253" s="100">
        <f t="shared" si="24"/>
        <v>0.59333333333333327</v>
      </c>
      <c r="N253" s="89">
        <f t="shared" si="25"/>
        <v>0.52200549544904773</v>
      </c>
      <c r="O253" s="100"/>
      <c r="V253" s="109">
        <f t="shared" si="26"/>
        <v>227.58903659402552</v>
      </c>
      <c r="W253" s="109">
        <f t="shared" si="27"/>
        <v>84.690776368627411</v>
      </c>
      <c r="X253" s="109">
        <f t="shared" si="28"/>
        <v>56.569886631502627</v>
      </c>
      <c r="Y253" s="109">
        <f t="shared" si="29"/>
        <v>49.800445338788535</v>
      </c>
      <c r="Z253" s="109">
        <f t="shared" si="30"/>
        <v>34.533235798663505</v>
      </c>
      <c r="AA253" s="109">
        <f t="shared" si="31"/>
        <v>25.221528060251973</v>
      </c>
    </row>
    <row r="254" spans="1:27" ht="19.5" thickBot="1" x14ac:dyDescent="0.35">
      <c r="A254" s="93">
        <v>160</v>
      </c>
      <c r="B254" s="94" t="s">
        <v>275</v>
      </c>
      <c r="C254" s="93">
        <v>44</v>
      </c>
      <c r="D254" s="94" t="s">
        <v>318</v>
      </c>
      <c r="E254" s="93">
        <v>457306</v>
      </c>
      <c r="F254" s="94" t="s">
        <v>324</v>
      </c>
      <c r="G254" s="95">
        <v>2.7703810879421567</v>
      </c>
      <c r="H254" s="96">
        <v>5.4144175562294299</v>
      </c>
      <c r="I254" s="97">
        <v>3.0176353846718684</v>
      </c>
      <c r="J254" s="98">
        <v>0.92005598960965329</v>
      </c>
      <c r="K254" s="99">
        <v>217</v>
      </c>
      <c r="M254" s="100">
        <f t="shared" si="24"/>
        <v>0.55733333333333324</v>
      </c>
      <c r="N254" s="89">
        <f t="shared" si="25"/>
        <v>3.0176353846718684</v>
      </c>
      <c r="O254" s="100"/>
      <c r="V254" s="109">
        <f t="shared" si="26"/>
        <v>183.65033782218779</v>
      </c>
      <c r="W254" s="109">
        <f t="shared" si="27"/>
        <v>60.054098351598064</v>
      </c>
      <c r="X254" s="109">
        <f t="shared" si="28"/>
        <v>35.731645323874062</v>
      </c>
      <c r="Y254" s="109">
        <f t="shared" si="29"/>
        <v>29.876588126000073</v>
      </c>
      <c r="Z254" s="109">
        <f t="shared" si="30"/>
        <v>16.671601001646096</v>
      </c>
      <c r="AA254" s="109">
        <f t="shared" si="31"/>
        <v>8.617674678809724</v>
      </c>
    </row>
    <row r="255" spans="1:27" ht="19.5" thickBot="1" x14ac:dyDescent="0.35">
      <c r="A255" s="93">
        <v>160</v>
      </c>
      <c r="B255" s="94" t="s">
        <v>275</v>
      </c>
      <c r="C255" s="93">
        <v>44</v>
      </c>
      <c r="D255" s="94" t="s">
        <v>318</v>
      </c>
      <c r="E255" s="93">
        <v>557307</v>
      </c>
      <c r="F255" s="94" t="s">
        <v>325</v>
      </c>
      <c r="G255" s="95">
        <v>3.0557347686989251</v>
      </c>
      <c r="H255" s="96">
        <v>13.4173948668513</v>
      </c>
      <c r="I255" s="97">
        <v>8.8636619504553043</v>
      </c>
      <c r="J255" s="98">
        <v>0.76518147730403463</v>
      </c>
      <c r="K255" s="99">
        <v>45</v>
      </c>
      <c r="M255" s="100">
        <f t="shared" si="24"/>
        <v>0.66060975609756101</v>
      </c>
      <c r="N255" s="89">
        <f t="shared" si="25"/>
        <v>8.8636619504553043</v>
      </c>
      <c r="O255" s="100"/>
      <c r="V255" s="109">
        <f t="shared" si="26"/>
        <v>142.13076716797048</v>
      </c>
      <c r="W255" s="109">
        <f t="shared" si="27"/>
        <v>27.116574789642282</v>
      </c>
      <c r="X255" s="109">
        <f t="shared" si="28"/>
        <v>4.4829792722871025</v>
      </c>
      <c r="Y255" s="109">
        <f t="shared" si="29"/>
        <v>-0.96552529247060204</v>
      </c>
      <c r="Z255" s="109">
        <f t="shared" si="30"/>
        <v>-13.253608942743714</v>
      </c>
      <c r="AA255" s="109">
        <f t="shared" si="31"/>
        <v>-20.748301624845944</v>
      </c>
    </row>
    <row r="256" spans="1:27" ht="19.5" thickBot="1" x14ac:dyDescent="0.35">
      <c r="A256" s="93">
        <v>160</v>
      </c>
      <c r="B256" s="94" t="s">
        <v>275</v>
      </c>
      <c r="C256" s="93">
        <v>44</v>
      </c>
      <c r="D256" s="94" t="s">
        <v>318</v>
      </c>
      <c r="E256" s="93">
        <v>557347</v>
      </c>
      <c r="F256" s="94" t="s">
        <v>326</v>
      </c>
      <c r="G256" s="95">
        <v>2.9172250003730302</v>
      </c>
      <c r="H256" s="96">
        <v>5.827455886270748</v>
      </c>
      <c r="I256" s="97">
        <v>3.7295717672132791</v>
      </c>
      <c r="J256" s="98">
        <v>0.90119517897220602</v>
      </c>
      <c r="K256" s="99">
        <v>199</v>
      </c>
      <c r="M256" s="100">
        <f t="shared" si="24"/>
        <v>0.64000000000000012</v>
      </c>
      <c r="N256" s="89">
        <f t="shared" si="25"/>
        <v>3.7295717672132791</v>
      </c>
      <c r="O256" s="100"/>
      <c r="V256" s="109">
        <f t="shared" si="26"/>
        <v>164.95359754718029</v>
      </c>
      <c r="W256" s="109">
        <f t="shared" si="27"/>
        <v>51.616858074850867</v>
      </c>
      <c r="X256" s="109">
        <f t="shared" si="28"/>
        <v>29.313367823538851</v>
      </c>
      <c r="Y256" s="109">
        <f t="shared" si="29"/>
        <v>23.944328319801063</v>
      </c>
      <c r="Z256" s="109">
        <f t="shared" si="30"/>
        <v>11.835463261617027</v>
      </c>
      <c r="AA256" s="109">
        <f t="shared" si="31"/>
        <v>4.450078776696289</v>
      </c>
    </row>
    <row r="257" spans="1:27" ht="19.5" thickBot="1" x14ac:dyDescent="0.35">
      <c r="A257" s="93">
        <v>160</v>
      </c>
      <c r="B257" s="94" t="s">
        <v>275</v>
      </c>
      <c r="C257" s="93">
        <v>44</v>
      </c>
      <c r="D257" s="94" t="s">
        <v>318</v>
      </c>
      <c r="E257" s="93">
        <v>457348</v>
      </c>
      <c r="F257" s="94" t="s">
        <v>327</v>
      </c>
      <c r="G257" s="95">
        <v>7.9687895544253466</v>
      </c>
      <c r="H257" s="96">
        <v>6.6509473788986249</v>
      </c>
      <c r="I257" s="97">
        <v>4.9900928777717706</v>
      </c>
      <c r="J257" s="98">
        <v>0.86780111378076241</v>
      </c>
      <c r="K257" s="99">
        <v>135</v>
      </c>
      <c r="M257" s="100">
        <f t="shared" si="24"/>
        <v>0.75028301886792459</v>
      </c>
      <c r="N257" s="89">
        <f t="shared" si="25"/>
        <v>4.9900928777717706</v>
      </c>
      <c r="O257" s="100"/>
      <c r="V257" s="109">
        <f t="shared" si="26"/>
        <v>370.11818430378787</v>
      </c>
      <c r="W257" s="109">
        <f t="shared" si="27"/>
        <v>106.03058883489454</v>
      </c>
      <c r="X257" s="109">
        <f t="shared" si="28"/>
        <v>54.060899760938725</v>
      </c>
      <c r="Y257" s="109">
        <f t="shared" si="29"/>
        <v>41.55042223069546</v>
      </c>
      <c r="Z257" s="109">
        <f t="shared" si="30"/>
        <v>13.335378530291054</v>
      </c>
      <c r="AA257" s="109">
        <f t="shared" si="31"/>
        <v>-3.8734139523281153</v>
      </c>
    </row>
    <row r="258" spans="1:27" ht="19.5" thickBot="1" x14ac:dyDescent="0.35">
      <c r="A258" s="93">
        <v>160</v>
      </c>
      <c r="B258" s="94" t="s">
        <v>275</v>
      </c>
      <c r="C258" s="93">
        <v>44</v>
      </c>
      <c r="D258" s="94" t="s">
        <v>318</v>
      </c>
      <c r="E258" s="93">
        <v>457350</v>
      </c>
      <c r="F258" s="94" t="s">
        <v>328</v>
      </c>
      <c r="G258" s="95">
        <v>9.0017407223157058</v>
      </c>
      <c r="H258" s="96">
        <v>11.442231361391974</v>
      </c>
      <c r="I258" s="97">
        <v>6.7609145694593735</v>
      </c>
      <c r="J258" s="98">
        <v>0.82088802797894067</v>
      </c>
      <c r="K258" s="99">
        <v>86</v>
      </c>
      <c r="M258" s="100">
        <f t="shared" si="24"/>
        <v>0.590873786407767</v>
      </c>
      <c r="N258" s="89">
        <f t="shared" si="25"/>
        <v>6.7609145694593735</v>
      </c>
      <c r="O258" s="100"/>
      <c r="V258" s="109">
        <f t="shared" si="26"/>
        <v>502.19071348646941</v>
      </c>
      <c r="W258" s="109">
        <f t="shared" si="27"/>
        <v>123.38847377832596</v>
      </c>
      <c r="X258" s="109">
        <f t="shared" si="28"/>
        <v>48.844137141851434</v>
      </c>
      <c r="Y258" s="109">
        <f t="shared" si="29"/>
        <v>30.89934537735996</v>
      </c>
      <c r="Z258" s="109">
        <f t="shared" si="30"/>
        <v>-9.5717783352085508</v>
      </c>
      <c r="AA258" s="109">
        <f t="shared" si="31"/>
        <v>-34.255743984994773</v>
      </c>
    </row>
    <row r="259" spans="1:27" ht="19.5" thickBot="1" x14ac:dyDescent="0.35">
      <c r="A259" s="93">
        <v>160</v>
      </c>
      <c r="B259" s="94" t="s">
        <v>275</v>
      </c>
      <c r="C259" s="93">
        <v>44</v>
      </c>
      <c r="D259" s="94" t="s">
        <v>318</v>
      </c>
      <c r="E259" s="93">
        <v>557352</v>
      </c>
      <c r="F259" s="94" t="s">
        <v>329</v>
      </c>
      <c r="G259" s="95">
        <v>3.7659220906912432</v>
      </c>
      <c r="H259" s="96">
        <v>13.01142159077591</v>
      </c>
      <c r="I259" s="97">
        <v>8.4375085927939697</v>
      </c>
      <c r="J259" s="98">
        <v>0.77647124697793557</v>
      </c>
      <c r="K259" s="99">
        <v>55</v>
      </c>
      <c r="M259" s="100">
        <f t="shared" si="24"/>
        <v>0.64846938775510199</v>
      </c>
      <c r="N259" s="89">
        <f t="shared" si="25"/>
        <v>8.4375085927939697</v>
      </c>
      <c r="O259" s="100"/>
      <c r="V259" s="109">
        <f t="shared" si="26"/>
        <v>181.07571524739467</v>
      </c>
      <c r="W259" s="109">
        <f t="shared" si="27"/>
        <v>36.677237937708419</v>
      </c>
      <c r="X259" s="109">
        <f t="shared" si="28"/>
        <v>8.2611210988507313</v>
      </c>
      <c r="Y259" s="109">
        <f t="shared" si="29"/>
        <v>1.4206108409694289</v>
      </c>
      <c r="Z259" s="109">
        <f t="shared" si="30"/>
        <v>-14.006881466387158</v>
      </c>
      <c r="AA259" s="109">
        <f t="shared" si="31"/>
        <v>-23.416348148896599</v>
      </c>
    </row>
    <row r="260" spans="1:27" ht="19.5" thickBot="1" x14ac:dyDescent="0.35">
      <c r="A260" s="93">
        <v>160</v>
      </c>
      <c r="B260" s="94" t="s">
        <v>275</v>
      </c>
      <c r="C260" s="93">
        <v>44</v>
      </c>
      <c r="D260" s="94" t="s">
        <v>318</v>
      </c>
      <c r="E260" s="93">
        <v>457449</v>
      </c>
      <c r="F260" s="94" t="s">
        <v>330</v>
      </c>
      <c r="G260" s="95">
        <v>2.5137664021459973</v>
      </c>
      <c r="H260" s="96">
        <v>10.343045391092765</v>
      </c>
      <c r="I260" s="97">
        <v>7.3813541242971636</v>
      </c>
      <c r="J260" s="98">
        <v>0.80445117597538818</v>
      </c>
      <c r="K260" s="99">
        <v>71</v>
      </c>
      <c r="M260" s="100">
        <f t="shared" si="24"/>
        <v>0.71365384615384608</v>
      </c>
      <c r="N260" s="89">
        <f t="shared" si="25"/>
        <v>7.3813541242971636</v>
      </c>
      <c r="O260" s="100"/>
      <c r="V260" s="109">
        <f t="shared" si="26"/>
        <v>113.78630026959104</v>
      </c>
      <c r="W260" s="109">
        <f t="shared" si="27"/>
        <v>26.203652936726385</v>
      </c>
      <c r="X260" s="109">
        <f t="shared" si="28"/>
        <v>8.9682998635108184</v>
      </c>
      <c r="Y260" s="109">
        <f t="shared" si="29"/>
        <v>4.819294911000334</v>
      </c>
      <c r="Z260" s="109">
        <f t="shared" si="30"/>
        <v>-4.5380102570303888</v>
      </c>
      <c r="AA260" s="109">
        <f t="shared" si="31"/>
        <v>-10.245175716103295</v>
      </c>
    </row>
    <row r="261" spans="1:27" ht="19.5" thickBot="1" x14ac:dyDescent="0.35">
      <c r="A261" s="93">
        <v>160</v>
      </c>
      <c r="B261" s="94" t="s">
        <v>275</v>
      </c>
      <c r="C261" s="93">
        <v>44</v>
      </c>
      <c r="D261" s="94" t="s">
        <v>318</v>
      </c>
      <c r="E261" s="93">
        <v>557508</v>
      </c>
      <c r="F261" s="94" t="s">
        <v>331</v>
      </c>
      <c r="G261" s="95">
        <v>2.6468734470179118</v>
      </c>
      <c r="H261" s="96">
        <v>29.090926159220686</v>
      </c>
      <c r="I261" s="97">
        <v>18.680530440813854</v>
      </c>
      <c r="J261" s="98">
        <v>0.5051103498973587</v>
      </c>
      <c r="K261" s="99">
        <v>6</v>
      </c>
      <c r="M261" s="100">
        <f t="shared" si="24"/>
        <v>0.64214285714285713</v>
      </c>
      <c r="N261" s="89">
        <f t="shared" si="25"/>
        <v>18.680530440813854</v>
      </c>
      <c r="O261" s="100"/>
      <c r="V261" s="109">
        <f t="shared" si="26"/>
        <v>83.606639516742874</v>
      </c>
      <c r="W261" s="109">
        <f t="shared" si="27"/>
        <v>-18.883546848431489</v>
      </c>
      <c r="X261" s="109">
        <f t="shared" si="28"/>
        <v>-39.052548383974219</v>
      </c>
      <c r="Y261" s="109">
        <f t="shared" si="29"/>
        <v>-43.907760047041471</v>
      </c>
      <c r="Z261" s="109">
        <f t="shared" si="30"/>
        <v>-54.857782451621254</v>
      </c>
      <c r="AA261" s="109">
        <f t="shared" si="31"/>
        <v>-61.53637084018871</v>
      </c>
    </row>
    <row r="262" spans="1:27" ht="19.5" thickBot="1" x14ac:dyDescent="0.35">
      <c r="A262" s="93">
        <v>160</v>
      </c>
      <c r="B262" s="94" t="s">
        <v>275</v>
      </c>
      <c r="C262" s="93">
        <v>44</v>
      </c>
      <c r="D262" s="94" t="s">
        <v>318</v>
      </c>
      <c r="E262" s="93">
        <v>557622</v>
      </c>
      <c r="F262" s="94" t="s">
        <v>332</v>
      </c>
      <c r="G262" s="95">
        <v>2.5572602827516584</v>
      </c>
      <c r="H262" s="96">
        <v>5.8656524332594442</v>
      </c>
      <c r="I262" s="97">
        <v>4.1528819227476861</v>
      </c>
      <c r="J262" s="98">
        <v>0.88998073217579099</v>
      </c>
      <c r="K262" s="99">
        <v>174</v>
      </c>
      <c r="M262" s="100">
        <f t="shared" ref="M262:M297" si="32">IF(ISERROR(I262/H262),$O$3,(I262/H262))</f>
        <v>0.70799999999999996</v>
      </c>
      <c r="N262" s="89">
        <f t="shared" ref="N262:N297" si="33">I262</f>
        <v>4.1528819227476861</v>
      </c>
      <c r="O262" s="100"/>
      <c r="V262" s="109">
        <f t="shared" ref="V262:V297" si="34">(((($O$5-N262))/M262)*G262)+((((($O$5-N262)/$T$2))*$T$3/M262)*G262)</f>
        <v>129.08484554711367</v>
      </c>
      <c r="W262" s="109">
        <f t="shared" ref="W262:W297" si="35">(((($P$5-N262))/M262)*G262)+((((($P$5-N262)/$T$2))*$T$3/M262)*G262)</f>
        <v>39.27531265481776</v>
      </c>
      <c r="X262" s="109">
        <f t="shared" ref="X262:X297" si="36">(((($Q$5-N262))/M262)*G262)+((((($Q$5-N262)/$T$2))*$T$3/M262)*G262)</f>
        <v>21.601731690127604</v>
      </c>
      <c r="Y262" s="109">
        <f t="shared" ref="Y262:Y297" si="37">(((($R$5-N262))/M262)*G262)+((((($R$5-N262)/$T$2))*$T$3/M262)*G262)</f>
        <v>17.347233703367543</v>
      </c>
      <c r="Z262" s="109">
        <f t="shared" ref="Z262:Z297" si="38">(((($S$5-N262))/M262)*G262)+((((($S$5-N262)/$T$2))*$T$3/M262)*G262)</f>
        <v>7.7520087145910042</v>
      </c>
      <c r="AA262" s="109">
        <f t="shared" ref="AA262:AA297" si="39">(((($T$5-N262))/M262)*G262)+((((($T$5-N262)/$T$2))*$T$3/M262)*G262)</f>
        <v>1.8997322691169674</v>
      </c>
    </row>
    <row r="263" spans="1:27" ht="19.5" thickBot="1" x14ac:dyDescent="0.35">
      <c r="A263" s="93">
        <v>160</v>
      </c>
      <c r="B263" s="94" t="s">
        <v>275</v>
      </c>
      <c r="C263" s="93">
        <v>44</v>
      </c>
      <c r="D263" s="94" t="s">
        <v>318</v>
      </c>
      <c r="E263" s="93">
        <v>557628</v>
      </c>
      <c r="F263" s="94" t="s">
        <v>333</v>
      </c>
      <c r="G263" s="95">
        <v>2.2781598815647484</v>
      </c>
      <c r="H263" s="96">
        <v>8.340064344803535</v>
      </c>
      <c r="I263" s="97">
        <v>5.8029289809633013</v>
      </c>
      <c r="J263" s="98">
        <v>0.84626724053376035</v>
      </c>
      <c r="K263" s="99">
        <v>110</v>
      </c>
      <c r="M263" s="100">
        <f t="shared" si="32"/>
        <v>0.69578947368421051</v>
      </c>
      <c r="N263" s="89">
        <f t="shared" si="33"/>
        <v>5.8029289809633013</v>
      </c>
      <c r="O263" s="100"/>
      <c r="V263" s="109">
        <f t="shared" si="34"/>
        <v>111.26712178818109</v>
      </c>
      <c r="W263" s="109">
        <f t="shared" si="35"/>
        <v>29.855368627148959</v>
      </c>
      <c r="X263" s="109">
        <f t="shared" si="36"/>
        <v>13.834383274798935</v>
      </c>
      <c r="Y263" s="109">
        <f t="shared" si="37"/>
        <v>9.9777087240293891</v>
      </c>
      <c r="Z263" s="109">
        <f t="shared" si="38"/>
        <v>1.2797001368156684</v>
      </c>
      <c r="AA263" s="109">
        <f t="shared" si="39"/>
        <v>-4.0253501186002065</v>
      </c>
    </row>
    <row r="264" spans="1:27" ht="19.5" thickBot="1" x14ac:dyDescent="0.35">
      <c r="A264" s="93">
        <v>160</v>
      </c>
      <c r="B264" s="94" t="s">
        <v>275</v>
      </c>
      <c r="C264" s="93">
        <v>44</v>
      </c>
      <c r="D264" s="94" t="s">
        <v>318</v>
      </c>
      <c r="E264" s="93">
        <v>457632</v>
      </c>
      <c r="F264" s="94" t="s">
        <v>334</v>
      </c>
      <c r="G264" s="95">
        <v>8.7272633833985207</v>
      </c>
      <c r="H264" s="96">
        <v>7.1041742727668566</v>
      </c>
      <c r="I264" s="97">
        <v>4.7294321469105158</v>
      </c>
      <c r="J264" s="98">
        <v>0.87470660815631751</v>
      </c>
      <c r="K264" s="99">
        <v>146</v>
      </c>
      <c r="M264" s="100">
        <f t="shared" si="32"/>
        <v>0.66572580645161283</v>
      </c>
      <c r="N264" s="89">
        <f t="shared" si="33"/>
        <v>4.7294321469105158</v>
      </c>
      <c r="O264" s="100"/>
      <c r="V264" s="109">
        <f t="shared" si="34"/>
        <v>460.46653962806005</v>
      </c>
      <c r="W264" s="109">
        <f t="shared" si="35"/>
        <v>134.50718282715084</v>
      </c>
      <c r="X264" s="109">
        <f t="shared" si="36"/>
        <v>70.361775339864181</v>
      </c>
      <c r="Y264" s="109">
        <f t="shared" si="37"/>
        <v>54.920280627513478</v>
      </c>
      <c r="Z264" s="109">
        <f t="shared" si="38"/>
        <v>20.094875517652255</v>
      </c>
      <c r="AA264" s="109">
        <f t="shared" si="39"/>
        <v>-1.1456788483917519</v>
      </c>
    </row>
    <row r="265" spans="1:27" ht="19.5" thickBot="1" x14ac:dyDescent="0.35">
      <c r="A265" s="93">
        <v>160</v>
      </c>
      <c r="B265" s="94" t="s">
        <v>275</v>
      </c>
      <c r="C265" s="93">
        <v>44</v>
      </c>
      <c r="D265" s="94" t="s">
        <v>318</v>
      </c>
      <c r="E265" s="93">
        <v>557633</v>
      </c>
      <c r="F265" s="94" t="s">
        <v>335</v>
      </c>
      <c r="G265" s="95">
        <v>2.0694097089783541</v>
      </c>
      <c r="H265" s="96">
        <v>13.047198862002835</v>
      </c>
      <c r="I265" s="97">
        <v>7.8500646486383729</v>
      </c>
      <c r="J265" s="98">
        <v>0.79203397036521717</v>
      </c>
      <c r="K265" s="99">
        <v>61</v>
      </c>
      <c r="M265" s="100">
        <f t="shared" si="32"/>
        <v>0.60166666666666668</v>
      </c>
      <c r="N265" s="89">
        <f t="shared" si="33"/>
        <v>7.8500646486383729</v>
      </c>
      <c r="O265" s="100"/>
      <c r="V265" s="109">
        <f t="shared" si="34"/>
        <v>109.39244238444898</v>
      </c>
      <c r="W265" s="109">
        <f t="shared" si="35"/>
        <v>23.87173342234632</v>
      </c>
      <c r="X265" s="109">
        <f t="shared" si="36"/>
        <v>7.0421483513267544</v>
      </c>
      <c r="Y265" s="109">
        <f t="shared" si="37"/>
        <v>2.9908224799195047</v>
      </c>
      <c r="Z265" s="109">
        <f t="shared" si="38"/>
        <v>-6.1461857781586922</v>
      </c>
      <c r="AA265" s="109">
        <f t="shared" si="39"/>
        <v>-11.718988737276266</v>
      </c>
    </row>
    <row r="266" spans="1:27" ht="19.5" thickBot="1" x14ac:dyDescent="0.35">
      <c r="A266" s="93">
        <v>160</v>
      </c>
      <c r="B266" s="94" t="s">
        <v>275</v>
      </c>
      <c r="C266" s="93">
        <v>44</v>
      </c>
      <c r="D266" s="94" t="s">
        <v>318</v>
      </c>
      <c r="E266" s="93">
        <v>457634</v>
      </c>
      <c r="F266" s="94" t="s">
        <v>336</v>
      </c>
      <c r="G266" s="95">
        <v>1.4936029656191039</v>
      </c>
      <c r="H266" s="96">
        <v>-2.6780878801629759</v>
      </c>
      <c r="I266" s="97">
        <v>-2.2094225011344548</v>
      </c>
      <c r="J266" s="98">
        <v>1.0585326167251863</v>
      </c>
      <c r="K266" s="99">
        <v>292</v>
      </c>
      <c r="M266" s="100">
        <f t="shared" si="32"/>
        <v>0.82499999999999984</v>
      </c>
      <c r="N266" s="89">
        <f t="shared" si="33"/>
        <v>-2.2094225011344548</v>
      </c>
      <c r="O266" s="100"/>
      <c r="V266" s="109">
        <f t="shared" si="34"/>
        <v>76.955283493860591</v>
      </c>
      <c r="W266" s="109">
        <f t="shared" si="35"/>
        <v>31.939793645591866</v>
      </c>
      <c r="X266" s="109">
        <f t="shared" si="36"/>
        <v>23.081213950575858</v>
      </c>
      <c r="Y266" s="109">
        <f t="shared" si="37"/>
        <v>20.948719717896179</v>
      </c>
      <c r="Z266" s="109">
        <f t="shared" si="38"/>
        <v>16.139277566670192</v>
      </c>
      <c r="AA266" s="109">
        <f t="shared" si="39"/>
        <v>13.205924252869609</v>
      </c>
    </row>
    <row r="267" spans="1:27" ht="19.5" thickBot="1" x14ac:dyDescent="0.35">
      <c r="A267" s="93">
        <v>160</v>
      </c>
      <c r="B267" s="94" t="s">
        <v>275</v>
      </c>
      <c r="C267" s="93">
        <v>44</v>
      </c>
      <c r="D267" s="94" t="s">
        <v>318</v>
      </c>
      <c r="E267" s="93">
        <v>557660</v>
      </c>
      <c r="F267" s="94" t="s">
        <v>545</v>
      </c>
      <c r="G267" s="95">
        <v>1.9227562633698749</v>
      </c>
      <c r="H267" s="96">
        <v>15.602601625346514</v>
      </c>
      <c r="I267" s="97">
        <v>11.278080541521303</v>
      </c>
      <c r="J267" s="98">
        <v>0.70121804888214301</v>
      </c>
      <c r="K267" s="99">
        <v>21</v>
      </c>
      <c r="M267" s="100">
        <f t="shared" si="32"/>
        <v>0.72283333333333322</v>
      </c>
      <c r="N267" s="89">
        <f t="shared" si="33"/>
        <v>11.278080541521303</v>
      </c>
      <c r="O267" s="100"/>
      <c r="V267" s="109">
        <f t="shared" si="34"/>
        <v>74.901778198714283</v>
      </c>
      <c r="W267" s="109">
        <f t="shared" si="35"/>
        <v>8.7613770434447122</v>
      </c>
      <c r="X267" s="109">
        <f t="shared" si="36"/>
        <v>-4.2543652414705351</v>
      </c>
      <c r="Y267" s="109">
        <f t="shared" si="37"/>
        <v>-7.3875983682485042</v>
      </c>
      <c r="Z267" s="109">
        <f t="shared" si="38"/>
        <v>-14.454020044150434</v>
      </c>
      <c r="AA267" s="109">
        <f t="shared" si="39"/>
        <v>-18.76394015295875</v>
      </c>
    </row>
    <row r="268" spans="1:27" ht="19.5" thickBot="1" x14ac:dyDescent="0.35">
      <c r="A268" s="93">
        <v>160</v>
      </c>
      <c r="B268" s="94" t="s">
        <v>275</v>
      </c>
      <c r="C268" s="93">
        <v>44</v>
      </c>
      <c r="D268" s="94" t="s">
        <v>318</v>
      </c>
      <c r="E268" s="93">
        <v>457158</v>
      </c>
      <c r="F268" s="94" t="s">
        <v>338</v>
      </c>
      <c r="G268" s="95">
        <v>4.3844463775093123</v>
      </c>
      <c r="H268" s="96">
        <v>5.0177372707424048</v>
      </c>
      <c r="I268" s="97">
        <v>3.8009359825873714</v>
      </c>
      <c r="J268" s="98">
        <v>0.89930457893339932</v>
      </c>
      <c r="K268" s="99">
        <v>194</v>
      </c>
      <c r="M268" s="100">
        <f t="shared" si="32"/>
        <v>0.75749999999999995</v>
      </c>
      <c r="N268" s="89">
        <f t="shared" si="33"/>
        <v>3.8009359825873714</v>
      </c>
      <c r="O268" s="100"/>
      <c r="V268" s="109">
        <f t="shared" si="34"/>
        <v>209.02195702738058</v>
      </c>
      <c r="W268" s="109">
        <f t="shared" si="35"/>
        <v>65.104695215309093</v>
      </c>
      <c r="X268" s="109">
        <f t="shared" si="36"/>
        <v>36.78327657590377</v>
      </c>
      <c r="Y268" s="109">
        <f t="shared" si="37"/>
        <v>29.96556267716014</v>
      </c>
      <c r="Z268" s="109">
        <f t="shared" si="38"/>
        <v>14.589483296906041</v>
      </c>
      <c r="AA268" s="109">
        <f t="shared" si="39"/>
        <v>5.2113741555305175</v>
      </c>
    </row>
    <row r="269" spans="1:27" ht="19.5" thickBot="1" x14ac:dyDescent="0.35">
      <c r="A269" s="93">
        <v>80</v>
      </c>
      <c r="B269" s="94" t="s">
        <v>339</v>
      </c>
      <c r="C269" s="93">
        <v>57</v>
      </c>
      <c r="D269" s="94" t="s">
        <v>340</v>
      </c>
      <c r="E269" s="93">
        <v>588201</v>
      </c>
      <c r="F269" s="94" t="s">
        <v>341</v>
      </c>
      <c r="G269" s="95">
        <v>3.4164164511271813</v>
      </c>
      <c r="H269" s="96">
        <v>3.5124523522420192</v>
      </c>
      <c r="I269" s="97">
        <v>3.0221725447415708</v>
      </c>
      <c r="J269" s="98">
        <v>0.91993578994152991</v>
      </c>
      <c r="K269" s="99">
        <v>216</v>
      </c>
      <c r="M269" s="100">
        <f t="shared" si="32"/>
        <v>0.86041666666666672</v>
      </c>
      <c r="N269" s="89">
        <f t="shared" si="33"/>
        <v>3.0221725447415708</v>
      </c>
      <c r="O269" s="100"/>
      <c r="V269" s="109">
        <f t="shared" si="34"/>
        <v>146.68053478093796</v>
      </c>
      <c r="W269" s="109">
        <f t="shared" si="35"/>
        <v>47.951986329850826</v>
      </c>
      <c r="X269" s="109">
        <f t="shared" si="36"/>
        <v>28.523235969138234</v>
      </c>
      <c r="Y269" s="109">
        <f t="shared" si="37"/>
        <v>23.846222326002742</v>
      </c>
      <c r="Z269" s="109">
        <f t="shared" si="38"/>
        <v>13.298092247878591</v>
      </c>
      <c r="AA269" s="109">
        <f t="shared" si="39"/>
        <v>6.8646242184985642</v>
      </c>
    </row>
    <row r="270" spans="1:27" ht="19.5" thickBot="1" x14ac:dyDescent="0.35">
      <c r="A270" s="93">
        <v>80</v>
      </c>
      <c r="B270" s="94" t="s">
        <v>339</v>
      </c>
      <c r="C270" s="93">
        <v>57</v>
      </c>
      <c r="D270" s="94" t="s">
        <v>340</v>
      </c>
      <c r="E270" s="93">
        <v>588206</v>
      </c>
      <c r="F270" s="94" t="s">
        <v>342</v>
      </c>
      <c r="G270" s="95">
        <v>2.696068831168831</v>
      </c>
      <c r="H270" s="96">
        <v>11.127312349438071</v>
      </c>
      <c r="I270" s="97">
        <v>8.3621752306027108</v>
      </c>
      <c r="J270" s="98">
        <v>0.7784669987246009</v>
      </c>
      <c r="K270" s="99">
        <v>56</v>
      </c>
      <c r="M270" s="100">
        <f t="shared" si="32"/>
        <v>0.75150000000000006</v>
      </c>
      <c r="N270" s="89">
        <f t="shared" si="33"/>
        <v>8.3621752306027108</v>
      </c>
      <c r="O270" s="100"/>
      <c r="V270" s="109">
        <f t="shared" si="34"/>
        <v>112.14894081524109</v>
      </c>
      <c r="W270" s="109">
        <f t="shared" si="35"/>
        <v>22.945264653590634</v>
      </c>
      <c r="X270" s="109">
        <f t="shared" si="36"/>
        <v>5.3909099852325921</v>
      </c>
      <c r="Y270" s="109">
        <f t="shared" si="37"/>
        <v>1.1651129187176843</v>
      </c>
      <c r="Z270" s="109">
        <f t="shared" si="38"/>
        <v>-8.3653825090168272</v>
      </c>
      <c r="AA270" s="109">
        <f t="shared" si="39"/>
        <v>-14.178179391911016</v>
      </c>
    </row>
    <row r="271" spans="1:27" ht="19.5" thickBot="1" x14ac:dyDescent="0.35">
      <c r="A271" s="93">
        <v>80</v>
      </c>
      <c r="B271" s="94" t="s">
        <v>339</v>
      </c>
      <c r="C271" s="93">
        <v>57</v>
      </c>
      <c r="D271" s="94" t="s">
        <v>340</v>
      </c>
      <c r="E271" s="93">
        <v>588216</v>
      </c>
      <c r="F271" s="94" t="s">
        <v>546</v>
      </c>
      <c r="G271" s="95">
        <v>1</v>
      </c>
      <c r="H271" s="96">
        <v>-1</v>
      </c>
      <c r="I271" s="97">
        <v>-0.215</v>
      </c>
      <c r="J271" s="98">
        <v>1.0056958379800394</v>
      </c>
      <c r="K271" s="99">
        <v>287</v>
      </c>
      <c r="M271" s="100">
        <f t="shared" si="32"/>
        <v>0.215</v>
      </c>
      <c r="N271" s="89">
        <f t="shared" si="33"/>
        <v>-0.215</v>
      </c>
      <c r="O271" s="100"/>
      <c r="V271" s="109">
        <f t="shared" si="34"/>
        <v>187.83701240973241</v>
      </c>
      <c r="W271" s="109">
        <f t="shared" si="35"/>
        <v>72.187900583738752</v>
      </c>
      <c r="X271" s="109">
        <f t="shared" si="36"/>
        <v>49.429359529946709</v>
      </c>
      <c r="Y271" s="109">
        <f t="shared" si="37"/>
        <v>43.950777272711889</v>
      </c>
      <c r="Z271" s="109">
        <f t="shared" si="38"/>
        <v>31.594859008963997</v>
      </c>
      <c r="AA271" s="109">
        <f t="shared" si="39"/>
        <v>24.058792944675247</v>
      </c>
    </row>
    <row r="272" spans="1:27" ht="19.5" thickBot="1" x14ac:dyDescent="0.35">
      <c r="A272" s="93">
        <v>80</v>
      </c>
      <c r="B272" s="94" t="s">
        <v>339</v>
      </c>
      <c r="C272" s="93">
        <v>57</v>
      </c>
      <c r="D272" s="94" t="s">
        <v>340</v>
      </c>
      <c r="E272" s="93">
        <v>488256</v>
      </c>
      <c r="F272" s="94" t="s">
        <v>344</v>
      </c>
      <c r="G272" s="95">
        <v>2.4104500221611009</v>
      </c>
      <c r="H272" s="96">
        <v>3.3188823358501165</v>
      </c>
      <c r="I272" s="97">
        <v>2.5182019723262763</v>
      </c>
      <c r="J272" s="98">
        <v>0.93328711425401922</v>
      </c>
      <c r="K272" s="99">
        <v>230</v>
      </c>
      <c r="M272" s="100">
        <f t="shared" si="32"/>
        <v>0.75875000000000015</v>
      </c>
      <c r="N272" s="89">
        <f t="shared" si="33"/>
        <v>2.5182019723262763</v>
      </c>
      <c r="O272" s="100"/>
      <c r="V272" s="109">
        <f t="shared" si="34"/>
        <v>119.06049286677029</v>
      </c>
      <c r="W272" s="109">
        <f t="shared" si="35"/>
        <v>40.06902414158575</v>
      </c>
      <c r="X272" s="109">
        <f t="shared" si="36"/>
        <v>24.524325565894841</v>
      </c>
      <c r="Y272" s="109">
        <f t="shared" si="37"/>
        <v>20.7823058287969</v>
      </c>
      <c r="Z272" s="109">
        <f t="shared" si="38"/>
        <v>12.342879743361053</v>
      </c>
      <c r="AA272" s="109">
        <f t="shared" si="39"/>
        <v>7.1955429637768002</v>
      </c>
    </row>
    <row r="273" spans="1:27" ht="19.5" thickBot="1" x14ac:dyDescent="0.35">
      <c r="A273" s="93">
        <v>80</v>
      </c>
      <c r="B273" s="94" t="s">
        <v>339</v>
      </c>
      <c r="C273" s="93">
        <v>57</v>
      </c>
      <c r="D273" s="94" t="s">
        <v>340</v>
      </c>
      <c r="E273" s="93">
        <v>488281</v>
      </c>
      <c r="F273" s="94" t="s">
        <v>345</v>
      </c>
      <c r="G273" s="95">
        <v>4.4816822777970051</v>
      </c>
      <c r="H273" s="96">
        <v>2.4544354816261338</v>
      </c>
      <c r="I273" s="97">
        <v>1.6545126451143437</v>
      </c>
      <c r="J273" s="98">
        <v>0.95616820482559273</v>
      </c>
      <c r="K273" s="99">
        <v>252</v>
      </c>
      <c r="M273" s="100">
        <f t="shared" si="32"/>
        <v>0.67409090909090907</v>
      </c>
      <c r="N273" s="89">
        <f t="shared" si="33"/>
        <v>1.6545126451143437</v>
      </c>
      <c r="O273" s="100"/>
      <c r="V273" s="109">
        <f t="shared" si="34"/>
        <v>255.27593274182021</v>
      </c>
      <c r="W273" s="109">
        <f t="shared" si="35"/>
        <v>89.964322536766403</v>
      </c>
      <c r="X273" s="109">
        <f t="shared" si="36"/>
        <v>57.432718894354608</v>
      </c>
      <c r="Y273" s="109">
        <f t="shared" si="37"/>
        <v>49.601502205487961</v>
      </c>
      <c r="Z273" s="109">
        <f t="shared" si="38"/>
        <v>31.939656718810369</v>
      </c>
      <c r="AA273" s="109">
        <f t="shared" si="39"/>
        <v>21.167423400030771</v>
      </c>
    </row>
    <row r="274" spans="1:27" ht="19.5" thickBot="1" x14ac:dyDescent="0.35">
      <c r="A274" s="93">
        <v>80</v>
      </c>
      <c r="B274" s="94" t="s">
        <v>339</v>
      </c>
      <c r="C274" s="93">
        <v>57</v>
      </c>
      <c r="D274" s="94" t="s">
        <v>340</v>
      </c>
      <c r="E274" s="93">
        <v>488286</v>
      </c>
      <c r="F274" s="94" t="s">
        <v>346</v>
      </c>
      <c r="G274" s="95">
        <v>8.7604801060090036</v>
      </c>
      <c r="H274" s="96">
        <v>8.7894726165959813</v>
      </c>
      <c r="I274" s="97">
        <v>6.1902999999740267</v>
      </c>
      <c r="J274" s="98">
        <v>0.83600490303400299</v>
      </c>
      <c r="K274" s="99">
        <v>98</v>
      </c>
      <c r="M274" s="100">
        <f t="shared" si="32"/>
        <v>0.70428571428571429</v>
      </c>
      <c r="N274" s="89">
        <f t="shared" si="33"/>
        <v>6.1902999999740267</v>
      </c>
      <c r="O274" s="100"/>
      <c r="V274" s="109">
        <f t="shared" si="34"/>
        <v>417.58109822964747</v>
      </c>
      <c r="W274" s="109">
        <f t="shared" si="35"/>
        <v>108.29543416048156</v>
      </c>
      <c r="X274" s="109">
        <f t="shared" si="36"/>
        <v>47.431235794149053</v>
      </c>
      <c r="Y274" s="109">
        <f t="shared" si="37"/>
        <v>32.779614827652608</v>
      </c>
      <c r="Z274" s="109">
        <f t="shared" si="38"/>
        <v>-0.26437768599045236</v>
      </c>
      <c r="AA274" s="109">
        <f t="shared" si="39"/>
        <v>-20.418420897922623</v>
      </c>
    </row>
    <row r="275" spans="1:27" ht="19.5" thickBot="1" x14ac:dyDescent="0.35">
      <c r="A275" s="93">
        <v>80</v>
      </c>
      <c r="B275" s="94" t="s">
        <v>339</v>
      </c>
      <c r="C275" s="93">
        <v>57</v>
      </c>
      <c r="D275" s="94" t="s">
        <v>340</v>
      </c>
      <c r="E275" s="93">
        <v>488291</v>
      </c>
      <c r="F275" s="94" t="s">
        <v>347</v>
      </c>
      <c r="G275" s="95">
        <v>1.8422613011112312</v>
      </c>
      <c r="H275" s="96">
        <v>6.5137339598686328</v>
      </c>
      <c r="I275" s="97">
        <v>4.9422956420503255</v>
      </c>
      <c r="J275" s="98">
        <v>0.86906737103919551</v>
      </c>
      <c r="K275" s="99">
        <v>139</v>
      </c>
      <c r="M275" s="100">
        <f t="shared" si="32"/>
        <v>0.75875000000000004</v>
      </c>
      <c r="N275" s="89">
        <f t="shared" si="33"/>
        <v>4.9422956420503255</v>
      </c>
      <c r="O275" s="100"/>
      <c r="V275" s="109">
        <f t="shared" si="34"/>
        <v>84.734242069005688</v>
      </c>
      <c r="W275" s="109">
        <f t="shared" si="35"/>
        <v>24.362558519277364</v>
      </c>
      <c r="X275" s="109">
        <f t="shared" si="36"/>
        <v>12.482039794496153</v>
      </c>
      <c r="Y275" s="109">
        <f t="shared" si="37"/>
        <v>9.6220849784783091</v>
      </c>
      <c r="Z275" s="109">
        <f t="shared" si="38"/>
        <v>3.1719914532668598</v>
      </c>
      <c r="AA275" s="109">
        <f t="shared" si="39"/>
        <v>-0.76202056342402569</v>
      </c>
    </row>
    <row r="276" spans="1:27" ht="19.5" thickBot="1" x14ac:dyDescent="0.35">
      <c r="A276" s="93">
        <v>80</v>
      </c>
      <c r="B276" s="94" t="s">
        <v>339</v>
      </c>
      <c r="C276" s="93">
        <v>57</v>
      </c>
      <c r="D276" s="94" t="s">
        <v>340</v>
      </c>
      <c r="E276" s="93">
        <v>488288</v>
      </c>
      <c r="F276" s="94" t="s">
        <v>348</v>
      </c>
      <c r="G276" s="95">
        <v>1.8752380952380938</v>
      </c>
      <c r="H276" s="96">
        <v>21.330624682580005</v>
      </c>
      <c r="I276" s="97">
        <v>14.374174707973602</v>
      </c>
      <c r="J276" s="98">
        <v>0.61919548728652851</v>
      </c>
      <c r="K276" s="99">
        <v>10</v>
      </c>
      <c r="M276" s="100">
        <f t="shared" si="32"/>
        <v>0.673875</v>
      </c>
      <c r="N276" s="89">
        <f t="shared" si="33"/>
        <v>14.374174707973602</v>
      </c>
      <c r="O276" s="100"/>
      <c r="V276" s="109">
        <f t="shared" si="34"/>
        <v>69.19231064805642</v>
      </c>
      <c r="W276" s="109">
        <f t="shared" si="35"/>
        <v>0</v>
      </c>
      <c r="X276" s="109">
        <f t="shared" si="36"/>
        <v>-13.616326296217926</v>
      </c>
      <c r="Y276" s="109">
        <f t="shared" si="37"/>
        <v>-16.894135865770707</v>
      </c>
      <c r="Z276" s="109">
        <f t="shared" si="38"/>
        <v>-24.286622685155688</v>
      </c>
      <c r="AA276" s="109">
        <f t="shared" si="39"/>
        <v>-28.795414978944351</v>
      </c>
    </row>
    <row r="277" spans="1:27" ht="19.5" thickBot="1" x14ac:dyDescent="0.35">
      <c r="A277" s="93">
        <v>80</v>
      </c>
      <c r="B277" s="94" t="s">
        <v>339</v>
      </c>
      <c r="C277" s="93">
        <v>57</v>
      </c>
      <c r="D277" s="94" t="s">
        <v>340</v>
      </c>
      <c r="E277" s="93">
        <v>588336</v>
      </c>
      <c r="F277" s="94" t="s">
        <v>349</v>
      </c>
      <c r="G277" s="95">
        <v>4.0366848484848461</v>
      </c>
      <c r="H277" s="96">
        <v>3.7159205048246933</v>
      </c>
      <c r="I277" s="97">
        <v>2.4153483281360506</v>
      </c>
      <c r="J277" s="98">
        <v>0.93601194073292215</v>
      </c>
      <c r="K277" s="99">
        <v>233</v>
      </c>
      <c r="M277" s="100">
        <f t="shared" si="32"/>
        <v>0.65</v>
      </c>
      <c r="N277" s="89">
        <f t="shared" si="33"/>
        <v>2.4153483281360506</v>
      </c>
      <c r="O277" s="100"/>
      <c r="V277" s="109">
        <f t="shared" si="34"/>
        <v>233.42418769155003</v>
      </c>
      <c r="W277" s="109">
        <f t="shared" si="35"/>
        <v>79.008204996974015</v>
      </c>
      <c r="X277" s="109">
        <f t="shared" si="36"/>
        <v>48.620747401936363</v>
      </c>
      <c r="Y277" s="109">
        <f t="shared" si="37"/>
        <v>41.305683328665744</v>
      </c>
      <c r="Z277" s="109">
        <f t="shared" si="38"/>
        <v>24.807923590906526</v>
      </c>
      <c r="AA277" s="109">
        <f t="shared" si="39"/>
        <v>14.745684213579647</v>
      </c>
    </row>
    <row r="278" spans="1:27" ht="19.5" thickBot="1" x14ac:dyDescent="0.35">
      <c r="A278" s="93">
        <v>80</v>
      </c>
      <c r="B278" s="94" t="s">
        <v>339</v>
      </c>
      <c r="C278" s="93">
        <v>57</v>
      </c>
      <c r="D278" s="94" t="s">
        <v>340</v>
      </c>
      <c r="E278" s="93">
        <v>588396</v>
      </c>
      <c r="F278" s="94" t="s">
        <v>350</v>
      </c>
      <c r="G278" s="95">
        <v>2.7711007085481154</v>
      </c>
      <c r="H278" s="96">
        <v>3.969541765865058</v>
      </c>
      <c r="I278" s="97">
        <v>2.3618773506897095</v>
      </c>
      <c r="J278" s="98">
        <v>0.93742850828719504</v>
      </c>
      <c r="K278" s="99">
        <v>236</v>
      </c>
      <c r="M278" s="100">
        <f t="shared" si="32"/>
        <v>0.59499999999999997</v>
      </c>
      <c r="N278" s="89">
        <f t="shared" si="33"/>
        <v>2.3618773506897095</v>
      </c>
      <c r="O278" s="100"/>
      <c r="V278" s="109">
        <f t="shared" si="34"/>
        <v>175.31798867848136</v>
      </c>
      <c r="W278" s="109">
        <f t="shared" si="35"/>
        <v>59.51597661015564</v>
      </c>
      <c r="X278" s="109">
        <f t="shared" si="36"/>
        <v>36.727346380689809</v>
      </c>
      <c r="Y278" s="109">
        <f t="shared" si="37"/>
        <v>31.241520863722673</v>
      </c>
      <c r="Z278" s="109">
        <f t="shared" si="38"/>
        <v>18.869266781506884</v>
      </c>
      <c r="AA278" s="109">
        <f t="shared" si="39"/>
        <v>11.32323724833137</v>
      </c>
    </row>
    <row r="279" spans="1:27" ht="19.5" thickBot="1" x14ac:dyDescent="0.35">
      <c r="A279" s="93">
        <v>80</v>
      </c>
      <c r="B279" s="94" t="s">
        <v>339</v>
      </c>
      <c r="C279" s="93">
        <v>57</v>
      </c>
      <c r="D279" s="94" t="s">
        <v>340</v>
      </c>
      <c r="E279" s="93">
        <v>488451</v>
      </c>
      <c r="F279" s="94" t="s">
        <v>351</v>
      </c>
      <c r="G279" s="95">
        <v>4.6270713344626389</v>
      </c>
      <c r="H279" s="96">
        <v>1.0805971290651544</v>
      </c>
      <c r="I279" s="97">
        <v>0.40198213201223743</v>
      </c>
      <c r="J279" s="98">
        <v>0.98935058095436057</v>
      </c>
      <c r="K279" s="99">
        <v>278</v>
      </c>
      <c r="M279" s="100">
        <f t="shared" si="32"/>
        <v>0.372</v>
      </c>
      <c r="N279" s="89">
        <f t="shared" si="33"/>
        <v>0.40198213201223743</v>
      </c>
      <c r="O279" s="100"/>
      <c r="V279" s="109">
        <f t="shared" si="34"/>
        <v>494.15870176858056</v>
      </c>
      <c r="W279" s="109">
        <f t="shared" si="35"/>
        <v>184.88427061262448</v>
      </c>
      <c r="X279" s="109">
        <f t="shared" si="36"/>
        <v>124.02228276665309</v>
      </c>
      <c r="Y279" s="109">
        <f t="shared" si="37"/>
        <v>109.37119393082362</v>
      </c>
      <c r="Z279" s="109">
        <f t="shared" si="38"/>
        <v>76.328401538437831</v>
      </c>
      <c r="AA279" s="109">
        <f t="shared" si="39"/>
        <v>56.175090299062184</v>
      </c>
    </row>
    <row r="280" spans="1:27" ht="19.5" thickBot="1" x14ac:dyDescent="0.35">
      <c r="A280" s="93">
        <v>80</v>
      </c>
      <c r="B280" s="94" t="s">
        <v>339</v>
      </c>
      <c r="C280" s="93">
        <v>57</v>
      </c>
      <c r="D280" s="94" t="s">
        <v>340</v>
      </c>
      <c r="E280" s="93">
        <v>588501</v>
      </c>
      <c r="F280" s="94" t="s">
        <v>352</v>
      </c>
      <c r="G280" s="95">
        <v>4.6545454545454543</v>
      </c>
      <c r="H280" s="96">
        <v>1.93359375</v>
      </c>
      <c r="I280" s="97">
        <v>1.7080078125000002</v>
      </c>
      <c r="J280" s="98">
        <v>0.954750996424924</v>
      </c>
      <c r="K280" s="99">
        <v>251</v>
      </c>
      <c r="M280" s="100">
        <f t="shared" si="32"/>
        <v>0.88333333333333341</v>
      </c>
      <c r="N280" s="89">
        <f t="shared" si="33"/>
        <v>1.7080078125000002</v>
      </c>
      <c r="O280" s="100"/>
      <c r="V280" s="109">
        <f t="shared" si="34"/>
        <v>202.02064625195658</v>
      </c>
      <c r="W280" s="109">
        <f t="shared" si="35"/>
        <v>71.00190632257015</v>
      </c>
      <c r="X280" s="109">
        <f t="shared" si="36"/>
        <v>45.218782488593199</v>
      </c>
      <c r="Y280" s="109">
        <f t="shared" si="37"/>
        <v>39.012103227429478</v>
      </c>
      <c r="Z280" s="109">
        <f t="shared" si="38"/>
        <v>25.014098262008883</v>
      </c>
      <c r="AA280" s="109">
        <f t="shared" si="39"/>
        <v>16.476498066225975</v>
      </c>
    </row>
    <row r="281" spans="1:27" ht="19.5" thickBot="1" x14ac:dyDescent="0.35">
      <c r="A281" s="93">
        <v>80</v>
      </c>
      <c r="B281" s="94" t="s">
        <v>339</v>
      </c>
      <c r="C281" s="93">
        <v>57</v>
      </c>
      <c r="D281" s="94" t="s">
        <v>340</v>
      </c>
      <c r="E281" s="93">
        <v>488561</v>
      </c>
      <c r="F281" s="94" t="s">
        <v>353</v>
      </c>
      <c r="G281" s="95">
        <v>6.2429622962544666</v>
      </c>
      <c r="H281" s="96">
        <v>9.4506417306729045</v>
      </c>
      <c r="I281" s="97">
        <v>5.2082646758106694</v>
      </c>
      <c r="J281" s="98">
        <v>0.86202124767172339</v>
      </c>
      <c r="K281" s="99">
        <v>127</v>
      </c>
      <c r="M281" s="100">
        <f t="shared" si="32"/>
        <v>0.55110169491525429</v>
      </c>
      <c r="N281" s="89">
        <f t="shared" si="33"/>
        <v>5.2082646758106694</v>
      </c>
      <c r="O281" s="100"/>
      <c r="V281" s="109">
        <f t="shared" si="34"/>
        <v>392.12986084176981</v>
      </c>
      <c r="W281" s="109">
        <f t="shared" si="35"/>
        <v>110.46042297196945</v>
      </c>
      <c r="X281" s="109">
        <f t="shared" si="36"/>
        <v>55.030810377940313</v>
      </c>
      <c r="Y281" s="109">
        <f t="shared" si="37"/>
        <v>41.687437823202288</v>
      </c>
      <c r="Z281" s="109">
        <f t="shared" si="38"/>
        <v>11.593955073836025</v>
      </c>
      <c r="AA281" s="109">
        <f t="shared" si="39"/>
        <v>-6.7605265003215633</v>
      </c>
    </row>
    <row r="282" spans="1:27" ht="19.5" thickBot="1" x14ac:dyDescent="0.35">
      <c r="A282" s="93">
        <v>80</v>
      </c>
      <c r="B282" s="94" t="s">
        <v>339</v>
      </c>
      <c r="C282" s="93">
        <v>57</v>
      </c>
      <c r="D282" s="94" t="s">
        <v>340</v>
      </c>
      <c r="E282" s="93">
        <v>588631</v>
      </c>
      <c r="F282" s="94" t="s">
        <v>354</v>
      </c>
      <c r="G282" s="95">
        <v>5.0415908392682587</v>
      </c>
      <c r="H282" s="96">
        <v>-0.79340036260867286</v>
      </c>
      <c r="I282" s="97">
        <v>-6.7439030821737203E-2</v>
      </c>
      <c r="J282" s="98">
        <v>1.0017866129911233</v>
      </c>
      <c r="K282" s="99">
        <v>285</v>
      </c>
      <c r="M282" s="100">
        <f t="shared" si="32"/>
        <v>8.5000000000000006E-2</v>
      </c>
      <c r="N282" s="89">
        <f t="shared" si="33"/>
        <v>-6.7439030821737203E-2</v>
      </c>
      <c r="O282" s="100"/>
      <c r="V282" s="109">
        <f t="shared" si="34"/>
        <v>2386.0353521380125</v>
      </c>
      <c r="W282" s="109">
        <f t="shared" si="35"/>
        <v>911.24790400201755</v>
      </c>
      <c r="X282" s="109">
        <f t="shared" si="36"/>
        <v>621.02508988719001</v>
      </c>
      <c r="Y282" s="109">
        <f t="shared" si="37"/>
        <v>551.16078899478623</v>
      </c>
      <c r="Z282" s="109">
        <f t="shared" si="38"/>
        <v>393.59491686783764</v>
      </c>
      <c r="AA282" s="109">
        <f t="shared" si="39"/>
        <v>297.49304920577538</v>
      </c>
    </row>
    <row r="283" spans="1:27" ht="19.5" thickBot="1" x14ac:dyDescent="0.35">
      <c r="A283" s="93">
        <v>80</v>
      </c>
      <c r="B283" s="94" t="s">
        <v>339</v>
      </c>
      <c r="C283" s="93">
        <v>57</v>
      </c>
      <c r="D283" s="94" t="s">
        <v>340</v>
      </c>
      <c r="E283" s="93">
        <v>488706</v>
      </c>
      <c r="F283" s="94" t="s">
        <v>355</v>
      </c>
      <c r="G283" s="95">
        <v>3.3249222622538745</v>
      </c>
      <c r="H283" s="96">
        <v>2.7068302023696469</v>
      </c>
      <c r="I283" s="97">
        <v>2.5444203902274687</v>
      </c>
      <c r="J283" s="98">
        <v>0.93259252885653943</v>
      </c>
      <c r="K283" s="99">
        <v>228</v>
      </c>
      <c r="M283" s="100">
        <f t="shared" si="32"/>
        <v>0.94000000000000028</v>
      </c>
      <c r="N283" s="89">
        <f t="shared" si="33"/>
        <v>2.5444203902274687</v>
      </c>
      <c r="O283" s="100"/>
      <c r="V283" s="109">
        <f t="shared" si="34"/>
        <v>132.46420986395097</v>
      </c>
      <c r="W283" s="109">
        <f t="shared" si="35"/>
        <v>44.514501457750114</v>
      </c>
      <c r="X283" s="109">
        <f t="shared" si="36"/>
        <v>27.206914587189519</v>
      </c>
      <c r="Y283" s="109">
        <f t="shared" si="37"/>
        <v>23.040521050781155</v>
      </c>
      <c r="Z283" s="109">
        <f t="shared" si="38"/>
        <v>13.643999181918616</v>
      </c>
      <c r="AA283" s="109">
        <f t="shared" si="39"/>
        <v>7.9129148491542942</v>
      </c>
    </row>
    <row r="284" spans="1:27" ht="19.5" thickBot="1" x14ac:dyDescent="0.35">
      <c r="A284" s="93">
        <v>80</v>
      </c>
      <c r="B284" s="94" t="s">
        <v>339</v>
      </c>
      <c r="C284" s="93">
        <v>57</v>
      </c>
      <c r="D284" s="94" t="s">
        <v>340</v>
      </c>
      <c r="E284" s="93">
        <v>588716</v>
      </c>
      <c r="F284" s="94" t="s">
        <v>356</v>
      </c>
      <c r="G284" s="95">
        <v>2.6482683982683981</v>
      </c>
      <c r="H284" s="96">
        <v>16.614630159378834</v>
      </c>
      <c r="I284" s="97">
        <v>10.010314671025746</v>
      </c>
      <c r="J284" s="98">
        <v>0.73480404420756706</v>
      </c>
      <c r="K284" s="99">
        <v>26</v>
      </c>
      <c r="M284" s="100">
        <f t="shared" si="32"/>
        <v>0.60249999999999992</v>
      </c>
      <c r="N284" s="89">
        <f t="shared" si="33"/>
        <v>10.010314671025746</v>
      </c>
      <c r="O284" s="100"/>
      <c r="V284" s="109">
        <f t="shared" si="34"/>
        <v>129.69686063868565</v>
      </c>
      <c r="W284" s="109">
        <f t="shared" si="35"/>
        <v>20.405531262144205</v>
      </c>
      <c r="X284" s="109">
        <f t="shared" si="36"/>
        <v>-1.1018644036517455</v>
      </c>
      <c r="Y284" s="109">
        <f t="shared" si="37"/>
        <v>-6.2792629027671243</v>
      </c>
      <c r="Z284" s="109">
        <f t="shared" si="38"/>
        <v>-17.95591749519242</v>
      </c>
      <c r="AA284" s="109">
        <f t="shared" si="39"/>
        <v>-25.077690117837303</v>
      </c>
    </row>
    <row r="285" spans="1:27" ht="19.5" thickBot="1" x14ac:dyDescent="0.35">
      <c r="A285" s="93">
        <v>80</v>
      </c>
      <c r="B285" s="94" t="s">
        <v>339</v>
      </c>
      <c r="C285" s="93">
        <v>55</v>
      </c>
      <c r="D285" s="94" t="s">
        <v>357</v>
      </c>
      <c r="E285" s="93">
        <v>588186</v>
      </c>
      <c r="F285" s="94" t="s">
        <v>358</v>
      </c>
      <c r="G285" s="95">
        <v>2.6856036307778246</v>
      </c>
      <c r="H285" s="96">
        <v>8.1918268756689887</v>
      </c>
      <c r="I285" s="97">
        <v>5.5853365061379474</v>
      </c>
      <c r="J285" s="98">
        <v>0.85203175905599748</v>
      </c>
      <c r="K285" s="99">
        <v>120</v>
      </c>
      <c r="M285" s="100">
        <f t="shared" si="32"/>
        <v>0.68181818181818188</v>
      </c>
      <c r="N285" s="89">
        <f t="shared" si="33"/>
        <v>5.5853365061379474</v>
      </c>
      <c r="O285" s="100"/>
      <c r="V285" s="109">
        <f t="shared" si="34"/>
        <v>134.76654653559572</v>
      </c>
      <c r="W285" s="109">
        <f t="shared" si="35"/>
        <v>36.827899806646165</v>
      </c>
      <c r="X285" s="109">
        <f t="shared" si="36"/>
        <v>17.554593880290994</v>
      </c>
      <c r="Y285" s="109">
        <f t="shared" si="37"/>
        <v>12.914999820337208</v>
      </c>
      <c r="Z285" s="109">
        <f t="shared" si="38"/>
        <v>2.4512626178782901</v>
      </c>
      <c r="AA285" s="109">
        <f t="shared" si="39"/>
        <v>-3.9307328885542105</v>
      </c>
    </row>
    <row r="286" spans="1:27" ht="19.5" thickBot="1" x14ac:dyDescent="0.35">
      <c r="A286" s="93">
        <v>80</v>
      </c>
      <c r="B286" s="94" t="s">
        <v>339</v>
      </c>
      <c r="C286" s="93">
        <v>55</v>
      </c>
      <c r="D286" s="94" t="s">
        <v>357</v>
      </c>
      <c r="E286" s="93">
        <v>488246</v>
      </c>
      <c r="F286" s="94" t="s">
        <v>359</v>
      </c>
      <c r="G286" s="95">
        <v>2.9350329380764157</v>
      </c>
      <c r="H286" s="96">
        <v>5.1106751837104811</v>
      </c>
      <c r="I286" s="97">
        <v>4.9846118625122902</v>
      </c>
      <c r="J286" s="98">
        <v>0.86794631831510727</v>
      </c>
      <c r="K286" s="99">
        <v>136</v>
      </c>
      <c r="M286" s="100">
        <f t="shared" si="32"/>
        <v>0.9753333333333335</v>
      </c>
      <c r="N286" s="89">
        <f t="shared" si="33"/>
        <v>4.9846118625122902</v>
      </c>
      <c r="O286" s="100"/>
      <c r="V286" s="109">
        <f t="shared" si="34"/>
        <v>104.88315835226319</v>
      </c>
      <c r="W286" s="109">
        <f t="shared" si="35"/>
        <v>30.059200955738852</v>
      </c>
      <c r="X286" s="109">
        <f t="shared" si="36"/>
        <v>15.334625216859372</v>
      </c>
      <c r="Y286" s="109">
        <f t="shared" si="37"/>
        <v>11.790030719450053</v>
      </c>
      <c r="Z286" s="109">
        <f t="shared" si="38"/>
        <v>3.7958603608168966</v>
      </c>
      <c r="AA286" s="109">
        <f t="shared" si="39"/>
        <v>-1.0799080495808331</v>
      </c>
    </row>
    <row r="287" spans="1:27" ht="19.5" thickBot="1" x14ac:dyDescent="0.35">
      <c r="A287" s="93">
        <v>80</v>
      </c>
      <c r="B287" s="94" t="s">
        <v>339</v>
      </c>
      <c r="C287" s="93">
        <v>55</v>
      </c>
      <c r="D287" s="94" t="s">
        <v>357</v>
      </c>
      <c r="E287" s="93">
        <v>588316</v>
      </c>
      <c r="F287" s="94" t="s">
        <v>360</v>
      </c>
      <c r="G287" s="95">
        <v>3.9592642514101137</v>
      </c>
      <c r="H287" s="96">
        <v>6.0617323007556942</v>
      </c>
      <c r="I287" s="97">
        <v>4.0070576229787118</v>
      </c>
      <c r="J287" s="98">
        <v>0.89384394885038065</v>
      </c>
      <c r="K287" s="99">
        <v>183</v>
      </c>
      <c r="M287" s="100">
        <f t="shared" si="32"/>
        <v>0.66104166666666664</v>
      </c>
      <c r="N287" s="89">
        <f t="shared" si="33"/>
        <v>4.0070576229787118</v>
      </c>
      <c r="O287" s="100"/>
      <c r="V287" s="109">
        <f t="shared" si="34"/>
        <v>214.98112809468728</v>
      </c>
      <c r="W287" s="109">
        <f t="shared" si="35"/>
        <v>66.056537242778433</v>
      </c>
      <c r="X287" s="109">
        <f t="shared" si="36"/>
        <v>36.749728385293025</v>
      </c>
      <c r="Y287" s="109">
        <f t="shared" si="37"/>
        <v>29.694805020772733</v>
      </c>
      <c r="Z287" s="109">
        <f t="shared" si="38"/>
        <v>13.783744027957594</v>
      </c>
      <c r="AA287" s="109">
        <f t="shared" si="39"/>
        <v>4.0793413089312249</v>
      </c>
    </row>
    <row r="288" spans="1:27" ht="19.5" thickBot="1" x14ac:dyDescent="0.35">
      <c r="A288" s="93">
        <v>80</v>
      </c>
      <c r="B288" s="94" t="s">
        <v>339</v>
      </c>
      <c r="C288" s="93">
        <v>55</v>
      </c>
      <c r="D288" s="94" t="s">
        <v>357</v>
      </c>
      <c r="E288" s="93">
        <v>488326</v>
      </c>
      <c r="F288" s="94" t="s">
        <v>361</v>
      </c>
      <c r="G288" s="95">
        <v>5.0512032770097308</v>
      </c>
      <c r="H288" s="96">
        <v>12.274303091738464</v>
      </c>
      <c r="I288" s="97">
        <v>8.4821373542828145</v>
      </c>
      <c r="J288" s="98">
        <v>0.77528892979332964</v>
      </c>
      <c r="K288" s="99">
        <v>54</v>
      </c>
      <c r="M288" s="100">
        <f t="shared" si="32"/>
        <v>0.69104838709677419</v>
      </c>
      <c r="N288" s="89">
        <f t="shared" si="33"/>
        <v>8.4821373542828145</v>
      </c>
      <c r="O288" s="100"/>
      <c r="V288" s="109">
        <f t="shared" si="34"/>
        <v>227.56368122424948</v>
      </c>
      <c r="W288" s="109">
        <f t="shared" si="35"/>
        <v>45.816723323113052</v>
      </c>
      <c r="X288" s="109">
        <f t="shared" si="36"/>
        <v>10.050814381085701</v>
      </c>
      <c r="Y288" s="109">
        <f t="shared" si="37"/>
        <v>1.4410149356586686</v>
      </c>
      <c r="Z288" s="109">
        <f t="shared" si="38"/>
        <v>-17.976778431315829</v>
      </c>
      <c r="AA288" s="109">
        <f t="shared" si="39"/>
        <v>-29.819991579266887</v>
      </c>
    </row>
    <row r="289" spans="1:27" ht="19.5" thickBot="1" x14ac:dyDescent="0.35">
      <c r="A289" s="93">
        <v>80</v>
      </c>
      <c r="B289" s="94" t="s">
        <v>339</v>
      </c>
      <c r="C289" s="93">
        <v>55</v>
      </c>
      <c r="D289" s="94" t="s">
        <v>357</v>
      </c>
      <c r="E289" s="93">
        <v>488346</v>
      </c>
      <c r="F289" s="94" t="s">
        <v>362</v>
      </c>
      <c r="G289" s="95">
        <v>1.7883809038086731</v>
      </c>
      <c r="H289" s="96">
        <v>22.925764814801621</v>
      </c>
      <c r="I289" s="97">
        <v>15.77963617252931</v>
      </c>
      <c r="J289" s="98">
        <v>0.58196162315025846</v>
      </c>
      <c r="K289" s="99">
        <v>8</v>
      </c>
      <c r="M289" s="100">
        <f t="shared" si="32"/>
        <v>0.68829268292682921</v>
      </c>
      <c r="N289" s="89">
        <f t="shared" si="33"/>
        <v>15.77963617252931</v>
      </c>
      <c r="O289" s="100"/>
      <c r="V289" s="109">
        <f t="shared" si="34"/>
        <v>60.720340296007699</v>
      </c>
      <c r="W289" s="109">
        <f t="shared" si="35"/>
        <v>-3.884883145131202</v>
      </c>
      <c r="X289" s="109">
        <f t="shared" si="36"/>
        <v>-16.598518440375159</v>
      </c>
      <c r="Y289" s="109">
        <f t="shared" si="37"/>
        <v>-19.659026431148682</v>
      </c>
      <c r="Z289" s="109">
        <f t="shared" si="38"/>
        <v>-26.561430156055316</v>
      </c>
      <c r="AA289" s="109">
        <f t="shared" si="39"/>
        <v>-30.771313174293319</v>
      </c>
    </row>
    <row r="290" spans="1:27" ht="19.5" thickBot="1" x14ac:dyDescent="0.35">
      <c r="A290" s="93">
        <v>80</v>
      </c>
      <c r="B290" s="94" t="s">
        <v>339</v>
      </c>
      <c r="C290" s="93">
        <v>55</v>
      </c>
      <c r="D290" s="94" t="s">
        <v>357</v>
      </c>
      <c r="E290" s="93">
        <v>588386</v>
      </c>
      <c r="F290" s="94" t="s">
        <v>363</v>
      </c>
      <c r="G290" s="95">
        <v>2.000245656392583</v>
      </c>
      <c r="H290" s="96">
        <v>7.9990174951089719</v>
      </c>
      <c r="I290" s="97">
        <v>4.9818880836725565</v>
      </c>
      <c r="J290" s="98">
        <v>0.86801847739866334</v>
      </c>
      <c r="K290" s="99">
        <v>137</v>
      </c>
      <c r="M290" s="100">
        <f t="shared" si="32"/>
        <v>0.62281249999999999</v>
      </c>
      <c r="N290" s="89">
        <f t="shared" si="33"/>
        <v>4.9818880836725565</v>
      </c>
      <c r="O290" s="100"/>
      <c r="V290" s="109">
        <f t="shared" si="34"/>
        <v>111.94584137848233</v>
      </c>
      <c r="W290" s="109">
        <f t="shared" si="35"/>
        <v>32.089983920491626</v>
      </c>
      <c r="X290" s="109">
        <f t="shared" si="36"/>
        <v>16.375182642312144</v>
      </c>
      <c r="Y290" s="109">
        <f t="shared" si="37"/>
        <v>12.592214689528548</v>
      </c>
      <c r="Z290" s="109">
        <f t="shared" si="38"/>
        <v>4.0604375573615554</v>
      </c>
      <c r="AA290" s="109">
        <f t="shared" si="39"/>
        <v>-1.143225557054004</v>
      </c>
    </row>
    <row r="291" spans="1:27" ht="19.5" thickBot="1" x14ac:dyDescent="0.35">
      <c r="A291" s="93">
        <v>80</v>
      </c>
      <c r="B291" s="94" t="s">
        <v>339</v>
      </c>
      <c r="C291" s="93">
        <v>55</v>
      </c>
      <c r="D291" s="94" t="s">
        <v>357</v>
      </c>
      <c r="E291" s="93">
        <v>588461</v>
      </c>
      <c r="F291" s="94" t="s">
        <v>364</v>
      </c>
      <c r="G291" s="95">
        <v>2.8681779875897826</v>
      </c>
      <c r="H291" s="96">
        <v>10.11094852742022</v>
      </c>
      <c r="I291" s="97">
        <v>5.6621311753553218</v>
      </c>
      <c r="J291" s="98">
        <v>0.84999729396951906</v>
      </c>
      <c r="K291" s="99">
        <v>115</v>
      </c>
      <c r="M291" s="100">
        <f t="shared" si="32"/>
        <v>0.55999999999999983</v>
      </c>
      <c r="N291" s="89">
        <f t="shared" si="33"/>
        <v>5.6621311753553218</v>
      </c>
      <c r="O291" s="100"/>
      <c r="V291" s="109">
        <f t="shared" si="34"/>
        <v>174.81898470599194</v>
      </c>
      <c r="W291" s="109">
        <f t="shared" si="35"/>
        <v>47.469018782636176</v>
      </c>
      <c r="X291" s="109">
        <f t="shared" si="36"/>
        <v>22.407871473294897</v>
      </c>
      <c r="Y291" s="109">
        <f t="shared" si="37"/>
        <v>16.374991040828501</v>
      </c>
      <c r="Z291" s="109">
        <f t="shared" si="38"/>
        <v>2.7689568482996405</v>
      </c>
      <c r="AA291" s="109">
        <f t="shared" si="39"/>
        <v>-5.5295742975973292</v>
      </c>
    </row>
    <row r="292" spans="1:27" ht="19.5" thickBot="1" x14ac:dyDescent="0.35">
      <c r="A292" s="93">
        <v>80</v>
      </c>
      <c r="B292" s="94" t="s">
        <v>339</v>
      </c>
      <c r="C292" s="93">
        <v>55</v>
      </c>
      <c r="D292" s="94" t="s">
        <v>357</v>
      </c>
      <c r="E292" s="93">
        <v>588551</v>
      </c>
      <c r="F292" s="94" t="s">
        <v>365</v>
      </c>
      <c r="G292" s="95">
        <v>3.709824957651044</v>
      </c>
      <c r="H292" s="96">
        <v>3.5042084595363852</v>
      </c>
      <c r="I292" s="97">
        <v>2.7467603232827509</v>
      </c>
      <c r="J292" s="98">
        <v>0.92723208478409802</v>
      </c>
      <c r="K292" s="99">
        <v>223</v>
      </c>
      <c r="M292" s="100">
        <f t="shared" si="32"/>
        <v>0.78384615384615375</v>
      </c>
      <c r="N292" s="89">
        <f t="shared" si="33"/>
        <v>2.7467603232827509</v>
      </c>
      <c r="O292" s="100"/>
      <c r="V292" s="109">
        <f t="shared" si="34"/>
        <v>176.22357890967146</v>
      </c>
      <c r="W292" s="109">
        <f t="shared" si="35"/>
        <v>58.543392249869449</v>
      </c>
      <c r="X292" s="109">
        <f t="shared" si="36"/>
        <v>35.385156816598709</v>
      </c>
      <c r="Y292" s="109">
        <f t="shared" si="37"/>
        <v>29.810357559752514</v>
      </c>
      <c r="Z292" s="109">
        <f t="shared" si="38"/>
        <v>17.237439837575135</v>
      </c>
      <c r="AA292" s="109">
        <f t="shared" si="39"/>
        <v>9.5690224401250514</v>
      </c>
    </row>
    <row r="293" spans="1:27" ht="19.5" thickBot="1" x14ac:dyDescent="0.35">
      <c r="A293" s="93">
        <v>80</v>
      </c>
      <c r="B293" s="94" t="s">
        <v>339</v>
      </c>
      <c r="C293" s="93">
        <v>55</v>
      </c>
      <c r="D293" s="94" t="s">
        <v>357</v>
      </c>
      <c r="E293" s="93">
        <v>488556</v>
      </c>
      <c r="F293" s="94" t="s">
        <v>366</v>
      </c>
      <c r="G293" s="95">
        <v>3.4795865202819636</v>
      </c>
      <c r="H293" s="96">
        <v>8.6217140528435525</v>
      </c>
      <c r="I293" s="97">
        <v>5.8297156520643814</v>
      </c>
      <c r="J293" s="98">
        <v>0.84555760081926568</v>
      </c>
      <c r="K293" s="99">
        <v>109</v>
      </c>
      <c r="M293" s="100">
        <f t="shared" si="32"/>
        <v>0.67616666666666658</v>
      </c>
      <c r="N293" s="89">
        <f t="shared" si="33"/>
        <v>5.8297156520643814</v>
      </c>
      <c r="O293" s="100"/>
      <c r="V293" s="109">
        <f t="shared" si="34"/>
        <v>174.73103901753498</v>
      </c>
      <c r="W293" s="109">
        <f t="shared" si="35"/>
        <v>46.776810064101781</v>
      </c>
      <c r="X293" s="109">
        <f t="shared" si="36"/>
        <v>21.596750082106357</v>
      </c>
      <c r="Y293" s="109">
        <f t="shared" si="37"/>
        <v>15.535244226902028</v>
      </c>
      <c r="Z293" s="109">
        <f t="shared" si="38"/>
        <v>1.8646507438472228</v>
      </c>
      <c r="AA293" s="109">
        <f t="shared" si="39"/>
        <v>-6.4732561140026652</v>
      </c>
    </row>
    <row r="294" spans="1:27" ht="19.5" thickBot="1" x14ac:dyDescent="0.35">
      <c r="A294" s="101">
        <v>80</v>
      </c>
      <c r="B294" s="102" t="s">
        <v>339</v>
      </c>
      <c r="C294" s="101">
        <v>55</v>
      </c>
      <c r="D294" s="102" t="s">
        <v>357</v>
      </c>
      <c r="E294" s="101">
        <v>488586</v>
      </c>
      <c r="F294" s="102" t="s">
        <v>357</v>
      </c>
      <c r="G294" s="95">
        <v>10.350720622575185</v>
      </c>
      <c r="H294" s="96">
        <v>6.3763676372495572</v>
      </c>
      <c r="I294" s="97">
        <v>4.3045312132977882</v>
      </c>
      <c r="J294" s="98">
        <v>0.88596319827457592</v>
      </c>
      <c r="K294" s="99">
        <v>164</v>
      </c>
      <c r="M294" s="100">
        <f t="shared" si="32"/>
        <v>0.67507575757575755</v>
      </c>
      <c r="N294" s="89">
        <f t="shared" si="33"/>
        <v>4.3045312132977882</v>
      </c>
      <c r="O294" s="100"/>
      <c r="V294" s="109">
        <f t="shared" si="34"/>
        <v>545.48992734066837</v>
      </c>
      <c r="W294" s="109">
        <f t="shared" si="35"/>
        <v>164.24959814031391</v>
      </c>
      <c r="X294" s="109">
        <f t="shared" si="36"/>
        <v>89.225470877476539</v>
      </c>
      <c r="Y294" s="109">
        <f t="shared" si="37"/>
        <v>71.165180830095736</v>
      </c>
      <c r="Z294" s="109">
        <f t="shared" si="38"/>
        <v>30.433572328584052</v>
      </c>
      <c r="AA294" s="109">
        <f t="shared" si="39"/>
        <v>5.5907329685388616</v>
      </c>
    </row>
    <row r="295" spans="1:27" ht="19.5" thickBot="1" x14ac:dyDescent="0.35">
      <c r="A295" s="101">
        <v>80</v>
      </c>
      <c r="B295" s="102" t="s">
        <v>339</v>
      </c>
      <c r="C295" s="101">
        <v>55</v>
      </c>
      <c r="D295" s="102" t="s">
        <v>357</v>
      </c>
      <c r="E295" s="101">
        <v>588587</v>
      </c>
      <c r="F295" s="102" t="s">
        <v>367</v>
      </c>
      <c r="G295" s="95">
        <v>3.9573386034255598</v>
      </c>
      <c r="H295" s="96">
        <v>10.613193413281307</v>
      </c>
      <c r="I295" s="97">
        <v>6.3274848349658077</v>
      </c>
      <c r="J295" s="98">
        <v>0.8323705653901351</v>
      </c>
      <c r="K295" s="99">
        <v>96</v>
      </c>
      <c r="M295" s="100">
        <f t="shared" si="32"/>
        <v>0.59619047619047616</v>
      </c>
      <c r="N295" s="89">
        <f t="shared" si="33"/>
        <v>6.3274848349658077</v>
      </c>
      <c r="O295" s="100"/>
      <c r="V295" s="109">
        <f t="shared" si="34"/>
        <v>221.86452724528689</v>
      </c>
      <c r="W295" s="109">
        <f t="shared" si="35"/>
        <v>56.820831839201318</v>
      </c>
      <c r="X295" s="109">
        <f t="shared" si="36"/>
        <v>24.341951039662796</v>
      </c>
      <c r="Y295" s="109">
        <f t="shared" si="37"/>
        <v>16.523426132349016</v>
      </c>
      <c r="Z295" s="109">
        <f t="shared" si="38"/>
        <v>-1.1097954132932066</v>
      </c>
      <c r="AA295" s="109">
        <f t="shared" si="39"/>
        <v>-11.864570546767728</v>
      </c>
    </row>
    <row r="296" spans="1:27" ht="19.5" thickBot="1" x14ac:dyDescent="0.35">
      <c r="A296" s="101">
        <v>80</v>
      </c>
      <c r="B296" s="102" t="s">
        <v>339</v>
      </c>
      <c r="C296" s="101">
        <v>55</v>
      </c>
      <c r="D296" s="102" t="s">
        <v>357</v>
      </c>
      <c r="E296" s="101">
        <v>488616</v>
      </c>
      <c r="F296" s="102" t="s">
        <v>368</v>
      </c>
      <c r="G296" s="95">
        <v>1.8999134199134189</v>
      </c>
      <c r="H296" s="96">
        <v>7.3687568355814843</v>
      </c>
      <c r="I296" s="97">
        <v>4.2870374589865134</v>
      </c>
      <c r="J296" s="98">
        <v>0.88642664753141143</v>
      </c>
      <c r="K296" s="99">
        <v>165</v>
      </c>
      <c r="M296" s="100">
        <f t="shared" si="32"/>
        <v>0.58178571428571424</v>
      </c>
      <c r="N296" s="89">
        <f t="shared" si="33"/>
        <v>4.2870374589865134</v>
      </c>
      <c r="O296" s="100"/>
      <c r="V296" s="109">
        <f t="shared" si="34"/>
        <v>116.24292775401101</v>
      </c>
      <c r="W296" s="109">
        <f t="shared" si="35"/>
        <v>35.043771010805131</v>
      </c>
      <c r="X296" s="109">
        <f t="shared" si="36"/>
        <v>19.064622419901823</v>
      </c>
      <c r="Y296" s="109">
        <f t="shared" si="37"/>
        <v>15.218019083206165</v>
      </c>
      <c r="Z296" s="109">
        <f t="shared" si="38"/>
        <v>6.5427242368967367</v>
      </c>
      <c r="AA296" s="109">
        <f t="shared" si="39"/>
        <v>1.2515274441186079</v>
      </c>
    </row>
    <row r="297" spans="1:27" ht="18.75" x14ac:dyDescent="0.3">
      <c r="A297" s="101">
        <v>80</v>
      </c>
      <c r="B297" s="102" t="s">
        <v>339</v>
      </c>
      <c r="C297" s="101">
        <v>55</v>
      </c>
      <c r="D297" s="102" t="s">
        <v>357</v>
      </c>
      <c r="E297" s="101">
        <v>588666</v>
      </c>
      <c r="F297" s="102" t="s">
        <v>369</v>
      </c>
      <c r="G297" s="103">
        <v>3.2823042081807854</v>
      </c>
      <c r="H297" s="104">
        <v>17.670513249637654</v>
      </c>
      <c r="I297" s="105">
        <v>11.647305543683578</v>
      </c>
      <c r="J297" s="106">
        <v>0.69143644055425468</v>
      </c>
      <c r="K297" s="107">
        <v>18</v>
      </c>
      <c r="M297" s="100">
        <f t="shared" si="32"/>
        <v>0.6591379310344827</v>
      </c>
      <c r="N297" s="89">
        <f t="shared" si="33"/>
        <v>11.647305543683578</v>
      </c>
      <c r="O297" s="100"/>
      <c r="V297" s="109">
        <f t="shared" si="34"/>
        <v>138.26357072168094</v>
      </c>
      <c r="W297" s="109">
        <f t="shared" si="35"/>
        <v>14.445712671908517</v>
      </c>
      <c r="X297" s="109">
        <f t="shared" si="36"/>
        <v>-9.9203525846772109</v>
      </c>
      <c r="Y297" s="109">
        <f t="shared" si="37"/>
        <v>-15.785908398551044</v>
      </c>
      <c r="Z297" s="109">
        <f t="shared" si="38"/>
        <v>-29.014573188966377</v>
      </c>
      <c r="AA297" s="109">
        <f t="shared" si="39"/>
        <v>-37.082940887334509</v>
      </c>
    </row>
  </sheetData>
  <mergeCells count="3">
    <mergeCell ref="A1:K1"/>
    <mergeCell ref="M1:T1"/>
    <mergeCell ref="V1:AA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AA297"/>
  <sheetViews>
    <sheetView workbookViewId="0">
      <selection activeCell="D17" sqref="D17"/>
    </sheetView>
  </sheetViews>
  <sheetFormatPr baseColWidth="10" defaultRowHeight="15" x14ac:dyDescent="0.25"/>
  <cols>
    <col min="1" max="1" width="5.5703125" bestFit="1" customWidth="1"/>
    <col min="2" max="2" width="35.28515625" bestFit="1" customWidth="1"/>
    <col min="3" max="3" width="7" bestFit="1" customWidth="1"/>
    <col min="4" max="4" width="31.28515625" bestFit="1" customWidth="1"/>
    <col min="5" max="5" width="9.85546875" bestFit="1" customWidth="1"/>
    <col min="6" max="6" width="40.85546875" bestFit="1" customWidth="1"/>
    <col min="7" max="8" width="8.42578125" bestFit="1" customWidth="1"/>
    <col min="9" max="9" width="9.5703125" bestFit="1" customWidth="1"/>
    <col min="10" max="10" width="9.85546875" bestFit="1" customWidth="1"/>
    <col min="11" max="11" width="5.28515625" bestFit="1" customWidth="1"/>
  </cols>
  <sheetData>
    <row r="1" spans="1:27" x14ac:dyDescent="0.25">
      <c r="A1" s="265" t="s">
        <v>445</v>
      </c>
      <c r="B1" s="265"/>
      <c r="C1" s="265"/>
      <c r="D1" s="265"/>
      <c r="E1" s="265"/>
      <c r="F1" s="265"/>
      <c r="G1" s="265"/>
      <c r="H1" s="265"/>
      <c r="I1" s="265"/>
      <c r="J1" s="265"/>
      <c r="K1" s="265"/>
      <c r="M1" s="266" t="s">
        <v>446</v>
      </c>
      <c r="N1" s="266"/>
      <c r="O1" s="266"/>
      <c r="P1" s="266"/>
      <c r="Q1" s="266"/>
      <c r="R1" s="266"/>
      <c r="S1" s="266"/>
      <c r="T1" s="266"/>
      <c r="V1" s="267" t="s">
        <v>547</v>
      </c>
      <c r="W1" s="267"/>
      <c r="X1" s="267"/>
      <c r="Y1" s="267"/>
      <c r="Z1" s="267"/>
      <c r="AA1" s="267"/>
    </row>
    <row r="2" spans="1:27" x14ac:dyDescent="0.25">
      <c r="M2" t="s">
        <v>548</v>
      </c>
      <c r="N2" t="s">
        <v>549</v>
      </c>
      <c r="O2" t="s">
        <v>550</v>
      </c>
      <c r="Q2" t="s">
        <v>448</v>
      </c>
      <c r="T2">
        <f>'[1]CA UC'!O2</f>
        <v>47</v>
      </c>
    </row>
    <row r="3" spans="1:27" ht="15.75" thickBot="1" x14ac:dyDescent="0.3">
      <c r="M3" s="55">
        <f>SUM(H5:H297)</f>
        <v>3971.7216599975013</v>
      </c>
      <c r="N3" s="55">
        <f>SUM(I5:I297)</f>
        <v>2672.5607639148971</v>
      </c>
      <c r="O3" s="108">
        <f>N3/M3</f>
        <v>0.6728972956067063</v>
      </c>
      <c r="Q3" s="55" t="s">
        <v>449</v>
      </c>
      <c r="R3" s="55"/>
      <c r="S3" s="55"/>
      <c r="T3">
        <f>'[1]CA UC'!O3</f>
        <v>3</v>
      </c>
    </row>
    <row r="4" spans="1:27" ht="30.75" thickBot="1" x14ac:dyDescent="0.3">
      <c r="A4" s="79"/>
      <c r="B4" s="80" t="s">
        <v>450</v>
      </c>
      <c r="C4" s="79" t="s">
        <v>451</v>
      </c>
      <c r="D4" s="80" t="s">
        <v>452</v>
      </c>
      <c r="E4" s="79" t="s">
        <v>451</v>
      </c>
      <c r="F4" s="80" t="s">
        <v>453</v>
      </c>
      <c r="G4" s="80" t="s">
        <v>454</v>
      </c>
      <c r="H4" s="81" t="s">
        <v>551</v>
      </c>
      <c r="I4" s="82" t="s">
        <v>456</v>
      </c>
      <c r="J4" s="82" t="s">
        <v>457</v>
      </c>
      <c r="K4" s="83" t="s">
        <v>458</v>
      </c>
      <c r="M4" s="84" t="s">
        <v>552</v>
      </c>
      <c r="N4" s="84" t="s">
        <v>456</v>
      </c>
      <c r="O4" s="84" t="s">
        <v>459</v>
      </c>
      <c r="P4" s="84" t="s">
        <v>460</v>
      </c>
      <c r="Q4" s="84" t="s">
        <v>461</v>
      </c>
      <c r="R4" s="84" t="s">
        <v>462</v>
      </c>
      <c r="S4" s="84" t="s">
        <v>463</v>
      </c>
      <c r="T4" s="84" t="s">
        <v>464</v>
      </c>
      <c r="V4" s="84" t="s">
        <v>465</v>
      </c>
      <c r="W4" s="84" t="s">
        <v>466</v>
      </c>
      <c r="X4" s="84" t="s">
        <v>467</v>
      </c>
      <c r="Y4" s="84" t="s">
        <v>468</v>
      </c>
      <c r="Z4" s="84" t="s">
        <v>469</v>
      </c>
      <c r="AA4" s="84" t="s">
        <v>470</v>
      </c>
    </row>
    <row r="5" spans="1:27" ht="19.5" thickBot="1" x14ac:dyDescent="0.35">
      <c r="A5" s="85">
        <v>50</v>
      </c>
      <c r="B5" s="86" t="s">
        <v>4</v>
      </c>
      <c r="C5" s="85">
        <v>21</v>
      </c>
      <c r="D5" s="86" t="s">
        <v>0</v>
      </c>
      <c r="E5" s="85">
        <v>410560</v>
      </c>
      <c r="F5" s="86" t="s">
        <v>5</v>
      </c>
      <c r="G5" s="87">
        <v>1.909956709956709</v>
      </c>
      <c r="H5" s="88">
        <v>15.707162284678159</v>
      </c>
      <c r="I5" s="89">
        <v>10.209655485040804</v>
      </c>
      <c r="J5" s="90">
        <v>0.77863597281925911</v>
      </c>
      <c r="K5" s="91">
        <v>105</v>
      </c>
      <c r="M5" s="100">
        <f>IF(ISERROR(I5/H5),$O$3,(I5/H5))</f>
        <v>0.65</v>
      </c>
      <c r="N5" s="89">
        <f>I5</f>
        <v>10.209655485040804</v>
      </c>
      <c r="O5" s="89">
        <f>VLOOKUP(1,$K$5:$N$297,4,0)</f>
        <v>46.121565527468256</v>
      </c>
      <c r="P5" s="89">
        <f>VLOOKUP(10,$K$5:$N$297,4,0)</f>
        <v>21.388768259183689</v>
      </c>
      <c r="Q5" s="89">
        <f>VLOOKUP(30,$K$5:$N$297,4,0)</f>
        <v>16.642775067036283</v>
      </c>
      <c r="R5" s="89">
        <f>VLOOKUP(50,$K$5:$N$297,4,0)</f>
        <v>14.238664908142267</v>
      </c>
      <c r="S5" s="89">
        <f>VLOOKUP(100,$K$5:$N$297,4,0)</f>
        <v>10.429718874190142</v>
      </c>
      <c r="T5" s="89">
        <f>VLOOKUP(150,$K$5:$N$297,4,0)</f>
        <v>8.3423201953230279</v>
      </c>
      <c r="V5" s="109">
        <f>(((($O$5-N5))/M5)*G5)+((((($O$5-N5)/$T$2))*$T$3/M5)*G5)</f>
        <v>112.25890925187566</v>
      </c>
      <c r="W5" s="109">
        <f>(((($P$5-N5))/M5)*G5)+((((($P$5-N5)/$T$2))*$T$3/M5)*G5)</f>
        <v>34.945370629029398</v>
      </c>
      <c r="X5" s="109">
        <f>(((($Q$5-N5))/M5)*G5)+((((($Q$5-N5)/$T$2))*$T$3/M5)*G5)</f>
        <v>20.109623423217943</v>
      </c>
      <c r="Y5" s="109">
        <f>(((($R$5-N5))/M5)*G5)+((((($R$5-N5)/$T$2))*$T$3/M5)*G5)</f>
        <v>12.59449031445409</v>
      </c>
      <c r="Z5" s="109">
        <f>(((($S$5-N5))/M5)*G5)+((((($S$5-N5)/$T$2))*$T$3/M5)*G5)</f>
        <v>0.68790760510898996</v>
      </c>
      <c r="AA5" s="109">
        <f>(((($T$5-N5))/M5)*G5)+((((($T$5-N5)/$T$2))*$T$3/M5)*G5)</f>
        <v>-5.8372005995669731</v>
      </c>
    </row>
    <row r="6" spans="1:27" ht="19.5" thickBot="1" x14ac:dyDescent="0.35">
      <c r="A6" s="93">
        <v>50</v>
      </c>
      <c r="B6" s="94" t="s">
        <v>4</v>
      </c>
      <c r="C6" s="93">
        <v>21</v>
      </c>
      <c r="D6" s="94" t="s">
        <v>0</v>
      </c>
      <c r="E6" s="93">
        <v>410566</v>
      </c>
      <c r="F6" s="94" t="s">
        <v>56</v>
      </c>
      <c r="G6" s="95">
        <v>9.1868593771819587</v>
      </c>
      <c r="H6" s="96">
        <v>16.001115720255186</v>
      </c>
      <c r="I6" s="97">
        <v>11.0347830349719</v>
      </c>
      <c r="J6" s="98">
        <v>0.76074569653538748</v>
      </c>
      <c r="K6" s="99">
        <v>86</v>
      </c>
      <c r="M6" s="100">
        <f t="shared" ref="M6:M69" si="0">IF(ISERROR(I6/H6),$O$3,(I6/H6))</f>
        <v>0.68962585034013602</v>
      </c>
      <c r="N6" s="89">
        <f t="shared" ref="N6:N69" si="1">I6</f>
        <v>11.0347830349719</v>
      </c>
      <c r="O6" s="100"/>
      <c r="V6" s="109">
        <f t="shared" ref="V6:V69" si="2">(((($O$5-N6))/M6)*G6)+((((($O$5-N6)/$T$2))*$T$3/M6)*G6)</f>
        <v>497.24362886041496</v>
      </c>
      <c r="W6" s="109">
        <f t="shared" ref="W6:W69" si="3">(((($P$5-N6))/M6)*G6)+((((($P$5-N6)/$T$2))*$T$3/M6)*G6)</f>
        <v>146.73483347055924</v>
      </c>
      <c r="X6" s="109">
        <f t="shared" ref="X6:X69" si="4">(((($Q$5-N6))/M6)*G6)+((((($Q$5-N6)/$T$2))*$T$3/M6)*G6)</f>
        <v>79.475463708886437</v>
      </c>
      <c r="Y6" s="109">
        <f t="shared" ref="Y6:Y69" si="5">(((($R$5-N6))/M6)*G6)+((((($R$5-N6)/$T$2))*$T$3/M6)*G6)</f>
        <v>45.404842960338094</v>
      </c>
      <c r="Z6" s="109">
        <f t="shared" ref="Z6:Z69" si="6">(((($S$5-N6))/M6)*G6)+((((($S$5-N6)/$T$2))*$T$3/M6)*G6)</f>
        <v>-8.5748614614305456</v>
      </c>
      <c r="AA6" s="109">
        <f t="shared" ref="AA6:AA69" si="7">(((($T$5-N6))/M6)*G6)+((((($T$5-N6)/$T$2))*$T$3/M6)*G6)</f>
        <v>-38.157103554455013</v>
      </c>
    </row>
    <row r="7" spans="1:27" ht="19.5" thickBot="1" x14ac:dyDescent="0.35">
      <c r="A7" s="93">
        <v>50</v>
      </c>
      <c r="B7" s="94" t="s">
        <v>4</v>
      </c>
      <c r="C7" s="93">
        <v>21</v>
      </c>
      <c r="D7" s="94" t="s">
        <v>0</v>
      </c>
      <c r="E7" s="93">
        <v>510590</v>
      </c>
      <c r="F7" s="94" t="s">
        <v>57</v>
      </c>
      <c r="G7" s="95">
        <v>2.4723326229637603</v>
      </c>
      <c r="H7" s="96">
        <v>-6.4716211125425618</v>
      </c>
      <c r="I7" s="97">
        <v>-4.2065537231526653</v>
      </c>
      <c r="J7" s="98">
        <v>1.0912057879008334</v>
      </c>
      <c r="K7" s="99">
        <v>293</v>
      </c>
      <c r="M7" s="100">
        <f t="shared" si="0"/>
        <v>0.65</v>
      </c>
      <c r="N7" s="89">
        <f t="shared" si="1"/>
        <v>-4.2065537231526653</v>
      </c>
      <c r="O7" s="100"/>
      <c r="V7" s="109">
        <f t="shared" si="2"/>
        <v>203.64623743980451</v>
      </c>
      <c r="W7" s="109">
        <f t="shared" si="3"/>
        <v>103.56816617379971</v>
      </c>
      <c r="X7" s="109">
        <f t="shared" si="4"/>
        <v>84.364117405698337</v>
      </c>
      <c r="Y7" s="109">
        <f t="shared" si="5"/>
        <v>74.636196006300196</v>
      </c>
      <c r="Z7" s="109">
        <f t="shared" si="6"/>
        <v>59.223787595746565</v>
      </c>
      <c r="AA7" s="109">
        <f t="shared" si="7"/>
        <v>50.777398314413304</v>
      </c>
    </row>
    <row r="8" spans="1:27" ht="19.5" thickBot="1" x14ac:dyDescent="0.35">
      <c r="A8" s="93">
        <v>50</v>
      </c>
      <c r="B8" s="94" t="s">
        <v>4</v>
      </c>
      <c r="C8" s="93">
        <v>21</v>
      </c>
      <c r="D8" s="94" t="s">
        <v>0</v>
      </c>
      <c r="E8" s="93">
        <v>451154</v>
      </c>
      <c r="F8" s="94" t="s">
        <v>58</v>
      </c>
      <c r="G8" s="95">
        <v>2.7250147437103958</v>
      </c>
      <c r="H8" s="96">
        <v>-1.1009114746715765</v>
      </c>
      <c r="I8" s="97">
        <v>-0.45871311444649021</v>
      </c>
      <c r="J8" s="98">
        <v>1.0099457403321077</v>
      </c>
      <c r="K8" s="99">
        <v>290</v>
      </c>
      <c r="M8" s="100">
        <f t="shared" si="0"/>
        <v>0.41666666666666669</v>
      </c>
      <c r="N8" s="89">
        <f t="shared" si="1"/>
        <v>-0.45871311444649021</v>
      </c>
      <c r="O8" s="100"/>
      <c r="V8" s="109">
        <f t="shared" si="2"/>
        <v>324.08156442218586</v>
      </c>
      <c r="W8" s="109">
        <f t="shared" si="3"/>
        <v>152.00351197297144</v>
      </c>
      <c r="X8" s="109">
        <f t="shared" si="4"/>
        <v>118.98333812918204</v>
      </c>
      <c r="Y8" s="109">
        <f t="shared" si="5"/>
        <v>102.25677907771788</v>
      </c>
      <c r="Z8" s="109">
        <f t="shared" si="6"/>
        <v>75.756096267887813</v>
      </c>
      <c r="AA8" s="109">
        <f t="shared" si="7"/>
        <v>61.233052414489123</v>
      </c>
    </row>
    <row r="9" spans="1:27" ht="19.5" thickBot="1" x14ac:dyDescent="0.35">
      <c r="A9" s="93">
        <v>50</v>
      </c>
      <c r="B9" s="94" t="s">
        <v>4</v>
      </c>
      <c r="C9" s="93">
        <v>21</v>
      </c>
      <c r="D9" s="94" t="s">
        <v>0</v>
      </c>
      <c r="E9" s="93">
        <v>410541</v>
      </c>
      <c r="F9" s="94" t="s">
        <v>59</v>
      </c>
      <c r="G9" s="95">
        <v>6.6645704356326227</v>
      </c>
      <c r="H9" s="96">
        <v>7.3523118216318712</v>
      </c>
      <c r="I9" s="97">
        <v>5.041585249118997</v>
      </c>
      <c r="J9" s="98">
        <v>0.89068919947835645</v>
      </c>
      <c r="K9" s="99">
        <v>221</v>
      </c>
      <c r="M9" s="100">
        <f t="shared" si="0"/>
        <v>0.68571428571428561</v>
      </c>
      <c r="N9" s="89">
        <f t="shared" si="1"/>
        <v>5.041585249118997</v>
      </c>
      <c r="O9" s="100"/>
      <c r="V9" s="109">
        <f t="shared" si="2"/>
        <v>424.74799521635725</v>
      </c>
      <c r="W9" s="109">
        <f t="shared" si="3"/>
        <v>169.0223112063988</v>
      </c>
      <c r="X9" s="109">
        <f t="shared" si="4"/>
        <v>119.95093677982634</v>
      </c>
      <c r="Y9" s="109">
        <f t="shared" si="5"/>
        <v>95.093549718039142</v>
      </c>
      <c r="Z9" s="109">
        <f t="shared" si="6"/>
        <v>55.71080949162463</v>
      </c>
      <c r="AA9" s="109">
        <f t="shared" si="7"/>
        <v>34.128072643686998</v>
      </c>
    </row>
    <row r="10" spans="1:27" ht="19.5" thickBot="1" x14ac:dyDescent="0.35">
      <c r="A10" s="93">
        <v>50</v>
      </c>
      <c r="B10" s="94" t="s">
        <v>4</v>
      </c>
      <c r="C10" s="93">
        <v>21</v>
      </c>
      <c r="D10" s="94" t="s">
        <v>0</v>
      </c>
      <c r="E10" s="93">
        <v>410582</v>
      </c>
      <c r="F10" s="94" t="s">
        <v>471</v>
      </c>
      <c r="G10" s="95">
        <v>2.0710526315789468</v>
      </c>
      <c r="H10" s="96">
        <v>13.036848792884374</v>
      </c>
      <c r="I10" s="97">
        <v>8.4739517153748434</v>
      </c>
      <c r="J10" s="98">
        <v>0.81626920902483069</v>
      </c>
      <c r="K10" s="99">
        <v>144</v>
      </c>
      <c r="M10" s="100">
        <f t="shared" si="0"/>
        <v>0.65</v>
      </c>
      <c r="N10" s="89">
        <f t="shared" si="1"/>
        <v>8.4739517153748434</v>
      </c>
      <c r="O10" s="100"/>
      <c r="V10" s="109">
        <f t="shared" si="2"/>
        <v>127.61078503797702</v>
      </c>
      <c r="W10" s="109">
        <f t="shared" si="3"/>
        <v>43.776210784639325</v>
      </c>
      <c r="X10" s="109">
        <f t="shared" si="4"/>
        <v>27.689137642163626</v>
      </c>
      <c r="Y10" s="109">
        <f t="shared" si="5"/>
        <v>19.540138180325439</v>
      </c>
      <c r="Z10" s="109">
        <f t="shared" si="6"/>
        <v>6.6292908691000054</v>
      </c>
      <c r="AA10" s="109">
        <f t="shared" si="7"/>
        <v>-0.44617971522430322</v>
      </c>
    </row>
    <row r="11" spans="1:27" ht="19.5" thickBot="1" x14ac:dyDescent="0.35">
      <c r="A11" s="93">
        <v>50</v>
      </c>
      <c r="B11" s="94" t="s">
        <v>4</v>
      </c>
      <c r="C11" s="93">
        <v>21</v>
      </c>
      <c r="D11" s="94" t="s">
        <v>0</v>
      </c>
      <c r="E11" s="93">
        <v>451156</v>
      </c>
      <c r="F11" s="94" t="s">
        <v>61</v>
      </c>
      <c r="G11" s="95">
        <v>5.6138556674741817</v>
      </c>
      <c r="H11" s="96">
        <v>11.756625732719471</v>
      </c>
      <c r="I11" s="97">
        <v>7.6418067262676548</v>
      </c>
      <c r="J11" s="98">
        <v>0.83431163624061111</v>
      </c>
      <c r="K11" s="99">
        <v>164</v>
      </c>
      <c r="M11" s="100">
        <f t="shared" si="0"/>
        <v>0.64999999999999991</v>
      </c>
      <c r="N11" s="89">
        <f t="shared" si="1"/>
        <v>7.6418067262676548</v>
      </c>
      <c r="O11" s="100"/>
      <c r="V11" s="109">
        <f t="shared" si="2"/>
        <v>353.55124718356717</v>
      </c>
      <c r="W11" s="109">
        <f t="shared" si="3"/>
        <v>126.30680509347015</v>
      </c>
      <c r="X11" s="109">
        <f t="shared" si="4"/>
        <v>82.700715437937234</v>
      </c>
      <c r="Y11" s="109">
        <f t="shared" si="5"/>
        <v>60.611799822979087</v>
      </c>
      <c r="Z11" s="109">
        <f t="shared" si="6"/>
        <v>25.61528054342844</v>
      </c>
      <c r="AA11" s="109">
        <f t="shared" si="7"/>
        <v>6.4363036144001757</v>
      </c>
    </row>
    <row r="12" spans="1:27" ht="19.5" thickBot="1" x14ac:dyDescent="0.35">
      <c r="A12" s="93">
        <v>50</v>
      </c>
      <c r="B12" s="94" t="s">
        <v>4</v>
      </c>
      <c r="C12" s="93">
        <v>21</v>
      </c>
      <c r="D12" s="94" t="s">
        <v>0</v>
      </c>
      <c r="E12" s="93">
        <v>551157</v>
      </c>
      <c r="F12" s="94" t="s">
        <v>62</v>
      </c>
      <c r="G12" s="95">
        <v>2.497158525102761</v>
      </c>
      <c r="H12" s="96">
        <v>12.414109752493312</v>
      </c>
      <c r="I12" s="97">
        <v>8.579751659586103</v>
      </c>
      <c r="J12" s="98">
        <v>0.81397527248990875</v>
      </c>
      <c r="K12" s="99">
        <v>139</v>
      </c>
      <c r="M12" s="100">
        <f t="shared" si="0"/>
        <v>0.69112903225806444</v>
      </c>
      <c r="N12" s="89">
        <f t="shared" si="1"/>
        <v>8.579751659586103</v>
      </c>
      <c r="O12" s="100"/>
      <c r="V12" s="109">
        <f t="shared" si="2"/>
        <v>144.30267270727143</v>
      </c>
      <c r="W12" s="109">
        <f t="shared" si="3"/>
        <v>49.23510985853197</v>
      </c>
      <c r="X12" s="109">
        <f t="shared" si="4"/>
        <v>30.992530938729228</v>
      </c>
      <c r="Y12" s="109">
        <f t="shared" si="5"/>
        <v>21.751647623074984</v>
      </c>
      <c r="Z12" s="109">
        <f t="shared" si="6"/>
        <v>7.1108768059972522</v>
      </c>
      <c r="AA12" s="109">
        <f t="shared" si="7"/>
        <v>-0.91263557478970447</v>
      </c>
    </row>
    <row r="13" spans="1:27" ht="19.5" thickBot="1" x14ac:dyDescent="0.35">
      <c r="A13" s="93">
        <v>50</v>
      </c>
      <c r="B13" s="94" t="s">
        <v>4</v>
      </c>
      <c r="C13" s="93">
        <v>21</v>
      </c>
      <c r="D13" s="94" t="s">
        <v>0</v>
      </c>
      <c r="E13" s="93">
        <v>451151</v>
      </c>
      <c r="F13" s="94" t="s">
        <v>63</v>
      </c>
      <c r="G13" s="95">
        <v>2.8322348251931855</v>
      </c>
      <c r="H13" s="96">
        <v>15.182356920940336</v>
      </c>
      <c r="I13" s="97">
        <v>10.115686646161409</v>
      </c>
      <c r="J13" s="98">
        <v>0.78067338932506769</v>
      </c>
      <c r="K13" s="99">
        <v>107</v>
      </c>
      <c r="M13" s="100">
        <f t="shared" si="0"/>
        <v>0.66627906976744178</v>
      </c>
      <c r="N13" s="89">
        <f t="shared" si="1"/>
        <v>10.115686646161409</v>
      </c>
      <c r="O13" s="100"/>
      <c r="V13" s="109">
        <f t="shared" si="2"/>
        <v>162.82408656978873</v>
      </c>
      <c r="W13" s="109">
        <f t="shared" si="3"/>
        <v>50.978597759489325</v>
      </c>
      <c r="X13" s="109">
        <f t="shared" si="4"/>
        <v>29.516491281676569</v>
      </c>
      <c r="Y13" s="109">
        <f t="shared" si="5"/>
        <v>18.64473775705159</v>
      </c>
      <c r="Z13" s="109">
        <f t="shared" si="6"/>
        <v>1.4201017242437097</v>
      </c>
      <c r="AA13" s="109">
        <f t="shared" si="7"/>
        <v>-8.0194340891697014</v>
      </c>
    </row>
    <row r="14" spans="1:27" ht="19.5" thickBot="1" x14ac:dyDescent="0.35">
      <c r="A14" s="93">
        <v>50</v>
      </c>
      <c r="B14" s="94" t="s">
        <v>4</v>
      </c>
      <c r="C14" s="93">
        <v>14</v>
      </c>
      <c r="D14" s="94" t="s">
        <v>64</v>
      </c>
      <c r="E14" s="93">
        <v>510530</v>
      </c>
      <c r="F14" s="94" t="s">
        <v>65</v>
      </c>
      <c r="G14" s="95">
        <v>3.7165962368627157</v>
      </c>
      <c r="H14" s="96">
        <v>13.184106337405725</v>
      </c>
      <c r="I14" s="97">
        <v>8.8521856836867006</v>
      </c>
      <c r="J14" s="98">
        <v>0.80806840395704538</v>
      </c>
      <c r="K14" s="99">
        <v>125</v>
      </c>
      <c r="M14" s="100">
        <f t="shared" si="0"/>
        <v>0.67142857142857137</v>
      </c>
      <c r="N14" s="89">
        <f t="shared" si="1"/>
        <v>8.8521856836867006</v>
      </c>
      <c r="O14" s="100"/>
      <c r="V14" s="109">
        <f t="shared" si="2"/>
        <v>219.46732868792211</v>
      </c>
      <c r="W14" s="109">
        <f t="shared" si="3"/>
        <v>73.823881702687999</v>
      </c>
      <c r="X14" s="109">
        <f t="shared" si="4"/>
        <v>45.876262176482072</v>
      </c>
      <c r="Y14" s="109">
        <f t="shared" si="5"/>
        <v>31.719234700963177</v>
      </c>
      <c r="Z14" s="109">
        <f t="shared" si="6"/>
        <v>9.289582941479825</v>
      </c>
      <c r="AA14" s="109">
        <f t="shared" si="7"/>
        <v>-3.002433021165726</v>
      </c>
    </row>
    <row r="15" spans="1:27" ht="19.5" thickBot="1" x14ac:dyDescent="0.35">
      <c r="A15" s="93">
        <v>50</v>
      </c>
      <c r="B15" s="94" t="s">
        <v>4</v>
      </c>
      <c r="C15" s="93">
        <v>14</v>
      </c>
      <c r="D15" s="94" t="s">
        <v>64</v>
      </c>
      <c r="E15" s="93">
        <v>410550</v>
      </c>
      <c r="F15" s="94" t="s">
        <v>66</v>
      </c>
      <c r="G15" s="95">
        <v>2.9867510944988345</v>
      </c>
      <c r="H15" s="96">
        <v>9.0399230286481238</v>
      </c>
      <c r="I15" s="97">
        <v>5.9931341560296811</v>
      </c>
      <c r="J15" s="98">
        <v>0.87005787666811962</v>
      </c>
      <c r="K15" s="99">
        <v>204</v>
      </c>
      <c r="M15" s="100">
        <f t="shared" si="0"/>
        <v>0.66296296296296287</v>
      </c>
      <c r="N15" s="89">
        <f t="shared" si="1"/>
        <v>5.9931341560296811</v>
      </c>
      <c r="O15" s="100"/>
      <c r="V15" s="109">
        <f t="shared" si="2"/>
        <v>192.32427080812252</v>
      </c>
      <c r="W15" s="109">
        <f t="shared" si="3"/>
        <v>73.786938619913713</v>
      </c>
      <c r="X15" s="109">
        <f t="shared" si="4"/>
        <v>51.040729791284349</v>
      </c>
      <c r="Y15" s="109">
        <f t="shared" si="5"/>
        <v>39.518506832407816</v>
      </c>
      <c r="Z15" s="109">
        <f t="shared" si="6"/>
        <v>21.263301146776964</v>
      </c>
      <c r="AA15" s="109">
        <f t="shared" si="7"/>
        <v>11.258987121068657</v>
      </c>
    </row>
    <row r="16" spans="1:27" ht="19.5" thickBot="1" x14ac:dyDescent="0.35">
      <c r="A16" s="93">
        <v>50</v>
      </c>
      <c r="B16" s="94" t="s">
        <v>4</v>
      </c>
      <c r="C16" s="93">
        <v>14</v>
      </c>
      <c r="D16" s="94" t="s">
        <v>64</v>
      </c>
      <c r="E16" s="93">
        <v>510556</v>
      </c>
      <c r="F16" s="94" t="s">
        <v>67</v>
      </c>
      <c r="G16" s="95">
        <v>3.7586928362379339</v>
      </c>
      <c r="H16" s="96">
        <v>7.7154482325366143</v>
      </c>
      <c r="I16" s="97">
        <v>6.0326823680264736</v>
      </c>
      <c r="J16" s="98">
        <v>0.86920039901001123</v>
      </c>
      <c r="K16" s="99">
        <v>202</v>
      </c>
      <c r="M16" s="100">
        <f t="shared" si="0"/>
        <v>0.78189655172413797</v>
      </c>
      <c r="N16" s="89">
        <f t="shared" si="1"/>
        <v>6.0326823680264736</v>
      </c>
      <c r="O16" s="100"/>
      <c r="V16" s="109">
        <f t="shared" si="2"/>
        <v>205.01405805348602</v>
      </c>
      <c r="W16" s="109">
        <f t="shared" si="3"/>
        <v>78.530835390023881</v>
      </c>
      <c r="X16" s="109">
        <f t="shared" si="4"/>
        <v>54.259884265080977</v>
      </c>
      <c r="Y16" s="109">
        <f t="shared" si="5"/>
        <v>41.965294322971552</v>
      </c>
      <c r="Z16" s="109">
        <f t="shared" si="6"/>
        <v>22.486390901753616</v>
      </c>
      <c r="AA16" s="109">
        <f t="shared" si="7"/>
        <v>11.81145959403915</v>
      </c>
    </row>
    <row r="17" spans="1:27" ht="19.5" thickBot="1" x14ac:dyDescent="0.35">
      <c r="A17" s="93">
        <v>50</v>
      </c>
      <c r="B17" s="94" t="s">
        <v>4</v>
      </c>
      <c r="C17" s="93">
        <v>14</v>
      </c>
      <c r="D17" s="94" t="s">
        <v>64</v>
      </c>
      <c r="E17" s="93">
        <v>410551</v>
      </c>
      <c r="F17" s="94" t="s">
        <v>472</v>
      </c>
      <c r="G17" s="95">
        <v>2.3547797948533069</v>
      </c>
      <c r="H17" s="96">
        <v>13.164712924645752</v>
      </c>
      <c r="I17" s="97">
        <v>8.5570634010197377</v>
      </c>
      <c r="J17" s="98">
        <v>0.81446719548313085</v>
      </c>
      <c r="K17" s="99">
        <v>141</v>
      </c>
      <c r="M17" s="100">
        <f t="shared" si="0"/>
        <v>0.64999999999999991</v>
      </c>
      <c r="N17" s="89">
        <f t="shared" si="1"/>
        <v>8.5570634010197377</v>
      </c>
      <c r="O17" s="100"/>
      <c r="V17" s="109">
        <f t="shared" si="2"/>
        <v>144.77271785774968</v>
      </c>
      <c r="W17" s="109">
        <f t="shared" si="3"/>
        <v>49.453092198896059</v>
      </c>
      <c r="X17" s="109">
        <f t="shared" si="4"/>
        <v>31.162144776015438</v>
      </c>
      <c r="Y17" s="109">
        <f t="shared" si="5"/>
        <v>21.896760116825256</v>
      </c>
      <c r="Z17" s="109">
        <f t="shared" si="6"/>
        <v>7.2171706562080642</v>
      </c>
      <c r="AA17" s="109">
        <f t="shared" si="7"/>
        <v>-0.82761532218762668</v>
      </c>
    </row>
    <row r="18" spans="1:27" ht="19.5" thickBot="1" x14ac:dyDescent="0.35">
      <c r="A18" s="93">
        <v>50</v>
      </c>
      <c r="B18" s="94" t="s">
        <v>4</v>
      </c>
      <c r="C18" s="93">
        <v>14</v>
      </c>
      <c r="D18" s="94" t="s">
        <v>64</v>
      </c>
      <c r="E18" s="93">
        <v>510523</v>
      </c>
      <c r="F18" s="94" t="s">
        <v>69</v>
      </c>
      <c r="G18" s="95">
        <v>5.7377038062451815</v>
      </c>
      <c r="H18" s="96">
        <v>13.594288348433253</v>
      </c>
      <c r="I18" s="97">
        <v>8.7535016961546184</v>
      </c>
      <c r="J18" s="98">
        <v>0.8102080535201831</v>
      </c>
      <c r="K18" s="99">
        <v>127</v>
      </c>
      <c r="M18" s="100">
        <f t="shared" si="0"/>
        <v>0.64391025641025657</v>
      </c>
      <c r="N18" s="89">
        <f t="shared" si="1"/>
        <v>8.7535016961546184</v>
      </c>
      <c r="O18" s="100"/>
      <c r="V18" s="109">
        <f t="shared" si="2"/>
        <v>354.2301515944506</v>
      </c>
      <c r="W18" s="109">
        <f t="shared" si="3"/>
        <v>119.77587092182877</v>
      </c>
      <c r="X18" s="109">
        <f t="shared" si="4"/>
        <v>74.786280465396885</v>
      </c>
      <c r="Y18" s="109">
        <f t="shared" si="5"/>
        <v>51.996544559380879</v>
      </c>
      <c r="Z18" s="109">
        <f t="shared" si="6"/>
        <v>15.88968237051613</v>
      </c>
      <c r="AA18" s="109">
        <f t="shared" si="7"/>
        <v>-3.8977905312384427</v>
      </c>
    </row>
    <row r="19" spans="1:27" ht="19.5" thickBot="1" x14ac:dyDescent="0.35">
      <c r="A19" s="93">
        <v>50</v>
      </c>
      <c r="B19" s="94" t="s">
        <v>4</v>
      </c>
      <c r="C19" s="93">
        <v>14</v>
      </c>
      <c r="D19" s="94" t="s">
        <v>64</v>
      </c>
      <c r="E19" s="93">
        <v>510570</v>
      </c>
      <c r="F19" s="94" t="s">
        <v>70</v>
      </c>
      <c r="G19" s="95">
        <v>3.8211716883116864</v>
      </c>
      <c r="H19" s="96">
        <v>8.8977943869939704</v>
      </c>
      <c r="I19" s="97">
        <v>5.7835663515460816</v>
      </c>
      <c r="J19" s="98">
        <v>0.87460169043694747</v>
      </c>
      <c r="K19" s="99">
        <v>209</v>
      </c>
      <c r="M19" s="100">
        <f t="shared" si="0"/>
        <v>0.65000000000000013</v>
      </c>
      <c r="N19" s="89">
        <f t="shared" si="1"/>
        <v>5.7835663515460816</v>
      </c>
      <c r="O19" s="100"/>
      <c r="V19" s="109">
        <f t="shared" si="2"/>
        <v>252.27237383661856</v>
      </c>
      <c r="W19" s="109">
        <f t="shared" si="3"/>
        <v>97.594362880282063</v>
      </c>
      <c r="X19" s="109">
        <f t="shared" si="4"/>
        <v>67.913094764482267</v>
      </c>
      <c r="Y19" s="109">
        <f t="shared" si="5"/>
        <v>52.877877620867991</v>
      </c>
      <c r="Z19" s="109">
        <f t="shared" si="6"/>
        <v>29.056868214575125</v>
      </c>
      <c r="AA19" s="109">
        <f t="shared" si="7"/>
        <v>16.002353101798967</v>
      </c>
    </row>
    <row r="20" spans="1:27" ht="19.5" thickBot="1" x14ac:dyDescent="0.35">
      <c r="A20" s="93">
        <v>50</v>
      </c>
      <c r="B20" s="94" t="s">
        <v>4</v>
      </c>
      <c r="C20" s="93">
        <v>14</v>
      </c>
      <c r="D20" s="94" t="s">
        <v>64</v>
      </c>
      <c r="E20" s="93">
        <v>410571</v>
      </c>
      <c r="F20" s="94" t="s">
        <v>473</v>
      </c>
      <c r="G20" s="95">
        <v>6.5513831117223136</v>
      </c>
      <c r="H20" s="96">
        <v>16.942987168829891</v>
      </c>
      <c r="I20" s="97">
        <v>11.066365493154658</v>
      </c>
      <c r="J20" s="98">
        <v>0.76006093100712402</v>
      </c>
      <c r="K20" s="99">
        <v>84</v>
      </c>
      <c r="M20" s="100">
        <f t="shared" si="0"/>
        <v>0.65315315315315314</v>
      </c>
      <c r="N20" s="89">
        <f t="shared" si="1"/>
        <v>11.066365493154658</v>
      </c>
      <c r="O20" s="100"/>
      <c r="V20" s="109">
        <f t="shared" si="2"/>
        <v>374.06111590016587</v>
      </c>
      <c r="W20" s="109">
        <f t="shared" si="3"/>
        <v>110.14655439570315</v>
      </c>
      <c r="X20" s="109">
        <f t="shared" si="4"/>
        <v>59.503810729385066</v>
      </c>
      <c r="Y20" s="109">
        <f t="shared" si="5"/>
        <v>33.85043753788819</v>
      </c>
      <c r="Z20" s="109">
        <f t="shared" si="6"/>
        <v>-6.7934213609058798</v>
      </c>
      <c r="AA20" s="109">
        <f t="shared" si="7"/>
        <v>-29.067283109840936</v>
      </c>
    </row>
    <row r="21" spans="1:27" ht="19.5" thickBot="1" x14ac:dyDescent="0.35">
      <c r="A21" s="93">
        <v>50</v>
      </c>
      <c r="B21" s="94" t="s">
        <v>4</v>
      </c>
      <c r="C21" s="93">
        <v>14</v>
      </c>
      <c r="D21" s="94" t="s">
        <v>64</v>
      </c>
      <c r="E21" s="93">
        <v>510520</v>
      </c>
      <c r="F21" s="94" t="s">
        <v>72</v>
      </c>
      <c r="G21" s="95">
        <v>4.4635059956406362</v>
      </c>
      <c r="H21" s="96">
        <v>12.322152149838432</v>
      </c>
      <c r="I21" s="97">
        <v>8.0374037886446139</v>
      </c>
      <c r="J21" s="98">
        <v>0.82573436749761142</v>
      </c>
      <c r="K21" s="99">
        <v>157</v>
      </c>
      <c r="M21" s="100">
        <f t="shared" si="0"/>
        <v>0.65227272727272723</v>
      </c>
      <c r="N21" s="89">
        <f t="shared" si="1"/>
        <v>8.0374037886446139</v>
      </c>
      <c r="O21" s="100"/>
      <c r="V21" s="109">
        <f t="shared" si="2"/>
        <v>277.2448256893851</v>
      </c>
      <c r="W21" s="109">
        <f t="shared" si="3"/>
        <v>97.195173698062106</v>
      </c>
      <c r="X21" s="109">
        <f t="shared" si="4"/>
        <v>62.645324227735841</v>
      </c>
      <c r="Y21" s="109">
        <f t="shared" si="5"/>
        <v>45.143899186228836</v>
      </c>
      <c r="Z21" s="109">
        <f t="shared" si="6"/>
        <v>17.415559345501382</v>
      </c>
      <c r="AA21" s="109">
        <f t="shared" si="7"/>
        <v>2.2197284162148856</v>
      </c>
    </row>
    <row r="22" spans="1:27" ht="19.5" thickBot="1" x14ac:dyDescent="0.35">
      <c r="A22" s="93">
        <v>50</v>
      </c>
      <c r="B22" s="94" t="s">
        <v>4</v>
      </c>
      <c r="C22" s="93">
        <v>14</v>
      </c>
      <c r="D22" s="94" t="s">
        <v>64</v>
      </c>
      <c r="E22" s="93">
        <v>410524</v>
      </c>
      <c r="F22" s="94" t="s">
        <v>74</v>
      </c>
      <c r="G22" s="95">
        <v>5.2387683996292607</v>
      </c>
      <c r="H22" s="96">
        <v>8.017151512743391</v>
      </c>
      <c r="I22" s="97">
        <v>5.1681994573220784</v>
      </c>
      <c r="J22" s="98">
        <v>0.88794397158431015</v>
      </c>
      <c r="K22" s="99">
        <v>218</v>
      </c>
      <c r="M22" s="100">
        <f t="shared" si="0"/>
        <v>0.64464285714285707</v>
      </c>
      <c r="N22" s="89">
        <f t="shared" si="1"/>
        <v>5.1681994573220784</v>
      </c>
      <c r="O22" s="100"/>
      <c r="V22" s="109">
        <f t="shared" si="2"/>
        <v>354.05584963449439</v>
      </c>
      <c r="W22" s="109">
        <f t="shared" si="3"/>
        <v>140.23236231329855</v>
      </c>
      <c r="X22" s="109">
        <f t="shared" si="4"/>
        <v>99.201628743629868</v>
      </c>
      <c r="Y22" s="109">
        <f t="shared" si="5"/>
        <v>78.417274572004601</v>
      </c>
      <c r="Z22" s="109">
        <f t="shared" si="6"/>
        <v>45.487634015646684</v>
      </c>
      <c r="AA22" s="109">
        <f t="shared" si="7"/>
        <v>27.441358857059228</v>
      </c>
    </row>
    <row r="23" spans="1:27" ht="19.5" thickBot="1" x14ac:dyDescent="0.35">
      <c r="A23" s="93">
        <v>50</v>
      </c>
      <c r="B23" s="94" t="s">
        <v>4</v>
      </c>
      <c r="C23" s="93">
        <v>14</v>
      </c>
      <c r="D23" s="94" t="s">
        <v>64</v>
      </c>
      <c r="E23" s="93">
        <v>410521</v>
      </c>
      <c r="F23" s="94" t="s">
        <v>73</v>
      </c>
      <c r="G23" s="95">
        <v>4.4850023982562579</v>
      </c>
      <c r="H23" s="96">
        <v>-0.22296532113088591</v>
      </c>
      <c r="I23" s="97">
        <v>-0.22296532113088591</v>
      </c>
      <c r="J23" s="98">
        <v>1.0048342964637247</v>
      </c>
      <c r="K23" s="99">
        <v>287</v>
      </c>
      <c r="M23" s="100">
        <f t="shared" si="0"/>
        <v>1</v>
      </c>
      <c r="N23" s="89">
        <f t="shared" si="1"/>
        <v>-0.22296532113088591</v>
      </c>
      <c r="O23" s="100"/>
      <c r="V23" s="109">
        <f t="shared" si="2"/>
        <v>221.12269361917902</v>
      </c>
      <c r="W23" s="109">
        <f t="shared" si="3"/>
        <v>103.11561376402784</v>
      </c>
      <c r="X23" s="109">
        <f t="shared" si="4"/>
        <v>80.47115541414594</v>
      </c>
      <c r="Y23" s="109">
        <f t="shared" si="5"/>
        <v>69.000474745729022</v>
      </c>
      <c r="Z23" s="109">
        <f t="shared" si="6"/>
        <v>50.8269299615759</v>
      </c>
      <c r="AA23" s="109">
        <f t="shared" si="7"/>
        <v>40.867368173452547</v>
      </c>
    </row>
    <row r="24" spans="1:27" ht="19.5" thickBot="1" x14ac:dyDescent="0.35">
      <c r="A24" s="93">
        <v>50</v>
      </c>
      <c r="B24" s="94" t="s">
        <v>4</v>
      </c>
      <c r="C24" s="93">
        <v>14</v>
      </c>
      <c r="D24" s="94" t="s">
        <v>64</v>
      </c>
      <c r="E24" s="93">
        <v>510513</v>
      </c>
      <c r="F24" s="94" t="s">
        <v>474</v>
      </c>
      <c r="G24" s="95">
        <v>4.1535167486323861</v>
      </c>
      <c r="H24" s="96">
        <v>0.72227949989314466</v>
      </c>
      <c r="I24" s="97">
        <v>0.33104477078435796</v>
      </c>
      <c r="J24" s="98">
        <v>0.99282234314905893</v>
      </c>
      <c r="K24" s="99">
        <v>282</v>
      </c>
      <c r="M24" s="100">
        <f t="shared" si="0"/>
        <v>0.45833333333333331</v>
      </c>
      <c r="N24" s="89">
        <f t="shared" si="1"/>
        <v>0.33104477078435796</v>
      </c>
      <c r="O24" s="100"/>
      <c r="V24" s="109">
        <f t="shared" si="2"/>
        <v>441.45074249474391</v>
      </c>
      <c r="W24" s="109">
        <f t="shared" si="3"/>
        <v>203.01030684054825</v>
      </c>
      <c r="X24" s="109">
        <f t="shared" si="4"/>
        <v>157.25581040926116</v>
      </c>
      <c r="Y24" s="109">
        <f t="shared" si="5"/>
        <v>134.07860698057979</v>
      </c>
      <c r="Z24" s="109">
        <f t="shared" si="6"/>
        <v>97.357861572478299</v>
      </c>
      <c r="AA24" s="109">
        <f t="shared" si="7"/>
        <v>77.233965153721613</v>
      </c>
    </row>
    <row r="25" spans="1:27" ht="19.5" thickBot="1" x14ac:dyDescent="0.35">
      <c r="A25" s="93">
        <v>50</v>
      </c>
      <c r="B25" s="94" t="s">
        <v>4</v>
      </c>
      <c r="C25" s="93">
        <v>14</v>
      </c>
      <c r="D25" s="94" t="s">
        <v>64</v>
      </c>
      <c r="E25" s="93">
        <v>510511</v>
      </c>
      <c r="F25" s="94" t="s">
        <v>76</v>
      </c>
      <c r="G25" s="95">
        <v>3.2214728245429014</v>
      </c>
      <c r="H25" s="96">
        <v>15.520851089934171</v>
      </c>
      <c r="I25" s="97">
        <v>10.30584512371629</v>
      </c>
      <c r="J25" s="98">
        <v>0.77655040530706798</v>
      </c>
      <c r="K25" s="99">
        <v>102</v>
      </c>
      <c r="M25" s="100">
        <f t="shared" si="0"/>
        <v>0.66400000000000003</v>
      </c>
      <c r="N25" s="89">
        <f t="shared" si="1"/>
        <v>10.30584512371629</v>
      </c>
      <c r="O25" s="100"/>
      <c r="V25" s="109">
        <f t="shared" si="2"/>
        <v>184.85543766360175</v>
      </c>
      <c r="W25" s="109">
        <f t="shared" si="3"/>
        <v>57.202216895356997</v>
      </c>
      <c r="X25" s="109">
        <f t="shared" si="4"/>
        <v>32.706754042933774</v>
      </c>
      <c r="Y25" s="109">
        <f t="shared" si="5"/>
        <v>20.298436393477566</v>
      </c>
      <c r="Z25" s="109">
        <f t="shared" si="6"/>
        <v>0.639348758051976</v>
      </c>
      <c r="AA25" s="109">
        <f t="shared" si="7"/>
        <v>-10.134328052312613</v>
      </c>
    </row>
    <row r="26" spans="1:27" ht="19.5" thickBot="1" x14ac:dyDescent="0.35">
      <c r="A26" s="93">
        <v>50</v>
      </c>
      <c r="B26" s="94" t="s">
        <v>4</v>
      </c>
      <c r="C26" s="93">
        <v>14</v>
      </c>
      <c r="D26" s="94" t="s">
        <v>64</v>
      </c>
      <c r="E26" s="93">
        <v>510522</v>
      </c>
      <c r="F26" s="94" t="s">
        <v>77</v>
      </c>
      <c r="G26" s="95">
        <v>2.5875001669672071</v>
      </c>
      <c r="H26" s="96">
        <v>9.2753617203164289</v>
      </c>
      <c r="I26" s="97">
        <v>6.1642508099602926</v>
      </c>
      <c r="J26" s="98">
        <v>0.86634775425632293</v>
      </c>
      <c r="K26" s="99">
        <v>196</v>
      </c>
      <c r="M26" s="100">
        <f t="shared" si="0"/>
        <v>0.6645833333333333</v>
      </c>
      <c r="N26" s="89">
        <f t="shared" si="1"/>
        <v>6.1642508099602926</v>
      </c>
      <c r="O26" s="100"/>
      <c r="V26" s="109">
        <f t="shared" si="2"/>
        <v>165.50052718433366</v>
      </c>
      <c r="W26" s="109">
        <f t="shared" si="3"/>
        <v>63.058933809421504</v>
      </c>
      <c r="X26" s="109">
        <f t="shared" si="4"/>
        <v>43.401347185626442</v>
      </c>
      <c r="Y26" s="109">
        <f t="shared" si="5"/>
        <v>33.443683575868576</v>
      </c>
      <c r="Z26" s="109">
        <f t="shared" si="6"/>
        <v>17.667283657794478</v>
      </c>
      <c r="AA26" s="109">
        <f t="shared" si="7"/>
        <v>9.0214178322559704</v>
      </c>
    </row>
    <row r="27" spans="1:27" ht="19.5" thickBot="1" x14ac:dyDescent="0.35">
      <c r="A27" s="93">
        <v>50</v>
      </c>
      <c r="B27" s="94" t="s">
        <v>4</v>
      </c>
      <c r="C27" s="93">
        <v>14</v>
      </c>
      <c r="D27" s="94" t="s">
        <v>64</v>
      </c>
      <c r="E27" s="93">
        <v>410510</v>
      </c>
      <c r="F27" s="94" t="s">
        <v>78</v>
      </c>
      <c r="G27" s="95">
        <v>9.7042865224070027</v>
      </c>
      <c r="H27" s="96">
        <v>4.3279843297106737</v>
      </c>
      <c r="I27" s="97">
        <v>3.6040774269435913</v>
      </c>
      <c r="J27" s="98">
        <v>0.92185700147586846</v>
      </c>
      <c r="K27" s="99">
        <v>246</v>
      </c>
      <c r="M27" s="100">
        <f t="shared" si="0"/>
        <v>0.83273809523809539</v>
      </c>
      <c r="N27" s="89">
        <f t="shared" si="1"/>
        <v>3.6040774269435913</v>
      </c>
      <c r="O27" s="100"/>
      <c r="V27" s="109">
        <f t="shared" si="2"/>
        <v>527.10231451346419</v>
      </c>
      <c r="W27" s="109">
        <f t="shared" si="3"/>
        <v>220.482256111091</v>
      </c>
      <c r="X27" s="109">
        <f t="shared" si="4"/>
        <v>161.64472576754343</v>
      </c>
      <c r="Y27" s="109">
        <f t="shared" si="5"/>
        <v>131.84023623367725</v>
      </c>
      <c r="Z27" s="109">
        <f t="shared" si="6"/>
        <v>84.61956633882825</v>
      </c>
      <c r="AA27" s="109">
        <f t="shared" si="7"/>
        <v>58.741445967704408</v>
      </c>
    </row>
    <row r="28" spans="1:27" ht="19.5" thickBot="1" x14ac:dyDescent="0.35">
      <c r="A28" s="93">
        <v>50</v>
      </c>
      <c r="B28" s="94" t="s">
        <v>4</v>
      </c>
      <c r="C28" s="93">
        <v>14</v>
      </c>
      <c r="D28" s="94" t="s">
        <v>64</v>
      </c>
      <c r="E28" s="93">
        <v>410512</v>
      </c>
      <c r="F28" s="94" t="s">
        <v>79</v>
      </c>
      <c r="G28" s="95">
        <v>4.4939813465565059</v>
      </c>
      <c r="H28" s="96">
        <v>13.128670426104128</v>
      </c>
      <c r="I28" s="97">
        <v>9.0732463834643351</v>
      </c>
      <c r="J28" s="98">
        <v>0.80327540317206592</v>
      </c>
      <c r="K28" s="99">
        <v>123</v>
      </c>
      <c r="M28" s="100">
        <f t="shared" si="0"/>
        <v>0.69110169491525419</v>
      </c>
      <c r="N28" s="89">
        <f t="shared" si="1"/>
        <v>9.0732463834643351</v>
      </c>
      <c r="O28" s="100"/>
      <c r="V28" s="109">
        <f t="shared" si="2"/>
        <v>256.28899785045405</v>
      </c>
      <c r="W28" s="109">
        <f t="shared" si="3"/>
        <v>85.195032661671888</v>
      </c>
      <c r="X28" s="109">
        <f t="shared" si="4"/>
        <v>52.363695987727375</v>
      </c>
      <c r="Y28" s="109">
        <f t="shared" si="5"/>
        <v>35.732793491176103</v>
      </c>
      <c r="Z28" s="109">
        <f t="shared" si="6"/>
        <v>9.383663909516164</v>
      </c>
      <c r="AA28" s="109">
        <f t="shared" si="7"/>
        <v>-5.0563249450874537</v>
      </c>
    </row>
    <row r="29" spans="1:27" ht="19.5" thickBot="1" x14ac:dyDescent="0.35">
      <c r="A29" s="93">
        <v>262</v>
      </c>
      <c r="B29" s="94" t="s">
        <v>475</v>
      </c>
      <c r="C29" s="93">
        <v>5060</v>
      </c>
      <c r="D29" s="94" t="s">
        <v>81</v>
      </c>
      <c r="E29" s="93">
        <v>4057</v>
      </c>
      <c r="F29" s="94" t="s">
        <v>82</v>
      </c>
      <c r="G29" s="95">
        <v>6.1500901777138246</v>
      </c>
      <c r="H29" s="96">
        <v>25.365481723389941</v>
      </c>
      <c r="I29" s="97">
        <v>17.170479935833189</v>
      </c>
      <c r="J29" s="98">
        <v>0.62771255182985708</v>
      </c>
      <c r="K29" s="99">
        <v>25</v>
      </c>
      <c r="M29" s="100">
        <f t="shared" si="0"/>
        <v>0.67692307692307685</v>
      </c>
      <c r="N29" s="89">
        <f t="shared" si="1"/>
        <v>17.170479935833189</v>
      </c>
      <c r="O29" s="100"/>
      <c r="V29" s="109">
        <f t="shared" si="2"/>
        <v>279.82026507573403</v>
      </c>
      <c r="W29" s="109">
        <f t="shared" si="3"/>
        <v>40.770925603800386</v>
      </c>
      <c r="X29" s="109">
        <f t="shared" si="4"/>
        <v>-5.1004137928137112</v>
      </c>
      <c r="Y29" s="109">
        <f t="shared" si="5"/>
        <v>-28.336804697870459</v>
      </c>
      <c r="Z29" s="109">
        <f t="shared" si="6"/>
        <v>-65.151323639004758</v>
      </c>
      <c r="AA29" s="109">
        <f t="shared" si="7"/>
        <v>-85.326610323525429</v>
      </c>
    </row>
    <row r="30" spans="1:27" ht="19.5" thickBot="1" x14ac:dyDescent="0.35">
      <c r="A30" s="93">
        <v>262</v>
      </c>
      <c r="B30" s="94" t="s">
        <v>475</v>
      </c>
      <c r="C30" s="93">
        <v>5060</v>
      </c>
      <c r="D30" s="94" t="s">
        <v>81</v>
      </c>
      <c r="E30" s="93">
        <v>4082</v>
      </c>
      <c r="F30" s="94" t="s">
        <v>476</v>
      </c>
      <c r="G30" s="95">
        <v>2.8153302611367135</v>
      </c>
      <c r="H30" s="96">
        <v>17.759905716998215</v>
      </c>
      <c r="I30" s="97">
        <v>11.215380460284374</v>
      </c>
      <c r="J30" s="98">
        <v>0.75683001363852409</v>
      </c>
      <c r="K30" s="99">
        <v>81</v>
      </c>
      <c r="M30" s="100">
        <f t="shared" si="0"/>
        <v>0.63150000000000006</v>
      </c>
      <c r="N30" s="89">
        <f t="shared" si="1"/>
        <v>11.215380460284374</v>
      </c>
      <c r="O30" s="100"/>
      <c r="V30" s="109">
        <f t="shared" si="2"/>
        <v>165.55051148141243</v>
      </c>
      <c r="W30" s="109">
        <f t="shared" si="3"/>
        <v>48.249602480619018</v>
      </c>
      <c r="X30" s="109">
        <f t="shared" si="4"/>
        <v>25.740651733493102</v>
      </c>
      <c r="Y30" s="109">
        <f t="shared" si="5"/>
        <v>14.338613220933487</v>
      </c>
      <c r="Z30" s="109">
        <f t="shared" si="6"/>
        <v>-3.7261785319380709</v>
      </c>
      <c r="AA30" s="109">
        <f t="shared" si="7"/>
        <v>-13.626140910724448</v>
      </c>
    </row>
    <row r="31" spans="1:27" ht="19.5" thickBot="1" x14ac:dyDescent="0.35">
      <c r="A31" s="93">
        <v>262</v>
      </c>
      <c r="B31" s="94" t="s">
        <v>475</v>
      </c>
      <c r="C31" s="93">
        <v>5060</v>
      </c>
      <c r="D31" s="94" t="s">
        <v>81</v>
      </c>
      <c r="E31" s="93">
        <v>4030</v>
      </c>
      <c r="F31" s="94" t="s">
        <v>477</v>
      </c>
      <c r="G31" s="95">
        <v>7.2509326679234718</v>
      </c>
      <c r="H31" s="96">
        <v>7.9989709815647876</v>
      </c>
      <c r="I31" s="97">
        <v>5.7613278061184312</v>
      </c>
      <c r="J31" s="98">
        <v>0.87508386282579242</v>
      </c>
      <c r="K31" s="99">
        <v>210</v>
      </c>
      <c r="M31" s="100">
        <f t="shared" si="0"/>
        <v>0.72025862068965518</v>
      </c>
      <c r="N31" s="89">
        <f t="shared" si="1"/>
        <v>5.7613278061184312</v>
      </c>
      <c r="O31" s="100"/>
      <c r="V31" s="109">
        <f t="shared" si="2"/>
        <v>432.24628489440067</v>
      </c>
      <c r="W31" s="109">
        <f t="shared" si="3"/>
        <v>167.36529464673364</v>
      </c>
      <c r="X31" s="109">
        <f t="shared" si="4"/>
        <v>116.53710231538223</v>
      </c>
      <c r="Y31" s="109">
        <f t="shared" si="5"/>
        <v>90.789789035581464</v>
      </c>
      <c r="Z31" s="109">
        <f t="shared" si="6"/>
        <v>49.997096388279466</v>
      </c>
      <c r="AA31" s="109">
        <f t="shared" si="7"/>
        <v>27.641669984125617</v>
      </c>
    </row>
    <row r="32" spans="1:27" ht="19.5" thickBot="1" x14ac:dyDescent="0.35">
      <c r="A32" s="93">
        <v>262</v>
      </c>
      <c r="B32" s="94" t="s">
        <v>475</v>
      </c>
      <c r="C32" s="93">
        <v>5060</v>
      </c>
      <c r="D32" s="94" t="s">
        <v>81</v>
      </c>
      <c r="E32" s="93">
        <v>4060</v>
      </c>
      <c r="F32" s="94" t="s">
        <v>478</v>
      </c>
      <c r="G32" s="95">
        <v>8.0197973171155397</v>
      </c>
      <c r="H32" s="96">
        <v>10.972845886291143</v>
      </c>
      <c r="I32" s="97">
        <v>7.2040473986417135</v>
      </c>
      <c r="J32" s="98">
        <v>0.84380306010316897</v>
      </c>
      <c r="K32" s="99">
        <v>176</v>
      </c>
      <c r="M32" s="100">
        <f t="shared" si="0"/>
        <v>0.65653409090909087</v>
      </c>
      <c r="N32" s="89">
        <f t="shared" si="1"/>
        <v>7.2040473986417135</v>
      </c>
      <c r="O32" s="100"/>
      <c r="V32" s="109">
        <f t="shared" si="2"/>
        <v>505.73544579753718</v>
      </c>
      <c r="W32" s="109">
        <f t="shared" si="3"/>
        <v>184.33128505710613</v>
      </c>
      <c r="X32" s="109">
        <f t="shared" si="4"/>
        <v>122.65682331888745</v>
      </c>
      <c r="Y32" s="109">
        <f t="shared" si="5"/>
        <v>91.415269863964866</v>
      </c>
      <c r="Z32" s="109">
        <f t="shared" si="6"/>
        <v>41.917791270315853</v>
      </c>
      <c r="AA32" s="109">
        <f t="shared" si="7"/>
        <v>14.791922197177161</v>
      </c>
    </row>
    <row r="33" spans="1:27" ht="19.5" thickBot="1" x14ac:dyDescent="0.35">
      <c r="A33" s="93">
        <v>262</v>
      </c>
      <c r="B33" s="94" t="s">
        <v>475</v>
      </c>
      <c r="C33" s="93">
        <v>5060</v>
      </c>
      <c r="D33" s="94" t="s">
        <v>81</v>
      </c>
      <c r="E33" s="93">
        <v>4064</v>
      </c>
      <c r="F33" s="94" t="s">
        <v>86</v>
      </c>
      <c r="G33" s="95">
        <v>1.3816109882720979</v>
      </c>
      <c r="H33" s="96">
        <v>2.8951709518484448</v>
      </c>
      <c r="I33" s="97">
        <v>1.8818611187014891</v>
      </c>
      <c r="J33" s="98">
        <v>0.95919780481907702</v>
      </c>
      <c r="K33" s="99">
        <v>272</v>
      </c>
      <c r="M33" s="100">
        <f t="shared" si="0"/>
        <v>0.65</v>
      </c>
      <c r="N33" s="89">
        <f t="shared" si="1"/>
        <v>1.8818611187014891</v>
      </c>
      <c r="O33" s="100"/>
      <c r="V33" s="109">
        <f t="shared" si="2"/>
        <v>100.03610757620579</v>
      </c>
      <c r="W33" s="109">
        <f t="shared" si="3"/>
        <v>44.109586337960152</v>
      </c>
      <c r="X33" s="109">
        <f t="shared" si="4"/>
        <v>33.377808359997104</v>
      </c>
      <c r="Y33" s="109">
        <f t="shared" si="5"/>
        <v>27.941564476945462</v>
      </c>
      <c r="Z33" s="109">
        <f t="shared" si="6"/>
        <v>19.328664813698847</v>
      </c>
      <c r="AA33" s="109">
        <f t="shared" si="7"/>
        <v>14.608578149824107</v>
      </c>
    </row>
    <row r="34" spans="1:27" ht="19.5" thickBot="1" x14ac:dyDescent="0.35">
      <c r="A34" s="93">
        <v>262</v>
      </c>
      <c r="B34" s="94" t="s">
        <v>475</v>
      </c>
      <c r="C34" s="93">
        <v>5060</v>
      </c>
      <c r="D34" s="94" t="s">
        <v>81</v>
      </c>
      <c r="E34" s="93">
        <v>4092</v>
      </c>
      <c r="F34" s="94" t="s">
        <v>479</v>
      </c>
      <c r="G34" s="95">
        <v>2.426816116831668</v>
      </c>
      <c r="H34" s="96">
        <v>2.8844377418833269</v>
      </c>
      <c r="I34" s="97">
        <v>2.2560423766873163</v>
      </c>
      <c r="J34" s="98">
        <v>0.95108486993261954</v>
      </c>
      <c r="K34" s="99">
        <v>267</v>
      </c>
      <c r="M34" s="100">
        <f t="shared" si="0"/>
        <v>0.78214285714285714</v>
      </c>
      <c r="N34" s="89">
        <f t="shared" si="1"/>
        <v>2.2560423766873163</v>
      </c>
      <c r="O34" s="100"/>
      <c r="V34" s="109">
        <f t="shared" si="2"/>
        <v>144.79255997065476</v>
      </c>
      <c r="W34" s="109">
        <f t="shared" si="3"/>
        <v>63.153842944516107</v>
      </c>
      <c r="X34" s="109">
        <f t="shared" si="4"/>
        <v>47.488134330207956</v>
      </c>
      <c r="Y34" s="109">
        <f t="shared" si="5"/>
        <v>39.552579494552823</v>
      </c>
      <c r="Z34" s="109">
        <f t="shared" si="6"/>
        <v>26.979902653328772</v>
      </c>
      <c r="AA34" s="109">
        <f t="shared" si="7"/>
        <v>20.089758032150321</v>
      </c>
    </row>
    <row r="35" spans="1:27" ht="19.5" thickBot="1" x14ac:dyDescent="0.35">
      <c r="A35" s="93">
        <v>262</v>
      </c>
      <c r="B35" s="94" t="s">
        <v>475</v>
      </c>
      <c r="C35" s="93">
        <v>5060</v>
      </c>
      <c r="D35" s="94" t="s">
        <v>81</v>
      </c>
      <c r="E35" s="93">
        <v>4041</v>
      </c>
      <c r="F35" s="94" t="s">
        <v>480</v>
      </c>
      <c r="G35" s="95">
        <v>2.4661802025144461</v>
      </c>
      <c r="H35" s="96">
        <v>11.353590451927239</v>
      </c>
      <c r="I35" s="97">
        <v>7.2379139131036156</v>
      </c>
      <c r="J35" s="98">
        <v>0.84306877205213271</v>
      </c>
      <c r="K35" s="99">
        <v>175</v>
      </c>
      <c r="M35" s="100">
        <f t="shared" si="0"/>
        <v>0.63750000000000007</v>
      </c>
      <c r="N35" s="89">
        <f t="shared" si="1"/>
        <v>7.2379139131036156</v>
      </c>
      <c r="O35" s="100"/>
      <c r="V35" s="109">
        <f t="shared" si="2"/>
        <v>160.0235157493783</v>
      </c>
      <c r="W35" s="109">
        <f t="shared" si="3"/>
        <v>58.237057717093336</v>
      </c>
      <c r="X35" s="109">
        <f t="shared" si="4"/>
        <v>38.705185457198013</v>
      </c>
      <c r="Y35" s="109">
        <f t="shared" si="5"/>
        <v>28.81120318180664</v>
      </c>
      <c r="Z35" s="109">
        <f t="shared" si="6"/>
        <v>13.135696629652035</v>
      </c>
      <c r="AA35" s="109">
        <f t="shared" si="7"/>
        <v>4.5451229182179338</v>
      </c>
    </row>
    <row r="36" spans="1:27" ht="19.5" thickBot="1" x14ac:dyDescent="0.35">
      <c r="A36" s="93">
        <v>262</v>
      </c>
      <c r="B36" s="94" t="s">
        <v>475</v>
      </c>
      <c r="C36" s="93">
        <v>5060</v>
      </c>
      <c r="D36" s="94" t="s">
        <v>81</v>
      </c>
      <c r="E36" s="93">
        <v>4085</v>
      </c>
      <c r="F36" s="94" t="s">
        <v>481</v>
      </c>
      <c r="G36" s="95">
        <v>3.6840844159487083</v>
      </c>
      <c r="H36" s="96">
        <v>7.3288222938417888</v>
      </c>
      <c r="I36" s="97">
        <v>4.7637344909971633</v>
      </c>
      <c r="J36" s="98">
        <v>0.89671351272410593</v>
      </c>
      <c r="K36" s="99">
        <v>227</v>
      </c>
      <c r="M36" s="100">
        <f t="shared" si="0"/>
        <v>0.65</v>
      </c>
      <c r="N36" s="89">
        <f t="shared" si="1"/>
        <v>4.7637344909971633</v>
      </c>
      <c r="O36" s="100"/>
      <c r="V36" s="109">
        <f t="shared" si="2"/>
        <v>249.37109787054493</v>
      </c>
      <c r="W36" s="109">
        <f t="shared" si="3"/>
        <v>100.24227139115713</v>
      </c>
      <c r="X36" s="109">
        <f t="shared" si="4"/>
        <v>71.625840037001794</v>
      </c>
      <c r="Y36" s="109">
        <f t="shared" si="5"/>
        <v>57.130022081837424</v>
      </c>
      <c r="Z36" s="109">
        <f t="shared" si="6"/>
        <v>34.163608456841253</v>
      </c>
      <c r="AA36" s="109">
        <f t="shared" si="7"/>
        <v>21.577433427894842</v>
      </c>
    </row>
    <row r="37" spans="1:27" ht="19.5" thickBot="1" x14ac:dyDescent="0.35">
      <c r="A37" s="93">
        <v>262</v>
      </c>
      <c r="B37" s="94" t="s">
        <v>475</v>
      </c>
      <c r="C37" s="93">
        <v>5060</v>
      </c>
      <c r="D37" s="94" t="s">
        <v>81</v>
      </c>
      <c r="E37" s="93">
        <v>4066</v>
      </c>
      <c r="F37" s="94" t="s">
        <v>482</v>
      </c>
      <c r="G37" s="95">
        <v>5.7444507926436632</v>
      </c>
      <c r="H37" s="96">
        <v>5.0483503204757829</v>
      </c>
      <c r="I37" s="97">
        <v>3.2596675776175528</v>
      </c>
      <c r="J37" s="98">
        <v>0.92932443770417505</v>
      </c>
      <c r="K37" s="99">
        <v>255</v>
      </c>
      <c r="M37" s="100">
        <f t="shared" si="0"/>
        <v>0.64568965517241372</v>
      </c>
      <c r="N37" s="89">
        <f t="shared" si="1"/>
        <v>3.2596675776175528</v>
      </c>
      <c r="O37" s="100"/>
      <c r="V37" s="109">
        <f t="shared" si="2"/>
        <v>405.66564474134128</v>
      </c>
      <c r="W37" s="109">
        <f t="shared" si="3"/>
        <v>171.58253993262176</v>
      </c>
      <c r="X37" s="109">
        <f t="shared" si="4"/>
        <v>126.66417466370346</v>
      </c>
      <c r="Y37" s="109">
        <f t="shared" si="5"/>
        <v>103.91051828623672</v>
      </c>
      <c r="Z37" s="109">
        <f t="shared" si="6"/>
        <v>67.86081860994075</v>
      </c>
      <c r="AA37" s="109">
        <f t="shared" si="7"/>
        <v>48.104672209573486</v>
      </c>
    </row>
    <row r="38" spans="1:27" ht="19.5" thickBot="1" x14ac:dyDescent="0.35">
      <c r="A38" s="93">
        <v>262</v>
      </c>
      <c r="B38" s="94" t="s">
        <v>475</v>
      </c>
      <c r="C38" s="93">
        <v>5060</v>
      </c>
      <c r="D38" s="94" t="s">
        <v>81</v>
      </c>
      <c r="E38" s="93">
        <v>4067</v>
      </c>
      <c r="F38" s="94" t="s">
        <v>483</v>
      </c>
      <c r="G38" s="95">
        <v>2.9198757763975163</v>
      </c>
      <c r="H38" s="96">
        <v>7.5345671133801302</v>
      </c>
      <c r="I38" s="97">
        <v>5.2142629227823853</v>
      </c>
      <c r="J38" s="98">
        <v>0.88694523130016101</v>
      </c>
      <c r="K38" s="99">
        <v>216</v>
      </c>
      <c r="M38" s="100">
        <f t="shared" si="0"/>
        <v>0.69204545454545452</v>
      </c>
      <c r="N38" s="89">
        <f t="shared" si="1"/>
        <v>5.2142629227823853</v>
      </c>
      <c r="O38" s="100"/>
      <c r="V38" s="109">
        <f t="shared" si="2"/>
        <v>183.612711663353</v>
      </c>
      <c r="W38" s="109">
        <f t="shared" si="3"/>
        <v>72.599379463602801</v>
      </c>
      <c r="X38" s="109">
        <f t="shared" si="4"/>
        <v>51.296956080493274</v>
      </c>
      <c r="Y38" s="109">
        <f t="shared" si="5"/>
        <v>40.506090946271982</v>
      </c>
      <c r="Z38" s="109">
        <f t="shared" si="6"/>
        <v>23.409610236414281</v>
      </c>
      <c r="AA38" s="109">
        <f t="shared" si="7"/>
        <v>14.040306778469141</v>
      </c>
    </row>
    <row r="39" spans="1:27" ht="19.5" thickBot="1" x14ac:dyDescent="0.35">
      <c r="A39" s="93">
        <v>262</v>
      </c>
      <c r="B39" s="94" t="s">
        <v>475</v>
      </c>
      <c r="C39" s="93">
        <v>5060</v>
      </c>
      <c r="D39" s="94" t="s">
        <v>81</v>
      </c>
      <c r="E39" s="93">
        <v>4095</v>
      </c>
      <c r="F39" s="94" t="s">
        <v>92</v>
      </c>
      <c r="G39" s="95">
        <v>4.1744809966610887</v>
      </c>
      <c r="H39" s="96">
        <v>6.4678699032516</v>
      </c>
      <c r="I39" s="97">
        <v>4.3718009531237669</v>
      </c>
      <c r="J39" s="98">
        <v>0.90521134954709881</v>
      </c>
      <c r="K39" s="99">
        <v>233</v>
      </c>
      <c r="M39" s="100">
        <f t="shared" si="0"/>
        <v>0.67592592592592593</v>
      </c>
      <c r="N39" s="89">
        <f t="shared" si="1"/>
        <v>4.3718009531237669</v>
      </c>
      <c r="O39" s="100"/>
      <c r="V39" s="109">
        <f t="shared" si="2"/>
        <v>274.30237064577301</v>
      </c>
      <c r="W39" s="109">
        <f t="shared" si="3"/>
        <v>111.80409089353861</v>
      </c>
      <c r="X39" s="109">
        <f t="shared" si="4"/>
        <v>80.622186110422277</v>
      </c>
      <c r="Y39" s="109">
        <f t="shared" si="5"/>
        <v>64.82681282864209</v>
      </c>
      <c r="Z39" s="109">
        <f t="shared" si="6"/>
        <v>39.801451909195819</v>
      </c>
      <c r="AA39" s="109">
        <f t="shared" si="7"/>
        <v>26.086921733187179</v>
      </c>
    </row>
    <row r="40" spans="1:27" ht="19.5" thickBot="1" x14ac:dyDescent="0.35">
      <c r="A40" s="93">
        <v>262</v>
      </c>
      <c r="B40" s="94" t="s">
        <v>475</v>
      </c>
      <c r="C40" s="93">
        <v>5060</v>
      </c>
      <c r="D40" s="94" t="s">
        <v>81</v>
      </c>
      <c r="E40" s="93">
        <v>4087</v>
      </c>
      <c r="F40" s="94" t="s">
        <v>93</v>
      </c>
      <c r="G40" s="95">
        <v>7.6530726035315553</v>
      </c>
      <c r="H40" s="96">
        <v>11.498649569767819</v>
      </c>
      <c r="I40" s="97">
        <v>7.5361887947313511</v>
      </c>
      <c r="J40" s="98">
        <v>0.8366016264074323</v>
      </c>
      <c r="K40" s="99">
        <v>168</v>
      </c>
      <c r="M40" s="100">
        <f t="shared" si="0"/>
        <v>0.65539772727272716</v>
      </c>
      <c r="N40" s="89">
        <f t="shared" si="1"/>
        <v>7.5361887947313511</v>
      </c>
      <c r="O40" s="100"/>
      <c r="V40" s="109">
        <f t="shared" si="2"/>
        <v>479.32026823418539</v>
      </c>
      <c r="W40" s="109">
        <f t="shared" si="3"/>
        <v>172.0813081760908</v>
      </c>
      <c r="X40" s="109">
        <f t="shared" si="4"/>
        <v>113.12501637532507</v>
      </c>
      <c r="Y40" s="109">
        <f t="shared" si="5"/>
        <v>83.260367541977473</v>
      </c>
      <c r="Z40" s="109">
        <f t="shared" si="6"/>
        <v>35.944384408541062</v>
      </c>
      <c r="AA40" s="109">
        <f t="shared" si="7"/>
        <v>10.014029974100882</v>
      </c>
    </row>
    <row r="41" spans="1:27" ht="19.5" thickBot="1" x14ac:dyDescent="0.35">
      <c r="A41" s="93">
        <v>262</v>
      </c>
      <c r="B41" s="94" t="s">
        <v>475</v>
      </c>
      <c r="C41" s="93">
        <v>5060</v>
      </c>
      <c r="D41" s="94" t="s">
        <v>81</v>
      </c>
      <c r="E41" s="93">
        <v>4073</v>
      </c>
      <c r="F41" s="94" t="s">
        <v>484</v>
      </c>
      <c r="G41" s="95">
        <v>2.3872319148454464</v>
      </c>
      <c r="H41" s="96">
        <v>16.755808160594935</v>
      </c>
      <c r="I41" s="97">
        <v>11.037888625791913</v>
      </c>
      <c r="J41" s="98">
        <v>0.7606783616393471</v>
      </c>
      <c r="K41" s="99">
        <v>85</v>
      </c>
      <c r="M41" s="100">
        <f t="shared" si="0"/>
        <v>0.65874999999999995</v>
      </c>
      <c r="N41" s="89">
        <f t="shared" si="1"/>
        <v>11.037888625791913</v>
      </c>
      <c r="O41" s="100"/>
      <c r="V41" s="109">
        <f t="shared" si="2"/>
        <v>135.25434727249024</v>
      </c>
      <c r="W41" s="109">
        <f t="shared" si="3"/>
        <v>39.904639198282659</v>
      </c>
      <c r="X41" s="109">
        <f t="shared" si="4"/>
        <v>21.607919240378017</v>
      </c>
      <c r="Y41" s="109">
        <f t="shared" si="5"/>
        <v>12.339610470357503</v>
      </c>
      <c r="Z41" s="109">
        <f t="shared" si="6"/>
        <v>-2.34461179808208</v>
      </c>
      <c r="AA41" s="109">
        <f t="shared" si="7"/>
        <v>-10.391936672235733</v>
      </c>
    </row>
    <row r="42" spans="1:27" ht="19.5" thickBot="1" x14ac:dyDescent="0.35">
      <c r="A42" s="93">
        <v>262</v>
      </c>
      <c r="B42" s="94" t="s">
        <v>475</v>
      </c>
      <c r="C42" s="93">
        <v>5060</v>
      </c>
      <c r="D42" s="94" t="s">
        <v>81</v>
      </c>
      <c r="E42" s="93">
        <v>4074</v>
      </c>
      <c r="F42" s="94" t="s">
        <v>485</v>
      </c>
      <c r="G42" s="95">
        <v>1.6229675712103162</v>
      </c>
      <c r="H42" s="96">
        <v>11.706949871974885</v>
      </c>
      <c r="I42" s="97">
        <v>7.6095174167836745</v>
      </c>
      <c r="J42" s="98">
        <v>0.83501172759949494</v>
      </c>
      <c r="K42" s="99">
        <v>166</v>
      </c>
      <c r="M42" s="100">
        <f t="shared" si="0"/>
        <v>0.64999999999999991</v>
      </c>
      <c r="N42" s="89">
        <f t="shared" si="1"/>
        <v>7.6095174167836745</v>
      </c>
      <c r="O42" s="100"/>
      <c r="V42" s="109">
        <f t="shared" si="2"/>
        <v>102.29755349350671</v>
      </c>
      <c r="W42" s="109">
        <f t="shared" si="3"/>
        <v>36.601108466100904</v>
      </c>
      <c r="X42" s="109">
        <f t="shared" si="4"/>
        <v>23.994573205806031</v>
      </c>
      <c r="Y42" s="109">
        <f t="shared" si="5"/>
        <v>17.608660234443892</v>
      </c>
      <c r="Z42" s="109">
        <f t="shared" si="6"/>
        <v>7.4911546802794913</v>
      </c>
      <c r="AA42" s="109">
        <f t="shared" si="7"/>
        <v>1.9465059667138882</v>
      </c>
    </row>
    <row r="43" spans="1:27" ht="19.5" thickBot="1" x14ac:dyDescent="0.35">
      <c r="A43" s="93">
        <v>262</v>
      </c>
      <c r="B43" s="94" t="s">
        <v>475</v>
      </c>
      <c r="C43" s="93">
        <v>5060</v>
      </c>
      <c r="D43" s="94" t="s">
        <v>81</v>
      </c>
      <c r="E43" s="93">
        <v>4079</v>
      </c>
      <c r="F43" s="94" t="s">
        <v>486</v>
      </c>
      <c r="G43" s="95">
        <v>2.3989256105838992</v>
      </c>
      <c r="H43" s="96">
        <v>19.175250702669178</v>
      </c>
      <c r="I43" s="97">
        <v>12.60981160338571</v>
      </c>
      <c r="J43" s="98">
        <v>0.72659619292680377</v>
      </c>
      <c r="K43" s="99">
        <v>64</v>
      </c>
      <c r="M43" s="100">
        <f t="shared" si="0"/>
        <v>0.65760869565217395</v>
      </c>
      <c r="N43" s="89">
        <f t="shared" si="1"/>
        <v>12.60981160338571</v>
      </c>
      <c r="O43" s="100"/>
      <c r="V43" s="109">
        <f t="shared" si="2"/>
        <v>130.05245008711401</v>
      </c>
      <c r="W43" s="109">
        <f t="shared" si="3"/>
        <v>34.069384278768716</v>
      </c>
      <c r="X43" s="109">
        <f t="shared" si="4"/>
        <v>15.65112887698341</v>
      </c>
      <c r="Y43" s="109">
        <f t="shared" si="5"/>
        <v>6.3212556285766626</v>
      </c>
      <c r="Z43" s="109">
        <f t="shared" si="6"/>
        <v>-8.4605061702018602</v>
      </c>
      <c r="AA43" s="109">
        <f t="shared" si="7"/>
        <v>-16.561285171810177</v>
      </c>
    </row>
    <row r="44" spans="1:27" ht="19.5" thickBot="1" x14ac:dyDescent="0.35">
      <c r="A44" s="93">
        <v>262</v>
      </c>
      <c r="B44" s="94" t="s">
        <v>475</v>
      </c>
      <c r="C44" s="93">
        <v>5060</v>
      </c>
      <c r="D44" s="94" t="s">
        <v>81</v>
      </c>
      <c r="E44" s="93">
        <v>4031</v>
      </c>
      <c r="F44" s="94" t="s">
        <v>487</v>
      </c>
      <c r="G44" s="95">
        <v>2.9626703856415242</v>
      </c>
      <c r="H44" s="96">
        <v>22.952266418012467</v>
      </c>
      <c r="I44" s="97">
        <v>14.724891507144028</v>
      </c>
      <c r="J44" s="98">
        <v>0.68073738740775303</v>
      </c>
      <c r="K44" s="99">
        <v>44</v>
      </c>
      <c r="M44" s="100">
        <f t="shared" si="0"/>
        <v>0.64154411764705888</v>
      </c>
      <c r="N44" s="89">
        <f t="shared" si="1"/>
        <v>14.724891507144028</v>
      </c>
      <c r="O44" s="100"/>
      <c r="V44" s="109">
        <f t="shared" si="2"/>
        <v>154.2455343603134</v>
      </c>
      <c r="W44" s="109">
        <f t="shared" si="3"/>
        <v>32.738283993528967</v>
      </c>
      <c r="X44" s="109">
        <f t="shared" si="4"/>
        <v>9.422175557351796</v>
      </c>
      <c r="Y44" s="109">
        <f t="shared" si="5"/>
        <v>-2.3887333268063751</v>
      </c>
      <c r="Z44" s="109">
        <f t="shared" si="6"/>
        <v>-21.101317850129554</v>
      </c>
      <c r="AA44" s="109">
        <f t="shared" si="7"/>
        <v>-31.356287036879909</v>
      </c>
    </row>
    <row r="45" spans="1:27" ht="19.5" thickBot="1" x14ac:dyDescent="0.35">
      <c r="A45" s="93">
        <v>262</v>
      </c>
      <c r="B45" s="94" t="s">
        <v>475</v>
      </c>
      <c r="C45" s="93">
        <v>5060</v>
      </c>
      <c r="D45" s="94" t="s">
        <v>81</v>
      </c>
      <c r="E45" s="93">
        <v>4071</v>
      </c>
      <c r="F45" s="94" t="s">
        <v>98</v>
      </c>
      <c r="G45" s="95">
        <v>8.6589570983189468</v>
      </c>
      <c r="H45" s="96">
        <v>12.81909573400584</v>
      </c>
      <c r="I45" s="97">
        <v>8.3468481457231736</v>
      </c>
      <c r="J45" s="98">
        <v>0.81902504717121738</v>
      </c>
      <c r="K45" s="99">
        <v>149</v>
      </c>
      <c r="M45" s="100">
        <f t="shared" si="0"/>
        <v>0.6511261261261263</v>
      </c>
      <c r="N45" s="89">
        <f t="shared" si="1"/>
        <v>8.3468481457231736</v>
      </c>
      <c r="O45" s="100"/>
      <c r="V45" s="109">
        <f t="shared" si="2"/>
        <v>534.40908984260102</v>
      </c>
      <c r="W45" s="109">
        <f t="shared" si="3"/>
        <v>184.50755268926289</v>
      </c>
      <c r="X45" s="109">
        <f t="shared" si="4"/>
        <v>117.36471012122391</v>
      </c>
      <c r="Y45" s="109">
        <f t="shared" si="5"/>
        <v>83.353116893082884</v>
      </c>
      <c r="Z45" s="109">
        <f t="shared" si="6"/>
        <v>29.466932578501414</v>
      </c>
      <c r="AA45" s="109">
        <f t="shared" si="7"/>
        <v>-6.4058132526589054E-2</v>
      </c>
    </row>
    <row r="46" spans="1:27" ht="19.5" thickBot="1" x14ac:dyDescent="0.35">
      <c r="A46" s="93">
        <v>262</v>
      </c>
      <c r="B46" s="94" t="s">
        <v>475</v>
      </c>
      <c r="C46" s="93">
        <v>5060</v>
      </c>
      <c r="D46" s="94" t="s">
        <v>81</v>
      </c>
      <c r="E46" s="93">
        <v>4080</v>
      </c>
      <c r="F46" s="94" t="s">
        <v>488</v>
      </c>
      <c r="G46" s="95">
        <v>2.3189639595885949</v>
      </c>
      <c r="H46" s="96">
        <v>0</v>
      </c>
      <c r="I46" s="97">
        <v>-0.24795555688670992</v>
      </c>
      <c r="J46" s="98">
        <v>1.0053761305378726</v>
      </c>
      <c r="K46" s="99">
        <v>288</v>
      </c>
      <c r="M46" s="100">
        <f t="shared" si="0"/>
        <v>0.6728972956067063</v>
      </c>
      <c r="N46" s="89">
        <f t="shared" si="1"/>
        <v>-0.24795555688670992</v>
      </c>
      <c r="O46" s="100"/>
      <c r="V46" s="109">
        <f t="shared" si="2"/>
        <v>170.00041165279754</v>
      </c>
      <c r="W46" s="109">
        <f t="shared" si="3"/>
        <v>79.324777775004804</v>
      </c>
      <c r="X46" s="109">
        <f t="shared" si="4"/>
        <v>61.924969075262695</v>
      </c>
      <c r="Y46" s="109">
        <f t="shared" si="5"/>
        <v>53.110995863696573</v>
      </c>
      <c r="Z46" s="109">
        <f t="shared" si="6"/>
        <v>39.146599022996291</v>
      </c>
      <c r="AA46" s="109">
        <f t="shared" si="7"/>
        <v>31.493756673269193</v>
      </c>
    </row>
    <row r="47" spans="1:27" ht="19.5" thickBot="1" x14ac:dyDescent="0.35">
      <c r="A47" s="93">
        <v>262</v>
      </c>
      <c r="B47" s="94" t="s">
        <v>475</v>
      </c>
      <c r="C47" s="93">
        <v>5101</v>
      </c>
      <c r="D47" s="94" t="s">
        <v>100</v>
      </c>
      <c r="E47" s="93">
        <v>4113</v>
      </c>
      <c r="F47" s="94" t="s">
        <v>489</v>
      </c>
      <c r="G47" s="95">
        <v>2.9363854938889999</v>
      </c>
      <c r="H47" s="96">
        <v>22.136058135171098</v>
      </c>
      <c r="I47" s="97">
        <v>15.691059670430899</v>
      </c>
      <c r="J47" s="98">
        <v>0.65978909234800587</v>
      </c>
      <c r="K47" s="99">
        <v>34</v>
      </c>
      <c r="M47" s="100">
        <f t="shared" si="0"/>
        <v>0.7088461538461539</v>
      </c>
      <c r="N47" s="89">
        <f t="shared" si="1"/>
        <v>15.691059670430899</v>
      </c>
      <c r="O47" s="100"/>
      <c r="V47" s="109">
        <f t="shared" si="2"/>
        <v>134.10420655661022</v>
      </c>
      <c r="W47" s="109">
        <f t="shared" si="3"/>
        <v>25.109233907420364</v>
      </c>
      <c r="X47" s="109">
        <f t="shared" si="4"/>
        <v>4.1941149032841025</v>
      </c>
      <c r="Y47" s="109">
        <f t="shared" si="5"/>
        <v>-6.4005589693031855</v>
      </c>
      <c r="Z47" s="109">
        <f t="shared" si="6"/>
        <v>-23.186204534967374</v>
      </c>
      <c r="AA47" s="109">
        <f t="shared" si="7"/>
        <v>-32.385162479074452</v>
      </c>
    </row>
    <row r="48" spans="1:27" ht="19.5" thickBot="1" x14ac:dyDescent="0.35">
      <c r="A48" s="93">
        <v>262</v>
      </c>
      <c r="B48" s="94" t="s">
        <v>475</v>
      </c>
      <c r="C48" s="93">
        <v>5101</v>
      </c>
      <c r="D48" s="94" t="s">
        <v>100</v>
      </c>
      <c r="E48" s="93">
        <v>4111</v>
      </c>
      <c r="F48" s="94" t="s">
        <v>490</v>
      </c>
      <c r="G48" s="95">
        <v>3.6697588771486496</v>
      </c>
      <c r="H48" s="96">
        <v>11.444893630895281</v>
      </c>
      <c r="I48" s="97">
        <v>7.1530585193095515</v>
      </c>
      <c r="J48" s="98">
        <v>0.84490859237964366</v>
      </c>
      <c r="K48" s="99">
        <v>178</v>
      </c>
      <c r="M48" s="100">
        <f t="shared" si="0"/>
        <v>0.62500000000000011</v>
      </c>
      <c r="N48" s="89">
        <f t="shared" si="1"/>
        <v>7.1530585193095515</v>
      </c>
      <c r="O48" s="100"/>
      <c r="V48" s="109">
        <f t="shared" si="2"/>
        <v>243.41280769773573</v>
      </c>
      <c r="W48" s="109">
        <f t="shared" si="3"/>
        <v>88.92191011134399</v>
      </c>
      <c r="X48" s="109">
        <f t="shared" si="4"/>
        <v>59.276547306629112</v>
      </c>
      <c r="Y48" s="109">
        <f t="shared" si="5"/>
        <v>44.259518204936242</v>
      </c>
      <c r="Z48" s="109">
        <f t="shared" si="6"/>
        <v>20.467324978253771</v>
      </c>
      <c r="AA48" s="109">
        <f t="shared" si="7"/>
        <v>7.4286018600904429</v>
      </c>
    </row>
    <row r="49" spans="1:27" ht="19.5" thickBot="1" x14ac:dyDescent="0.35">
      <c r="A49" s="93">
        <v>262</v>
      </c>
      <c r="B49" s="94" t="s">
        <v>475</v>
      </c>
      <c r="C49" s="93">
        <v>5101</v>
      </c>
      <c r="D49" s="94" t="s">
        <v>100</v>
      </c>
      <c r="E49" s="93">
        <v>4104</v>
      </c>
      <c r="F49" s="94" t="s">
        <v>491</v>
      </c>
      <c r="G49" s="95">
        <v>4.5862475960000726</v>
      </c>
      <c r="H49" s="96">
        <v>3.4886908447669747</v>
      </c>
      <c r="I49" s="97">
        <v>2.3439641613278113</v>
      </c>
      <c r="J49" s="98">
        <v>0.94917856463627981</v>
      </c>
      <c r="K49" s="99">
        <v>265</v>
      </c>
      <c r="M49" s="100">
        <f t="shared" si="0"/>
        <v>0.671875</v>
      </c>
      <c r="N49" s="89">
        <f t="shared" si="1"/>
        <v>2.3439641613278113</v>
      </c>
      <c r="O49" s="100"/>
      <c r="V49" s="109">
        <f t="shared" si="2"/>
        <v>317.90190048350098</v>
      </c>
      <c r="W49" s="109">
        <f t="shared" si="3"/>
        <v>138.29856429107784</v>
      </c>
      <c r="X49" s="109">
        <f t="shared" si="4"/>
        <v>103.83435866120153</v>
      </c>
      <c r="Y49" s="109">
        <f t="shared" si="5"/>
        <v>86.376316999850474</v>
      </c>
      <c r="Z49" s="109">
        <f t="shared" si="6"/>
        <v>58.716711511071544</v>
      </c>
      <c r="AA49" s="109">
        <f t="shared" si="7"/>
        <v>43.558548743573425</v>
      </c>
    </row>
    <row r="50" spans="1:27" ht="19.5" thickBot="1" x14ac:dyDescent="0.35">
      <c r="A50" s="93">
        <v>262</v>
      </c>
      <c r="B50" s="94" t="s">
        <v>475</v>
      </c>
      <c r="C50" s="93">
        <v>5101</v>
      </c>
      <c r="D50" s="94" t="s">
        <v>100</v>
      </c>
      <c r="E50" s="93">
        <v>4008</v>
      </c>
      <c r="F50" s="94" t="s">
        <v>492</v>
      </c>
      <c r="G50" s="95">
        <v>2.288852638164327</v>
      </c>
      <c r="H50" s="96">
        <v>9.6118027142385749</v>
      </c>
      <c r="I50" s="97">
        <v>5.9418416778929366</v>
      </c>
      <c r="J50" s="98">
        <v>0.87116999152263808</v>
      </c>
      <c r="K50" s="99">
        <v>205</v>
      </c>
      <c r="M50" s="100">
        <f t="shared" si="0"/>
        <v>0.61818181818181817</v>
      </c>
      <c r="N50" s="89">
        <f t="shared" si="1"/>
        <v>5.9418416778929366</v>
      </c>
      <c r="O50" s="100"/>
      <c r="V50" s="109">
        <f t="shared" si="2"/>
        <v>158.26347563704013</v>
      </c>
      <c r="W50" s="109">
        <f t="shared" si="3"/>
        <v>60.843730480021605</v>
      </c>
      <c r="X50" s="109">
        <f t="shared" si="4"/>
        <v>42.149789706535714</v>
      </c>
      <c r="Y50" s="109">
        <f t="shared" si="5"/>
        <v>32.680266446860422</v>
      </c>
      <c r="Z50" s="109">
        <f t="shared" si="6"/>
        <v>17.67725049523251</v>
      </c>
      <c r="AA50" s="109">
        <f t="shared" si="7"/>
        <v>9.4552186267589526</v>
      </c>
    </row>
    <row r="51" spans="1:27" ht="19.5" thickBot="1" x14ac:dyDescent="0.35">
      <c r="A51" s="93">
        <v>262</v>
      </c>
      <c r="B51" s="94" t="s">
        <v>475</v>
      </c>
      <c r="C51" s="93">
        <v>5101</v>
      </c>
      <c r="D51" s="94" t="s">
        <v>100</v>
      </c>
      <c r="E51" s="93">
        <v>4007</v>
      </c>
      <c r="F51" s="94" t="s">
        <v>493</v>
      </c>
      <c r="G51" s="95">
        <v>7.7189326177869759</v>
      </c>
      <c r="H51" s="96">
        <v>26.817179297951569</v>
      </c>
      <c r="I51" s="97">
        <v>17.823060105872884</v>
      </c>
      <c r="J51" s="98">
        <v>0.61356341871660569</v>
      </c>
      <c r="K51" s="99">
        <v>20</v>
      </c>
      <c r="M51" s="100">
        <f t="shared" si="0"/>
        <v>0.66461352657004824</v>
      </c>
      <c r="N51" s="89">
        <f t="shared" si="1"/>
        <v>17.823060105872884</v>
      </c>
      <c r="O51" s="100"/>
      <c r="V51" s="109">
        <f t="shared" si="2"/>
        <v>349.64209929909367</v>
      </c>
      <c r="W51" s="109">
        <f t="shared" si="3"/>
        <v>44.056096448827873</v>
      </c>
      <c r="X51" s="109">
        <f t="shared" si="4"/>
        <v>-14.583008275596633</v>
      </c>
      <c r="Y51" s="109">
        <f t="shared" si="5"/>
        <v>-44.286984170398235</v>
      </c>
      <c r="Z51" s="109">
        <f t="shared" si="6"/>
        <v>-91.34840552771378</v>
      </c>
      <c r="AA51" s="109">
        <f t="shared" si="7"/>
        <v>-117.13925367605057</v>
      </c>
    </row>
    <row r="52" spans="1:27" ht="19.5" thickBot="1" x14ac:dyDescent="0.35">
      <c r="A52" s="93">
        <v>262</v>
      </c>
      <c r="B52" s="94" t="s">
        <v>475</v>
      </c>
      <c r="C52" s="93">
        <v>5101</v>
      </c>
      <c r="D52" s="94" t="s">
        <v>100</v>
      </c>
      <c r="E52" s="93">
        <v>4015</v>
      </c>
      <c r="F52" s="94" t="s">
        <v>106</v>
      </c>
      <c r="G52" s="95">
        <v>4.7786252672268894</v>
      </c>
      <c r="H52" s="96">
        <v>16.322686052607054</v>
      </c>
      <c r="I52" s="97">
        <v>10.123204330703413</v>
      </c>
      <c r="J52" s="98">
        <v>0.78051039215755991</v>
      </c>
      <c r="K52" s="99">
        <v>106</v>
      </c>
      <c r="M52" s="100">
        <f t="shared" si="0"/>
        <v>0.6201923076923076</v>
      </c>
      <c r="N52" s="89">
        <f t="shared" si="1"/>
        <v>10.123204330703413</v>
      </c>
      <c r="O52" s="100"/>
      <c r="V52" s="109">
        <f t="shared" si="2"/>
        <v>295.07436175056137</v>
      </c>
      <c r="W52" s="109">
        <f t="shared" si="3"/>
        <v>92.342511587866568</v>
      </c>
      <c r="X52" s="109">
        <f t="shared" si="4"/>
        <v>53.440159772716157</v>
      </c>
      <c r="Y52" s="109">
        <f t="shared" si="5"/>
        <v>33.733949625087412</v>
      </c>
      <c r="Z52" s="109">
        <f t="shared" si="6"/>
        <v>2.512463908905374</v>
      </c>
      <c r="AA52" s="109">
        <f t="shared" si="7"/>
        <v>-14.597699232105407</v>
      </c>
    </row>
    <row r="53" spans="1:27" ht="19.5" thickBot="1" x14ac:dyDescent="0.35">
      <c r="A53" s="93">
        <v>262</v>
      </c>
      <c r="B53" s="94" t="s">
        <v>475</v>
      </c>
      <c r="C53" s="93">
        <v>5101</v>
      </c>
      <c r="D53" s="94" t="s">
        <v>100</v>
      </c>
      <c r="E53" s="93">
        <v>4109</v>
      </c>
      <c r="F53" s="94" t="s">
        <v>494</v>
      </c>
      <c r="G53" s="95">
        <v>2.5538709473014682</v>
      </c>
      <c r="H53" s="96">
        <v>5.4818744912670754</v>
      </c>
      <c r="I53" s="97">
        <v>3.2891246947602455</v>
      </c>
      <c r="J53" s="98">
        <v>0.92868575346165627</v>
      </c>
      <c r="K53" s="99">
        <v>253</v>
      </c>
      <c r="M53" s="100">
        <f t="shared" si="0"/>
        <v>0.60000000000000009</v>
      </c>
      <c r="N53" s="89">
        <f t="shared" si="1"/>
        <v>3.2891246947602455</v>
      </c>
      <c r="O53" s="100"/>
      <c r="V53" s="109">
        <f t="shared" si="2"/>
        <v>193.95128766784055</v>
      </c>
      <c r="W53" s="109">
        <f t="shared" si="3"/>
        <v>81.957719602292585</v>
      </c>
      <c r="X53" s="109">
        <f t="shared" si="4"/>
        <v>60.467198096058873</v>
      </c>
      <c r="Y53" s="109">
        <f t="shared" si="5"/>
        <v>49.58105077529337</v>
      </c>
      <c r="Z53" s="109">
        <f t="shared" si="6"/>
        <v>32.333609966872302</v>
      </c>
      <c r="AA53" s="109">
        <f t="shared" si="7"/>
        <v>22.881576560145017</v>
      </c>
    </row>
    <row r="54" spans="1:27" ht="19.5" thickBot="1" x14ac:dyDescent="0.35">
      <c r="A54" s="93">
        <v>262</v>
      </c>
      <c r="B54" s="94" t="s">
        <v>475</v>
      </c>
      <c r="C54" s="93">
        <v>5101</v>
      </c>
      <c r="D54" s="94" t="s">
        <v>100</v>
      </c>
      <c r="E54" s="93">
        <v>4129</v>
      </c>
      <c r="F54" s="94" t="s">
        <v>495</v>
      </c>
      <c r="G54" s="95">
        <v>2.477880892814083</v>
      </c>
      <c r="H54" s="96">
        <v>25.424950885533516</v>
      </c>
      <c r="I54" s="97">
        <v>17.555323230487428</v>
      </c>
      <c r="J54" s="98">
        <v>0.61936844446374784</v>
      </c>
      <c r="K54" s="99">
        <v>23</v>
      </c>
      <c r="M54" s="100">
        <f t="shared" si="0"/>
        <v>0.69047619047619047</v>
      </c>
      <c r="N54" s="89">
        <f t="shared" si="1"/>
        <v>17.555323230487428</v>
      </c>
      <c r="O54" s="100"/>
      <c r="V54" s="109">
        <f t="shared" si="2"/>
        <v>109.05786245861422</v>
      </c>
      <c r="W54" s="109">
        <f t="shared" si="3"/>
        <v>14.635012765623738</v>
      </c>
      <c r="X54" s="109">
        <f t="shared" si="4"/>
        <v>-3.4838517107668148</v>
      </c>
      <c r="Y54" s="109">
        <f t="shared" si="5"/>
        <v>-12.662066763284637</v>
      </c>
      <c r="Z54" s="109">
        <f t="shared" si="6"/>
        <v>-27.203549271361599</v>
      </c>
      <c r="AA54" s="109">
        <f t="shared" si="7"/>
        <v>-35.172649149795483</v>
      </c>
    </row>
    <row r="55" spans="1:27" ht="19.5" thickBot="1" x14ac:dyDescent="0.35">
      <c r="A55" s="93">
        <v>262</v>
      </c>
      <c r="B55" s="94" t="s">
        <v>475</v>
      </c>
      <c r="C55" s="93">
        <v>5101</v>
      </c>
      <c r="D55" s="94" t="s">
        <v>100</v>
      </c>
      <c r="E55" s="93">
        <v>4116</v>
      </c>
      <c r="F55" s="94" t="s">
        <v>109</v>
      </c>
      <c r="G55" s="95">
        <v>5.1910156439624657</v>
      </c>
      <c r="H55" s="96">
        <v>5.3939348136170748</v>
      </c>
      <c r="I55" s="97">
        <v>3.3952893246428908</v>
      </c>
      <c r="J55" s="98">
        <v>0.92638390987355401</v>
      </c>
      <c r="K55" s="99">
        <v>249</v>
      </c>
      <c r="M55" s="100">
        <f t="shared" si="0"/>
        <v>0.6294642857142857</v>
      </c>
      <c r="N55" s="89">
        <f t="shared" si="1"/>
        <v>3.3952893246428908</v>
      </c>
      <c r="O55" s="100"/>
      <c r="V55" s="109">
        <f t="shared" si="2"/>
        <v>374.84216139789203</v>
      </c>
      <c r="W55" s="109">
        <f t="shared" si="3"/>
        <v>157.85870275408419</v>
      </c>
      <c r="X55" s="109">
        <f t="shared" si="4"/>
        <v>116.22160015054456</v>
      </c>
      <c r="Y55" s="109">
        <f t="shared" si="5"/>
        <v>95.130086255896487</v>
      </c>
      <c r="Z55" s="109">
        <f t="shared" si="6"/>
        <v>61.713797945703668</v>
      </c>
      <c r="AA55" s="109">
        <f t="shared" si="7"/>
        <v>43.400827520401016</v>
      </c>
    </row>
    <row r="56" spans="1:27" ht="19.5" thickBot="1" x14ac:dyDescent="0.35">
      <c r="A56" s="93">
        <v>262</v>
      </c>
      <c r="B56" s="94" t="s">
        <v>475</v>
      </c>
      <c r="C56" s="93">
        <v>5101</v>
      </c>
      <c r="D56" s="94" t="s">
        <v>100</v>
      </c>
      <c r="E56" s="93">
        <v>4126</v>
      </c>
      <c r="F56" s="94" t="s">
        <v>496</v>
      </c>
      <c r="G56" s="95">
        <v>2.571719621634732</v>
      </c>
      <c r="H56" s="96">
        <v>13.998415572657311</v>
      </c>
      <c r="I56" s="97">
        <v>9.915544363965596</v>
      </c>
      <c r="J56" s="98">
        <v>0.78501284051036224</v>
      </c>
      <c r="K56" s="99">
        <v>114</v>
      </c>
      <c r="M56" s="100">
        <f t="shared" si="0"/>
        <v>0.70833333333333337</v>
      </c>
      <c r="N56" s="89">
        <f t="shared" si="1"/>
        <v>9.915544363965596</v>
      </c>
      <c r="O56" s="100"/>
      <c r="V56" s="109">
        <f t="shared" si="2"/>
        <v>139.84240557822602</v>
      </c>
      <c r="W56" s="109">
        <f t="shared" si="3"/>
        <v>44.314265353803506</v>
      </c>
      <c r="X56" s="109">
        <f t="shared" si="4"/>
        <v>25.983305929938169</v>
      </c>
      <c r="Y56" s="109">
        <f t="shared" si="5"/>
        <v>16.697652961428833</v>
      </c>
      <c r="Z56" s="109">
        <f t="shared" si="6"/>
        <v>1.9859514546516535</v>
      </c>
      <c r="AA56" s="109">
        <f t="shared" si="7"/>
        <v>-6.0764327365127624</v>
      </c>
    </row>
    <row r="57" spans="1:27" ht="19.5" thickBot="1" x14ac:dyDescent="0.35">
      <c r="A57" s="93">
        <v>262</v>
      </c>
      <c r="B57" s="94" t="s">
        <v>475</v>
      </c>
      <c r="C57" s="93">
        <v>5101</v>
      </c>
      <c r="D57" s="94" t="s">
        <v>100</v>
      </c>
      <c r="E57" s="93">
        <v>4119</v>
      </c>
      <c r="F57" s="94" t="s">
        <v>497</v>
      </c>
      <c r="G57" s="95">
        <v>5.3424844601759665</v>
      </c>
      <c r="H57" s="96">
        <v>23.584532802899329</v>
      </c>
      <c r="I57" s="97">
        <v>14.740333001812081</v>
      </c>
      <c r="J57" s="98">
        <v>0.6804025875263644</v>
      </c>
      <c r="K57" s="99">
        <v>43</v>
      </c>
      <c r="M57" s="100">
        <f t="shared" si="0"/>
        <v>0.625</v>
      </c>
      <c r="N57" s="89">
        <f t="shared" si="1"/>
        <v>14.740333001812081</v>
      </c>
      <c r="O57" s="100"/>
      <c r="V57" s="109">
        <f t="shared" si="2"/>
        <v>285.36808018636032</v>
      </c>
      <c r="W57" s="109">
        <f t="shared" si="3"/>
        <v>60.458148165095857</v>
      </c>
      <c r="X57" s="109">
        <f t="shared" si="4"/>
        <v>17.300029225268716</v>
      </c>
      <c r="Y57" s="109">
        <f t="shared" si="5"/>
        <v>-4.5619642461226908</v>
      </c>
      <c r="Z57" s="109">
        <f t="shared" si="6"/>
        <v>-39.198959984059897</v>
      </c>
      <c r="AA57" s="109">
        <f t="shared" si="7"/>
        <v>-58.180908927105683</v>
      </c>
    </row>
    <row r="58" spans="1:27" ht="19.5" thickBot="1" x14ac:dyDescent="0.35">
      <c r="A58" s="93">
        <v>262</v>
      </c>
      <c r="B58" s="94" t="s">
        <v>475</v>
      </c>
      <c r="C58" s="93">
        <v>5101</v>
      </c>
      <c r="D58" s="94" t="s">
        <v>100</v>
      </c>
      <c r="E58" s="93">
        <v>4127</v>
      </c>
      <c r="F58" s="94" t="s">
        <v>498</v>
      </c>
      <c r="G58" s="95">
        <v>1.3966856334735849</v>
      </c>
      <c r="H58" s="96">
        <v>23.62736410335112</v>
      </c>
      <c r="I58" s="97">
        <v>15.76947558716086</v>
      </c>
      <c r="J58" s="98">
        <v>0.65808889167543194</v>
      </c>
      <c r="K58" s="99">
        <v>33</v>
      </c>
      <c r="M58" s="100">
        <f t="shared" si="0"/>
        <v>0.66742424242424236</v>
      </c>
      <c r="N58" s="89">
        <f t="shared" si="1"/>
        <v>15.76947558716086</v>
      </c>
      <c r="O58" s="100"/>
      <c r="V58" s="109">
        <f t="shared" si="2"/>
        <v>67.570547147213773</v>
      </c>
      <c r="W58" s="109">
        <f t="shared" si="3"/>
        <v>12.509803482252922</v>
      </c>
      <c r="X58" s="109">
        <f t="shared" si="4"/>
        <v>1.9441601482669386</v>
      </c>
      <c r="Y58" s="109">
        <f t="shared" si="5"/>
        <v>-3.4079272749755365</v>
      </c>
      <c r="Z58" s="109">
        <f t="shared" si="6"/>
        <v>-11.887493857524625</v>
      </c>
      <c r="AA58" s="109">
        <f t="shared" si="7"/>
        <v>-16.534510623843339</v>
      </c>
    </row>
    <row r="59" spans="1:27" ht="19.5" thickBot="1" x14ac:dyDescent="0.35">
      <c r="A59" s="93">
        <v>262</v>
      </c>
      <c r="B59" s="94" t="s">
        <v>475</v>
      </c>
      <c r="C59" s="93">
        <v>5101</v>
      </c>
      <c r="D59" s="94" t="s">
        <v>100</v>
      </c>
      <c r="E59" s="93">
        <v>4121</v>
      </c>
      <c r="F59" s="94" t="s">
        <v>499</v>
      </c>
      <c r="G59" s="95">
        <v>3.0012799530382757</v>
      </c>
      <c r="H59" s="96">
        <v>13.327647079209299</v>
      </c>
      <c r="I59" s="97">
        <v>8.6629706014860446</v>
      </c>
      <c r="J59" s="98">
        <v>0.81217093343618818</v>
      </c>
      <c r="K59" s="99">
        <v>134</v>
      </c>
      <c r="M59" s="100">
        <f t="shared" si="0"/>
        <v>0.65</v>
      </c>
      <c r="N59" s="89">
        <f t="shared" si="1"/>
        <v>8.6629706014860446</v>
      </c>
      <c r="O59" s="100"/>
      <c r="V59" s="109">
        <f t="shared" si="2"/>
        <v>183.99955813474907</v>
      </c>
      <c r="W59" s="109">
        <f t="shared" si="3"/>
        <v>62.510116851832045</v>
      </c>
      <c r="X59" s="109">
        <f t="shared" si="4"/>
        <v>39.197425812800716</v>
      </c>
      <c r="Y59" s="109">
        <f t="shared" si="5"/>
        <v>27.388248030829732</v>
      </c>
      <c r="Z59" s="109">
        <f t="shared" si="6"/>
        <v>8.6784061750111423</v>
      </c>
      <c r="AA59" s="109">
        <f t="shared" si="7"/>
        <v>-1.5750599606393496</v>
      </c>
    </row>
    <row r="60" spans="1:27" ht="19.5" thickBot="1" x14ac:dyDescent="0.35">
      <c r="A60" s="93">
        <v>262</v>
      </c>
      <c r="B60" s="94" t="s">
        <v>475</v>
      </c>
      <c r="C60" s="93">
        <v>5101</v>
      </c>
      <c r="D60" s="94" t="s">
        <v>100</v>
      </c>
      <c r="E60" s="93">
        <v>4101</v>
      </c>
      <c r="F60" s="94" t="s">
        <v>500</v>
      </c>
      <c r="G60" s="95">
        <v>8.0058416650620607</v>
      </c>
      <c r="H60" s="96">
        <v>8.3688889692125361</v>
      </c>
      <c r="I60" s="97">
        <v>6.8106518066613955</v>
      </c>
      <c r="J60" s="98">
        <v>0.85233259693656249</v>
      </c>
      <c r="K60" s="99">
        <v>186</v>
      </c>
      <c r="M60" s="100">
        <f t="shared" si="0"/>
        <v>0.81380597014925371</v>
      </c>
      <c r="N60" s="89">
        <f t="shared" si="1"/>
        <v>6.8106518066613955</v>
      </c>
      <c r="O60" s="100"/>
      <c r="V60" s="109">
        <f t="shared" si="2"/>
        <v>411.40674713269516</v>
      </c>
      <c r="W60" s="109">
        <f t="shared" si="3"/>
        <v>152.56667681777617</v>
      </c>
      <c r="X60" s="109">
        <f t="shared" si="4"/>
        <v>102.89768069719437</v>
      </c>
      <c r="Y60" s="109">
        <f t="shared" si="5"/>
        <v>77.737564927721664</v>
      </c>
      <c r="Z60" s="109">
        <f t="shared" si="6"/>
        <v>37.875197215754355</v>
      </c>
      <c r="AA60" s="109">
        <f t="shared" si="7"/>
        <v>16.029612385522675</v>
      </c>
    </row>
    <row r="61" spans="1:27" ht="19.5" thickBot="1" x14ac:dyDescent="0.35">
      <c r="A61" s="93">
        <v>262</v>
      </c>
      <c r="B61" s="94" t="s">
        <v>475</v>
      </c>
      <c r="C61" s="93">
        <v>5101</v>
      </c>
      <c r="D61" s="94" t="s">
        <v>100</v>
      </c>
      <c r="E61" s="93">
        <v>4110</v>
      </c>
      <c r="F61" s="94" t="s">
        <v>115</v>
      </c>
      <c r="G61" s="95">
        <v>1.8928348539332513</v>
      </c>
      <c r="H61" s="96">
        <v>21.660632418514108</v>
      </c>
      <c r="I61" s="97">
        <v>14.264318909753193</v>
      </c>
      <c r="J61" s="98">
        <v>0.69072344473524205</v>
      </c>
      <c r="K61" s="99">
        <v>49</v>
      </c>
      <c r="M61" s="100">
        <f t="shared" si="0"/>
        <v>0.65853658536585369</v>
      </c>
      <c r="N61" s="89">
        <f t="shared" si="1"/>
        <v>14.264318909753193</v>
      </c>
      <c r="O61" s="100"/>
      <c r="V61" s="109">
        <f t="shared" si="2"/>
        <v>97.412166141949911</v>
      </c>
      <c r="W61" s="109">
        <f t="shared" si="3"/>
        <v>21.78493490114456</v>
      </c>
      <c r="X61" s="109">
        <f t="shared" si="4"/>
        <v>7.27277435915527</v>
      </c>
      <c r="Y61" s="109">
        <f t="shared" si="5"/>
        <v>-7.8444063202239289E-2</v>
      </c>
      <c r="Z61" s="109">
        <f t="shared" si="6"/>
        <v>-11.725328941154631</v>
      </c>
      <c r="AA61" s="109">
        <f t="shared" si="7"/>
        <v>-18.10811617164989</v>
      </c>
    </row>
    <row r="62" spans="1:27" ht="19.5" thickBot="1" x14ac:dyDescent="0.35">
      <c r="A62" s="93">
        <v>262</v>
      </c>
      <c r="B62" s="94" t="s">
        <v>475</v>
      </c>
      <c r="C62" s="93">
        <v>5101</v>
      </c>
      <c r="D62" s="94" t="s">
        <v>100</v>
      </c>
      <c r="E62" s="93">
        <v>4107</v>
      </c>
      <c r="F62" s="94" t="s">
        <v>116</v>
      </c>
      <c r="G62" s="95">
        <v>2.086636581425513</v>
      </c>
      <c r="H62" s="96">
        <v>15.814924502787935</v>
      </c>
      <c r="I62" s="97">
        <v>10.782903070082684</v>
      </c>
      <c r="J62" s="98">
        <v>0.76620691542526254</v>
      </c>
      <c r="K62" s="99">
        <v>90</v>
      </c>
      <c r="M62" s="100">
        <f t="shared" si="0"/>
        <v>0.68181818181818188</v>
      </c>
      <c r="N62" s="89">
        <f t="shared" si="1"/>
        <v>10.782903070082684</v>
      </c>
      <c r="O62" s="100"/>
      <c r="V62" s="109">
        <f t="shared" si="2"/>
        <v>115.05367433255611</v>
      </c>
      <c r="W62" s="109">
        <f t="shared" si="3"/>
        <v>34.52999277924841</v>
      </c>
      <c r="X62" s="109">
        <f t="shared" si="4"/>
        <v>19.078249075809623</v>
      </c>
      <c r="Y62" s="109">
        <f t="shared" si="5"/>
        <v>11.251079396862886</v>
      </c>
      <c r="Z62" s="109">
        <f t="shared" si="6"/>
        <v>-1.1498776871543339</v>
      </c>
      <c r="AA62" s="109">
        <f t="shared" si="7"/>
        <v>-7.9459155420163858</v>
      </c>
    </row>
    <row r="63" spans="1:27" ht="19.5" thickBot="1" x14ac:dyDescent="0.35">
      <c r="A63" s="93">
        <v>262</v>
      </c>
      <c r="B63" s="94" t="s">
        <v>475</v>
      </c>
      <c r="C63" s="93">
        <v>5101</v>
      </c>
      <c r="D63" s="94" t="s">
        <v>100</v>
      </c>
      <c r="E63" s="93">
        <v>4120</v>
      </c>
      <c r="F63" s="94" t="s">
        <v>501</v>
      </c>
      <c r="G63" s="95">
        <v>2.4806793823103108</v>
      </c>
      <c r="H63" s="96">
        <v>6.8529613787363077</v>
      </c>
      <c r="I63" s="97">
        <v>4.7366056588324481</v>
      </c>
      <c r="J63" s="98">
        <v>0.89730171548466842</v>
      </c>
      <c r="K63" s="99">
        <v>228</v>
      </c>
      <c r="M63" s="100">
        <f t="shared" si="0"/>
        <v>0.69117647058823528</v>
      </c>
      <c r="N63" s="89">
        <f t="shared" si="1"/>
        <v>4.7366056588324481</v>
      </c>
      <c r="O63" s="100"/>
      <c r="V63" s="109">
        <f t="shared" si="2"/>
        <v>158.01429457905806</v>
      </c>
      <c r="W63" s="109">
        <f t="shared" si="3"/>
        <v>63.580579390737249</v>
      </c>
      <c r="X63" s="109">
        <f t="shared" si="4"/>
        <v>45.459629927100508</v>
      </c>
      <c r="Y63" s="109">
        <f t="shared" si="5"/>
        <v>36.280358712296575</v>
      </c>
      <c r="Z63" s="109">
        <f t="shared" si="6"/>
        <v>21.737202876091921</v>
      </c>
      <c r="AA63" s="109">
        <f t="shared" si="7"/>
        <v>13.76718597155898</v>
      </c>
    </row>
    <row r="64" spans="1:27" ht="19.5" thickBot="1" x14ac:dyDescent="0.35">
      <c r="A64" s="93">
        <v>262</v>
      </c>
      <c r="B64" s="94" t="s">
        <v>475</v>
      </c>
      <c r="C64" s="93">
        <v>5006</v>
      </c>
      <c r="D64" s="94" t="s">
        <v>118</v>
      </c>
      <c r="E64" s="93">
        <v>4028</v>
      </c>
      <c r="F64" s="94" t="s">
        <v>502</v>
      </c>
      <c r="G64" s="95">
        <v>2.8737187409873672</v>
      </c>
      <c r="H64" s="96">
        <v>18.443001830370491</v>
      </c>
      <c r="I64" s="97">
        <v>12.3881295313432</v>
      </c>
      <c r="J64" s="98">
        <v>0.73140266620036343</v>
      </c>
      <c r="K64" s="99">
        <v>68</v>
      </c>
      <c r="M64" s="100">
        <f t="shared" si="0"/>
        <v>0.67169811320754724</v>
      </c>
      <c r="N64" s="89">
        <f t="shared" si="1"/>
        <v>12.3881295313432</v>
      </c>
      <c r="O64" s="100"/>
      <c r="V64" s="109">
        <f t="shared" si="2"/>
        <v>153.53339656520464</v>
      </c>
      <c r="W64" s="109">
        <f t="shared" si="3"/>
        <v>40.965249887393938</v>
      </c>
      <c r="X64" s="109">
        <f t="shared" si="4"/>
        <v>19.364472102722647</v>
      </c>
      <c r="Y64" s="109">
        <f t="shared" si="5"/>
        <v>8.4224738297239625</v>
      </c>
      <c r="Z64" s="109">
        <f t="shared" si="6"/>
        <v>-8.9134542978883804</v>
      </c>
      <c r="AA64" s="109">
        <f t="shared" si="7"/>
        <v>-18.41398099161157</v>
      </c>
    </row>
    <row r="65" spans="1:27" ht="19.5" thickBot="1" x14ac:dyDescent="0.35">
      <c r="A65" s="93">
        <v>262</v>
      </c>
      <c r="B65" s="94" t="s">
        <v>475</v>
      </c>
      <c r="C65" s="93">
        <v>5006</v>
      </c>
      <c r="D65" s="94" t="s">
        <v>118</v>
      </c>
      <c r="E65" s="93">
        <v>4033</v>
      </c>
      <c r="F65" s="94" t="s">
        <v>503</v>
      </c>
      <c r="G65" s="95">
        <v>1.4674692663476883</v>
      </c>
      <c r="H65" s="96">
        <v>17.036131913154996</v>
      </c>
      <c r="I65" s="97">
        <v>11.073485743550748</v>
      </c>
      <c r="J65" s="98">
        <v>0.75990655093969439</v>
      </c>
      <c r="K65" s="99">
        <v>83</v>
      </c>
      <c r="M65" s="100">
        <f t="shared" si="0"/>
        <v>0.65</v>
      </c>
      <c r="N65" s="89">
        <f t="shared" si="1"/>
        <v>11.073485743550748</v>
      </c>
      <c r="O65" s="100"/>
      <c r="V65" s="109">
        <f t="shared" si="2"/>
        <v>84.176726558757238</v>
      </c>
      <c r="W65" s="109">
        <f t="shared" si="3"/>
        <v>24.774730057913271</v>
      </c>
      <c r="X65" s="109">
        <f t="shared" si="4"/>
        <v>13.376040781691213</v>
      </c>
      <c r="Y65" s="109">
        <f t="shared" si="5"/>
        <v>7.6019691432440348</v>
      </c>
      <c r="Z65" s="109">
        <f t="shared" si="6"/>
        <v>-1.5461670957112219</v>
      </c>
      <c r="AA65" s="109">
        <f t="shared" si="7"/>
        <v>-6.5595769285299728</v>
      </c>
    </row>
    <row r="66" spans="1:27" ht="19.5" thickBot="1" x14ac:dyDescent="0.35">
      <c r="A66" s="93">
        <v>262</v>
      </c>
      <c r="B66" s="94" t="s">
        <v>475</v>
      </c>
      <c r="C66" s="93">
        <v>5006</v>
      </c>
      <c r="D66" s="94" t="s">
        <v>118</v>
      </c>
      <c r="E66" s="93">
        <v>4037</v>
      </c>
      <c r="F66" s="94" t="s">
        <v>121</v>
      </c>
      <c r="G66" s="95">
        <v>4.3960267679558456</v>
      </c>
      <c r="H66" s="96">
        <v>26.84242071957857</v>
      </c>
      <c r="I66" s="97">
        <v>17.788790680263087</v>
      </c>
      <c r="J66" s="98">
        <v>0.61430644261915268</v>
      </c>
      <c r="K66" s="99">
        <v>22</v>
      </c>
      <c r="M66" s="100">
        <f t="shared" si="0"/>
        <v>0.66271186440677976</v>
      </c>
      <c r="N66" s="89">
        <f t="shared" si="1"/>
        <v>17.788790680263087</v>
      </c>
      <c r="O66" s="100"/>
      <c r="V66" s="109">
        <f t="shared" si="2"/>
        <v>199.93868862404148</v>
      </c>
      <c r="W66" s="109">
        <f t="shared" si="3"/>
        <v>25.404317088142093</v>
      </c>
      <c r="X66" s="109">
        <f t="shared" si="4"/>
        <v>-8.0872014861561077</v>
      </c>
      <c r="Y66" s="109">
        <f t="shared" si="5"/>
        <v>-25.052522922874495</v>
      </c>
      <c r="Z66" s="109">
        <f t="shared" si="6"/>
        <v>-51.931488332196338</v>
      </c>
      <c r="AA66" s="109">
        <f t="shared" si="7"/>
        <v>-66.661840609337176</v>
      </c>
    </row>
    <row r="67" spans="1:27" ht="19.5" thickBot="1" x14ac:dyDescent="0.35">
      <c r="A67" s="93">
        <v>262</v>
      </c>
      <c r="B67" s="94" t="s">
        <v>475</v>
      </c>
      <c r="C67" s="93">
        <v>5006</v>
      </c>
      <c r="D67" s="94" t="s">
        <v>118</v>
      </c>
      <c r="E67" s="93">
        <v>4038</v>
      </c>
      <c r="F67" s="94" t="s">
        <v>122</v>
      </c>
      <c r="G67" s="95">
        <v>4.5922940930037708</v>
      </c>
      <c r="H67" s="96">
        <v>24.388681937994523</v>
      </c>
      <c r="I67" s="97">
        <v>16.054067641773624</v>
      </c>
      <c r="J67" s="98">
        <v>0.65191841477686985</v>
      </c>
      <c r="K67" s="99">
        <v>31</v>
      </c>
      <c r="M67" s="100">
        <f t="shared" si="0"/>
        <v>0.65825892857142843</v>
      </c>
      <c r="N67" s="89">
        <f t="shared" si="1"/>
        <v>16.054067641773624</v>
      </c>
      <c r="O67" s="100"/>
      <c r="V67" s="109">
        <f t="shared" si="2"/>
        <v>223.15281499491977</v>
      </c>
      <c r="W67" s="109">
        <f t="shared" si="3"/>
        <v>39.592701210318552</v>
      </c>
      <c r="X67" s="109">
        <f t="shared" si="4"/>
        <v>4.3692268527031954</v>
      </c>
      <c r="Y67" s="109">
        <f t="shared" si="5"/>
        <v>-13.473426751351072</v>
      </c>
      <c r="Z67" s="109">
        <f t="shared" si="6"/>
        <v>-41.742391228257212</v>
      </c>
      <c r="AA67" s="109">
        <f t="shared" si="7"/>
        <v>-57.234498119781883</v>
      </c>
    </row>
    <row r="68" spans="1:27" ht="19.5" thickBot="1" x14ac:dyDescent="0.35">
      <c r="A68" s="93">
        <v>262</v>
      </c>
      <c r="B68" s="94" t="s">
        <v>475</v>
      </c>
      <c r="C68" s="93">
        <v>5006</v>
      </c>
      <c r="D68" s="94" t="s">
        <v>118</v>
      </c>
      <c r="E68" s="93">
        <v>4039</v>
      </c>
      <c r="F68" s="94" t="s">
        <v>504</v>
      </c>
      <c r="G68" s="95">
        <v>1.4446997006972997</v>
      </c>
      <c r="H68" s="96">
        <v>26.995229514601711</v>
      </c>
      <c r="I68" s="97">
        <v>17.789164064750356</v>
      </c>
      <c r="J68" s="98">
        <v>0.61429834695971441</v>
      </c>
      <c r="K68" s="99">
        <v>21</v>
      </c>
      <c r="M68" s="100">
        <f t="shared" si="0"/>
        <v>0.65897435897435885</v>
      </c>
      <c r="N68" s="89">
        <f t="shared" si="1"/>
        <v>17.789164064750356</v>
      </c>
      <c r="O68" s="100"/>
      <c r="V68" s="109">
        <f t="shared" si="2"/>
        <v>66.079173135845167</v>
      </c>
      <c r="W68" s="109">
        <f t="shared" si="3"/>
        <v>8.3952950157602739</v>
      </c>
      <c r="X68" s="109">
        <f t="shared" si="4"/>
        <v>-2.6737033625849724</v>
      </c>
      <c r="Y68" s="109">
        <f t="shared" si="5"/>
        <v>-8.2807681797429886</v>
      </c>
      <c r="Z68" s="109">
        <f t="shared" si="6"/>
        <v>-17.164307570987685</v>
      </c>
      <c r="AA68" s="109">
        <f t="shared" si="7"/>
        <v>-22.032711644885154</v>
      </c>
    </row>
    <row r="69" spans="1:27" ht="19.5" thickBot="1" x14ac:dyDescent="0.35">
      <c r="A69" s="93">
        <v>262</v>
      </c>
      <c r="B69" s="94" t="s">
        <v>475</v>
      </c>
      <c r="C69" s="93">
        <v>5006</v>
      </c>
      <c r="D69" s="94" t="s">
        <v>118</v>
      </c>
      <c r="E69" s="93">
        <v>4027</v>
      </c>
      <c r="F69" s="94" t="s">
        <v>505</v>
      </c>
      <c r="G69" s="95">
        <v>3.1259549303427177</v>
      </c>
      <c r="H69" s="96">
        <v>23.352863885339691</v>
      </c>
      <c r="I69" s="97">
        <v>15.363305316348475</v>
      </c>
      <c r="J69" s="98">
        <v>0.66689540693932714</v>
      </c>
      <c r="K69" s="99">
        <v>37</v>
      </c>
      <c r="M69" s="100">
        <f t="shared" si="0"/>
        <v>0.6578767123287671</v>
      </c>
      <c r="N69" s="89">
        <f t="shared" si="1"/>
        <v>15.363305316348475</v>
      </c>
      <c r="O69" s="100"/>
      <c r="V69" s="109">
        <f t="shared" si="2"/>
        <v>155.47913357110397</v>
      </c>
      <c r="W69" s="109">
        <f t="shared" si="3"/>
        <v>30.457956701274263</v>
      </c>
      <c r="X69" s="109">
        <f t="shared" si="4"/>
        <v>6.4675585323079767</v>
      </c>
      <c r="Y69" s="109">
        <f t="shared" si="5"/>
        <v>-5.6849156957108651</v>
      </c>
      <c r="Z69" s="109">
        <f t="shared" si="6"/>
        <v>-24.938658433860656</v>
      </c>
      <c r="AA69" s="109">
        <f t="shared" si="7"/>
        <v>-35.490195997431798</v>
      </c>
    </row>
    <row r="70" spans="1:27" ht="19.5" thickBot="1" x14ac:dyDescent="0.35">
      <c r="A70" s="93">
        <v>262</v>
      </c>
      <c r="B70" s="94" t="s">
        <v>475</v>
      </c>
      <c r="C70" s="93">
        <v>5006</v>
      </c>
      <c r="D70" s="94" t="s">
        <v>118</v>
      </c>
      <c r="E70" s="93">
        <v>4029</v>
      </c>
      <c r="F70" s="94" t="s">
        <v>506</v>
      </c>
      <c r="G70" s="95">
        <v>2.2744243073960568</v>
      </c>
      <c r="H70" s="96">
        <v>30.777018946012589</v>
      </c>
      <c r="I70" s="97">
        <v>19.697292125448055</v>
      </c>
      <c r="J70" s="98">
        <v>0.57292663637540464</v>
      </c>
      <c r="K70" s="99">
        <v>15</v>
      </c>
      <c r="M70" s="100">
        <f t="shared" ref="M70:M133" si="8">IF(ISERROR(I70/H70),$O$3,(I70/H70))</f>
        <v>0.6399999999999999</v>
      </c>
      <c r="N70" s="89">
        <f t="shared" ref="N70:N133" si="9">I70</f>
        <v>19.697292125448055</v>
      </c>
      <c r="O70" s="100"/>
      <c r="V70" s="109">
        <f t="shared" ref="V70:V133" si="10">(((($O$5-N70))/M70)*G70)+((((($O$5-N70)/$T$2))*$T$3/M70)*G70)</f>
        <v>99.900282132370094</v>
      </c>
      <c r="W70" s="109">
        <f t="shared" ref="W70:W133" si="11">(((($P$5-N70))/M70)*G70)+((((($P$5-N70)/$T$2))*$T$3/M70)*G70)</f>
        <v>6.3948378223880145</v>
      </c>
      <c r="X70" s="109">
        <f t="shared" ref="X70:X133" si="12">(((($Q$5-N70))/M70)*G70)+((((($Q$5-N70)/$T$2))*$T$3/M70)*G70)</f>
        <v>-11.547985114706844</v>
      </c>
      <c r="Y70" s="109">
        <f t="shared" ref="Y70:Y133" si="13">(((($R$5-N70))/M70)*G70)+((((($R$5-N70)/$T$2))*$T$3/M70)*G70)</f>
        <v>-20.637025312589735</v>
      </c>
      <c r="Z70" s="109">
        <f t="shared" ref="Z70:Z133" si="14">(((($S$5-N70))/M70)*G70)+((((($S$5-N70)/$T$2))*$T$3/M70)*G70)</f>
        <v>-35.037223858435013</v>
      </c>
      <c r="AA70" s="109">
        <f t="shared" ref="AA70:AA133" si="15">(((($T$5-N70))/M70)*G70)+((((($T$5-N70)/$T$2))*$T$3/M70)*G70)</f>
        <v>-42.928896555312967</v>
      </c>
    </row>
    <row r="71" spans="1:27" ht="19.5" thickBot="1" x14ac:dyDescent="0.35">
      <c r="A71" s="93">
        <v>262</v>
      </c>
      <c r="B71" s="94" t="s">
        <v>475</v>
      </c>
      <c r="C71" s="93">
        <v>5006</v>
      </c>
      <c r="D71" s="94" t="s">
        <v>118</v>
      </c>
      <c r="E71" s="93">
        <v>4019</v>
      </c>
      <c r="F71" s="94" t="s">
        <v>126</v>
      </c>
      <c r="G71" s="95">
        <v>4.5979315814718493</v>
      </c>
      <c r="H71" s="96">
        <v>23.92380096373417</v>
      </c>
      <c r="I71" s="97">
        <v>17.034833731677079</v>
      </c>
      <c r="J71" s="98">
        <v>0.63065360993586006</v>
      </c>
      <c r="K71" s="99">
        <v>26</v>
      </c>
      <c r="M71" s="100">
        <f t="shared" si="8"/>
        <v>0.71204545454545443</v>
      </c>
      <c r="N71" s="89">
        <f t="shared" si="9"/>
        <v>17.034833731677079</v>
      </c>
      <c r="O71" s="100"/>
      <c r="V71" s="109">
        <f t="shared" si="10"/>
        <v>199.81213438039353</v>
      </c>
      <c r="W71" s="109">
        <f t="shared" si="11"/>
        <v>29.90947752402591</v>
      </c>
      <c r="X71" s="109">
        <f t="shared" si="12"/>
        <v>-2.6932581884479663</v>
      </c>
      <c r="Y71" s="109">
        <f t="shared" si="13"/>
        <v>-19.208361552646121</v>
      </c>
      <c r="Z71" s="109">
        <f t="shared" si="14"/>
        <v>-45.374025062969949</v>
      </c>
      <c r="AA71" s="109">
        <f t="shared" si="15"/>
        <v>-59.713469874284357</v>
      </c>
    </row>
    <row r="72" spans="1:27" ht="19.5" thickBot="1" x14ac:dyDescent="0.35">
      <c r="A72" s="93">
        <v>262</v>
      </c>
      <c r="B72" s="94" t="s">
        <v>475</v>
      </c>
      <c r="C72" s="93">
        <v>5006</v>
      </c>
      <c r="D72" s="94" t="s">
        <v>118</v>
      </c>
      <c r="E72" s="93">
        <v>4024</v>
      </c>
      <c r="F72" s="94" t="s">
        <v>507</v>
      </c>
      <c r="G72" s="95">
        <v>2.741125293470831</v>
      </c>
      <c r="H72" s="96">
        <v>23.348075388032619</v>
      </c>
      <c r="I72" s="97">
        <v>15.349535499241759</v>
      </c>
      <c r="J72" s="98">
        <v>0.6671939617899536</v>
      </c>
      <c r="K72" s="99">
        <v>38</v>
      </c>
      <c r="M72" s="100">
        <f t="shared" si="8"/>
        <v>0.65742187500000004</v>
      </c>
      <c r="N72" s="89">
        <f t="shared" si="9"/>
        <v>15.349535499241759</v>
      </c>
      <c r="O72" s="100"/>
      <c r="V72" s="109">
        <f t="shared" si="10"/>
        <v>136.49383319746138</v>
      </c>
      <c r="W72" s="109">
        <f t="shared" si="11"/>
        <v>26.787898888049625</v>
      </c>
      <c r="X72" s="109">
        <f t="shared" si="12"/>
        <v>5.7363529701805724</v>
      </c>
      <c r="Y72" s="109">
        <f t="shared" si="13"/>
        <v>-4.9274287405288257</v>
      </c>
      <c r="Z72" s="109">
        <f t="shared" si="14"/>
        <v>-21.822565140028729</v>
      </c>
      <c r="AA72" s="109">
        <f t="shared" si="15"/>
        <v>-31.081526827916758</v>
      </c>
    </row>
    <row r="73" spans="1:27" ht="19.5" thickBot="1" x14ac:dyDescent="0.35">
      <c r="A73" s="93">
        <v>262</v>
      </c>
      <c r="B73" s="94" t="s">
        <v>475</v>
      </c>
      <c r="C73" s="93">
        <v>5006</v>
      </c>
      <c r="D73" s="94" t="s">
        <v>118</v>
      </c>
      <c r="E73" s="93">
        <v>4047</v>
      </c>
      <c r="F73" s="94" t="s">
        <v>128</v>
      </c>
      <c r="G73" s="95">
        <v>5.6126775106429232</v>
      </c>
      <c r="H73" s="96">
        <v>30.288574335090701</v>
      </c>
      <c r="I73" s="97">
        <v>20.061726294889485</v>
      </c>
      <c r="J73" s="98">
        <v>0.56502503621778666</v>
      </c>
      <c r="K73" s="99">
        <v>14</v>
      </c>
      <c r="M73" s="100">
        <f t="shared" si="8"/>
        <v>0.66235294117647048</v>
      </c>
      <c r="N73" s="89">
        <f t="shared" si="9"/>
        <v>20.061726294889485</v>
      </c>
      <c r="O73" s="100"/>
      <c r="V73" s="109">
        <f t="shared" si="10"/>
        <v>234.9224378385459</v>
      </c>
      <c r="W73" s="109">
        <f t="shared" si="11"/>
        <v>11.962926193969352</v>
      </c>
      <c r="X73" s="109">
        <f t="shared" si="12"/>
        <v>-30.820925260899404</v>
      </c>
      <c r="Y73" s="109">
        <f t="shared" si="13"/>
        <v>-52.493331384331498</v>
      </c>
      <c r="Z73" s="109">
        <f t="shared" si="14"/>
        <v>-86.82995487250902</v>
      </c>
      <c r="AA73" s="109">
        <f t="shared" si="15"/>
        <v>-105.64729223226433</v>
      </c>
    </row>
    <row r="74" spans="1:27" ht="19.5" thickBot="1" x14ac:dyDescent="0.35">
      <c r="A74" s="93">
        <v>262</v>
      </c>
      <c r="B74" s="94" t="s">
        <v>475</v>
      </c>
      <c r="C74" s="93">
        <v>5006</v>
      </c>
      <c r="D74" s="94" t="s">
        <v>118</v>
      </c>
      <c r="E74" s="93">
        <v>4026</v>
      </c>
      <c r="F74" s="94" t="s">
        <v>129</v>
      </c>
      <c r="G74" s="95">
        <v>4.1459520961535112</v>
      </c>
      <c r="H74" s="96">
        <v>22.431518223831524</v>
      </c>
      <c r="I74" s="97">
        <v>14.128238494203567</v>
      </c>
      <c r="J74" s="98">
        <v>0.69367391733939909</v>
      </c>
      <c r="K74" s="99">
        <v>51</v>
      </c>
      <c r="M74" s="100">
        <f t="shared" si="8"/>
        <v>0.62983870967741939</v>
      </c>
      <c r="N74" s="89">
        <f t="shared" si="9"/>
        <v>14.128238494203567</v>
      </c>
      <c r="O74" s="100"/>
      <c r="V74" s="109">
        <f t="shared" si="10"/>
        <v>224.0404740006617</v>
      </c>
      <c r="W74" s="109">
        <f t="shared" si="11"/>
        <v>50.843493968313034</v>
      </c>
      <c r="X74" s="109">
        <f t="shared" si="12"/>
        <v>17.608608353976322</v>
      </c>
      <c r="Y74" s="109">
        <f t="shared" si="13"/>
        <v>0.77328581973661692</v>
      </c>
      <c r="Z74" s="109">
        <f t="shared" si="14"/>
        <v>-25.899716147276859</v>
      </c>
      <c r="AA74" s="109">
        <f t="shared" si="15"/>
        <v>-40.517195253325987</v>
      </c>
    </row>
    <row r="75" spans="1:27" ht="19.5" thickBot="1" x14ac:dyDescent="0.35">
      <c r="A75" s="93">
        <v>262</v>
      </c>
      <c r="B75" s="94" t="s">
        <v>475</v>
      </c>
      <c r="C75" s="93">
        <v>5006</v>
      </c>
      <c r="D75" s="94" t="s">
        <v>118</v>
      </c>
      <c r="E75" s="93">
        <v>4045</v>
      </c>
      <c r="F75" s="94" t="s">
        <v>508</v>
      </c>
      <c r="G75" s="95">
        <v>5.8692347533858378</v>
      </c>
      <c r="H75" s="96">
        <v>35.268652336760951</v>
      </c>
      <c r="I75" s="97">
        <v>23.060927989278234</v>
      </c>
      <c r="J75" s="98">
        <v>0.49999685124426185</v>
      </c>
      <c r="K75" s="99">
        <v>8</v>
      </c>
      <c r="M75" s="100">
        <f t="shared" si="8"/>
        <v>0.65386473429951686</v>
      </c>
      <c r="N75" s="89">
        <f t="shared" si="9"/>
        <v>23.060927989278234</v>
      </c>
      <c r="O75" s="100"/>
      <c r="V75" s="109">
        <f t="shared" si="10"/>
        <v>220.20999239007173</v>
      </c>
      <c r="W75" s="109">
        <f t="shared" si="11"/>
        <v>-15.967740736972075</v>
      </c>
      <c r="X75" s="109">
        <f t="shared" si="12"/>
        <v>-61.288045650282868</v>
      </c>
      <c r="Y75" s="109">
        <f t="shared" si="13"/>
        <v>-84.245306867289855</v>
      </c>
      <c r="Z75" s="109">
        <f t="shared" si="14"/>
        <v>-120.61758737175262</v>
      </c>
      <c r="AA75" s="109">
        <f t="shared" si="15"/>
        <v>-140.55051621758935</v>
      </c>
    </row>
    <row r="76" spans="1:27" ht="19.5" thickBot="1" x14ac:dyDescent="0.35">
      <c r="A76" s="93">
        <v>262</v>
      </c>
      <c r="B76" s="94" t="s">
        <v>475</v>
      </c>
      <c r="C76" s="93">
        <v>5006</v>
      </c>
      <c r="D76" s="94" t="s">
        <v>118</v>
      </c>
      <c r="E76" s="93">
        <v>4043</v>
      </c>
      <c r="F76" s="94" t="s">
        <v>131</v>
      </c>
      <c r="G76" s="95">
        <v>8.4237180108253167</v>
      </c>
      <c r="H76" s="96">
        <v>20.418537251480032</v>
      </c>
      <c r="I76" s="97">
        <v>14.114907437214976</v>
      </c>
      <c r="J76" s="98">
        <v>0.6939629590671923</v>
      </c>
      <c r="K76" s="99">
        <v>52</v>
      </c>
      <c r="M76" s="100">
        <f t="shared" si="8"/>
        <v>0.69127906976744191</v>
      </c>
      <c r="N76" s="89">
        <f t="shared" si="9"/>
        <v>14.114907437214976</v>
      </c>
      <c r="O76" s="100"/>
      <c r="V76" s="109">
        <f t="shared" si="10"/>
        <v>414.91858617151399</v>
      </c>
      <c r="W76" s="109">
        <f t="shared" si="11"/>
        <v>94.294757039276448</v>
      </c>
      <c r="X76" s="109">
        <f t="shared" si="12"/>
        <v>32.770033661014828</v>
      </c>
      <c r="Y76" s="109">
        <f t="shared" si="13"/>
        <v>1.6043310338904424</v>
      </c>
      <c r="Z76" s="109">
        <f t="shared" si="14"/>
        <v>-47.772973486767341</v>
      </c>
      <c r="AA76" s="109">
        <f t="shared" si="15"/>
        <v>-74.832984131101853</v>
      </c>
    </row>
    <row r="77" spans="1:27" ht="19.5" thickBot="1" x14ac:dyDescent="0.35">
      <c r="A77" s="93">
        <v>262</v>
      </c>
      <c r="B77" s="94" t="s">
        <v>475</v>
      </c>
      <c r="C77" s="93">
        <v>5006</v>
      </c>
      <c r="D77" s="94" t="s">
        <v>118</v>
      </c>
      <c r="E77" s="93">
        <v>4048</v>
      </c>
      <c r="F77" s="94" t="s">
        <v>509</v>
      </c>
      <c r="G77" s="95">
        <v>2.8112321713374335</v>
      </c>
      <c r="H77" s="96">
        <v>17.785795321278172</v>
      </c>
      <c r="I77" s="97">
        <v>11.889804172274456</v>
      </c>
      <c r="J77" s="98">
        <v>0.74220727253515839</v>
      </c>
      <c r="K77" s="99">
        <v>71</v>
      </c>
      <c r="M77" s="100">
        <f t="shared" si="8"/>
        <v>0.66849999999999987</v>
      </c>
      <c r="N77" s="89">
        <f t="shared" si="9"/>
        <v>11.889804172274456</v>
      </c>
      <c r="O77" s="100"/>
      <c r="V77" s="109">
        <f t="shared" si="10"/>
        <v>153.14283932472878</v>
      </c>
      <c r="W77" s="109">
        <f t="shared" si="11"/>
        <v>42.495573506099952</v>
      </c>
      <c r="X77" s="109">
        <f t="shared" si="12"/>
        <v>21.263394848398153</v>
      </c>
      <c r="Y77" s="109">
        <f t="shared" si="13"/>
        <v>10.508112584005012</v>
      </c>
      <c r="Z77" s="109">
        <f t="shared" si="14"/>
        <v>-6.5319924933105735</v>
      </c>
      <c r="AA77" s="109">
        <f t="shared" si="15"/>
        <v>-15.87040068000751</v>
      </c>
    </row>
    <row r="78" spans="1:27" ht="19.5" thickBot="1" x14ac:dyDescent="0.35">
      <c r="A78" s="93">
        <v>262</v>
      </c>
      <c r="B78" s="94" t="s">
        <v>475</v>
      </c>
      <c r="C78" s="93">
        <v>5006</v>
      </c>
      <c r="D78" s="94" t="s">
        <v>118</v>
      </c>
      <c r="E78" s="93">
        <v>4010</v>
      </c>
      <c r="F78" s="94" t="s">
        <v>133</v>
      </c>
      <c r="G78" s="95">
        <v>2.5527409768204761</v>
      </c>
      <c r="H78" s="96">
        <v>57.585160944567669</v>
      </c>
      <c r="I78" s="97">
        <v>38.115892244261453</v>
      </c>
      <c r="J78" s="98">
        <v>0.17357765703852632</v>
      </c>
      <c r="K78" s="99">
        <v>2</v>
      </c>
      <c r="M78" s="100">
        <f t="shared" si="8"/>
        <v>0.66190476190476177</v>
      </c>
      <c r="N78" s="89">
        <f t="shared" si="9"/>
        <v>38.115892244261453</v>
      </c>
      <c r="O78" s="100"/>
      <c r="V78" s="109">
        <f t="shared" si="10"/>
        <v>32.845906549721221</v>
      </c>
      <c r="W78" s="109">
        <f t="shared" si="11"/>
        <v>-68.628525274939321</v>
      </c>
      <c r="X78" s="109">
        <f t="shared" si="12"/>
        <v>-88.100522614861248</v>
      </c>
      <c r="Y78" s="109">
        <f t="shared" si="13"/>
        <v>-97.96417490503282</v>
      </c>
      <c r="Z78" s="109">
        <f t="shared" si="14"/>
        <v>-113.59162821949143</v>
      </c>
      <c r="AA78" s="109">
        <f t="shared" si="15"/>
        <v>-122.15586754236035</v>
      </c>
    </row>
    <row r="79" spans="1:27" ht="19.5" thickBot="1" x14ac:dyDescent="0.35">
      <c r="A79" s="93">
        <v>262</v>
      </c>
      <c r="B79" s="94" t="s">
        <v>475</v>
      </c>
      <c r="C79" s="93">
        <v>5006</v>
      </c>
      <c r="D79" s="94" t="s">
        <v>118</v>
      </c>
      <c r="E79" s="93">
        <v>4054</v>
      </c>
      <c r="F79" s="94" t="s">
        <v>510</v>
      </c>
      <c r="G79" s="95">
        <v>2.6966891074729142</v>
      </c>
      <c r="H79" s="96">
        <v>15.203828979166746</v>
      </c>
      <c r="I79" s="97">
        <v>10.225502051232269</v>
      </c>
      <c r="J79" s="98">
        <v>0.77829239024546237</v>
      </c>
      <c r="K79" s="99">
        <v>104</v>
      </c>
      <c r="M79" s="100">
        <f t="shared" si="8"/>
        <v>0.67256097560975614</v>
      </c>
      <c r="N79" s="89">
        <f t="shared" si="9"/>
        <v>10.225502051232269</v>
      </c>
      <c r="O79" s="100"/>
      <c r="V79" s="109">
        <f t="shared" si="10"/>
        <v>153.11515821370719</v>
      </c>
      <c r="W79" s="109">
        <f t="shared" si="11"/>
        <v>47.617067335079383</v>
      </c>
      <c r="X79" s="109">
        <f t="shared" si="12"/>
        <v>27.37296733849039</v>
      </c>
      <c r="Y79" s="109">
        <f t="shared" si="13"/>
        <v>17.118202005073478</v>
      </c>
      <c r="Z79" s="109">
        <f t="shared" si="14"/>
        <v>0.87108969978827799</v>
      </c>
      <c r="AA79" s="109">
        <f t="shared" si="15"/>
        <v>-8.0327384088680436</v>
      </c>
    </row>
    <row r="80" spans="1:27" ht="19.5" thickBot="1" x14ac:dyDescent="0.35">
      <c r="A80" s="93">
        <v>262</v>
      </c>
      <c r="B80" s="94" t="s">
        <v>475</v>
      </c>
      <c r="C80" s="93">
        <v>5006</v>
      </c>
      <c r="D80" s="94" t="s">
        <v>118</v>
      </c>
      <c r="E80" s="93">
        <v>4006</v>
      </c>
      <c r="F80" s="94" t="s">
        <v>135</v>
      </c>
      <c r="G80" s="95">
        <v>5.6576315338785204</v>
      </c>
      <c r="H80" s="96">
        <v>22.094051062089541</v>
      </c>
      <c r="I80" s="97">
        <v>14.422996533332052</v>
      </c>
      <c r="J80" s="98">
        <v>0.6872830232802426</v>
      </c>
      <c r="K80" s="99">
        <v>47</v>
      </c>
      <c r="M80" s="100">
        <f t="shared" si="8"/>
        <v>0.65279999999999994</v>
      </c>
      <c r="N80" s="89">
        <f t="shared" si="9"/>
        <v>14.422996533332052</v>
      </c>
      <c r="O80" s="100"/>
      <c r="V80" s="109">
        <f t="shared" si="10"/>
        <v>292.25793882986693</v>
      </c>
      <c r="W80" s="109">
        <f t="shared" si="11"/>
        <v>64.223785223028827</v>
      </c>
      <c r="X80" s="109">
        <f t="shared" si="12"/>
        <v>20.466157290544956</v>
      </c>
      <c r="Y80" s="109">
        <f t="shared" si="13"/>
        <v>-1.6995209105209665</v>
      </c>
      <c r="Z80" s="109">
        <f t="shared" si="14"/>
        <v>-36.817658805104479</v>
      </c>
      <c r="AA80" s="109">
        <f t="shared" si="15"/>
        <v>-56.063285808479385</v>
      </c>
    </row>
    <row r="81" spans="1:27" ht="19.5" thickBot="1" x14ac:dyDescent="0.35">
      <c r="A81" s="93">
        <v>262</v>
      </c>
      <c r="B81" s="94" t="s">
        <v>475</v>
      </c>
      <c r="C81" s="93">
        <v>5006</v>
      </c>
      <c r="D81" s="94" t="s">
        <v>118</v>
      </c>
      <c r="E81" s="93">
        <v>4020</v>
      </c>
      <c r="F81" s="94" t="s">
        <v>136</v>
      </c>
      <c r="G81" s="95">
        <v>4.6944637314758273</v>
      </c>
      <c r="H81" s="96">
        <v>20.023586372547957</v>
      </c>
      <c r="I81" s="97">
        <v>12.594622811456361</v>
      </c>
      <c r="J81" s="98">
        <v>0.72692551375005943</v>
      </c>
      <c r="K81" s="99">
        <v>65</v>
      </c>
      <c r="M81" s="100">
        <f t="shared" si="8"/>
        <v>0.6289893617021276</v>
      </c>
      <c r="N81" s="89">
        <f t="shared" si="9"/>
        <v>12.594622811456361</v>
      </c>
      <c r="O81" s="100"/>
      <c r="V81" s="109">
        <f t="shared" si="10"/>
        <v>266.20045092192055</v>
      </c>
      <c r="W81" s="109">
        <f t="shared" si="11"/>
        <v>69.824603558019774</v>
      </c>
      <c r="X81" s="109">
        <f t="shared" si="12"/>
        <v>32.141909417863857</v>
      </c>
      <c r="Y81" s="109">
        <f t="shared" si="13"/>
        <v>13.053523883148351</v>
      </c>
      <c r="Z81" s="109">
        <f t="shared" si="14"/>
        <v>-17.189112922833804</v>
      </c>
      <c r="AA81" s="109">
        <f t="shared" si="15"/>
        <v>-33.762842125492959</v>
      </c>
    </row>
    <row r="82" spans="1:27" ht="19.5" thickBot="1" x14ac:dyDescent="0.35">
      <c r="A82" s="93">
        <v>262</v>
      </c>
      <c r="B82" s="94" t="s">
        <v>475</v>
      </c>
      <c r="C82" s="93">
        <v>5006</v>
      </c>
      <c r="D82" s="94" t="s">
        <v>118</v>
      </c>
      <c r="E82" s="93">
        <v>4012</v>
      </c>
      <c r="F82" s="94" t="s">
        <v>511</v>
      </c>
      <c r="G82" s="95">
        <v>2.7150367024280069</v>
      </c>
      <c r="H82" s="96">
        <v>51.564680460783677</v>
      </c>
      <c r="I82" s="97">
        <v>33.388130598357435</v>
      </c>
      <c r="J82" s="98">
        <v>0.27608418715811522</v>
      </c>
      <c r="K82" s="99">
        <v>3</v>
      </c>
      <c r="M82" s="100">
        <f t="shared" si="8"/>
        <v>0.64750000000000008</v>
      </c>
      <c r="N82" s="89">
        <f t="shared" si="9"/>
        <v>33.388130598357435</v>
      </c>
      <c r="O82" s="100"/>
      <c r="V82" s="109">
        <f t="shared" si="10"/>
        <v>56.800695277276986</v>
      </c>
      <c r="W82" s="109">
        <f t="shared" si="11"/>
        <v>-53.526179506430786</v>
      </c>
      <c r="X82" s="109">
        <f t="shared" si="12"/>
        <v>-74.696878111792913</v>
      </c>
      <c r="Y82" s="109">
        <f t="shared" si="13"/>
        <v>-85.421017301930561</v>
      </c>
      <c r="Z82" s="109">
        <f t="shared" si="14"/>
        <v>-102.41178092593059</v>
      </c>
      <c r="AA82" s="109">
        <f t="shared" si="15"/>
        <v>-111.72314874934955</v>
      </c>
    </row>
    <row r="83" spans="1:27" ht="19.5" thickBot="1" x14ac:dyDescent="0.35">
      <c r="A83" s="93">
        <v>262</v>
      </c>
      <c r="B83" s="94" t="s">
        <v>475</v>
      </c>
      <c r="C83" s="93">
        <v>5006</v>
      </c>
      <c r="D83" s="94" t="s">
        <v>118</v>
      </c>
      <c r="E83" s="93">
        <v>4023</v>
      </c>
      <c r="F83" s="94" t="s">
        <v>138</v>
      </c>
      <c r="G83" s="95">
        <v>3.2678846701127418</v>
      </c>
      <c r="H83" s="96">
        <v>14.688400860347377</v>
      </c>
      <c r="I83" s="97">
        <v>9.5092095153186396</v>
      </c>
      <c r="J83" s="98">
        <v>0.7938229241230913</v>
      </c>
      <c r="K83" s="99">
        <v>118</v>
      </c>
      <c r="M83" s="100">
        <f t="shared" si="8"/>
        <v>0.64739583333333328</v>
      </c>
      <c r="N83" s="89">
        <f t="shared" si="9"/>
        <v>9.5092095153186396</v>
      </c>
      <c r="O83" s="100"/>
      <c r="V83" s="109">
        <f t="shared" si="10"/>
        <v>196.60594421673929</v>
      </c>
      <c r="W83" s="109">
        <f t="shared" si="11"/>
        <v>63.792449274249265</v>
      </c>
      <c r="X83" s="109">
        <f t="shared" si="12"/>
        <v>38.306777921148793</v>
      </c>
      <c r="Y83" s="109">
        <f t="shared" si="13"/>
        <v>25.396864458230354</v>
      </c>
      <c r="Z83" s="109">
        <f t="shared" si="14"/>
        <v>4.9430747259537346</v>
      </c>
      <c r="AA83" s="109">
        <f t="shared" si="15"/>
        <v>-6.2661189156479065</v>
      </c>
    </row>
    <row r="84" spans="1:27" ht="19.5" thickBot="1" x14ac:dyDescent="0.35">
      <c r="A84" s="93">
        <v>264</v>
      </c>
      <c r="B84" s="94" t="s">
        <v>512</v>
      </c>
      <c r="C84" s="93">
        <v>5130</v>
      </c>
      <c r="D84" s="94" t="s">
        <v>140</v>
      </c>
      <c r="E84" s="93">
        <v>4132</v>
      </c>
      <c r="F84" s="94" t="s">
        <v>141</v>
      </c>
      <c r="G84" s="95">
        <v>3.879630535638257</v>
      </c>
      <c r="H84" s="96">
        <v>14.949877177017871</v>
      </c>
      <c r="I84" s="97">
        <v>11.09641745638999</v>
      </c>
      <c r="J84" s="98">
        <v>0.75940934941201443</v>
      </c>
      <c r="K84" s="99">
        <v>82</v>
      </c>
      <c r="M84" s="100">
        <f t="shared" si="8"/>
        <v>0.74224137931034484</v>
      </c>
      <c r="N84" s="89">
        <f t="shared" si="9"/>
        <v>11.09641745638999</v>
      </c>
      <c r="O84" s="100"/>
      <c r="V84" s="109">
        <f t="shared" si="10"/>
        <v>194.75890899658449</v>
      </c>
      <c r="W84" s="109">
        <f t="shared" si="11"/>
        <v>57.231078917763185</v>
      </c>
      <c r="X84" s="109">
        <f t="shared" si="12"/>
        <v>30.840770607515111</v>
      </c>
      <c r="Y84" s="109">
        <f t="shared" si="13"/>
        <v>17.472608088869421</v>
      </c>
      <c r="Z84" s="109">
        <f t="shared" si="14"/>
        <v>-3.7072074109525577</v>
      </c>
      <c r="AA84" s="109">
        <f t="shared" si="15"/>
        <v>-15.314281519877387</v>
      </c>
    </row>
    <row r="85" spans="1:27" ht="19.5" thickBot="1" x14ac:dyDescent="0.35">
      <c r="A85" s="93">
        <v>264</v>
      </c>
      <c r="B85" s="94" t="s">
        <v>512</v>
      </c>
      <c r="C85" s="93">
        <v>5130</v>
      </c>
      <c r="D85" s="94" t="s">
        <v>140</v>
      </c>
      <c r="E85" s="93">
        <v>4130</v>
      </c>
      <c r="F85" s="94" t="s">
        <v>142</v>
      </c>
      <c r="G85" s="95">
        <v>7.9105611499017217</v>
      </c>
      <c r="H85" s="96">
        <v>16.433726702386352</v>
      </c>
      <c r="I85" s="97">
        <v>11.623701309880193</v>
      </c>
      <c r="J85" s="98">
        <v>0.74797686988839174</v>
      </c>
      <c r="K85" s="99">
        <v>74</v>
      </c>
      <c r="M85" s="100">
        <f t="shared" si="8"/>
        <v>0.7073076923076923</v>
      </c>
      <c r="N85" s="89">
        <f t="shared" si="9"/>
        <v>11.623701309880193</v>
      </c>
      <c r="O85" s="100"/>
      <c r="V85" s="109">
        <f t="shared" si="10"/>
        <v>410.4528406563557</v>
      </c>
      <c r="W85" s="109">
        <f t="shared" si="11"/>
        <v>116.1839887611843</v>
      </c>
      <c r="X85" s="109">
        <f t="shared" si="12"/>
        <v>59.716539786198901</v>
      </c>
      <c r="Y85" s="109">
        <f t="shared" si="13"/>
        <v>31.11262860651016</v>
      </c>
      <c r="Z85" s="109">
        <f t="shared" si="14"/>
        <v>-14.20590791742179</v>
      </c>
      <c r="AA85" s="109">
        <f t="shared" si="15"/>
        <v>-39.041611134275406</v>
      </c>
    </row>
    <row r="86" spans="1:27" ht="19.5" thickBot="1" x14ac:dyDescent="0.35">
      <c r="A86" s="93">
        <v>264</v>
      </c>
      <c r="B86" s="94" t="s">
        <v>512</v>
      </c>
      <c r="C86" s="93">
        <v>5130</v>
      </c>
      <c r="D86" s="94" t="s">
        <v>140</v>
      </c>
      <c r="E86" s="93">
        <v>4134</v>
      </c>
      <c r="F86" s="94" t="s">
        <v>513</v>
      </c>
      <c r="G86" s="95">
        <v>0.90801949255786807</v>
      </c>
      <c r="H86" s="96">
        <v>0</v>
      </c>
      <c r="I86" s="97">
        <v>0</v>
      </c>
      <c r="J86" s="98">
        <v>1</v>
      </c>
      <c r="K86" s="99">
        <v>286</v>
      </c>
      <c r="M86" s="100">
        <f t="shared" si="8"/>
        <v>0.6728972956067063</v>
      </c>
      <c r="N86" s="89">
        <f t="shared" si="9"/>
        <v>0</v>
      </c>
      <c r="O86" s="100"/>
      <c r="V86" s="109">
        <f t="shared" si="10"/>
        <v>66.209845666804256</v>
      </c>
      <c r="W86" s="109">
        <f t="shared" si="11"/>
        <v>30.70466124139238</v>
      </c>
      <c r="X86" s="109">
        <f t="shared" si="12"/>
        <v>23.891547393367446</v>
      </c>
      <c r="Y86" s="109">
        <f t="shared" si="13"/>
        <v>20.440325372476373</v>
      </c>
      <c r="Z86" s="109">
        <f t="shared" si="14"/>
        <v>14.972390228103148</v>
      </c>
      <c r="AA86" s="109">
        <f t="shared" si="15"/>
        <v>11.975823593985487</v>
      </c>
    </row>
    <row r="87" spans="1:27" ht="19.5" thickBot="1" x14ac:dyDescent="0.35">
      <c r="A87" s="93">
        <v>264</v>
      </c>
      <c r="B87" s="94" t="s">
        <v>512</v>
      </c>
      <c r="C87" s="93">
        <v>5130</v>
      </c>
      <c r="D87" s="94" t="s">
        <v>140</v>
      </c>
      <c r="E87" s="93">
        <v>4135</v>
      </c>
      <c r="F87" s="94" t="s">
        <v>514</v>
      </c>
      <c r="G87" s="95">
        <v>6.669059139075534</v>
      </c>
      <c r="H87" s="96">
        <v>16.34413456635048</v>
      </c>
      <c r="I87" s="97">
        <v>10.957317737945516</v>
      </c>
      <c r="J87" s="98">
        <v>0.76242528603198101</v>
      </c>
      <c r="K87" s="99">
        <v>87</v>
      </c>
      <c r="M87" s="100">
        <f t="shared" si="8"/>
        <v>0.67041284403669721</v>
      </c>
      <c r="N87" s="89">
        <f t="shared" si="9"/>
        <v>10.957317737945516</v>
      </c>
      <c r="O87" s="100"/>
      <c r="V87" s="109">
        <f t="shared" si="10"/>
        <v>372.13088915859146</v>
      </c>
      <c r="W87" s="109">
        <f t="shared" si="11"/>
        <v>110.39237867157856</v>
      </c>
      <c r="X87" s="109">
        <f t="shared" si="12"/>
        <v>60.167198906446252</v>
      </c>
      <c r="Y87" s="109">
        <f t="shared" si="13"/>
        <v>34.72534511166684</v>
      </c>
      <c r="Z87" s="109">
        <f t="shared" si="14"/>
        <v>-5.5833935497078544</v>
      </c>
      <c r="AA87" s="109">
        <f t="shared" si="15"/>
        <v>-27.673600940031534</v>
      </c>
    </row>
    <row r="88" spans="1:27" ht="19.5" thickBot="1" x14ac:dyDescent="0.35">
      <c r="A88" s="93">
        <v>264</v>
      </c>
      <c r="B88" s="94" t="s">
        <v>512</v>
      </c>
      <c r="C88" s="93">
        <v>5130</v>
      </c>
      <c r="D88" s="94" t="s">
        <v>140</v>
      </c>
      <c r="E88" s="93">
        <v>4133</v>
      </c>
      <c r="F88" s="94" t="s">
        <v>515</v>
      </c>
      <c r="G88" s="95">
        <v>1.4672043010752684</v>
      </c>
      <c r="H88" s="96">
        <v>-0.68156834005130107</v>
      </c>
      <c r="I88" s="97">
        <v>-1.8743129351410779</v>
      </c>
      <c r="J88" s="98">
        <v>1.0406385367388453</v>
      </c>
      <c r="K88" s="99">
        <v>291</v>
      </c>
      <c r="M88" s="100">
        <f t="shared" si="8"/>
        <v>2.75</v>
      </c>
      <c r="N88" s="89">
        <f t="shared" si="9"/>
        <v>-1.8743129351410779</v>
      </c>
      <c r="O88" s="100"/>
      <c r="V88" s="109">
        <f t="shared" si="10"/>
        <v>27.241686388482108</v>
      </c>
      <c r="W88" s="109">
        <f t="shared" si="11"/>
        <v>13.203749626528621</v>
      </c>
      <c r="X88" s="109">
        <f t="shared" si="12"/>
        <v>10.510000448813877</v>
      </c>
      <c r="Y88" s="109">
        <f t="shared" si="13"/>
        <v>9.1454663035960646</v>
      </c>
      <c r="Z88" s="109">
        <f t="shared" si="14"/>
        <v>6.9835699772602249</v>
      </c>
      <c r="AA88" s="109">
        <f t="shared" si="15"/>
        <v>5.7987961591972992</v>
      </c>
    </row>
    <row r="89" spans="1:27" ht="19.5" thickBot="1" x14ac:dyDescent="0.35">
      <c r="A89" s="93">
        <v>264</v>
      </c>
      <c r="B89" s="94" t="s">
        <v>512</v>
      </c>
      <c r="C89" s="93">
        <v>5130</v>
      </c>
      <c r="D89" s="94" t="s">
        <v>140</v>
      </c>
      <c r="E89" s="93">
        <v>4162</v>
      </c>
      <c r="F89" s="94" t="s">
        <v>516</v>
      </c>
      <c r="G89" s="95">
        <v>4.5305552577094907</v>
      </c>
      <c r="H89" s="96">
        <v>16.77498577479513</v>
      </c>
      <c r="I89" s="97">
        <v>10.749234305691092</v>
      </c>
      <c r="J89" s="98">
        <v>0.76693691589264779</v>
      </c>
      <c r="K89" s="99">
        <v>91</v>
      </c>
      <c r="M89" s="100">
        <f t="shared" si="8"/>
        <v>0.64078947368421058</v>
      </c>
      <c r="N89" s="89">
        <f t="shared" si="9"/>
        <v>10.749234305691092</v>
      </c>
      <c r="O89" s="100"/>
      <c r="V89" s="109">
        <f t="shared" si="10"/>
        <v>266.05528618035021</v>
      </c>
      <c r="W89" s="109">
        <f t="shared" si="11"/>
        <v>80.025945507354265</v>
      </c>
      <c r="X89" s="109">
        <f t="shared" si="12"/>
        <v>44.328649532431761</v>
      </c>
      <c r="Y89" s="109">
        <f t="shared" si="13"/>
        <v>26.245978861864106</v>
      </c>
      <c r="Z89" s="109">
        <f t="shared" si="14"/>
        <v>-2.4032560657095492</v>
      </c>
      <c r="AA89" s="109">
        <f t="shared" si="15"/>
        <v>-18.103760773653775</v>
      </c>
    </row>
    <row r="90" spans="1:27" ht="19.5" thickBot="1" x14ac:dyDescent="0.35">
      <c r="A90" s="93">
        <v>264</v>
      </c>
      <c r="B90" s="94" t="s">
        <v>512</v>
      </c>
      <c r="C90" s="93">
        <v>5130</v>
      </c>
      <c r="D90" s="94" t="s">
        <v>140</v>
      </c>
      <c r="E90" s="93">
        <v>4147</v>
      </c>
      <c r="F90" s="94" t="s">
        <v>517</v>
      </c>
      <c r="G90" s="95">
        <v>5.8922408078588093</v>
      </c>
      <c r="H90" s="96">
        <v>19.517192821891818</v>
      </c>
      <c r="I90" s="97">
        <v>12.567375030096427</v>
      </c>
      <c r="J90" s="98">
        <v>0.72751629554699793</v>
      </c>
      <c r="K90" s="99">
        <v>67</v>
      </c>
      <c r="M90" s="100">
        <f t="shared" si="8"/>
        <v>0.64391304347826084</v>
      </c>
      <c r="N90" s="89">
        <f t="shared" si="9"/>
        <v>12.567375030096427</v>
      </c>
      <c r="O90" s="100"/>
      <c r="V90" s="109">
        <f t="shared" si="10"/>
        <v>326.64211372674441</v>
      </c>
      <c r="W90" s="109">
        <f t="shared" si="11"/>
        <v>85.874178087817256</v>
      </c>
      <c r="X90" s="109">
        <f t="shared" si="12"/>
        <v>39.673056110602765</v>
      </c>
      <c r="Y90" s="109">
        <f t="shared" si="13"/>
        <v>16.269611941845696</v>
      </c>
      <c r="Z90" s="109">
        <f t="shared" si="14"/>
        <v>-20.809577427919386</v>
      </c>
      <c r="AA90" s="109">
        <f t="shared" si="15"/>
        <v>-41.129910195565003</v>
      </c>
    </row>
    <row r="91" spans="1:27" ht="19.5" thickBot="1" x14ac:dyDescent="0.35">
      <c r="A91" s="93">
        <v>264</v>
      </c>
      <c r="B91" s="94" t="s">
        <v>512</v>
      </c>
      <c r="C91" s="93">
        <v>5130</v>
      </c>
      <c r="D91" s="94" t="s">
        <v>140</v>
      </c>
      <c r="E91" s="93">
        <v>4141</v>
      </c>
      <c r="F91" s="94" t="s">
        <v>518</v>
      </c>
      <c r="G91" s="95">
        <v>3.321253647314768</v>
      </c>
      <c r="H91" s="96">
        <v>38.539664112522068</v>
      </c>
      <c r="I91" s="97">
        <v>27.037983103941265</v>
      </c>
      <c r="J91" s="98">
        <v>0.41376701344106659</v>
      </c>
      <c r="K91" s="99">
        <v>5</v>
      </c>
      <c r="M91" s="100">
        <f t="shared" si="8"/>
        <v>0.70156250000000009</v>
      </c>
      <c r="N91" s="89">
        <f t="shared" si="9"/>
        <v>27.037983103941265</v>
      </c>
      <c r="O91" s="100"/>
      <c r="V91" s="109">
        <f t="shared" si="10"/>
        <v>96.109812220777727</v>
      </c>
      <c r="W91" s="109">
        <f t="shared" si="11"/>
        <v>-28.45089385602552</v>
      </c>
      <c r="X91" s="109">
        <f t="shared" si="12"/>
        <v>-52.352931973147264</v>
      </c>
      <c r="Y91" s="109">
        <f t="shared" si="13"/>
        <v>-64.460646908499754</v>
      </c>
      <c r="Z91" s="109">
        <f t="shared" si="14"/>
        <v>-83.643475371089693</v>
      </c>
      <c r="AA91" s="109">
        <f t="shared" si="15"/>
        <v>-94.156150119646682</v>
      </c>
    </row>
    <row r="92" spans="1:27" ht="19.5" thickBot="1" x14ac:dyDescent="0.35">
      <c r="A92" s="93">
        <v>264</v>
      </c>
      <c r="B92" s="94" t="s">
        <v>512</v>
      </c>
      <c r="C92" s="93">
        <v>5130</v>
      </c>
      <c r="D92" s="94" t="s">
        <v>140</v>
      </c>
      <c r="E92" s="93">
        <v>4139</v>
      </c>
      <c r="F92" s="94" t="s">
        <v>519</v>
      </c>
      <c r="G92" s="95">
        <v>5.9620681714662158</v>
      </c>
      <c r="H92" s="96">
        <v>10.566803026760223</v>
      </c>
      <c r="I92" s="97">
        <v>6.9271264286539234</v>
      </c>
      <c r="J92" s="98">
        <v>0.84980721383951319</v>
      </c>
      <c r="K92" s="99">
        <v>185</v>
      </c>
      <c r="M92" s="100">
        <f t="shared" si="8"/>
        <v>0.65555555555555556</v>
      </c>
      <c r="N92" s="89">
        <f t="shared" si="9"/>
        <v>6.9271264286539234</v>
      </c>
      <c r="O92" s="100"/>
      <c r="V92" s="109">
        <f t="shared" si="10"/>
        <v>379.21371450515824</v>
      </c>
      <c r="W92" s="109">
        <f t="shared" si="11"/>
        <v>139.91915798494651</v>
      </c>
      <c r="X92" s="109">
        <f t="shared" si="12"/>
        <v>94.00076372312239</v>
      </c>
      <c r="Y92" s="109">
        <f t="shared" si="13"/>
        <v>70.740536905350083</v>
      </c>
      <c r="Z92" s="109">
        <f t="shared" si="14"/>
        <v>33.888253594364507</v>
      </c>
      <c r="AA92" s="109">
        <f t="shared" si="15"/>
        <v>13.692271080857788</v>
      </c>
    </row>
    <row r="93" spans="1:27" ht="19.5" thickBot="1" x14ac:dyDescent="0.35">
      <c r="A93" s="93">
        <v>264</v>
      </c>
      <c r="B93" s="94" t="s">
        <v>512</v>
      </c>
      <c r="C93" s="93">
        <v>5130</v>
      </c>
      <c r="D93" s="94" t="s">
        <v>140</v>
      </c>
      <c r="E93" s="93">
        <v>4143</v>
      </c>
      <c r="F93" s="94" t="s">
        <v>520</v>
      </c>
      <c r="G93" s="95">
        <v>5.3647351548576907</v>
      </c>
      <c r="H93" s="96">
        <v>7.4560996666872876</v>
      </c>
      <c r="I93" s="97">
        <v>6.0208004808499842</v>
      </c>
      <c r="J93" s="98">
        <v>0.8694580200825095</v>
      </c>
      <c r="K93" s="99">
        <v>203</v>
      </c>
      <c r="M93" s="100">
        <f t="shared" si="8"/>
        <v>0.80749999999999988</v>
      </c>
      <c r="N93" s="89">
        <f t="shared" si="9"/>
        <v>6.0208004808499842</v>
      </c>
      <c r="O93" s="100"/>
      <c r="V93" s="109">
        <f t="shared" si="10"/>
        <v>283.42004345205396</v>
      </c>
      <c r="W93" s="109">
        <f t="shared" si="11"/>
        <v>108.61613464086302</v>
      </c>
      <c r="X93" s="109">
        <f t="shared" si="12"/>
        <v>75.072894376547808</v>
      </c>
      <c r="Y93" s="109">
        <f t="shared" si="13"/>
        <v>58.081373020155972</v>
      </c>
      <c r="Z93" s="109">
        <f t="shared" si="14"/>
        <v>31.160897832357069</v>
      </c>
      <c r="AA93" s="109">
        <f t="shared" si="15"/>
        <v>16.407797147656581</v>
      </c>
    </row>
    <row r="94" spans="1:27" ht="19.5" thickBot="1" x14ac:dyDescent="0.35">
      <c r="A94" s="93">
        <v>264</v>
      </c>
      <c r="B94" s="94" t="s">
        <v>512</v>
      </c>
      <c r="C94" s="93">
        <v>5130</v>
      </c>
      <c r="D94" s="94" t="s">
        <v>140</v>
      </c>
      <c r="E94" s="93">
        <v>4159</v>
      </c>
      <c r="F94" s="94" t="s">
        <v>152</v>
      </c>
      <c r="G94" s="95">
        <v>1.8719059011164272</v>
      </c>
      <c r="H94" s="96">
        <v>6.410578647592839</v>
      </c>
      <c r="I94" s="97">
        <v>4.1668761209353455</v>
      </c>
      <c r="J94" s="98">
        <v>0.90965449517419972</v>
      </c>
      <c r="K94" s="99">
        <v>237</v>
      </c>
      <c r="M94" s="100">
        <f t="shared" si="8"/>
        <v>0.65</v>
      </c>
      <c r="N94" s="89">
        <f t="shared" si="9"/>
        <v>4.1668761209353455</v>
      </c>
      <c r="O94" s="100"/>
      <c r="V94" s="109">
        <f t="shared" si="10"/>
        <v>128.53556576038594</v>
      </c>
      <c r="W94" s="109">
        <f t="shared" si="11"/>
        <v>52.762293816657412</v>
      </c>
      <c r="X94" s="109">
        <f t="shared" si="12"/>
        <v>38.222109425431356</v>
      </c>
      <c r="Y94" s="109">
        <f t="shared" si="13"/>
        <v>30.856695360999833</v>
      </c>
      <c r="Z94" s="109">
        <f t="shared" si="14"/>
        <v>19.187319652343547</v>
      </c>
      <c r="AA94" s="109">
        <f t="shared" si="15"/>
        <v>12.792206878278103</v>
      </c>
    </row>
    <row r="95" spans="1:27" ht="19.5" thickBot="1" x14ac:dyDescent="0.35">
      <c r="A95" s="93">
        <v>264</v>
      </c>
      <c r="B95" s="94" t="s">
        <v>512</v>
      </c>
      <c r="C95" s="93">
        <v>5130</v>
      </c>
      <c r="D95" s="94" t="s">
        <v>140</v>
      </c>
      <c r="E95" s="93">
        <v>4157</v>
      </c>
      <c r="F95" s="94" t="s">
        <v>521</v>
      </c>
      <c r="G95" s="95">
        <v>3.3550369469127368</v>
      </c>
      <c r="H95" s="96">
        <v>21.758329686107835</v>
      </c>
      <c r="I95" s="97">
        <v>15.499084159967225</v>
      </c>
      <c r="J95" s="98">
        <v>0.66395147296688017</v>
      </c>
      <c r="K95" s="99">
        <v>36</v>
      </c>
      <c r="M95" s="100">
        <f t="shared" si="8"/>
        <v>0.71232876712328763</v>
      </c>
      <c r="N95" s="89">
        <f t="shared" si="9"/>
        <v>15.499084159967225</v>
      </c>
      <c r="O95" s="100"/>
      <c r="V95" s="109">
        <f t="shared" si="10"/>
        <v>153.43673520397374</v>
      </c>
      <c r="W95" s="109">
        <f t="shared" si="11"/>
        <v>29.510799230189157</v>
      </c>
      <c r="X95" s="109">
        <f t="shared" si="12"/>
        <v>5.7305675773676867</v>
      </c>
      <c r="Y95" s="109">
        <f t="shared" si="13"/>
        <v>-6.3154455926456121</v>
      </c>
      <c r="Z95" s="109">
        <f t="shared" si="14"/>
        <v>-25.400517014649427</v>
      </c>
      <c r="AA95" s="109">
        <f t="shared" si="15"/>
        <v>-35.859618434639778</v>
      </c>
    </row>
    <row r="96" spans="1:27" ht="19.5" thickBot="1" x14ac:dyDescent="0.35">
      <c r="A96" s="93">
        <v>264</v>
      </c>
      <c r="B96" s="94" t="s">
        <v>512</v>
      </c>
      <c r="C96" s="93">
        <v>5130</v>
      </c>
      <c r="D96" s="94" t="s">
        <v>140</v>
      </c>
      <c r="E96" s="93">
        <v>4148</v>
      </c>
      <c r="F96" s="94" t="s">
        <v>154</v>
      </c>
      <c r="G96" s="95">
        <v>3.1138969062267416</v>
      </c>
      <c r="H96" s="96">
        <v>21.837588734560537</v>
      </c>
      <c r="I96" s="97">
        <v>13.817091989771574</v>
      </c>
      <c r="J96" s="98">
        <v>0.70042014333744507</v>
      </c>
      <c r="K96" s="99">
        <v>57</v>
      </c>
      <c r="M96" s="100">
        <f t="shared" si="8"/>
        <v>0.63272058823529409</v>
      </c>
      <c r="N96" s="89">
        <f t="shared" si="9"/>
        <v>13.817091989771574</v>
      </c>
      <c r="O96" s="100"/>
      <c r="V96" s="109">
        <f t="shared" si="10"/>
        <v>169.13250371579065</v>
      </c>
      <c r="W96" s="109">
        <f t="shared" si="11"/>
        <v>39.642081251586823</v>
      </c>
      <c r="X96" s="109">
        <f t="shared" si="12"/>
        <v>14.794076523408821</v>
      </c>
      <c r="Y96" s="109">
        <f t="shared" si="13"/>
        <v>2.2071767583398207</v>
      </c>
      <c r="Z96" s="109">
        <f t="shared" si="14"/>
        <v>-17.734847013968551</v>
      </c>
      <c r="AA96" s="109">
        <f t="shared" si="15"/>
        <v>-28.663579977155571</v>
      </c>
    </row>
    <row r="97" spans="1:27" ht="19.5" thickBot="1" x14ac:dyDescent="0.35">
      <c r="A97" s="93">
        <v>264</v>
      </c>
      <c r="B97" s="94" t="s">
        <v>512</v>
      </c>
      <c r="C97" s="93">
        <v>5130</v>
      </c>
      <c r="D97" s="94" t="s">
        <v>140</v>
      </c>
      <c r="E97" s="93">
        <v>4144</v>
      </c>
      <c r="F97" s="94" t="s">
        <v>155</v>
      </c>
      <c r="G97" s="95">
        <v>2.7706717927390021</v>
      </c>
      <c r="H97" s="96">
        <v>31.400326891116336</v>
      </c>
      <c r="I97" s="97">
        <v>20.662858787544945</v>
      </c>
      <c r="J97" s="98">
        <v>0.55199138296294536</v>
      </c>
      <c r="K97" s="99">
        <v>11</v>
      </c>
      <c r="M97" s="100">
        <f t="shared" si="8"/>
        <v>0.65804597701149425</v>
      </c>
      <c r="N97" s="89">
        <f t="shared" si="9"/>
        <v>20.662858787544945</v>
      </c>
      <c r="O97" s="100"/>
      <c r="V97" s="109">
        <f t="shared" si="10"/>
        <v>114.03478019178715</v>
      </c>
      <c r="W97" s="109">
        <f t="shared" si="11"/>
        <v>3.2514977246526802</v>
      </c>
      <c r="X97" s="109">
        <f t="shared" si="12"/>
        <v>-18.006781259705424</v>
      </c>
      <c r="Y97" s="109">
        <f t="shared" si="13"/>
        <v>-28.775284794741914</v>
      </c>
      <c r="Z97" s="109">
        <f t="shared" si="14"/>
        <v>-45.836336959774961</v>
      </c>
      <c r="AA97" s="109">
        <f t="shared" si="15"/>
        <v>-55.186224679875053</v>
      </c>
    </row>
    <row r="98" spans="1:27" ht="19.5" thickBot="1" x14ac:dyDescent="0.35">
      <c r="A98" s="93">
        <v>264</v>
      </c>
      <c r="B98" s="94" t="s">
        <v>512</v>
      </c>
      <c r="C98" s="93">
        <v>5130</v>
      </c>
      <c r="D98" s="94" t="s">
        <v>140</v>
      </c>
      <c r="E98" s="93">
        <v>4153</v>
      </c>
      <c r="F98" s="94" t="s">
        <v>156</v>
      </c>
      <c r="G98" s="95">
        <v>3.7470341111736376</v>
      </c>
      <c r="H98" s="96">
        <v>10.941987391504711</v>
      </c>
      <c r="I98" s="97">
        <v>6.805382402033417</v>
      </c>
      <c r="J98" s="98">
        <v>0.85244684727840847</v>
      </c>
      <c r="K98" s="99">
        <v>187</v>
      </c>
      <c r="M98" s="100">
        <f t="shared" si="8"/>
        <v>0.62195121951219512</v>
      </c>
      <c r="N98" s="89">
        <f t="shared" si="9"/>
        <v>6.805382402033417</v>
      </c>
      <c r="O98" s="100"/>
      <c r="V98" s="109">
        <f t="shared" si="10"/>
        <v>251.98507513468093</v>
      </c>
      <c r="W98" s="109">
        <f t="shared" si="11"/>
        <v>93.467760316609102</v>
      </c>
      <c r="X98" s="109">
        <f t="shared" si="12"/>
        <v>63.049765586640724</v>
      </c>
      <c r="Y98" s="109">
        <f t="shared" si="13"/>
        <v>47.641355337654787</v>
      </c>
      <c r="Z98" s="109">
        <f t="shared" si="14"/>
        <v>23.229078350155227</v>
      </c>
      <c r="AA98" s="109">
        <f t="shared" si="15"/>
        <v>9.8505336615157457</v>
      </c>
    </row>
    <row r="99" spans="1:27" ht="19.5" thickBot="1" x14ac:dyDescent="0.35">
      <c r="A99" s="93">
        <v>264</v>
      </c>
      <c r="B99" s="94" t="s">
        <v>512</v>
      </c>
      <c r="C99" s="93">
        <v>5130</v>
      </c>
      <c r="D99" s="94" t="s">
        <v>140</v>
      </c>
      <c r="E99" s="93">
        <v>4164</v>
      </c>
      <c r="F99" s="94" t="s">
        <v>522</v>
      </c>
      <c r="G99" s="95">
        <v>2.7603896103896099</v>
      </c>
      <c r="H99" s="96">
        <v>2.8981416137379443</v>
      </c>
      <c r="I99" s="97">
        <v>1.883792048929664</v>
      </c>
      <c r="J99" s="98">
        <v>0.95915593871574567</v>
      </c>
      <c r="K99" s="99">
        <v>271</v>
      </c>
      <c r="M99" s="100">
        <f t="shared" si="8"/>
        <v>0.65</v>
      </c>
      <c r="N99" s="89">
        <f t="shared" si="9"/>
        <v>1.883792048929664</v>
      </c>
      <c r="O99" s="100"/>
      <c r="V99" s="109">
        <f t="shared" si="10"/>
        <v>199.85841292459403</v>
      </c>
      <c r="W99" s="109">
        <f t="shared" si="11"/>
        <v>88.120022392277761</v>
      </c>
      <c r="X99" s="109">
        <f t="shared" si="12"/>
        <v>66.678467075447131</v>
      </c>
      <c r="Y99" s="109">
        <f t="shared" si="13"/>
        <v>55.817123859664562</v>
      </c>
      <c r="Z99" s="109">
        <f t="shared" si="14"/>
        <v>38.608981374138928</v>
      </c>
      <c r="AA99" s="109">
        <f t="shared" si="15"/>
        <v>29.178484441428981</v>
      </c>
    </row>
    <row r="100" spans="1:27" ht="19.5" thickBot="1" x14ac:dyDescent="0.35">
      <c r="A100" s="93">
        <v>264</v>
      </c>
      <c r="B100" s="94" t="s">
        <v>512</v>
      </c>
      <c r="C100" s="93">
        <v>5130</v>
      </c>
      <c r="D100" s="94" t="s">
        <v>140</v>
      </c>
      <c r="E100" s="93">
        <v>4140</v>
      </c>
      <c r="F100" s="94" t="s">
        <v>158</v>
      </c>
      <c r="G100" s="95">
        <v>2.3824674767676512</v>
      </c>
      <c r="H100" s="96">
        <v>14.690651747106035</v>
      </c>
      <c r="I100" s="97">
        <v>9.1606706965882623</v>
      </c>
      <c r="J100" s="98">
        <v>0.80137988396919191</v>
      </c>
      <c r="K100" s="99">
        <v>122</v>
      </c>
      <c r="M100" s="100">
        <f t="shared" si="8"/>
        <v>0.62357142857142855</v>
      </c>
      <c r="N100" s="89">
        <f t="shared" si="9"/>
        <v>9.1606706965882623</v>
      </c>
      <c r="O100" s="100"/>
      <c r="V100" s="109">
        <f t="shared" si="10"/>
        <v>150.22956031478842</v>
      </c>
      <c r="W100" s="109">
        <f t="shared" si="11"/>
        <v>49.701765304130468</v>
      </c>
      <c r="X100" s="109">
        <f t="shared" si="12"/>
        <v>30.411418742564052</v>
      </c>
      <c r="Y100" s="109">
        <f t="shared" si="13"/>
        <v>20.639782699347485</v>
      </c>
      <c r="Z100" s="109">
        <f t="shared" si="14"/>
        <v>5.1581151000741281</v>
      </c>
      <c r="AA100" s="109">
        <f t="shared" si="15"/>
        <v>-3.3262299668607826</v>
      </c>
    </row>
    <row r="101" spans="1:27" ht="19.5" thickBot="1" x14ac:dyDescent="0.35">
      <c r="A101" s="93">
        <v>264</v>
      </c>
      <c r="B101" s="94" t="s">
        <v>512</v>
      </c>
      <c r="C101" s="93">
        <v>5169</v>
      </c>
      <c r="D101" s="94" t="s">
        <v>159</v>
      </c>
      <c r="E101" s="93">
        <v>4189</v>
      </c>
      <c r="F101" s="94" t="s">
        <v>160</v>
      </c>
      <c r="G101" s="95">
        <v>3.8384928057491345</v>
      </c>
      <c r="H101" s="96">
        <v>11.462832477919102</v>
      </c>
      <c r="I101" s="97">
        <v>8.180294086514996</v>
      </c>
      <c r="J101" s="98">
        <v>0.82263624417425452</v>
      </c>
      <c r="K101" s="99">
        <v>154</v>
      </c>
      <c r="M101" s="100">
        <f t="shared" si="8"/>
        <v>0.71363636363636362</v>
      </c>
      <c r="N101" s="89">
        <f t="shared" si="9"/>
        <v>8.180294086514996</v>
      </c>
      <c r="O101" s="100"/>
      <c r="V101" s="109">
        <f t="shared" si="10"/>
        <v>217.10398050383739</v>
      </c>
      <c r="W101" s="109">
        <f t="shared" si="11"/>
        <v>75.580290548019008</v>
      </c>
      <c r="X101" s="109">
        <f t="shared" si="12"/>
        <v>48.423213983970491</v>
      </c>
      <c r="Y101" s="109">
        <f t="shared" si="13"/>
        <v>34.666640594544553</v>
      </c>
      <c r="Z101" s="109">
        <f t="shared" si="14"/>
        <v>12.871447284213721</v>
      </c>
      <c r="AA101" s="109">
        <f t="shared" si="15"/>
        <v>0.92713058450125052</v>
      </c>
    </row>
    <row r="102" spans="1:27" ht="19.5" thickBot="1" x14ac:dyDescent="0.35">
      <c r="A102" s="93">
        <v>264</v>
      </c>
      <c r="B102" s="94" t="s">
        <v>512</v>
      </c>
      <c r="C102" s="93">
        <v>5169</v>
      </c>
      <c r="D102" s="94" t="s">
        <v>159</v>
      </c>
      <c r="E102" s="93">
        <v>4195</v>
      </c>
      <c r="F102" s="94" t="s">
        <v>523</v>
      </c>
      <c r="G102" s="95">
        <v>3.0453563144121931</v>
      </c>
      <c r="H102" s="96">
        <v>-0.32836880048074685</v>
      </c>
      <c r="I102" s="97">
        <v>-0.32836880048074685</v>
      </c>
      <c r="J102" s="98">
        <v>1.0071196369144317</v>
      </c>
      <c r="K102" s="99">
        <v>289</v>
      </c>
      <c r="M102" s="100">
        <f t="shared" si="8"/>
        <v>1</v>
      </c>
      <c r="N102" s="89">
        <f t="shared" si="9"/>
        <v>-0.32836880048074685</v>
      </c>
      <c r="O102" s="100"/>
      <c r="V102" s="109">
        <f t="shared" si="10"/>
        <v>150.48574554218212</v>
      </c>
      <c r="W102" s="109">
        <f t="shared" si="11"/>
        <v>70.357894122983126</v>
      </c>
      <c r="X102" s="109">
        <f t="shared" si="12"/>
        <v>54.982106531639097</v>
      </c>
      <c r="Y102" s="109">
        <f t="shared" si="13"/>
        <v>47.193412858308896</v>
      </c>
      <c r="Z102" s="109">
        <f t="shared" si="14"/>
        <v>34.853415139424449</v>
      </c>
      <c r="AA102" s="109">
        <f t="shared" si="15"/>
        <v>28.090784557101433</v>
      </c>
    </row>
    <row r="103" spans="1:27" ht="19.5" thickBot="1" x14ac:dyDescent="0.35">
      <c r="A103" s="93">
        <v>264</v>
      </c>
      <c r="B103" s="94" t="s">
        <v>512</v>
      </c>
      <c r="C103" s="93">
        <v>5169</v>
      </c>
      <c r="D103" s="94" t="s">
        <v>159</v>
      </c>
      <c r="E103" s="93">
        <v>4193</v>
      </c>
      <c r="F103" s="94" t="s">
        <v>524</v>
      </c>
      <c r="G103" s="95">
        <v>3.5384896612690726</v>
      </c>
      <c r="H103" s="96">
        <v>6.4999483400358713</v>
      </c>
      <c r="I103" s="97">
        <v>4.1260541636749437</v>
      </c>
      <c r="J103" s="98">
        <v>0.91053958996214857</v>
      </c>
      <c r="K103" s="99">
        <v>238</v>
      </c>
      <c r="M103" s="100">
        <f t="shared" si="8"/>
        <v>0.63478260869565206</v>
      </c>
      <c r="N103" s="89">
        <f t="shared" si="9"/>
        <v>4.1260541636749437</v>
      </c>
      <c r="O103" s="100"/>
      <c r="V103" s="109">
        <f t="shared" si="10"/>
        <v>249.03932555751106</v>
      </c>
      <c r="W103" s="109">
        <f t="shared" si="11"/>
        <v>102.37033759146289</v>
      </c>
      <c r="X103" s="109">
        <f t="shared" si="12"/>
        <v>74.225926312976952</v>
      </c>
      <c r="Y103" s="109">
        <f t="shared" si="13"/>
        <v>59.969212843043714</v>
      </c>
      <c r="Z103" s="109">
        <f t="shared" si="14"/>
        <v>37.381623822798666</v>
      </c>
      <c r="AA103" s="109">
        <f t="shared" si="15"/>
        <v>25.003054250173037</v>
      </c>
    </row>
    <row r="104" spans="1:27" ht="19.5" thickBot="1" x14ac:dyDescent="0.35">
      <c r="A104" s="93">
        <v>264</v>
      </c>
      <c r="B104" s="94" t="s">
        <v>512</v>
      </c>
      <c r="C104" s="93">
        <v>5169</v>
      </c>
      <c r="D104" s="94" t="s">
        <v>159</v>
      </c>
      <c r="E104" s="93">
        <v>4184</v>
      </c>
      <c r="F104" s="94" t="s">
        <v>525</v>
      </c>
      <c r="G104" s="95">
        <v>3.2184140154597252</v>
      </c>
      <c r="H104" s="96">
        <v>0.31071204487566773</v>
      </c>
      <c r="I104" s="97">
        <v>9.3213613462700309E-2</v>
      </c>
      <c r="J104" s="98">
        <v>0.99797895816421955</v>
      </c>
      <c r="K104" s="99">
        <v>285</v>
      </c>
      <c r="M104" s="100">
        <f t="shared" si="8"/>
        <v>0.3</v>
      </c>
      <c r="N104" s="89">
        <f t="shared" si="9"/>
        <v>9.3213613462700309E-2</v>
      </c>
      <c r="O104" s="100"/>
      <c r="V104" s="109">
        <f t="shared" si="10"/>
        <v>525.31309542038275</v>
      </c>
      <c r="W104" s="109">
        <f t="shared" si="11"/>
        <v>243.04223949920885</v>
      </c>
      <c r="X104" s="109">
        <f t="shared" si="12"/>
        <v>188.87709408472779</v>
      </c>
      <c r="Y104" s="109">
        <f t="shared" si="13"/>
        <v>161.43942802056608</v>
      </c>
      <c r="Z104" s="109">
        <f t="shared" si="14"/>
        <v>117.96862908510066</v>
      </c>
      <c r="AA104" s="109">
        <f t="shared" si="15"/>
        <v>94.145532759150157</v>
      </c>
    </row>
    <row r="105" spans="1:27" ht="19.5" thickBot="1" x14ac:dyDescent="0.35">
      <c r="A105" s="93">
        <v>264</v>
      </c>
      <c r="B105" s="94" t="s">
        <v>512</v>
      </c>
      <c r="C105" s="93">
        <v>5169</v>
      </c>
      <c r="D105" s="94" t="s">
        <v>159</v>
      </c>
      <c r="E105" s="93">
        <v>4196</v>
      </c>
      <c r="F105" s="94" t="s">
        <v>164</v>
      </c>
      <c r="G105" s="95">
        <v>2.4702380952380949</v>
      </c>
      <c r="H105" s="96">
        <v>10.120481927710845</v>
      </c>
      <c r="I105" s="97">
        <v>7.0033734939759045</v>
      </c>
      <c r="J105" s="98">
        <v>0.84815403783713794</v>
      </c>
      <c r="K105" s="99">
        <v>182</v>
      </c>
      <c r="M105" s="100">
        <f t="shared" si="8"/>
        <v>0.69199999999999995</v>
      </c>
      <c r="N105" s="89">
        <f t="shared" si="9"/>
        <v>7.0033734939759045</v>
      </c>
      <c r="O105" s="100"/>
      <c r="V105" s="109">
        <f t="shared" si="10"/>
        <v>148.55375749903482</v>
      </c>
      <c r="W105" s="109">
        <f t="shared" si="11"/>
        <v>54.629427751898511</v>
      </c>
      <c r="X105" s="109">
        <f t="shared" si="12"/>
        <v>36.606224605017481</v>
      </c>
      <c r="Y105" s="109">
        <f t="shared" si="13"/>
        <v>27.476467349377167</v>
      </c>
      <c r="Z105" s="109">
        <f t="shared" si="14"/>
        <v>13.011758832936085</v>
      </c>
      <c r="AA105" s="109">
        <f t="shared" si="15"/>
        <v>5.0847330420013668</v>
      </c>
    </row>
    <row r="106" spans="1:27" ht="19.5" thickBot="1" x14ac:dyDescent="0.35">
      <c r="A106" s="93">
        <v>264</v>
      </c>
      <c r="B106" s="94" t="s">
        <v>512</v>
      </c>
      <c r="C106" s="93">
        <v>5169</v>
      </c>
      <c r="D106" s="94" t="s">
        <v>159</v>
      </c>
      <c r="E106" s="93">
        <v>4174</v>
      </c>
      <c r="F106" s="94" t="s">
        <v>526</v>
      </c>
      <c r="G106" s="95">
        <v>5.5325690622723656</v>
      </c>
      <c r="H106" s="96">
        <v>5.4224357007263899</v>
      </c>
      <c r="I106" s="97">
        <v>3.7776302048393848</v>
      </c>
      <c r="J106" s="98">
        <v>0.91809405943539424</v>
      </c>
      <c r="K106" s="99">
        <v>243</v>
      </c>
      <c r="M106" s="100">
        <f t="shared" si="8"/>
        <v>0.69666666666666666</v>
      </c>
      <c r="N106" s="89">
        <f t="shared" si="9"/>
        <v>3.7776302048393848</v>
      </c>
      <c r="O106" s="100"/>
      <c r="V106" s="109">
        <f t="shared" si="10"/>
        <v>357.73808389622087</v>
      </c>
      <c r="W106" s="109">
        <f t="shared" si="11"/>
        <v>148.78576435539983</v>
      </c>
      <c r="X106" s="109">
        <f t="shared" si="12"/>
        <v>108.68976246499466</v>
      </c>
      <c r="Y106" s="109">
        <f t="shared" si="13"/>
        <v>88.378902003742908</v>
      </c>
      <c r="Z106" s="109">
        <f t="shared" si="14"/>
        <v>56.19944004613032</v>
      </c>
      <c r="AA106" s="109">
        <f t="shared" si="15"/>
        <v>38.56428171670693</v>
      </c>
    </row>
    <row r="107" spans="1:27" ht="19.5" thickBot="1" x14ac:dyDescent="0.35">
      <c r="A107" s="93">
        <v>264</v>
      </c>
      <c r="B107" s="94" t="s">
        <v>512</v>
      </c>
      <c r="C107" s="93">
        <v>5169</v>
      </c>
      <c r="D107" s="94" t="s">
        <v>159</v>
      </c>
      <c r="E107" s="93">
        <v>4170</v>
      </c>
      <c r="F107" s="94" t="s">
        <v>527</v>
      </c>
      <c r="G107" s="95">
        <v>4.8375503127086148</v>
      </c>
      <c r="H107" s="96">
        <v>9.9223774218741099</v>
      </c>
      <c r="I107" s="97">
        <v>7.1678841063225986</v>
      </c>
      <c r="J107" s="98">
        <v>0.84458714650408651</v>
      </c>
      <c r="K107" s="99">
        <v>177</v>
      </c>
      <c r="M107" s="100">
        <f t="shared" si="8"/>
        <v>0.72239583333333324</v>
      </c>
      <c r="N107" s="89">
        <f t="shared" si="9"/>
        <v>7.1678841063225986</v>
      </c>
      <c r="O107" s="100"/>
      <c r="V107" s="109">
        <f t="shared" si="10"/>
        <v>277.50506679104507</v>
      </c>
      <c r="W107" s="109">
        <f t="shared" si="11"/>
        <v>101.30922836282119</v>
      </c>
      <c r="X107" s="109">
        <f t="shared" si="12"/>
        <v>67.498889783069671</v>
      </c>
      <c r="Y107" s="109">
        <f t="shared" si="13"/>
        <v>50.372068238168005</v>
      </c>
      <c r="Z107" s="109">
        <f t="shared" si="14"/>
        <v>23.237230528539186</v>
      </c>
      <c r="AA107" s="109">
        <f t="shared" si="15"/>
        <v>8.3666537649239867</v>
      </c>
    </row>
    <row r="108" spans="1:27" ht="19.5" thickBot="1" x14ac:dyDescent="0.35">
      <c r="A108" s="93">
        <v>264</v>
      </c>
      <c r="B108" s="94" t="s">
        <v>512</v>
      </c>
      <c r="C108" s="93">
        <v>5169</v>
      </c>
      <c r="D108" s="94" t="s">
        <v>159</v>
      </c>
      <c r="E108" s="93">
        <v>4169</v>
      </c>
      <c r="F108" s="94" t="s">
        <v>167</v>
      </c>
      <c r="G108" s="95">
        <v>5.717801751901872</v>
      </c>
      <c r="H108" s="96">
        <v>11.018220416446715</v>
      </c>
      <c r="I108" s="97">
        <v>7.1006309350434389</v>
      </c>
      <c r="J108" s="98">
        <v>0.84604531841369146</v>
      </c>
      <c r="K108" s="99">
        <v>179</v>
      </c>
      <c r="M108" s="100">
        <f t="shared" si="8"/>
        <v>0.64444444444444449</v>
      </c>
      <c r="N108" s="89">
        <f t="shared" si="9"/>
        <v>7.1006309350434389</v>
      </c>
      <c r="O108" s="100"/>
      <c r="V108" s="109">
        <f t="shared" si="10"/>
        <v>368.30992545134529</v>
      </c>
      <c r="W108" s="109">
        <f t="shared" si="11"/>
        <v>134.86255128584975</v>
      </c>
      <c r="X108" s="109">
        <f t="shared" si="12"/>
        <v>90.066176799941232</v>
      </c>
      <c r="Y108" s="109">
        <f t="shared" si="13"/>
        <v>67.374315555516503</v>
      </c>
      <c r="Z108" s="109">
        <f t="shared" si="14"/>
        <v>31.422520846697669</v>
      </c>
      <c r="AA108" s="109">
        <f t="shared" si="15"/>
        <v>11.720028842571416</v>
      </c>
    </row>
    <row r="109" spans="1:27" ht="19.5" thickBot="1" x14ac:dyDescent="0.35">
      <c r="A109" s="93">
        <v>264</v>
      </c>
      <c r="B109" s="94" t="s">
        <v>512</v>
      </c>
      <c r="C109" s="93">
        <v>5169</v>
      </c>
      <c r="D109" s="94" t="s">
        <v>159</v>
      </c>
      <c r="E109" s="93">
        <v>4188</v>
      </c>
      <c r="F109" s="94" t="s">
        <v>168</v>
      </c>
      <c r="G109" s="95">
        <v>3.0981008239072763</v>
      </c>
      <c r="H109" s="96">
        <v>6.7783462171237954</v>
      </c>
      <c r="I109" s="97">
        <v>4.2929526041784039</v>
      </c>
      <c r="J109" s="98">
        <v>0.90692092614198705</v>
      </c>
      <c r="K109" s="99">
        <v>236</v>
      </c>
      <c r="M109" s="100">
        <f t="shared" si="8"/>
        <v>0.6333333333333333</v>
      </c>
      <c r="N109" s="89">
        <f t="shared" si="9"/>
        <v>4.2929526041784039</v>
      </c>
      <c r="O109" s="100"/>
      <c r="V109" s="109">
        <f t="shared" si="10"/>
        <v>217.67512904906414</v>
      </c>
      <c r="W109" s="109">
        <f t="shared" si="11"/>
        <v>88.966227154768404</v>
      </c>
      <c r="X109" s="109">
        <f t="shared" si="12"/>
        <v>64.268188937214859</v>
      </c>
      <c r="Y109" s="109">
        <f t="shared" si="13"/>
        <v>51.75725557097735</v>
      </c>
      <c r="Z109" s="109">
        <f t="shared" si="14"/>
        <v>31.935588976343364</v>
      </c>
      <c r="AA109" s="109">
        <f t="shared" si="15"/>
        <v>21.072814787953948</v>
      </c>
    </row>
    <row r="110" spans="1:27" ht="19.5" thickBot="1" x14ac:dyDescent="0.35">
      <c r="A110" s="93">
        <v>264</v>
      </c>
      <c r="B110" s="94" t="s">
        <v>512</v>
      </c>
      <c r="C110" s="93">
        <v>5169</v>
      </c>
      <c r="D110" s="94" t="s">
        <v>159</v>
      </c>
      <c r="E110" s="93">
        <v>4180</v>
      </c>
      <c r="F110" s="94" t="s">
        <v>528</v>
      </c>
      <c r="G110" s="95">
        <v>3.3840418051056504</v>
      </c>
      <c r="H110" s="96">
        <v>11.229175698322566</v>
      </c>
      <c r="I110" s="97">
        <v>8.4292693893329265</v>
      </c>
      <c r="J110" s="98">
        <v>0.81723800367720023</v>
      </c>
      <c r="K110" s="99">
        <v>145</v>
      </c>
      <c r="M110" s="100">
        <f t="shared" si="8"/>
        <v>0.75065789473684219</v>
      </c>
      <c r="N110" s="89">
        <f t="shared" si="9"/>
        <v>8.4292693893329265</v>
      </c>
      <c r="O110" s="100"/>
      <c r="V110" s="109">
        <f t="shared" si="10"/>
        <v>180.76668927037292</v>
      </c>
      <c r="W110" s="109">
        <f t="shared" si="11"/>
        <v>62.151843886631269</v>
      </c>
      <c r="X110" s="109">
        <f t="shared" si="12"/>
        <v>39.390760998496624</v>
      </c>
      <c r="Y110" s="109">
        <f t="shared" si="13"/>
        <v>27.86100349919559</v>
      </c>
      <c r="Z110" s="109">
        <f t="shared" si="14"/>
        <v>9.5938604829223113</v>
      </c>
      <c r="AA110" s="109">
        <f t="shared" si="15"/>
        <v>-0.41699550163499954</v>
      </c>
    </row>
    <row r="111" spans="1:27" ht="19.5" thickBot="1" x14ac:dyDescent="0.35">
      <c r="A111" s="93">
        <v>264</v>
      </c>
      <c r="B111" s="94" t="s">
        <v>512</v>
      </c>
      <c r="C111" s="93">
        <v>5169</v>
      </c>
      <c r="D111" s="94" t="s">
        <v>159</v>
      </c>
      <c r="E111" s="93">
        <v>4185</v>
      </c>
      <c r="F111" s="94" t="s">
        <v>529</v>
      </c>
      <c r="G111" s="95">
        <v>3.3237792407123892</v>
      </c>
      <c r="H111" s="96">
        <v>7.8224208399675161</v>
      </c>
      <c r="I111" s="97">
        <v>5.3628712104777296</v>
      </c>
      <c r="J111" s="98">
        <v>0.88372313148642356</v>
      </c>
      <c r="K111" s="99">
        <v>215</v>
      </c>
      <c r="M111" s="100">
        <f t="shared" si="8"/>
        <v>0.68557692307692308</v>
      </c>
      <c r="N111" s="89">
        <f t="shared" si="9"/>
        <v>5.3628712104777296</v>
      </c>
      <c r="O111" s="100"/>
      <c r="V111" s="109">
        <f t="shared" si="10"/>
        <v>210.21726915241169</v>
      </c>
      <c r="W111" s="109">
        <f t="shared" si="11"/>
        <v>82.655256007361942</v>
      </c>
      <c r="X111" s="109">
        <f t="shared" si="12"/>
        <v>58.177295047428267</v>
      </c>
      <c r="Y111" s="109">
        <f t="shared" si="13"/>
        <v>45.777843082314725</v>
      </c>
      <c r="Z111" s="109">
        <f t="shared" si="14"/>
        <v>26.132801772133565</v>
      </c>
      <c r="AA111" s="109">
        <f t="shared" si="15"/>
        <v>15.366822702954284</v>
      </c>
    </row>
    <row r="112" spans="1:27" ht="19.5" thickBot="1" x14ac:dyDescent="0.35">
      <c r="A112" s="93">
        <v>264</v>
      </c>
      <c r="B112" s="94" t="s">
        <v>512</v>
      </c>
      <c r="C112" s="93">
        <v>5169</v>
      </c>
      <c r="D112" s="94" t="s">
        <v>159</v>
      </c>
      <c r="E112" s="93">
        <v>4178</v>
      </c>
      <c r="F112" s="94" t="s">
        <v>171</v>
      </c>
      <c r="G112" s="95">
        <v>7.6860129277685472</v>
      </c>
      <c r="H112" s="96">
        <v>16.65362798669684</v>
      </c>
      <c r="I112" s="97">
        <v>12.776455221043983</v>
      </c>
      <c r="J112" s="98">
        <v>0.72298305413256603</v>
      </c>
      <c r="K112" s="99">
        <v>62</v>
      </c>
      <c r="M112" s="100">
        <f t="shared" si="8"/>
        <v>0.76718750000000013</v>
      </c>
      <c r="N112" s="89">
        <f t="shared" si="9"/>
        <v>12.776455221043983</v>
      </c>
      <c r="O112" s="100"/>
      <c r="V112" s="109">
        <f t="shared" si="10"/>
        <v>355.38893116858532</v>
      </c>
      <c r="W112" s="109">
        <f t="shared" si="11"/>
        <v>91.789191800156161</v>
      </c>
      <c r="X112" s="109">
        <f t="shared" si="12"/>
        <v>41.206859566404511</v>
      </c>
      <c r="Y112" s="109">
        <f t="shared" si="13"/>
        <v>15.584088133668409</v>
      </c>
      <c r="Z112" s="109">
        <f t="shared" si="14"/>
        <v>-25.011286943686549</v>
      </c>
      <c r="AA112" s="109">
        <f t="shared" si="15"/>
        <v>-47.258578333284333</v>
      </c>
    </row>
    <row r="113" spans="1:27" ht="19.5" thickBot="1" x14ac:dyDescent="0.35">
      <c r="A113" s="93">
        <v>264</v>
      </c>
      <c r="B113" s="94" t="s">
        <v>512</v>
      </c>
      <c r="C113" s="93">
        <v>5169</v>
      </c>
      <c r="D113" s="94" t="s">
        <v>159</v>
      </c>
      <c r="E113" s="93">
        <v>4194</v>
      </c>
      <c r="F113" s="94" t="s">
        <v>172</v>
      </c>
      <c r="G113" s="95">
        <v>6.0284288101875241</v>
      </c>
      <c r="H113" s="96">
        <v>10.118722791735596</v>
      </c>
      <c r="I113" s="97">
        <v>6.9421073579366341</v>
      </c>
      <c r="J113" s="98">
        <v>0.84948239985908158</v>
      </c>
      <c r="K113" s="99">
        <v>184</v>
      </c>
      <c r="M113" s="100">
        <f t="shared" si="8"/>
        <v>0.68606557377049182</v>
      </c>
      <c r="N113" s="89">
        <f t="shared" si="9"/>
        <v>6.9421073579366341</v>
      </c>
      <c r="O113" s="100"/>
      <c r="V113" s="109">
        <f t="shared" si="10"/>
        <v>366.24278802717976</v>
      </c>
      <c r="W113" s="109">
        <f t="shared" si="11"/>
        <v>135.04488355253898</v>
      </c>
      <c r="X113" s="109">
        <f t="shared" si="12"/>
        <v>90.680161326701722</v>
      </c>
      <c r="Y113" s="109">
        <f t="shared" si="13"/>
        <v>68.206956018249258</v>
      </c>
      <c r="Z113" s="109">
        <f t="shared" si="14"/>
        <v>32.601588305315104</v>
      </c>
      <c r="AA113" s="109">
        <f t="shared" si="15"/>
        <v>13.08894704916159</v>
      </c>
    </row>
    <row r="114" spans="1:27" ht="19.5" thickBot="1" x14ac:dyDescent="0.35">
      <c r="A114" s="93">
        <v>264</v>
      </c>
      <c r="B114" s="94" t="s">
        <v>512</v>
      </c>
      <c r="C114" s="93">
        <v>5169</v>
      </c>
      <c r="D114" s="94" t="s">
        <v>159</v>
      </c>
      <c r="E114" s="93">
        <v>4181</v>
      </c>
      <c r="F114" s="94" t="s">
        <v>173</v>
      </c>
      <c r="G114" s="95">
        <v>3.9875897970733272</v>
      </c>
      <c r="H114" s="96">
        <v>23.823914904618526</v>
      </c>
      <c r="I114" s="97">
        <v>15.805286703827184</v>
      </c>
      <c r="J114" s="98">
        <v>0.65731244108758291</v>
      </c>
      <c r="K114" s="99">
        <v>32</v>
      </c>
      <c r="M114" s="100">
        <f t="shared" si="8"/>
        <v>0.66342105263157891</v>
      </c>
      <c r="N114" s="89">
        <f t="shared" si="9"/>
        <v>15.805286703827184</v>
      </c>
      <c r="O114" s="100"/>
      <c r="V114" s="109">
        <f t="shared" si="10"/>
        <v>193.85154475387549</v>
      </c>
      <c r="W114" s="109">
        <f t="shared" si="11"/>
        <v>35.702486143074559</v>
      </c>
      <c r="X114" s="109">
        <f t="shared" si="12"/>
        <v>5.355156345734521</v>
      </c>
      <c r="Y114" s="109">
        <f t="shared" si="13"/>
        <v>-10.017458175037895</v>
      </c>
      <c r="Z114" s="109">
        <f t="shared" si="14"/>
        <v>-34.373022288334532</v>
      </c>
      <c r="AA114" s="109">
        <f t="shared" si="15"/>
        <v>-47.720486888773564</v>
      </c>
    </row>
    <row r="115" spans="1:27" ht="19.5" thickBot="1" x14ac:dyDescent="0.35">
      <c r="A115" s="93">
        <v>264</v>
      </c>
      <c r="B115" s="94" t="s">
        <v>512</v>
      </c>
      <c r="C115" s="93">
        <v>5169</v>
      </c>
      <c r="D115" s="94" t="s">
        <v>159</v>
      </c>
      <c r="E115" s="93">
        <v>4183</v>
      </c>
      <c r="F115" s="94" t="s">
        <v>530</v>
      </c>
      <c r="G115" s="95">
        <v>2.396021284883763</v>
      </c>
      <c r="H115" s="96">
        <v>8.7645298197001456</v>
      </c>
      <c r="I115" s="97">
        <v>6.0830010534347441</v>
      </c>
      <c r="J115" s="98">
        <v>0.86810939776508811</v>
      </c>
      <c r="K115" s="99">
        <v>198</v>
      </c>
      <c r="M115" s="100">
        <f t="shared" si="8"/>
        <v>0.69404761904761902</v>
      </c>
      <c r="N115" s="89">
        <f t="shared" si="9"/>
        <v>6.0830010534347441</v>
      </c>
      <c r="O115" s="100"/>
      <c r="V115" s="109">
        <f t="shared" si="10"/>
        <v>147.04560465789413</v>
      </c>
      <c r="W115" s="109">
        <f t="shared" si="11"/>
        <v>56.211950230681893</v>
      </c>
      <c r="X115" s="109">
        <f t="shared" si="12"/>
        <v>38.781818860858088</v>
      </c>
      <c r="Y115" s="109">
        <f t="shared" si="13"/>
        <v>29.952485526292037</v>
      </c>
      <c r="Z115" s="109">
        <f t="shared" si="14"/>
        <v>15.96375291238885</v>
      </c>
      <c r="AA115" s="109">
        <f t="shared" si="15"/>
        <v>8.2975739439803355</v>
      </c>
    </row>
    <row r="116" spans="1:27" ht="19.5" thickBot="1" x14ac:dyDescent="0.35">
      <c r="A116" s="93">
        <v>30</v>
      </c>
      <c r="B116" s="94" t="s">
        <v>531</v>
      </c>
      <c r="C116" s="93">
        <v>6</v>
      </c>
      <c r="D116" s="94" t="s">
        <v>176</v>
      </c>
      <c r="E116" s="93">
        <v>551110</v>
      </c>
      <c r="F116" s="94" t="s">
        <v>177</v>
      </c>
      <c r="G116" s="95">
        <v>5.4250344559601231</v>
      </c>
      <c r="H116" s="96">
        <v>9.2165313245279652</v>
      </c>
      <c r="I116" s="97">
        <v>5.8847552507111054</v>
      </c>
      <c r="J116" s="98">
        <v>0.87240772980252879</v>
      </c>
      <c r="K116" s="99">
        <v>206</v>
      </c>
      <c r="M116" s="100">
        <f t="shared" si="8"/>
        <v>0.63849999999999996</v>
      </c>
      <c r="N116" s="89">
        <f t="shared" si="9"/>
        <v>5.8847552507111054</v>
      </c>
      <c r="O116" s="100"/>
      <c r="V116" s="109">
        <f t="shared" si="10"/>
        <v>363.69496684272974</v>
      </c>
      <c r="W116" s="109">
        <f t="shared" si="11"/>
        <v>140.1386307279657</v>
      </c>
      <c r="X116" s="109">
        <f t="shared" si="12"/>
        <v>97.240254221939523</v>
      </c>
      <c r="Y116" s="109">
        <f t="shared" si="13"/>
        <v>75.509834774891431</v>
      </c>
      <c r="Z116" s="109">
        <f t="shared" si="14"/>
        <v>41.081298019725665</v>
      </c>
      <c r="AA116" s="109">
        <f t="shared" si="15"/>
        <v>22.213589867007801</v>
      </c>
    </row>
    <row r="117" spans="1:27" ht="19.5" thickBot="1" x14ac:dyDescent="0.35">
      <c r="A117" s="93">
        <v>30</v>
      </c>
      <c r="B117" s="94" t="s">
        <v>531</v>
      </c>
      <c r="C117" s="93">
        <v>6</v>
      </c>
      <c r="D117" s="94" t="s">
        <v>176</v>
      </c>
      <c r="E117" s="93">
        <v>451101</v>
      </c>
      <c r="F117" s="94" t="s">
        <v>178</v>
      </c>
      <c r="G117" s="95">
        <v>9.6966778931555275</v>
      </c>
      <c r="H117" s="96">
        <v>12.58162860974423</v>
      </c>
      <c r="I117" s="97">
        <v>8.5983056175198787</v>
      </c>
      <c r="J117" s="98">
        <v>0.81357298870527173</v>
      </c>
      <c r="K117" s="99">
        <v>137</v>
      </c>
      <c r="M117" s="100">
        <f t="shared" si="8"/>
        <v>0.68340163934426224</v>
      </c>
      <c r="N117" s="89">
        <f t="shared" si="9"/>
        <v>8.5983056175198787</v>
      </c>
      <c r="O117" s="100"/>
      <c r="V117" s="109">
        <f t="shared" si="10"/>
        <v>566.39532631276165</v>
      </c>
      <c r="W117" s="109">
        <f t="shared" si="11"/>
        <v>193.06580182538113</v>
      </c>
      <c r="X117" s="109">
        <f t="shared" si="12"/>
        <v>121.42734692578992</v>
      </c>
      <c r="Y117" s="109">
        <f t="shared" si="13"/>
        <v>85.138475404326343</v>
      </c>
      <c r="Z117" s="109">
        <f t="shared" si="14"/>
        <v>27.644290810944586</v>
      </c>
      <c r="AA117" s="109">
        <f t="shared" si="15"/>
        <v>-3.8639752272177992</v>
      </c>
    </row>
    <row r="118" spans="1:27" ht="19.5" thickBot="1" x14ac:dyDescent="0.35">
      <c r="A118" s="93">
        <v>30</v>
      </c>
      <c r="B118" s="94" t="s">
        <v>531</v>
      </c>
      <c r="C118" s="93">
        <v>6</v>
      </c>
      <c r="D118" s="94" t="s">
        <v>176</v>
      </c>
      <c r="E118" s="93">
        <v>551103</v>
      </c>
      <c r="F118" s="94" t="s">
        <v>179</v>
      </c>
      <c r="G118" s="95">
        <v>2.7443158290984373</v>
      </c>
      <c r="H118" s="96">
        <v>15.304360946603525</v>
      </c>
      <c r="I118" s="97">
        <v>9.9478346152922921</v>
      </c>
      <c r="J118" s="98">
        <v>0.78431272873060343</v>
      </c>
      <c r="K118" s="99">
        <v>113</v>
      </c>
      <c r="M118" s="100">
        <f t="shared" si="8"/>
        <v>0.65</v>
      </c>
      <c r="N118" s="89">
        <f t="shared" si="9"/>
        <v>9.9478346152922921</v>
      </c>
      <c r="O118" s="100"/>
      <c r="V118" s="109">
        <f t="shared" si="10"/>
        <v>162.47486471330924</v>
      </c>
      <c r="W118" s="109">
        <f t="shared" si="11"/>
        <v>51.387128148274989</v>
      </c>
      <c r="X118" s="109">
        <f t="shared" si="12"/>
        <v>30.070427261198812</v>
      </c>
      <c r="Y118" s="109">
        <f t="shared" si="13"/>
        <v>19.272329775193565</v>
      </c>
      <c r="Z118" s="109">
        <f t="shared" si="14"/>
        <v>2.1643905065249407</v>
      </c>
      <c r="AA118" s="109">
        <f t="shared" si="15"/>
        <v>-7.2111925312069527</v>
      </c>
    </row>
    <row r="119" spans="1:27" ht="19.5" thickBot="1" x14ac:dyDescent="0.35">
      <c r="A119" s="93">
        <v>30</v>
      </c>
      <c r="B119" s="94" t="s">
        <v>531</v>
      </c>
      <c r="C119" s="93">
        <v>6</v>
      </c>
      <c r="D119" s="94" t="s">
        <v>176</v>
      </c>
      <c r="E119" s="93">
        <v>551330</v>
      </c>
      <c r="F119" s="94" t="s">
        <v>180</v>
      </c>
      <c r="G119" s="95">
        <v>3.0633542255265329</v>
      </c>
      <c r="H119" s="96">
        <v>9.7931867460882902</v>
      </c>
      <c r="I119" s="97">
        <v>6.3655713849573887</v>
      </c>
      <c r="J119" s="98">
        <v>0.86198275552536696</v>
      </c>
      <c r="K119" s="99">
        <v>193</v>
      </c>
      <c r="M119" s="100">
        <f t="shared" si="8"/>
        <v>0.65</v>
      </c>
      <c r="N119" s="89">
        <f t="shared" si="9"/>
        <v>6.3655713849573887</v>
      </c>
      <c r="O119" s="100"/>
      <c r="V119" s="109">
        <f t="shared" si="10"/>
        <v>199.32355588620089</v>
      </c>
      <c r="W119" s="109">
        <f t="shared" si="11"/>
        <v>75.32139709587257</v>
      </c>
      <c r="X119" s="109">
        <f t="shared" si="12"/>
        <v>51.526538995242589</v>
      </c>
      <c r="Y119" s="109">
        <f t="shared" si="13"/>
        <v>39.473116713934488</v>
      </c>
      <c r="Z119" s="109">
        <f t="shared" si="14"/>
        <v>20.376306684622264</v>
      </c>
      <c r="AA119" s="109">
        <f t="shared" si="15"/>
        <v>9.9107722111916985</v>
      </c>
    </row>
    <row r="120" spans="1:27" ht="19.5" thickBot="1" x14ac:dyDescent="0.35">
      <c r="A120" s="93">
        <v>30</v>
      </c>
      <c r="B120" s="94" t="s">
        <v>531</v>
      </c>
      <c r="C120" s="93">
        <v>6</v>
      </c>
      <c r="D120" s="94" t="s">
        <v>176</v>
      </c>
      <c r="E120" s="93">
        <v>451115</v>
      </c>
      <c r="F120" s="94" t="s">
        <v>532</v>
      </c>
      <c r="G120" s="95">
        <v>2.9594163433574372</v>
      </c>
      <c r="H120" s="96">
        <v>14.191987583724464</v>
      </c>
      <c r="I120" s="97">
        <v>10.643990687793346</v>
      </c>
      <c r="J120" s="98">
        <v>0.76921879025432927</v>
      </c>
      <c r="K120" s="99">
        <v>95</v>
      </c>
      <c r="M120" s="100">
        <f t="shared" si="8"/>
        <v>0.74999999999999989</v>
      </c>
      <c r="N120" s="89">
        <f t="shared" si="9"/>
        <v>10.643990687793346</v>
      </c>
      <c r="O120" s="100"/>
      <c r="V120" s="109">
        <f t="shared" si="10"/>
        <v>148.92612028825607</v>
      </c>
      <c r="W120" s="109">
        <f t="shared" si="11"/>
        <v>45.103929575195764</v>
      </c>
      <c r="X120" s="109">
        <f t="shared" si="12"/>
        <v>25.181419194622478</v>
      </c>
      <c r="Y120" s="109">
        <f t="shared" si="13"/>
        <v>15.089556931554965</v>
      </c>
      <c r="Z120" s="109">
        <f t="shared" si="14"/>
        <v>-0.89946029375625791</v>
      </c>
      <c r="AA120" s="109">
        <f t="shared" si="15"/>
        <v>-9.6618457765109547</v>
      </c>
    </row>
    <row r="121" spans="1:27" ht="19.5" thickBot="1" x14ac:dyDescent="0.35">
      <c r="A121" s="93">
        <v>30</v>
      </c>
      <c r="B121" s="94" t="s">
        <v>531</v>
      </c>
      <c r="C121" s="93">
        <v>6</v>
      </c>
      <c r="D121" s="94" t="s">
        <v>176</v>
      </c>
      <c r="E121" s="93">
        <v>551128</v>
      </c>
      <c r="F121" s="94" t="s">
        <v>182</v>
      </c>
      <c r="G121" s="95">
        <v>3.2638924002598619</v>
      </c>
      <c r="H121" s="96">
        <v>29.106351665403054</v>
      </c>
      <c r="I121" s="97">
        <v>19.026362509700313</v>
      </c>
      <c r="J121" s="98">
        <v>0.58747361907372952</v>
      </c>
      <c r="K121" s="99">
        <v>17</v>
      </c>
      <c r="M121" s="100">
        <f t="shared" si="8"/>
        <v>0.65368421052631587</v>
      </c>
      <c r="N121" s="89">
        <f t="shared" si="9"/>
        <v>19.026362509700313</v>
      </c>
      <c r="O121" s="100"/>
      <c r="V121" s="109">
        <f t="shared" si="10"/>
        <v>143.92372606388344</v>
      </c>
      <c r="W121" s="109">
        <f t="shared" si="11"/>
        <v>12.548576872349919</v>
      </c>
      <c r="X121" s="109">
        <f t="shared" si="12"/>
        <v>-12.661089341989017</v>
      </c>
      <c r="Y121" s="109">
        <f t="shared" si="13"/>
        <v>-25.431190813794306</v>
      </c>
      <c r="Z121" s="109">
        <f t="shared" si="14"/>
        <v>-45.663469760852017</v>
      </c>
      <c r="AA121" s="109">
        <f t="shared" si="15"/>
        <v>-56.751269894564814</v>
      </c>
    </row>
    <row r="122" spans="1:27" ht="19.5" thickBot="1" x14ac:dyDescent="0.35">
      <c r="A122" s="93">
        <v>30</v>
      </c>
      <c r="B122" s="94" t="s">
        <v>531</v>
      </c>
      <c r="C122" s="93">
        <v>6</v>
      </c>
      <c r="D122" s="94" t="s">
        <v>176</v>
      </c>
      <c r="E122" s="93">
        <v>451120</v>
      </c>
      <c r="F122" s="94" t="s">
        <v>183</v>
      </c>
      <c r="G122" s="95">
        <v>2.4787637980425372</v>
      </c>
      <c r="H122" s="96">
        <v>15.733649180610929</v>
      </c>
      <c r="I122" s="97">
        <v>10.226871967397104</v>
      </c>
      <c r="J122" s="98">
        <v>0.77826268795437215</v>
      </c>
      <c r="K122" s="99">
        <v>103</v>
      </c>
      <c r="M122" s="100">
        <f t="shared" si="8"/>
        <v>0.65</v>
      </c>
      <c r="N122" s="89">
        <f t="shared" si="9"/>
        <v>10.226871967397104</v>
      </c>
      <c r="O122" s="100"/>
      <c r="V122" s="109">
        <f t="shared" si="10"/>
        <v>145.62105881920616</v>
      </c>
      <c r="W122" s="109">
        <f t="shared" si="11"/>
        <v>45.282658667079914</v>
      </c>
      <c r="X122" s="109">
        <f t="shared" si="12"/>
        <v>26.028655212986084</v>
      </c>
      <c r="Y122" s="109">
        <f t="shared" si="13"/>
        <v>16.275428979970084</v>
      </c>
      <c r="Z122" s="109">
        <f t="shared" si="14"/>
        <v>0.82292891833632009</v>
      </c>
      <c r="AA122" s="109">
        <f t="shared" si="15"/>
        <v>-7.6454316009069236</v>
      </c>
    </row>
    <row r="123" spans="1:27" ht="19.5" thickBot="1" x14ac:dyDescent="0.35">
      <c r="A123" s="93">
        <v>30</v>
      </c>
      <c r="B123" s="94" t="s">
        <v>531</v>
      </c>
      <c r="C123" s="93">
        <v>6</v>
      </c>
      <c r="D123" s="94" t="s">
        <v>176</v>
      </c>
      <c r="E123" s="93">
        <v>451381</v>
      </c>
      <c r="F123" s="94" t="s">
        <v>533</v>
      </c>
      <c r="G123" s="95">
        <v>6.43451863436003</v>
      </c>
      <c r="H123" s="96">
        <v>13.987060278200795</v>
      </c>
      <c r="I123" s="97">
        <v>9.5422833453503202</v>
      </c>
      <c r="J123" s="98">
        <v>0.79310582292209275</v>
      </c>
      <c r="K123" s="99">
        <v>117</v>
      </c>
      <c r="M123" s="100">
        <f t="shared" si="8"/>
        <v>0.68222222222222217</v>
      </c>
      <c r="N123" s="89">
        <f t="shared" si="9"/>
        <v>9.5422833453503202</v>
      </c>
      <c r="O123" s="100"/>
      <c r="V123" s="109">
        <f t="shared" si="10"/>
        <v>367.02658803298311</v>
      </c>
      <c r="W123" s="109">
        <f t="shared" si="11"/>
        <v>118.86441391772334</v>
      </c>
      <c r="X123" s="109">
        <f t="shared" si="12"/>
        <v>71.244406519295708</v>
      </c>
      <c r="Y123" s="109">
        <f t="shared" si="13"/>
        <v>47.122217776465277</v>
      </c>
      <c r="Z123" s="109">
        <f t="shared" si="14"/>
        <v>8.9042872035513252</v>
      </c>
      <c r="AA123" s="109">
        <f t="shared" si="15"/>
        <v>-12.04010451946839</v>
      </c>
    </row>
    <row r="124" spans="1:27" ht="19.5" thickBot="1" x14ac:dyDescent="0.35">
      <c r="A124" s="93">
        <v>30</v>
      </c>
      <c r="B124" s="94" t="s">
        <v>531</v>
      </c>
      <c r="C124" s="93">
        <v>6</v>
      </c>
      <c r="D124" s="94" t="s">
        <v>176</v>
      </c>
      <c r="E124" s="93">
        <v>551354</v>
      </c>
      <c r="F124" s="94" t="s">
        <v>185</v>
      </c>
      <c r="G124" s="95">
        <v>2.7579815947493387</v>
      </c>
      <c r="H124" s="96">
        <v>12.327856017868065</v>
      </c>
      <c r="I124" s="97">
        <v>7.423907410760255</v>
      </c>
      <c r="J124" s="98">
        <v>0.83903609242537835</v>
      </c>
      <c r="K124" s="99">
        <v>171</v>
      </c>
      <c r="M124" s="100">
        <f t="shared" si="8"/>
        <v>0.60220588235294126</v>
      </c>
      <c r="N124" s="89">
        <f t="shared" si="9"/>
        <v>7.423907410760255</v>
      </c>
      <c r="O124" s="100"/>
      <c r="V124" s="109">
        <f t="shared" si="10"/>
        <v>188.53986858684033</v>
      </c>
      <c r="W124" s="109">
        <f t="shared" si="11"/>
        <v>68.038562469455414</v>
      </c>
      <c r="X124" s="109">
        <f t="shared" si="12"/>
        <v>44.915485355515798</v>
      </c>
      <c r="Y124" s="109">
        <f t="shared" si="13"/>
        <v>33.202357598297255</v>
      </c>
      <c r="Z124" s="109">
        <f t="shared" si="14"/>
        <v>14.644692363624081</v>
      </c>
      <c r="AA124" s="109">
        <f t="shared" si="15"/>
        <v>4.4746228618722874</v>
      </c>
    </row>
    <row r="125" spans="1:27" ht="19.5" thickBot="1" x14ac:dyDescent="0.35">
      <c r="A125" s="93">
        <v>30</v>
      </c>
      <c r="B125" s="94" t="s">
        <v>531</v>
      </c>
      <c r="C125" s="93">
        <v>6</v>
      </c>
      <c r="D125" s="94" t="s">
        <v>176</v>
      </c>
      <c r="E125" s="93">
        <v>451166</v>
      </c>
      <c r="F125" s="94" t="s">
        <v>186</v>
      </c>
      <c r="G125" s="95">
        <v>6.4187983828466999</v>
      </c>
      <c r="H125" s="96">
        <v>3.7390175806326136</v>
      </c>
      <c r="I125" s="97">
        <v>2.3213067479760809</v>
      </c>
      <c r="J125" s="98">
        <v>0.949669818848764</v>
      </c>
      <c r="K125" s="99">
        <v>266</v>
      </c>
      <c r="M125" s="100">
        <f t="shared" si="8"/>
        <v>0.62083333333333335</v>
      </c>
      <c r="N125" s="89">
        <f t="shared" si="9"/>
        <v>2.3213067479760809</v>
      </c>
      <c r="O125" s="100"/>
      <c r="V125" s="109">
        <f t="shared" si="10"/>
        <v>481.75644190559132</v>
      </c>
      <c r="W125" s="109">
        <f t="shared" si="11"/>
        <v>209.72187539020032</v>
      </c>
      <c r="X125" s="109">
        <f t="shared" si="12"/>
        <v>157.52097847158166</v>
      </c>
      <c r="Y125" s="109">
        <f t="shared" si="13"/>
        <v>131.0783137848573</v>
      </c>
      <c r="Z125" s="109">
        <f t="shared" si="14"/>
        <v>89.183942841406335</v>
      </c>
      <c r="AA125" s="109">
        <f t="shared" si="15"/>
        <v>66.224768891495899</v>
      </c>
    </row>
    <row r="126" spans="1:27" ht="19.5" thickBot="1" x14ac:dyDescent="0.35">
      <c r="A126" s="93">
        <v>30</v>
      </c>
      <c r="B126" s="94" t="s">
        <v>531</v>
      </c>
      <c r="C126" s="93">
        <v>2</v>
      </c>
      <c r="D126" s="94" t="s">
        <v>187</v>
      </c>
      <c r="E126" s="93">
        <v>508815</v>
      </c>
      <c r="F126" s="94" t="s">
        <v>188</v>
      </c>
      <c r="G126" s="95">
        <v>2.9248729531338227</v>
      </c>
      <c r="H126" s="96">
        <v>14.701493257656928</v>
      </c>
      <c r="I126" s="97">
        <v>9.5559706174770032</v>
      </c>
      <c r="J126" s="98">
        <v>0.79280905779779254</v>
      </c>
      <c r="K126" s="99">
        <v>116</v>
      </c>
      <c r="M126" s="100">
        <f t="shared" si="8"/>
        <v>0.65</v>
      </c>
      <c r="N126" s="89">
        <f t="shared" si="9"/>
        <v>9.5559706174770032</v>
      </c>
      <c r="O126" s="100"/>
      <c r="V126" s="109">
        <f t="shared" si="10"/>
        <v>175.04045755725235</v>
      </c>
      <c r="W126" s="109">
        <f t="shared" si="11"/>
        <v>56.643911263721051</v>
      </c>
      <c r="X126" s="109">
        <f t="shared" si="12"/>
        <v>33.92471793562089</v>
      </c>
      <c r="Y126" s="109">
        <f t="shared" si="13"/>
        <v>22.416179833978724</v>
      </c>
      <c r="Z126" s="109">
        <f t="shared" si="14"/>
        <v>4.1826557183438418</v>
      </c>
      <c r="AA126" s="109">
        <f t="shared" si="15"/>
        <v>-5.8097762591122883</v>
      </c>
    </row>
    <row r="127" spans="1:27" ht="19.5" thickBot="1" x14ac:dyDescent="0.35">
      <c r="A127" s="93">
        <v>30</v>
      </c>
      <c r="B127" s="94" t="s">
        <v>531</v>
      </c>
      <c r="C127" s="93">
        <v>2</v>
      </c>
      <c r="D127" s="94" t="s">
        <v>187</v>
      </c>
      <c r="E127" s="93">
        <v>408801</v>
      </c>
      <c r="F127" s="94" t="s">
        <v>189</v>
      </c>
      <c r="G127" s="95">
        <v>8.4911208399423579</v>
      </c>
      <c r="H127" s="96">
        <v>12.365858639777972</v>
      </c>
      <c r="I127" s="97">
        <v>8.5294982093897111</v>
      </c>
      <c r="J127" s="98">
        <v>0.81506485931597739</v>
      </c>
      <c r="K127" s="99">
        <v>143</v>
      </c>
      <c r="M127" s="100">
        <f t="shared" si="8"/>
        <v>0.6897619047619048</v>
      </c>
      <c r="N127" s="89">
        <f t="shared" si="9"/>
        <v>8.5294982093897111</v>
      </c>
      <c r="O127" s="100"/>
      <c r="V127" s="109">
        <f t="shared" si="10"/>
        <v>492.3049163582362</v>
      </c>
      <c r="W127" s="109">
        <f t="shared" si="11"/>
        <v>168.40472785723287</v>
      </c>
      <c r="X127" s="109">
        <f t="shared" si="12"/>
        <v>106.2513016642221</v>
      </c>
      <c r="Y127" s="109">
        <f t="shared" si="13"/>
        <v>74.767126008867379</v>
      </c>
      <c r="Z127" s="109">
        <f t="shared" si="14"/>
        <v>24.885249527016004</v>
      </c>
      <c r="AA127" s="109">
        <f t="shared" si="15"/>
        <v>-2.4512793026119013</v>
      </c>
    </row>
    <row r="128" spans="1:27" ht="19.5" thickBot="1" x14ac:dyDescent="0.35">
      <c r="A128" s="93">
        <v>30</v>
      </c>
      <c r="B128" s="94" t="s">
        <v>531</v>
      </c>
      <c r="C128" s="93">
        <v>2</v>
      </c>
      <c r="D128" s="94" t="s">
        <v>187</v>
      </c>
      <c r="E128" s="93">
        <v>408822</v>
      </c>
      <c r="F128" s="94" t="s">
        <v>187</v>
      </c>
      <c r="G128" s="95">
        <v>4.1714948070162663</v>
      </c>
      <c r="H128" s="96">
        <v>17.259999911518346</v>
      </c>
      <c r="I128" s="97">
        <v>11.608548551601054</v>
      </c>
      <c r="J128" s="98">
        <v>0.748305409436125</v>
      </c>
      <c r="K128" s="99">
        <v>75</v>
      </c>
      <c r="M128" s="100">
        <f t="shared" si="8"/>
        <v>0.67256944444444444</v>
      </c>
      <c r="N128" s="89">
        <f t="shared" si="9"/>
        <v>11.608548551601054</v>
      </c>
      <c r="O128" s="100"/>
      <c r="V128" s="109">
        <f t="shared" si="10"/>
        <v>227.72444157842656</v>
      </c>
      <c r="W128" s="109">
        <f t="shared" si="11"/>
        <v>64.532030711221694</v>
      </c>
      <c r="X128" s="109">
        <f t="shared" si="12"/>
        <v>33.216928639081686</v>
      </c>
      <c r="Y128" s="109">
        <f t="shared" si="13"/>
        <v>17.354083504158339</v>
      </c>
      <c r="Z128" s="109">
        <f t="shared" si="14"/>
        <v>-7.7781762803346277</v>
      </c>
      <c r="AA128" s="109">
        <f t="shared" si="15"/>
        <v>-21.551289735728648</v>
      </c>
    </row>
    <row r="129" spans="1:27" ht="19.5" thickBot="1" x14ac:dyDescent="0.35">
      <c r="A129" s="93">
        <v>30</v>
      </c>
      <c r="B129" s="94" t="s">
        <v>531</v>
      </c>
      <c r="C129" s="93">
        <v>2</v>
      </c>
      <c r="D129" s="94" t="s">
        <v>187</v>
      </c>
      <c r="E129" s="93">
        <v>508817</v>
      </c>
      <c r="F129" s="94" t="s">
        <v>190</v>
      </c>
      <c r="G129" s="95">
        <v>3.2126528654608597</v>
      </c>
      <c r="H129" s="96">
        <v>9.0268078172335962</v>
      </c>
      <c r="I129" s="97">
        <v>5.7584808489248802</v>
      </c>
      <c r="J129" s="98">
        <v>0.87514559007119241</v>
      </c>
      <c r="K129" s="99">
        <v>211</v>
      </c>
      <c r="M129" s="100">
        <f t="shared" si="8"/>
        <v>0.63793103448275856</v>
      </c>
      <c r="N129" s="89">
        <f t="shared" si="9"/>
        <v>5.7584808489248802</v>
      </c>
      <c r="O129" s="100"/>
      <c r="V129" s="109">
        <f t="shared" si="10"/>
        <v>216.24524496201781</v>
      </c>
      <c r="W129" s="109">
        <f t="shared" si="11"/>
        <v>83.73927207934436</v>
      </c>
      <c r="X129" s="109">
        <f t="shared" si="12"/>
        <v>58.312611342248729</v>
      </c>
      <c r="Y129" s="109">
        <f t="shared" si="13"/>
        <v>45.432590046401785</v>
      </c>
      <c r="Z129" s="109">
        <f t="shared" si="14"/>
        <v>25.026159895711732</v>
      </c>
      <c r="AA129" s="109">
        <f t="shared" si="15"/>
        <v>13.842920501598577</v>
      </c>
    </row>
    <row r="130" spans="1:27" ht="19.5" thickBot="1" x14ac:dyDescent="0.35">
      <c r="A130" s="93">
        <v>30</v>
      </c>
      <c r="B130" s="94" t="s">
        <v>531</v>
      </c>
      <c r="C130" s="93">
        <v>2</v>
      </c>
      <c r="D130" s="94" t="s">
        <v>187</v>
      </c>
      <c r="E130" s="93">
        <v>508802</v>
      </c>
      <c r="F130" s="94" t="s">
        <v>191</v>
      </c>
      <c r="G130" s="95">
        <v>3.5938136066738315</v>
      </c>
      <c r="H130" s="96">
        <v>11.130237785765702</v>
      </c>
      <c r="I130" s="97">
        <v>7.3320441413731565</v>
      </c>
      <c r="J130" s="98">
        <v>0.84102785632880428</v>
      </c>
      <c r="K130" s="99">
        <v>173</v>
      </c>
      <c r="M130" s="100">
        <f t="shared" si="8"/>
        <v>0.65875000000000006</v>
      </c>
      <c r="N130" s="89">
        <f t="shared" si="9"/>
        <v>7.3320441413731565</v>
      </c>
      <c r="O130" s="100"/>
      <c r="V130" s="109">
        <f t="shared" si="10"/>
        <v>225.12383988649384</v>
      </c>
      <c r="W130" s="109">
        <f t="shared" si="11"/>
        <v>81.58140643521773</v>
      </c>
      <c r="X130" s="109">
        <f t="shared" si="12"/>
        <v>54.036951816749941</v>
      </c>
      <c r="Y130" s="109">
        <f t="shared" si="13"/>
        <v>40.08414984496892</v>
      </c>
      <c r="Z130" s="109">
        <f t="shared" si="14"/>
        <v>17.978062261451662</v>
      </c>
      <c r="AA130" s="109">
        <f t="shared" si="15"/>
        <v>5.8633676437188313</v>
      </c>
    </row>
    <row r="131" spans="1:27" ht="19.5" thickBot="1" x14ac:dyDescent="0.35">
      <c r="A131" s="93">
        <v>30</v>
      </c>
      <c r="B131" s="94" t="s">
        <v>531</v>
      </c>
      <c r="C131" s="93">
        <v>2</v>
      </c>
      <c r="D131" s="94" t="s">
        <v>187</v>
      </c>
      <c r="E131" s="93">
        <v>508839</v>
      </c>
      <c r="F131" s="94" t="s">
        <v>192</v>
      </c>
      <c r="G131" s="95">
        <v>2.8551411182552848</v>
      </c>
      <c r="H131" s="96">
        <v>22.065459250749029</v>
      </c>
      <c r="I131" s="97">
        <v>14.710306167166019</v>
      </c>
      <c r="J131" s="98">
        <v>0.68105362428764227</v>
      </c>
      <c r="K131" s="99">
        <v>45</v>
      </c>
      <c r="M131" s="100">
        <f t="shared" si="8"/>
        <v>0.66666666666666663</v>
      </c>
      <c r="N131" s="89">
        <f t="shared" si="9"/>
        <v>14.710306167166019</v>
      </c>
      <c r="O131" s="100"/>
      <c r="V131" s="109">
        <f t="shared" si="10"/>
        <v>143.11209283369169</v>
      </c>
      <c r="W131" s="109">
        <f t="shared" si="11"/>
        <v>30.427582540897117</v>
      </c>
      <c r="X131" s="109">
        <f t="shared" si="12"/>
        <v>8.8044756634614014</v>
      </c>
      <c r="Y131" s="109">
        <f t="shared" si="13"/>
        <v>-2.1488335399538379</v>
      </c>
      <c r="Z131" s="109">
        <f t="shared" si="14"/>
        <v>-19.502682112430598</v>
      </c>
      <c r="AA131" s="109">
        <f t="shared" si="15"/>
        <v>-29.01302966279005</v>
      </c>
    </row>
    <row r="132" spans="1:27" ht="19.5" thickBot="1" x14ac:dyDescent="0.35">
      <c r="A132" s="93">
        <v>30</v>
      </c>
      <c r="B132" s="94" t="s">
        <v>531</v>
      </c>
      <c r="C132" s="93">
        <v>2</v>
      </c>
      <c r="D132" s="94" t="s">
        <v>187</v>
      </c>
      <c r="E132" s="93">
        <v>508819</v>
      </c>
      <c r="F132" s="94" t="s">
        <v>193</v>
      </c>
      <c r="G132" s="95">
        <v>1.959072087332957</v>
      </c>
      <c r="H132" s="96">
        <v>7.6566860898011724</v>
      </c>
      <c r="I132" s="97">
        <v>4.9768459583707623</v>
      </c>
      <c r="J132" s="98">
        <v>0.89209286585454828</v>
      </c>
      <c r="K132" s="99">
        <v>223</v>
      </c>
      <c r="M132" s="100">
        <f t="shared" si="8"/>
        <v>0.65</v>
      </c>
      <c r="N132" s="89">
        <f t="shared" si="9"/>
        <v>4.9768459583707623</v>
      </c>
      <c r="O132" s="100"/>
      <c r="V132" s="109">
        <f t="shared" si="10"/>
        <v>131.92384885263664</v>
      </c>
      <c r="W132" s="109">
        <f t="shared" si="11"/>
        <v>52.622158558101283</v>
      </c>
      <c r="X132" s="109">
        <f t="shared" si="12"/>
        <v>37.404903583619742</v>
      </c>
      <c r="Y132" s="109">
        <f t="shared" si="13"/>
        <v>29.696515519523402</v>
      </c>
      <c r="Z132" s="109">
        <f t="shared" si="14"/>
        <v>17.483749795672047</v>
      </c>
      <c r="AA132" s="109">
        <f t="shared" si="15"/>
        <v>10.790845561786197</v>
      </c>
    </row>
    <row r="133" spans="1:27" ht="19.5" thickBot="1" x14ac:dyDescent="0.35">
      <c r="A133" s="93">
        <v>30</v>
      </c>
      <c r="B133" s="94" t="s">
        <v>531</v>
      </c>
      <c r="C133" s="93">
        <v>2</v>
      </c>
      <c r="D133" s="94" t="s">
        <v>187</v>
      </c>
      <c r="E133" s="93">
        <v>408840</v>
      </c>
      <c r="F133" s="94" t="s">
        <v>194</v>
      </c>
      <c r="G133" s="95">
        <v>5.9522628003132896</v>
      </c>
      <c r="H133" s="96">
        <v>14.448286791953054</v>
      </c>
      <c r="I133" s="97">
        <v>10.428807007098673</v>
      </c>
      <c r="J133" s="98">
        <v>0.77388436650339476</v>
      </c>
      <c r="K133" s="99">
        <v>101</v>
      </c>
      <c r="M133" s="100">
        <f t="shared" si="8"/>
        <v>0.72180232558139534</v>
      </c>
      <c r="N133" s="89">
        <f t="shared" si="9"/>
        <v>10.428807007098673</v>
      </c>
      <c r="O133" s="100"/>
      <c r="V133" s="109">
        <f t="shared" si="10"/>
        <v>313.12380142752932</v>
      </c>
      <c r="W133" s="109">
        <f t="shared" si="11"/>
        <v>96.149047398305427</v>
      </c>
      <c r="X133" s="109">
        <f t="shared" si="12"/>
        <v>54.51361512914432</v>
      </c>
      <c r="Y133" s="109">
        <f t="shared" si="13"/>
        <v>33.422947351986451</v>
      </c>
      <c r="Z133" s="109">
        <f t="shared" si="14"/>
        <v>7.9995859640421135E-3</v>
      </c>
      <c r="AA133" s="109">
        <f t="shared" si="15"/>
        <v>-18.304236187257597</v>
      </c>
    </row>
    <row r="134" spans="1:27" ht="19.5" thickBot="1" x14ac:dyDescent="0.35">
      <c r="A134" s="93">
        <v>30</v>
      </c>
      <c r="B134" s="94" t="s">
        <v>531</v>
      </c>
      <c r="C134" s="93">
        <v>2</v>
      </c>
      <c r="D134" s="94" t="s">
        <v>187</v>
      </c>
      <c r="E134" s="93">
        <v>408862</v>
      </c>
      <c r="F134" s="94" t="s">
        <v>195</v>
      </c>
      <c r="G134" s="95">
        <v>3.864050781102955</v>
      </c>
      <c r="H134" s="96">
        <v>17.598112409017066</v>
      </c>
      <c r="I134" s="97">
        <v>11.982244184374855</v>
      </c>
      <c r="J134" s="98">
        <v>0.74020300379355752</v>
      </c>
      <c r="K134" s="99">
        <v>70</v>
      </c>
      <c r="M134" s="100">
        <f t="shared" ref="M134:M197" si="16">IF(ISERROR(I134/H134),$O$3,(I134/H134))</f>
        <v>0.68088235294117638</v>
      </c>
      <c r="N134" s="89">
        <f t="shared" ref="N134:N197" si="17">I134</f>
        <v>11.982244184374855</v>
      </c>
      <c r="O134" s="100"/>
      <c r="V134" s="109">
        <f t="shared" ref="V134:V197" si="18">(((($O$5-N134))/M134)*G134)+((((($O$5-N134)/$T$2))*$T$3/M134)*G134)</f>
        <v>206.10938947068448</v>
      </c>
      <c r="W134" s="109">
        <f t="shared" ref="W134:W197" si="19">(((($P$5-N134))/M134)*G134)+((((($P$5-N134)/$T$2))*$T$3/M134)*G134)</f>
        <v>56.790025631027078</v>
      </c>
      <c r="X134" s="109">
        <f t="shared" ref="X134:X197" si="20">(((($Q$5-N134))/M134)*G134)+((((($Q$5-N134)/$T$2))*$T$3/M134)*G134)</f>
        <v>28.137031933968085</v>
      </c>
      <c r="Y134" s="109">
        <f t="shared" ref="Y134:Y197" si="21">(((($R$5-N134))/M134)*G134)+((((($R$5-N134)/$T$2))*$T$3/M134)*G134)</f>
        <v>13.622693113634138</v>
      </c>
      <c r="Z134" s="109">
        <f t="shared" ref="Z134:Z197" si="22">(((($S$5-N134))/M134)*G134)+((((($S$5-N134)/$T$2))*$T$3/M134)*G134)</f>
        <v>-9.3730639986694477</v>
      </c>
      <c r="AA134" s="109">
        <f t="shared" ref="AA134:AA197" si="23">(((($T$5-N134))/M134)*G134)+((((($T$5-N134)/$T$2))*$T$3/M134)*G134)</f>
        <v>-21.975320000171742</v>
      </c>
    </row>
    <row r="135" spans="1:27" ht="19.5" thickBot="1" x14ac:dyDescent="0.35">
      <c r="A135" s="93">
        <v>30</v>
      </c>
      <c r="B135" s="94" t="s">
        <v>531</v>
      </c>
      <c r="C135" s="93">
        <v>2</v>
      </c>
      <c r="D135" s="94" t="s">
        <v>187</v>
      </c>
      <c r="E135" s="93">
        <v>508860</v>
      </c>
      <c r="F135" s="94" t="s">
        <v>196</v>
      </c>
      <c r="G135" s="95">
        <v>2.8689487577336168</v>
      </c>
      <c r="H135" s="96">
        <v>20.216464251462703</v>
      </c>
      <c r="I135" s="97">
        <v>14.238664908142267</v>
      </c>
      <c r="J135" s="98">
        <v>0.69127967046863881</v>
      </c>
      <c r="K135" s="99">
        <v>50</v>
      </c>
      <c r="M135" s="100">
        <f t="shared" si="16"/>
        <v>0.70431034482758625</v>
      </c>
      <c r="N135" s="89">
        <f t="shared" si="17"/>
        <v>14.238664908142267</v>
      </c>
      <c r="O135" s="100"/>
      <c r="V135" s="109">
        <f t="shared" si="18"/>
        <v>138.16202690788978</v>
      </c>
      <c r="W135" s="109">
        <f t="shared" si="19"/>
        <v>30.984407076875982</v>
      </c>
      <c r="X135" s="109">
        <f t="shared" si="20"/>
        <v>10.418021133914886</v>
      </c>
      <c r="Y135" s="109">
        <f t="shared" si="21"/>
        <v>0</v>
      </c>
      <c r="Z135" s="109">
        <f t="shared" si="22"/>
        <v>-16.505766232404945</v>
      </c>
      <c r="AA135" s="109">
        <f t="shared" si="23"/>
        <v>-25.551343229320871</v>
      </c>
    </row>
    <row r="136" spans="1:27" ht="19.5" thickBot="1" x14ac:dyDescent="0.35">
      <c r="A136" s="93">
        <v>30</v>
      </c>
      <c r="B136" s="94" t="s">
        <v>531</v>
      </c>
      <c r="C136" s="93">
        <v>2</v>
      </c>
      <c r="D136" s="94" t="s">
        <v>187</v>
      </c>
      <c r="E136" s="93">
        <v>408806</v>
      </c>
      <c r="F136" s="94" t="s">
        <v>534</v>
      </c>
      <c r="G136" s="95">
        <v>8.6557671709969206</v>
      </c>
      <c r="H136" s="96">
        <v>10.282161966903912</v>
      </c>
      <c r="I136" s="97">
        <v>7.24950183621596</v>
      </c>
      <c r="J136" s="98">
        <v>0.84281752465886195</v>
      </c>
      <c r="K136" s="99">
        <v>174</v>
      </c>
      <c r="M136" s="100">
        <f t="shared" si="16"/>
        <v>0.7050561797752809</v>
      </c>
      <c r="N136" s="89">
        <f t="shared" si="17"/>
        <v>7.24950183621596</v>
      </c>
      <c r="O136" s="100"/>
      <c r="V136" s="109">
        <f t="shared" si="18"/>
        <v>507.68179056235016</v>
      </c>
      <c r="W136" s="109">
        <f t="shared" si="19"/>
        <v>184.66341668568921</v>
      </c>
      <c r="X136" s="109">
        <f t="shared" si="20"/>
        <v>122.67920249722721</v>
      </c>
      <c r="Y136" s="109">
        <f t="shared" si="21"/>
        <v>91.280742156385713</v>
      </c>
      <c r="Z136" s="109">
        <f t="shared" si="22"/>
        <v>41.534668522858986</v>
      </c>
      <c r="AA136" s="109">
        <f t="shared" si="23"/>
        <v>14.272563085857925</v>
      </c>
    </row>
    <row r="137" spans="1:27" ht="19.5" thickBot="1" x14ac:dyDescent="0.35">
      <c r="A137" s="93">
        <v>30</v>
      </c>
      <c r="B137" s="94" t="s">
        <v>531</v>
      </c>
      <c r="C137" s="93">
        <v>2</v>
      </c>
      <c r="D137" s="94" t="s">
        <v>187</v>
      </c>
      <c r="E137" s="93">
        <v>508833</v>
      </c>
      <c r="F137" s="94" t="s">
        <v>198</v>
      </c>
      <c r="G137" s="95">
        <v>2.89958394564762</v>
      </c>
      <c r="H137" s="96">
        <v>40.695493633533957</v>
      </c>
      <c r="I137" s="97">
        <v>27.210800404117201</v>
      </c>
      <c r="J137" s="98">
        <v>0.41002001790439052</v>
      </c>
      <c r="K137" s="99">
        <v>4</v>
      </c>
      <c r="M137" s="100">
        <f t="shared" si="16"/>
        <v>0.66864406779661023</v>
      </c>
      <c r="N137" s="89">
        <f t="shared" si="17"/>
        <v>27.210800404117201</v>
      </c>
      <c r="O137" s="100"/>
      <c r="V137" s="109">
        <f t="shared" si="18"/>
        <v>87.241261660149334</v>
      </c>
      <c r="W137" s="109">
        <f t="shared" si="19"/>
        <v>-26.858851370469537</v>
      </c>
      <c r="X137" s="109">
        <f t="shared" si="20"/>
        <v>-48.753599214497996</v>
      </c>
      <c r="Y137" s="109">
        <f t="shared" si="21"/>
        <v>-59.844509712503793</v>
      </c>
      <c r="Z137" s="109">
        <f t="shared" si="22"/>
        <v>-77.416366558585793</v>
      </c>
      <c r="AA137" s="109">
        <f t="shared" si="23"/>
        <v>-87.046188151961189</v>
      </c>
    </row>
    <row r="138" spans="1:27" ht="19.5" thickBot="1" x14ac:dyDescent="0.35">
      <c r="A138" s="93">
        <v>30</v>
      </c>
      <c r="B138" s="94" t="s">
        <v>531</v>
      </c>
      <c r="C138" s="93">
        <v>2</v>
      </c>
      <c r="D138" s="94" t="s">
        <v>187</v>
      </c>
      <c r="E138" s="93">
        <v>508820</v>
      </c>
      <c r="F138" s="94" t="s">
        <v>199</v>
      </c>
      <c r="G138" s="95">
        <v>2.7614788437369091</v>
      </c>
      <c r="H138" s="96">
        <v>34.763981704125662</v>
      </c>
      <c r="I138" s="97">
        <v>24.117512307237178</v>
      </c>
      <c r="J138" s="98">
        <v>0.47708816837811585</v>
      </c>
      <c r="K138" s="99">
        <v>7</v>
      </c>
      <c r="M138" s="100">
        <f t="shared" si="16"/>
        <v>0.69374999999999998</v>
      </c>
      <c r="N138" s="89">
        <f t="shared" si="17"/>
        <v>24.117512307237178</v>
      </c>
      <c r="O138" s="100"/>
      <c r="V138" s="109">
        <f t="shared" si="18"/>
        <v>93.178037100447199</v>
      </c>
      <c r="W138" s="109">
        <f t="shared" si="19"/>
        <v>-11.555099035725853</v>
      </c>
      <c r="X138" s="109">
        <f t="shared" si="20"/>
        <v>-31.652411349522225</v>
      </c>
      <c r="Y138" s="109">
        <f t="shared" si="21"/>
        <v>-41.832820537636174</v>
      </c>
      <c r="Z138" s="109">
        <f t="shared" si="22"/>
        <v>-57.962126866475579</v>
      </c>
      <c r="AA138" s="109">
        <f t="shared" si="23"/>
        <v>-66.801394323076551</v>
      </c>
    </row>
    <row r="139" spans="1:27" ht="19.5" thickBot="1" x14ac:dyDescent="0.35">
      <c r="A139" s="93">
        <v>30</v>
      </c>
      <c r="B139" s="94" t="s">
        <v>531</v>
      </c>
      <c r="C139" s="93">
        <v>2</v>
      </c>
      <c r="D139" s="94" t="s">
        <v>187</v>
      </c>
      <c r="E139" s="93">
        <v>408814</v>
      </c>
      <c r="F139" s="94" t="s">
        <v>200</v>
      </c>
      <c r="G139" s="95">
        <v>0.5621150677279716</v>
      </c>
      <c r="H139" s="96">
        <v>40.916889299844485</v>
      </c>
      <c r="I139" s="97">
        <v>26.595978044898914</v>
      </c>
      <c r="J139" s="98">
        <v>0.42335049253565865</v>
      </c>
      <c r="K139" s="99">
        <v>6</v>
      </c>
      <c r="M139" s="100">
        <f t="shared" si="16"/>
        <v>0.64999999999999991</v>
      </c>
      <c r="N139" s="89">
        <f t="shared" si="17"/>
        <v>26.595978044898914</v>
      </c>
      <c r="O139" s="100"/>
      <c r="V139" s="109">
        <f t="shared" si="18"/>
        <v>17.963382864472834</v>
      </c>
      <c r="W139" s="109">
        <f t="shared" si="19"/>
        <v>-4.7905909678740928</v>
      </c>
      <c r="X139" s="109">
        <f t="shared" si="20"/>
        <v>-9.1568663928175162</v>
      </c>
      <c r="Y139" s="109">
        <f t="shared" si="21"/>
        <v>-11.368628331920975</v>
      </c>
      <c r="Z139" s="109">
        <f t="shared" si="22"/>
        <v>-14.872827935598862</v>
      </c>
      <c r="AA139" s="109">
        <f t="shared" si="23"/>
        <v>-16.793217869717793</v>
      </c>
    </row>
    <row r="140" spans="1:27" ht="19.5" thickBot="1" x14ac:dyDescent="0.35">
      <c r="A140" s="93">
        <v>30</v>
      </c>
      <c r="B140" s="94" t="s">
        <v>531</v>
      </c>
      <c r="C140" s="93">
        <v>11</v>
      </c>
      <c r="D140" s="94" t="s">
        <v>201</v>
      </c>
      <c r="E140" s="93">
        <v>551367</v>
      </c>
      <c r="F140" s="94" t="s">
        <v>202</v>
      </c>
      <c r="G140" s="95">
        <v>2.714268410411468</v>
      </c>
      <c r="H140" s="96">
        <v>15.473782857618357</v>
      </c>
      <c r="I140" s="97">
        <v>10.057958857451933</v>
      </c>
      <c r="J140" s="98">
        <v>0.78192503349736053</v>
      </c>
      <c r="K140" s="99">
        <v>108</v>
      </c>
      <c r="M140" s="100">
        <f t="shared" si="16"/>
        <v>0.65</v>
      </c>
      <c r="N140" s="89">
        <f t="shared" si="17"/>
        <v>10.057958857451933</v>
      </c>
      <c r="O140" s="100"/>
      <c r="V140" s="109">
        <f t="shared" si="18"/>
        <v>160.20672397697157</v>
      </c>
      <c r="W140" s="109">
        <f t="shared" si="19"/>
        <v>50.335283180873603</v>
      </c>
      <c r="X140" s="109">
        <f t="shared" si="20"/>
        <v>29.251978111358724</v>
      </c>
      <c r="Y140" s="109">
        <f t="shared" si="21"/>
        <v>18.572108619647889</v>
      </c>
      <c r="Z140" s="109">
        <f t="shared" si="22"/>
        <v>1.6514835837750568</v>
      </c>
      <c r="AA140" s="109">
        <f t="shared" si="23"/>
        <v>-7.6214465209444846</v>
      </c>
    </row>
    <row r="141" spans="1:27" ht="19.5" thickBot="1" x14ac:dyDescent="0.35">
      <c r="A141" s="93">
        <v>30</v>
      </c>
      <c r="B141" s="94" t="s">
        <v>531</v>
      </c>
      <c r="C141" s="93">
        <v>11</v>
      </c>
      <c r="D141" s="94" t="s">
        <v>201</v>
      </c>
      <c r="E141" s="93">
        <v>551340</v>
      </c>
      <c r="F141" s="94" t="s">
        <v>203</v>
      </c>
      <c r="G141" s="95">
        <v>2.981780538302278</v>
      </c>
      <c r="H141" s="96">
        <v>11.737953062074709</v>
      </c>
      <c r="I141" s="97">
        <v>7.6296694903485616</v>
      </c>
      <c r="J141" s="98">
        <v>0.83457479374145227</v>
      </c>
      <c r="K141" s="99">
        <v>165</v>
      </c>
      <c r="M141" s="100">
        <f t="shared" si="16"/>
        <v>0.65</v>
      </c>
      <c r="N141" s="89">
        <f t="shared" si="17"/>
        <v>7.6296694903485616</v>
      </c>
      <c r="O141" s="100"/>
      <c r="V141" s="109">
        <f t="shared" si="18"/>
        <v>187.84678639253369</v>
      </c>
      <c r="W141" s="109">
        <f t="shared" si="19"/>
        <v>67.146666012260908</v>
      </c>
      <c r="X141" s="109">
        <f t="shared" si="20"/>
        <v>43.985438294977378</v>
      </c>
      <c r="Y141" s="109">
        <f t="shared" si="21"/>
        <v>32.252985130124721</v>
      </c>
      <c r="Z141" s="109">
        <f t="shared" si="22"/>
        <v>13.664701733263682</v>
      </c>
      <c r="AA141" s="109">
        <f t="shared" si="23"/>
        <v>3.4778527049104131</v>
      </c>
    </row>
    <row r="142" spans="1:27" ht="19.5" thickBot="1" x14ac:dyDescent="0.35">
      <c r="A142" s="93">
        <v>30</v>
      </c>
      <c r="B142" s="94" t="s">
        <v>531</v>
      </c>
      <c r="C142" s="93">
        <v>11</v>
      </c>
      <c r="D142" s="94" t="s">
        <v>201</v>
      </c>
      <c r="E142" s="93">
        <v>551369</v>
      </c>
      <c r="F142" s="94" t="s">
        <v>204</v>
      </c>
      <c r="G142" s="95">
        <v>2.932298136645962</v>
      </c>
      <c r="H142" s="96">
        <v>9.8898538445244686</v>
      </c>
      <c r="I142" s="97">
        <v>6.5477653039610271</v>
      </c>
      <c r="J142" s="98">
        <v>0.85803245772172609</v>
      </c>
      <c r="K142" s="99">
        <v>191</v>
      </c>
      <c r="M142" s="100">
        <f t="shared" si="16"/>
        <v>0.66206896551724137</v>
      </c>
      <c r="N142" s="89">
        <f t="shared" si="17"/>
        <v>6.5477653039610271</v>
      </c>
      <c r="O142" s="100"/>
      <c r="V142" s="109">
        <f t="shared" si="18"/>
        <v>186.45962095557982</v>
      </c>
      <c r="W142" s="109">
        <f t="shared" si="19"/>
        <v>69.92625853474857</v>
      </c>
      <c r="X142" s="109">
        <f t="shared" si="20"/>
        <v>47.564592819867165</v>
      </c>
      <c r="Y142" s="109">
        <f t="shared" si="21"/>
        <v>36.237162387837031</v>
      </c>
      <c r="Z142" s="109">
        <f t="shared" si="22"/>
        <v>18.290575764369471</v>
      </c>
      <c r="AA142" s="109">
        <f t="shared" si="23"/>
        <v>8.4553927835461575</v>
      </c>
    </row>
    <row r="143" spans="1:27" ht="19.5" thickBot="1" x14ac:dyDescent="0.35">
      <c r="A143" s="93">
        <v>30</v>
      </c>
      <c r="B143" s="94" t="s">
        <v>531</v>
      </c>
      <c r="C143" s="93">
        <v>11</v>
      </c>
      <c r="D143" s="94" t="s">
        <v>201</v>
      </c>
      <c r="E143" s="93">
        <v>551365</v>
      </c>
      <c r="F143" s="94" t="s">
        <v>205</v>
      </c>
      <c r="G143" s="95">
        <v>2.6795987322635288</v>
      </c>
      <c r="H143" s="96">
        <v>7.8369943033450902</v>
      </c>
      <c r="I143" s="97">
        <v>5.0940462971743088</v>
      </c>
      <c r="J143" s="98">
        <v>0.88955174788807878</v>
      </c>
      <c r="K143" s="99">
        <v>219</v>
      </c>
      <c r="M143" s="100">
        <f t="shared" si="16"/>
        <v>0.65</v>
      </c>
      <c r="N143" s="89">
        <f t="shared" si="17"/>
        <v>5.0940462971743088</v>
      </c>
      <c r="O143" s="100"/>
      <c r="V143" s="109">
        <f t="shared" si="18"/>
        <v>179.93009577318037</v>
      </c>
      <c r="W143" s="109">
        <f t="shared" si="19"/>
        <v>71.462056157098218</v>
      </c>
      <c r="X143" s="109">
        <f t="shared" si="20"/>
        <v>50.648050688997522</v>
      </c>
      <c r="Y143" s="109">
        <f t="shared" si="21"/>
        <v>40.10459645987433</v>
      </c>
      <c r="Z143" s="109">
        <f t="shared" si="22"/>
        <v>23.400100610711789</v>
      </c>
      <c r="AA143" s="109">
        <f t="shared" si="23"/>
        <v>14.245614761905104</v>
      </c>
    </row>
    <row r="144" spans="1:27" ht="19.5" thickBot="1" x14ac:dyDescent="0.35">
      <c r="A144" s="93">
        <v>30</v>
      </c>
      <c r="B144" s="94" t="s">
        <v>531</v>
      </c>
      <c r="C144" s="93">
        <v>11</v>
      </c>
      <c r="D144" s="94" t="s">
        <v>201</v>
      </c>
      <c r="E144" s="93">
        <v>451370</v>
      </c>
      <c r="F144" s="94" t="s">
        <v>535</v>
      </c>
      <c r="G144" s="95">
        <v>10.612858166942914</v>
      </c>
      <c r="H144" s="96">
        <v>19.693092728874515</v>
      </c>
      <c r="I144" s="97">
        <v>13.88645713357838</v>
      </c>
      <c r="J144" s="98">
        <v>0.69891617999592548</v>
      </c>
      <c r="K144" s="99">
        <v>56</v>
      </c>
      <c r="M144" s="100">
        <f t="shared" si="16"/>
        <v>0.70514354066985641</v>
      </c>
      <c r="N144" s="89">
        <f t="shared" si="17"/>
        <v>13.88645713357838</v>
      </c>
      <c r="O144" s="100"/>
      <c r="V144" s="109">
        <f t="shared" si="18"/>
        <v>516.12644236190283</v>
      </c>
      <c r="W144" s="109">
        <f t="shared" si="19"/>
        <v>120.1218591678367</v>
      </c>
      <c r="X144" s="109">
        <f t="shared" si="20"/>
        <v>44.132271920127707</v>
      </c>
      <c r="Y144" s="109">
        <f t="shared" si="21"/>
        <v>5.6393092722566696</v>
      </c>
      <c r="Z144" s="109">
        <f t="shared" si="22"/>
        <v>-55.346921691521437</v>
      </c>
      <c r="AA144" s="109">
        <f t="shared" si="23"/>
        <v>-88.768917384851633</v>
      </c>
    </row>
    <row r="145" spans="1:27" ht="19.5" thickBot="1" x14ac:dyDescent="0.35">
      <c r="A145" s="93">
        <v>30</v>
      </c>
      <c r="B145" s="94" t="s">
        <v>531</v>
      </c>
      <c r="C145" s="93">
        <v>11</v>
      </c>
      <c r="D145" s="94" t="s">
        <v>201</v>
      </c>
      <c r="E145" s="93">
        <v>551314</v>
      </c>
      <c r="F145" s="94" t="s">
        <v>207</v>
      </c>
      <c r="G145" s="95">
        <v>2.424654620741578</v>
      </c>
      <c r="H145" s="96">
        <v>11.548036475164546</v>
      </c>
      <c r="I145" s="97">
        <v>7.5062237088569539</v>
      </c>
      <c r="J145" s="98">
        <v>0.83725132434226379</v>
      </c>
      <c r="K145" s="99">
        <v>169</v>
      </c>
      <c r="M145" s="100">
        <f t="shared" si="16"/>
        <v>0.64999999999999991</v>
      </c>
      <c r="N145" s="89">
        <f t="shared" si="17"/>
        <v>7.5062237088569539</v>
      </c>
      <c r="O145" s="100"/>
      <c r="V145" s="109">
        <f t="shared" si="18"/>
        <v>153.2387348150759</v>
      </c>
      <c r="W145" s="109">
        <f t="shared" si="19"/>
        <v>55.090631410148177</v>
      </c>
      <c r="X145" s="109">
        <f t="shared" si="20"/>
        <v>36.256925479954589</v>
      </c>
      <c r="Y145" s="109">
        <f t="shared" si="21"/>
        <v>26.716603375970717</v>
      </c>
      <c r="Z145" s="109">
        <f t="shared" si="22"/>
        <v>11.601417449002911</v>
      </c>
      <c r="AA145" s="109">
        <f t="shared" si="23"/>
        <v>3.3179135995020705</v>
      </c>
    </row>
    <row r="146" spans="1:27" ht="19.5" thickBot="1" x14ac:dyDescent="0.35">
      <c r="A146" s="93">
        <v>30</v>
      </c>
      <c r="B146" s="94" t="s">
        <v>531</v>
      </c>
      <c r="C146" s="93">
        <v>11</v>
      </c>
      <c r="D146" s="94" t="s">
        <v>201</v>
      </c>
      <c r="E146" s="93">
        <v>451361</v>
      </c>
      <c r="F146" s="94" t="s">
        <v>208</v>
      </c>
      <c r="G146" s="95">
        <v>1.900911944530457</v>
      </c>
      <c r="H146" s="96">
        <v>24.198911544723043</v>
      </c>
      <c r="I146" s="97">
        <v>17.018147575473705</v>
      </c>
      <c r="J146" s="98">
        <v>0.6310153963586006</v>
      </c>
      <c r="K146" s="99">
        <v>27</v>
      </c>
      <c r="M146" s="100">
        <f t="shared" si="16"/>
        <v>0.70326086956521738</v>
      </c>
      <c r="N146" s="89">
        <f t="shared" si="17"/>
        <v>17.018147575473705</v>
      </c>
      <c r="O146" s="100"/>
      <c r="V146" s="109">
        <f t="shared" si="18"/>
        <v>83.687710918938279</v>
      </c>
      <c r="W146" s="109">
        <f t="shared" si="19"/>
        <v>12.567844811835453</v>
      </c>
      <c r="X146" s="109">
        <f t="shared" si="20"/>
        <v>-1.0793943867639375</v>
      </c>
      <c r="Y146" s="109">
        <f t="shared" si="21"/>
        <v>-7.9924819260581552</v>
      </c>
      <c r="Z146" s="109">
        <f t="shared" si="22"/>
        <v>-18.945215213983744</v>
      </c>
      <c r="AA146" s="109">
        <f t="shared" si="23"/>
        <v>-24.947589831898089</v>
      </c>
    </row>
    <row r="147" spans="1:27" ht="19.5" thickBot="1" x14ac:dyDescent="0.35">
      <c r="A147" s="93">
        <v>30</v>
      </c>
      <c r="B147" s="94" t="s">
        <v>531</v>
      </c>
      <c r="C147" s="93">
        <v>11</v>
      </c>
      <c r="D147" s="94" t="s">
        <v>201</v>
      </c>
      <c r="E147" s="93">
        <v>451350</v>
      </c>
      <c r="F147" s="94" t="s">
        <v>209</v>
      </c>
      <c r="G147" s="95">
        <v>7.976325185191234</v>
      </c>
      <c r="H147" s="96">
        <v>16.423603220592522</v>
      </c>
      <c r="I147" s="97">
        <v>11.38995689000634</v>
      </c>
      <c r="J147" s="98">
        <v>0.7530448769519128</v>
      </c>
      <c r="K147" s="99">
        <v>78</v>
      </c>
      <c r="M147" s="100">
        <f t="shared" si="16"/>
        <v>0.69351145038167938</v>
      </c>
      <c r="N147" s="89">
        <f t="shared" si="17"/>
        <v>11.38995689000634</v>
      </c>
      <c r="O147" s="100"/>
      <c r="V147" s="109">
        <f t="shared" si="18"/>
        <v>424.95824559224661</v>
      </c>
      <c r="W147" s="109">
        <f t="shared" si="19"/>
        <v>122.34035520227275</v>
      </c>
      <c r="X147" s="109">
        <f t="shared" si="20"/>
        <v>64.270803584893557</v>
      </c>
      <c r="Y147" s="109">
        <f t="shared" si="21"/>
        <v>34.855338093550365</v>
      </c>
      <c r="Z147" s="109">
        <f t="shared" si="22"/>
        <v>-11.748982513642986</v>
      </c>
      <c r="AA147" s="109">
        <f t="shared" si="23"/>
        <v>-37.289327899953484</v>
      </c>
    </row>
    <row r="148" spans="1:27" ht="19.5" thickBot="1" x14ac:dyDescent="0.35">
      <c r="A148" s="93">
        <v>30</v>
      </c>
      <c r="B148" s="94" t="s">
        <v>531</v>
      </c>
      <c r="C148" s="93">
        <v>11</v>
      </c>
      <c r="D148" s="94" t="s">
        <v>201</v>
      </c>
      <c r="E148" s="93">
        <v>551310</v>
      </c>
      <c r="F148" s="94" t="s">
        <v>210</v>
      </c>
      <c r="G148" s="95">
        <v>3.6432673006563321</v>
      </c>
      <c r="H148" s="96">
        <v>31.290594565889517</v>
      </c>
      <c r="I148" s="97">
        <v>21.388768259183689</v>
      </c>
      <c r="J148" s="98">
        <v>0.53625233630793934</v>
      </c>
      <c r="K148" s="99">
        <v>10</v>
      </c>
      <c r="M148" s="100">
        <f t="shared" si="16"/>
        <v>0.6835526315789473</v>
      </c>
      <c r="N148" s="89">
        <f t="shared" si="17"/>
        <v>21.388768259183689</v>
      </c>
      <c r="O148" s="100"/>
      <c r="V148" s="109">
        <f t="shared" si="18"/>
        <v>140.23759664855856</v>
      </c>
      <c r="W148" s="109">
        <f t="shared" si="19"/>
        <v>0</v>
      </c>
      <c r="X148" s="109">
        <f t="shared" si="20"/>
        <v>-26.910287249661167</v>
      </c>
      <c r="Y148" s="109">
        <f t="shared" si="21"/>
        <v>-40.541848091912193</v>
      </c>
      <c r="Z148" s="109">
        <f t="shared" si="22"/>
        <v>-62.138978079730727</v>
      </c>
      <c r="AA148" s="109">
        <f t="shared" si="23"/>
        <v>-73.974751073636156</v>
      </c>
    </row>
    <row r="149" spans="1:27" ht="19.5" thickBot="1" x14ac:dyDescent="0.35">
      <c r="A149" s="93">
        <v>30</v>
      </c>
      <c r="B149" s="94" t="s">
        <v>531</v>
      </c>
      <c r="C149" s="93">
        <v>11</v>
      </c>
      <c r="D149" s="94" t="s">
        <v>201</v>
      </c>
      <c r="E149" s="93">
        <v>551309</v>
      </c>
      <c r="F149" s="94" t="s">
        <v>211</v>
      </c>
      <c r="G149" s="95">
        <v>2.7951370648986362</v>
      </c>
      <c r="H149" s="96">
        <v>21.823616725647806</v>
      </c>
      <c r="I149" s="97">
        <v>14.516282764641964</v>
      </c>
      <c r="J149" s="98">
        <v>0.68526040695655444</v>
      </c>
      <c r="K149" s="99">
        <v>46</v>
      </c>
      <c r="M149" s="100">
        <f t="shared" si="16"/>
        <v>0.66516393442622956</v>
      </c>
      <c r="N149" s="89">
        <f t="shared" si="17"/>
        <v>14.516282764641964</v>
      </c>
      <c r="O149" s="100"/>
      <c r="V149" s="109">
        <f t="shared" si="18"/>
        <v>141.28831386887015</v>
      </c>
      <c r="W149" s="109">
        <f t="shared" si="19"/>
        <v>30.722771724546877</v>
      </c>
      <c r="X149" s="109">
        <f t="shared" si="20"/>
        <v>9.5062750779691889</v>
      </c>
      <c r="Y149" s="109">
        <f t="shared" si="21"/>
        <v>-1.241063373458158</v>
      </c>
      <c r="Z149" s="109">
        <f t="shared" si="22"/>
        <v>-18.268582690184285</v>
      </c>
      <c r="AA149" s="109">
        <f t="shared" si="23"/>
        <v>-27.600093562035383</v>
      </c>
    </row>
    <row r="150" spans="1:27" ht="19.5" thickBot="1" x14ac:dyDescent="0.35">
      <c r="A150" s="93">
        <v>30</v>
      </c>
      <c r="B150" s="94" t="s">
        <v>531</v>
      </c>
      <c r="C150" s="93">
        <v>11</v>
      </c>
      <c r="D150" s="94" t="s">
        <v>201</v>
      </c>
      <c r="E150" s="93">
        <v>551305</v>
      </c>
      <c r="F150" s="94" t="s">
        <v>212</v>
      </c>
      <c r="G150" s="95">
        <v>3.6878874074779828</v>
      </c>
      <c r="H150" s="96">
        <v>10.032844257927875</v>
      </c>
      <c r="I150" s="97">
        <v>6.6162540511740584</v>
      </c>
      <c r="J150" s="98">
        <v>0.85654749626324655</v>
      </c>
      <c r="K150" s="99">
        <v>190</v>
      </c>
      <c r="M150" s="100">
        <f t="shared" si="16"/>
        <v>0.6594594594594595</v>
      </c>
      <c r="N150" s="89">
        <f t="shared" si="17"/>
        <v>6.6162540511740584</v>
      </c>
      <c r="O150" s="100"/>
      <c r="V150" s="109">
        <f t="shared" si="18"/>
        <v>235.02669195635985</v>
      </c>
      <c r="W150" s="109">
        <f t="shared" si="19"/>
        <v>87.88527457302088</v>
      </c>
      <c r="X150" s="109">
        <f t="shared" si="20"/>
        <v>59.650208494193883</v>
      </c>
      <c r="Y150" s="109">
        <f t="shared" si="21"/>
        <v>45.347573313539897</v>
      </c>
      <c r="Z150" s="109">
        <f t="shared" si="22"/>
        <v>22.687228343541459</v>
      </c>
      <c r="AA150" s="109">
        <f t="shared" si="23"/>
        <v>10.268786671904397</v>
      </c>
    </row>
    <row r="151" spans="1:27" ht="19.5" thickBot="1" x14ac:dyDescent="0.35">
      <c r="A151" s="93">
        <v>30</v>
      </c>
      <c r="B151" s="94" t="s">
        <v>531</v>
      </c>
      <c r="C151" s="93">
        <v>11</v>
      </c>
      <c r="D151" s="94" t="s">
        <v>201</v>
      </c>
      <c r="E151" s="93">
        <v>451301</v>
      </c>
      <c r="F151" s="94" t="s">
        <v>213</v>
      </c>
      <c r="G151" s="95">
        <v>7.8660762164623588</v>
      </c>
      <c r="H151" s="96">
        <v>9.7888703187050368</v>
      </c>
      <c r="I151" s="97">
        <v>6.4930720977644132</v>
      </c>
      <c r="J151" s="98">
        <v>0.85921830658811038</v>
      </c>
      <c r="K151" s="99">
        <v>192</v>
      </c>
      <c r="M151" s="100">
        <f t="shared" si="16"/>
        <v>0.66331168831168841</v>
      </c>
      <c r="N151" s="89">
        <f t="shared" si="17"/>
        <v>6.4930720977644132</v>
      </c>
      <c r="O151" s="100"/>
      <c r="V151" s="109">
        <f t="shared" si="18"/>
        <v>499.94267345571018</v>
      </c>
      <c r="W151" s="109">
        <f t="shared" si="19"/>
        <v>187.92019371450442</v>
      </c>
      <c r="X151" s="109">
        <f t="shared" si="20"/>
        <v>128.04598908712688</v>
      </c>
      <c r="Y151" s="109">
        <f t="shared" si="21"/>
        <v>97.716366229988452</v>
      </c>
      <c r="Z151" s="109">
        <f t="shared" si="22"/>
        <v>49.663702642348731</v>
      </c>
      <c r="AA151" s="109">
        <f t="shared" si="23"/>
        <v>23.329628703052336</v>
      </c>
    </row>
    <row r="152" spans="1:27" ht="19.5" thickBot="1" x14ac:dyDescent="0.35">
      <c r="A152" s="93">
        <v>30</v>
      </c>
      <c r="B152" s="94" t="s">
        <v>531</v>
      </c>
      <c r="C152" s="93">
        <v>11</v>
      </c>
      <c r="D152" s="94" t="s">
        <v>201</v>
      </c>
      <c r="E152" s="93">
        <v>551341</v>
      </c>
      <c r="F152" s="94" t="s">
        <v>214</v>
      </c>
      <c r="G152" s="95">
        <v>4.0876529267833606</v>
      </c>
      <c r="H152" s="96">
        <v>5.6267008016502684</v>
      </c>
      <c r="I152" s="97">
        <v>3.455528209709132</v>
      </c>
      <c r="J152" s="98">
        <v>0.92507782053384224</v>
      </c>
      <c r="K152" s="99">
        <v>248</v>
      </c>
      <c r="M152" s="100">
        <f t="shared" si="16"/>
        <v>0.61413043478260865</v>
      </c>
      <c r="N152" s="89">
        <f t="shared" si="17"/>
        <v>3.455528209709132</v>
      </c>
      <c r="O152" s="100"/>
      <c r="V152" s="109">
        <f t="shared" si="18"/>
        <v>302.11191137430109</v>
      </c>
      <c r="W152" s="109">
        <f t="shared" si="19"/>
        <v>126.98262527009564</v>
      </c>
      <c r="X152" s="109">
        <f t="shared" si="20"/>
        <v>93.376948137003495</v>
      </c>
      <c r="Y152" s="109">
        <f t="shared" si="21"/>
        <v>76.353799025484577</v>
      </c>
      <c r="Z152" s="109">
        <f t="shared" si="22"/>
        <v>49.383214481419913</v>
      </c>
      <c r="AA152" s="109">
        <f t="shared" si="23"/>
        <v>34.602652603219781</v>
      </c>
    </row>
    <row r="153" spans="1:27" ht="19.5" thickBot="1" x14ac:dyDescent="0.35">
      <c r="A153" s="93">
        <v>30</v>
      </c>
      <c r="B153" s="94" t="s">
        <v>531</v>
      </c>
      <c r="C153" s="93">
        <v>11</v>
      </c>
      <c r="D153" s="94" t="s">
        <v>201</v>
      </c>
      <c r="E153" s="93">
        <v>551306</v>
      </c>
      <c r="F153" s="94" t="s">
        <v>216</v>
      </c>
      <c r="G153" s="95">
        <v>4.8233411048979065</v>
      </c>
      <c r="H153" s="96">
        <v>13.268810687058936</v>
      </c>
      <c r="I153" s="97">
        <v>8.6299100757629414</v>
      </c>
      <c r="J153" s="98">
        <v>0.81288774617541337</v>
      </c>
      <c r="K153" s="99">
        <v>135</v>
      </c>
      <c r="M153" s="100">
        <f t="shared" si="16"/>
        <v>0.650390625</v>
      </c>
      <c r="N153" s="89">
        <f t="shared" si="17"/>
        <v>8.6299100757629414</v>
      </c>
      <c r="O153" s="100"/>
      <c r="V153" s="109">
        <f t="shared" si="18"/>
        <v>295.78794303690023</v>
      </c>
      <c r="W153" s="109">
        <f t="shared" si="19"/>
        <v>100.66017016599591</v>
      </c>
      <c r="X153" s="109">
        <f t="shared" si="20"/>
        <v>63.216969884249984</v>
      </c>
      <c r="Y153" s="109">
        <f t="shared" si="21"/>
        <v>44.249901341507588</v>
      </c>
      <c r="Z153" s="109">
        <f t="shared" si="22"/>
        <v>14.199472814217442</v>
      </c>
      <c r="AA153" s="109">
        <f t="shared" si="23"/>
        <v>-2.2689213946054458</v>
      </c>
    </row>
    <row r="154" spans="1:27" ht="19.5" thickBot="1" x14ac:dyDescent="0.35">
      <c r="A154" s="93">
        <v>30</v>
      </c>
      <c r="B154" s="94" t="s">
        <v>531</v>
      </c>
      <c r="C154" s="93">
        <v>11</v>
      </c>
      <c r="D154" s="94" t="s">
        <v>201</v>
      </c>
      <c r="E154" s="93">
        <v>551349</v>
      </c>
      <c r="F154" s="94" t="s">
        <v>217</v>
      </c>
      <c r="G154" s="95">
        <v>2.8270338856545751</v>
      </c>
      <c r="H154" s="96">
        <v>29.359393398562702</v>
      </c>
      <c r="I154" s="97">
        <v>19.667256300723931</v>
      </c>
      <c r="J154" s="98">
        <v>0.57357786805803768</v>
      </c>
      <c r="K154" s="99">
        <v>16</v>
      </c>
      <c r="M154" s="100">
        <f t="shared" si="16"/>
        <v>0.66987951807228918</v>
      </c>
      <c r="N154" s="89">
        <f t="shared" si="17"/>
        <v>19.667256300723931</v>
      </c>
      <c r="O154" s="100"/>
      <c r="V154" s="109">
        <f t="shared" si="18"/>
        <v>118.76894180055157</v>
      </c>
      <c r="W154" s="109">
        <f t="shared" si="19"/>
        <v>7.7288789456107523</v>
      </c>
      <c r="X154" s="109">
        <f t="shared" si="20"/>
        <v>-13.578673800998601</v>
      </c>
      <c r="Y154" s="109">
        <f t="shared" si="21"/>
        <v>-24.372137243813967</v>
      </c>
      <c r="Z154" s="109">
        <f t="shared" si="22"/>
        <v>-41.472734577520107</v>
      </c>
      <c r="AA154" s="109">
        <f t="shared" si="23"/>
        <v>-50.84429404936148</v>
      </c>
    </row>
    <row r="155" spans="1:27" ht="19.5" thickBot="1" x14ac:dyDescent="0.35">
      <c r="A155" s="93">
        <v>30</v>
      </c>
      <c r="B155" s="94" t="s">
        <v>531</v>
      </c>
      <c r="C155" s="93">
        <v>11</v>
      </c>
      <c r="D155" s="94" t="s">
        <v>201</v>
      </c>
      <c r="E155" s="93">
        <v>451308</v>
      </c>
      <c r="F155" s="94" t="s">
        <v>218</v>
      </c>
      <c r="G155" s="95">
        <v>8.2089189504703022</v>
      </c>
      <c r="H155" s="96">
        <v>12.060053290491817</v>
      </c>
      <c r="I155" s="97">
        <v>8.5334013434237548</v>
      </c>
      <c r="J155" s="98">
        <v>0.81498023222256877</v>
      </c>
      <c r="K155" s="99">
        <v>142</v>
      </c>
      <c r="M155" s="100">
        <f t="shared" si="16"/>
        <v>0.70757575757575752</v>
      </c>
      <c r="N155" s="89">
        <f t="shared" si="17"/>
        <v>8.5334013434237548</v>
      </c>
      <c r="O155" s="100"/>
      <c r="V155" s="109">
        <f t="shared" si="18"/>
        <v>463.91272396761292</v>
      </c>
      <c r="W155" s="109">
        <f t="shared" si="19"/>
        <v>158.66080222201523</v>
      </c>
      <c r="X155" s="109">
        <f t="shared" si="20"/>
        <v>100.0858045466714</v>
      </c>
      <c r="Y155" s="109">
        <f t="shared" si="21"/>
        <v>70.414302446439621</v>
      </c>
      <c r="Z155" s="109">
        <f t="shared" si="22"/>
        <v>23.404330865905923</v>
      </c>
      <c r="AA155" s="109">
        <f t="shared" si="23"/>
        <v>-2.3583215046159465</v>
      </c>
    </row>
    <row r="156" spans="1:27" ht="19.5" thickBot="1" x14ac:dyDescent="0.35">
      <c r="A156" s="93">
        <v>30</v>
      </c>
      <c r="B156" s="94" t="s">
        <v>531</v>
      </c>
      <c r="C156" s="93">
        <v>11</v>
      </c>
      <c r="D156" s="94" t="s">
        <v>201</v>
      </c>
      <c r="E156" s="93">
        <v>551307</v>
      </c>
      <c r="F156" s="94" t="s">
        <v>215</v>
      </c>
      <c r="G156" s="95">
        <v>2.9715644149462772</v>
      </c>
      <c r="H156" s="96">
        <v>12.114830766894496</v>
      </c>
      <c r="I156" s="97">
        <v>8.8505569213701456</v>
      </c>
      <c r="J156" s="98">
        <v>0.80810371850671259</v>
      </c>
      <c r="K156" s="99">
        <v>126</v>
      </c>
      <c r="M156" s="100">
        <f t="shared" si="16"/>
        <v>0.73055555555555551</v>
      </c>
      <c r="N156" s="89">
        <f t="shared" si="17"/>
        <v>8.8505569213701456</v>
      </c>
      <c r="O156" s="100"/>
      <c r="V156" s="109">
        <f t="shared" si="18"/>
        <v>161.27802377596282</v>
      </c>
      <c r="W156" s="109">
        <f t="shared" si="19"/>
        <v>54.25498321279899</v>
      </c>
      <c r="X156" s="109">
        <f t="shared" si="20"/>
        <v>33.718259590072236</v>
      </c>
      <c r="Y156" s="109">
        <f t="shared" si="21"/>
        <v>23.31526407514259</v>
      </c>
      <c r="Z156" s="109">
        <f t="shared" si="22"/>
        <v>6.833303645325258</v>
      </c>
      <c r="AA156" s="109">
        <f t="shared" si="23"/>
        <v>-2.199227170198808</v>
      </c>
    </row>
    <row r="157" spans="1:27" ht="19.5" thickBot="1" x14ac:dyDescent="0.35">
      <c r="A157" s="93">
        <v>30</v>
      </c>
      <c r="B157" s="94" t="s">
        <v>531</v>
      </c>
      <c r="C157" s="93">
        <v>11</v>
      </c>
      <c r="D157" s="94" t="s">
        <v>201</v>
      </c>
      <c r="E157" s="93">
        <v>451336</v>
      </c>
      <c r="F157" s="94" t="s">
        <v>219</v>
      </c>
      <c r="G157" s="95">
        <v>5.1753039335353268</v>
      </c>
      <c r="H157" s="96">
        <v>11.593521998042947</v>
      </c>
      <c r="I157" s="97">
        <v>8.588867546883483</v>
      </c>
      <c r="J157" s="98">
        <v>0.81377762335998161</v>
      </c>
      <c r="K157" s="99">
        <v>138</v>
      </c>
      <c r="M157" s="100">
        <f t="shared" si="16"/>
        <v>0.74083333333333334</v>
      </c>
      <c r="N157" s="89">
        <f t="shared" si="17"/>
        <v>8.588867546883483</v>
      </c>
      <c r="O157" s="100"/>
      <c r="V157" s="109">
        <f t="shared" si="18"/>
        <v>278.93131583914101</v>
      </c>
      <c r="W157" s="109">
        <f t="shared" si="19"/>
        <v>95.124873520659918</v>
      </c>
      <c r="X157" s="109">
        <f t="shared" si="20"/>
        <v>59.854131014110813</v>
      </c>
      <c r="Y157" s="109">
        <f t="shared" si="21"/>
        <v>41.987533457243515</v>
      </c>
      <c r="Z157" s="109">
        <f t="shared" si="22"/>
        <v>13.680633437422703</v>
      </c>
      <c r="AA157" s="109">
        <f t="shared" si="23"/>
        <v>-1.8322630902523132</v>
      </c>
    </row>
    <row r="158" spans="1:27" ht="19.5" thickBot="1" x14ac:dyDescent="0.35">
      <c r="A158" s="93">
        <v>110</v>
      </c>
      <c r="B158" s="94" t="s">
        <v>220</v>
      </c>
      <c r="C158" s="93">
        <v>26</v>
      </c>
      <c r="D158" s="94" t="s">
        <v>221</v>
      </c>
      <c r="E158" s="93">
        <v>554116</v>
      </c>
      <c r="F158" s="94" t="s">
        <v>222</v>
      </c>
      <c r="G158" s="95">
        <v>2.4519047283898914</v>
      </c>
      <c r="H158" s="96">
        <v>11.011847111094838</v>
      </c>
      <c r="I158" s="97">
        <v>7.0149544559567119</v>
      </c>
      <c r="J158" s="98">
        <v>0.84790294137394639</v>
      </c>
      <c r="K158" s="99">
        <v>181</v>
      </c>
      <c r="M158" s="100">
        <f t="shared" si="16"/>
        <v>0.63703703703703707</v>
      </c>
      <c r="N158" s="89">
        <f t="shared" si="17"/>
        <v>7.0149544559567119</v>
      </c>
      <c r="O158" s="100"/>
      <c r="V158" s="109">
        <f t="shared" si="18"/>
        <v>160.12577215077178</v>
      </c>
      <c r="W158" s="109">
        <f t="shared" si="19"/>
        <v>58.85496009317535</v>
      </c>
      <c r="X158" s="109">
        <f t="shared" si="20"/>
        <v>39.422035488043214</v>
      </c>
      <c r="Y158" s="109">
        <f t="shared" si="21"/>
        <v>29.578175716495394</v>
      </c>
      <c r="Z158" s="109">
        <f t="shared" si="22"/>
        <v>13.982080630375481</v>
      </c>
      <c r="AA158" s="109">
        <f t="shared" si="23"/>
        <v>5.4350264090602041</v>
      </c>
    </row>
    <row r="159" spans="1:27" ht="19.5" thickBot="1" x14ac:dyDescent="0.35">
      <c r="A159" s="93">
        <v>110</v>
      </c>
      <c r="B159" s="94" t="s">
        <v>220</v>
      </c>
      <c r="C159" s="93">
        <v>26</v>
      </c>
      <c r="D159" s="94" t="s">
        <v>221</v>
      </c>
      <c r="E159" s="93">
        <v>454161</v>
      </c>
      <c r="F159" s="94" t="s">
        <v>223</v>
      </c>
      <c r="G159" s="95">
        <v>1.3371805613741101</v>
      </c>
      <c r="H159" s="96">
        <v>16.452527531055654</v>
      </c>
      <c r="I159" s="97">
        <v>10.694142895186175</v>
      </c>
      <c r="J159" s="98">
        <v>0.76813139855764112</v>
      </c>
      <c r="K159" s="99">
        <v>92</v>
      </c>
      <c r="M159" s="100">
        <f t="shared" si="16"/>
        <v>0.65</v>
      </c>
      <c r="N159" s="89">
        <f t="shared" si="17"/>
        <v>10.694142895186175</v>
      </c>
      <c r="O159" s="100"/>
      <c r="V159" s="109">
        <f t="shared" si="18"/>
        <v>77.533323868204263</v>
      </c>
      <c r="W159" s="109">
        <f t="shared" si="19"/>
        <v>23.40531120771848</v>
      </c>
      <c r="X159" s="109">
        <f t="shared" si="20"/>
        <v>13.018650256894629</v>
      </c>
      <c r="Y159" s="109">
        <f t="shared" si="21"/>
        <v>7.7572273896686044</v>
      </c>
      <c r="Z159" s="109">
        <f t="shared" si="22"/>
        <v>-0.57869502591861766</v>
      </c>
      <c r="AA159" s="109">
        <f t="shared" si="23"/>
        <v>-5.1469911588467738</v>
      </c>
    </row>
    <row r="160" spans="1:27" ht="19.5" thickBot="1" x14ac:dyDescent="0.35">
      <c r="A160" s="93">
        <v>110</v>
      </c>
      <c r="B160" s="94" t="s">
        <v>220</v>
      </c>
      <c r="C160" s="93">
        <v>26</v>
      </c>
      <c r="D160" s="94" t="s">
        <v>221</v>
      </c>
      <c r="E160" s="93">
        <v>554166</v>
      </c>
      <c r="F160" s="94" t="s">
        <v>224</v>
      </c>
      <c r="G160" s="95">
        <v>2.7313369804833663</v>
      </c>
      <c r="H160" s="96">
        <v>11.715874031162915</v>
      </c>
      <c r="I160" s="97">
        <v>7.8716028646875831</v>
      </c>
      <c r="J160" s="98">
        <v>0.82932923514923718</v>
      </c>
      <c r="K160" s="99">
        <v>158</v>
      </c>
      <c r="M160" s="100">
        <f t="shared" si="16"/>
        <v>0.671875</v>
      </c>
      <c r="N160" s="89">
        <f t="shared" si="17"/>
        <v>7.8716028646875831</v>
      </c>
      <c r="O160" s="100"/>
      <c r="V160" s="109">
        <f t="shared" si="18"/>
        <v>165.42074224318395</v>
      </c>
      <c r="W160" s="109">
        <f t="shared" si="19"/>
        <v>58.458084058659658</v>
      </c>
      <c r="X160" s="109">
        <f t="shared" si="20"/>
        <v>37.932947251400662</v>
      </c>
      <c r="Y160" s="109">
        <f t="shared" si="21"/>
        <v>27.53582110451423</v>
      </c>
      <c r="Z160" s="109">
        <f t="shared" si="22"/>
        <v>11.063159793561013</v>
      </c>
      <c r="AA160" s="109">
        <f t="shared" si="23"/>
        <v>2.0357251301636912</v>
      </c>
    </row>
    <row r="161" spans="1:27" ht="19.5" thickBot="1" x14ac:dyDescent="0.35">
      <c r="A161" s="93">
        <v>110</v>
      </c>
      <c r="B161" s="94" t="s">
        <v>220</v>
      </c>
      <c r="C161" s="93">
        <v>26</v>
      </c>
      <c r="D161" s="94" t="s">
        <v>221</v>
      </c>
      <c r="E161" s="93">
        <v>454171</v>
      </c>
      <c r="F161" s="94" t="s">
        <v>225</v>
      </c>
      <c r="G161" s="95">
        <v>1.1206443221981375</v>
      </c>
      <c r="H161" s="96">
        <v>6.2464065193044833</v>
      </c>
      <c r="I161" s="97">
        <v>4.0601642375479141</v>
      </c>
      <c r="J161" s="98">
        <v>0.9119682042204349</v>
      </c>
      <c r="K161" s="99">
        <v>239</v>
      </c>
      <c r="M161" s="100">
        <f t="shared" si="16"/>
        <v>0.65</v>
      </c>
      <c r="N161" s="89">
        <f t="shared" si="17"/>
        <v>4.0601642375479141</v>
      </c>
      <c r="O161" s="100"/>
      <c r="V161" s="109">
        <f t="shared" si="18"/>
        <v>77.145450964397128</v>
      </c>
      <c r="W161" s="109">
        <f t="shared" si="19"/>
        <v>31.782654187341972</v>
      </c>
      <c r="X161" s="109">
        <f t="shared" si="20"/>
        <v>23.077956439435248</v>
      </c>
      <c r="Y161" s="109">
        <f t="shared" si="21"/>
        <v>18.668541710297045</v>
      </c>
      <c r="Z161" s="109">
        <f t="shared" si="22"/>
        <v>11.682496298664375</v>
      </c>
      <c r="AA161" s="109">
        <f t="shared" si="23"/>
        <v>7.8539668753643355</v>
      </c>
    </row>
    <row r="162" spans="1:27" ht="19.5" thickBot="1" x14ac:dyDescent="0.35">
      <c r="A162" s="93">
        <v>110</v>
      </c>
      <c r="B162" s="94" t="s">
        <v>220</v>
      </c>
      <c r="C162" s="93">
        <v>26</v>
      </c>
      <c r="D162" s="94" t="s">
        <v>221</v>
      </c>
      <c r="E162" s="93">
        <v>554266</v>
      </c>
      <c r="F162" s="94" t="s">
        <v>226</v>
      </c>
      <c r="G162" s="95">
        <v>3.1999230109651928</v>
      </c>
      <c r="H162" s="96">
        <v>25.000601491305755</v>
      </c>
      <c r="I162" s="97">
        <v>16.648838055616427</v>
      </c>
      <c r="J162" s="98">
        <v>0.63902270304114006</v>
      </c>
      <c r="K162" s="99">
        <v>29</v>
      </c>
      <c r="M162" s="100">
        <f t="shared" si="16"/>
        <v>0.66593750000000007</v>
      </c>
      <c r="N162" s="89">
        <f t="shared" si="17"/>
        <v>16.648838055616427</v>
      </c>
      <c r="O162" s="100"/>
      <c r="V162" s="109">
        <f t="shared" si="18"/>
        <v>150.66019762266785</v>
      </c>
      <c r="W162" s="109">
        <f t="shared" si="19"/>
        <v>24.22981795183771</v>
      </c>
      <c r="X162" s="109">
        <f t="shared" si="20"/>
        <v>-3.0993095516554048E-2</v>
      </c>
      <c r="Y162" s="109">
        <f t="shared" si="21"/>
        <v>-12.320446522979669</v>
      </c>
      <c r="Z162" s="109">
        <f t="shared" si="22"/>
        <v>-31.79121191981546</v>
      </c>
      <c r="AA162" s="109">
        <f t="shared" si="23"/>
        <v>-42.461683384520221</v>
      </c>
    </row>
    <row r="163" spans="1:27" ht="19.5" thickBot="1" x14ac:dyDescent="0.35">
      <c r="A163" s="93">
        <v>110</v>
      </c>
      <c r="B163" s="94" t="s">
        <v>220</v>
      </c>
      <c r="C163" s="93">
        <v>26</v>
      </c>
      <c r="D163" s="94" t="s">
        <v>221</v>
      </c>
      <c r="E163" s="93">
        <v>554296</v>
      </c>
      <c r="F163" s="94" t="s">
        <v>227</v>
      </c>
      <c r="G163" s="95">
        <v>3.723699629029221</v>
      </c>
      <c r="H163" s="96">
        <v>6.1766528698224148</v>
      </c>
      <c r="I163" s="97">
        <v>4.3639395275919233</v>
      </c>
      <c r="J163" s="98">
        <v>0.90538179964873644</v>
      </c>
      <c r="K163" s="99">
        <v>234</v>
      </c>
      <c r="M163" s="100">
        <f t="shared" si="16"/>
        <v>0.7065217391304347</v>
      </c>
      <c r="N163" s="89">
        <f t="shared" si="17"/>
        <v>4.3639395275919233</v>
      </c>
      <c r="O163" s="100"/>
      <c r="V163" s="109">
        <f t="shared" si="18"/>
        <v>234.12999661094932</v>
      </c>
      <c r="W163" s="109">
        <f t="shared" si="19"/>
        <v>95.456171125278459</v>
      </c>
      <c r="X163" s="109">
        <f t="shared" si="20"/>
        <v>68.845956981487049</v>
      </c>
      <c r="Y163" s="109">
        <f t="shared" si="21"/>
        <v>55.366399897569714</v>
      </c>
      <c r="Z163" s="109">
        <f t="shared" si="22"/>
        <v>34.010096691464526</v>
      </c>
      <c r="AA163" s="109">
        <f t="shared" si="23"/>
        <v>22.306302859643132</v>
      </c>
    </row>
    <row r="164" spans="1:27" ht="19.5" thickBot="1" x14ac:dyDescent="0.35">
      <c r="A164" s="93">
        <v>110</v>
      </c>
      <c r="B164" s="94" t="s">
        <v>220</v>
      </c>
      <c r="C164" s="93">
        <v>26</v>
      </c>
      <c r="D164" s="94" t="s">
        <v>221</v>
      </c>
      <c r="E164" s="93">
        <v>554356</v>
      </c>
      <c r="F164" s="94" t="s">
        <v>228</v>
      </c>
      <c r="G164" s="95">
        <v>3.6316184890378431</v>
      </c>
      <c r="H164" s="96">
        <v>22.579464293267488</v>
      </c>
      <c r="I164" s="97">
        <v>14.93135916222475</v>
      </c>
      <c r="J164" s="98">
        <v>0.67626079055507771</v>
      </c>
      <c r="K164" s="99">
        <v>41</v>
      </c>
      <c r="M164" s="100">
        <f t="shared" si="16"/>
        <v>0.66128048780487803</v>
      </c>
      <c r="N164" s="89">
        <f t="shared" si="17"/>
        <v>14.93135916222475</v>
      </c>
      <c r="O164" s="100"/>
      <c r="V164" s="109">
        <f t="shared" si="18"/>
        <v>182.22371853407844</v>
      </c>
      <c r="W164" s="109">
        <f t="shared" si="19"/>
        <v>37.726364614723408</v>
      </c>
      <c r="X164" s="109">
        <f t="shared" si="20"/>
        <v>9.9986696619179991</v>
      </c>
      <c r="Y164" s="109">
        <f t="shared" si="21"/>
        <v>-4.0469537555467294</v>
      </c>
      <c r="Z164" s="109">
        <f t="shared" si="22"/>
        <v>-26.300102768880222</v>
      </c>
      <c r="AA164" s="109">
        <f t="shared" si="23"/>
        <v>-38.495390766402217</v>
      </c>
    </row>
    <row r="165" spans="1:27" ht="19.5" thickBot="1" x14ac:dyDescent="0.35">
      <c r="A165" s="93">
        <v>110</v>
      </c>
      <c r="B165" s="94" t="s">
        <v>220</v>
      </c>
      <c r="C165" s="93">
        <v>26</v>
      </c>
      <c r="D165" s="94" t="s">
        <v>221</v>
      </c>
      <c r="E165" s="93">
        <v>454426</v>
      </c>
      <c r="F165" s="94" t="s">
        <v>229</v>
      </c>
      <c r="G165" s="95">
        <v>8.4869231768698743</v>
      </c>
      <c r="H165" s="96">
        <v>17.08510811022547</v>
      </c>
      <c r="I165" s="97">
        <v>11.832910220478571</v>
      </c>
      <c r="J165" s="98">
        <v>0.74344083759621427</v>
      </c>
      <c r="K165" s="99">
        <v>73</v>
      </c>
      <c r="M165" s="100">
        <f t="shared" si="16"/>
        <v>0.6925862068965517</v>
      </c>
      <c r="N165" s="89">
        <f t="shared" si="17"/>
        <v>11.832910220478571</v>
      </c>
      <c r="O165" s="100"/>
      <c r="V165" s="109">
        <f t="shared" si="18"/>
        <v>446.99126157602507</v>
      </c>
      <c r="W165" s="109">
        <f t="shared" si="19"/>
        <v>124.5713779651046</v>
      </c>
      <c r="X165" s="109">
        <f t="shared" si="20"/>
        <v>62.702008478435104</v>
      </c>
      <c r="Y165" s="109">
        <f t="shared" si="21"/>
        <v>31.361723382078019</v>
      </c>
      <c r="Z165" s="109">
        <f t="shared" si="22"/>
        <v>-18.292180445529731</v>
      </c>
      <c r="AA165" s="109">
        <f t="shared" si="23"/>
        <v>-45.503774499751472</v>
      </c>
    </row>
    <row r="166" spans="1:27" ht="19.5" thickBot="1" x14ac:dyDescent="0.35">
      <c r="A166" s="93">
        <v>110</v>
      </c>
      <c r="B166" s="94" t="s">
        <v>220</v>
      </c>
      <c r="C166" s="93">
        <v>26</v>
      </c>
      <c r="D166" s="94" t="s">
        <v>221</v>
      </c>
      <c r="E166" s="93">
        <v>554431</v>
      </c>
      <c r="F166" s="94" t="s">
        <v>230</v>
      </c>
      <c r="G166" s="95">
        <v>1.855739421868454</v>
      </c>
      <c r="H166" s="96">
        <v>9.6996376688903201</v>
      </c>
      <c r="I166" s="97">
        <v>6.3047644847787074</v>
      </c>
      <c r="J166" s="98">
        <v>0.86330116047288485</v>
      </c>
      <c r="K166" s="99">
        <v>194</v>
      </c>
      <c r="M166" s="100">
        <f t="shared" si="16"/>
        <v>0.64999999999999991</v>
      </c>
      <c r="N166" s="89">
        <f t="shared" si="17"/>
        <v>6.3047644847787074</v>
      </c>
      <c r="O166" s="100"/>
      <c r="V166" s="109">
        <f t="shared" si="18"/>
        <v>120.93225425141075</v>
      </c>
      <c r="W166" s="109">
        <f t="shared" si="19"/>
        <v>45.813388615017807</v>
      </c>
      <c r="X166" s="109">
        <f t="shared" si="20"/>
        <v>31.398778692616421</v>
      </c>
      <c r="Y166" s="109">
        <f t="shared" si="21"/>
        <v>24.096975097896195</v>
      </c>
      <c r="Z166" s="109">
        <f t="shared" si="22"/>
        <v>12.528380480916724</v>
      </c>
      <c r="AA166" s="109">
        <f t="shared" si="23"/>
        <v>6.1884982918335263</v>
      </c>
    </row>
    <row r="167" spans="1:27" ht="19.5" thickBot="1" x14ac:dyDescent="0.35">
      <c r="A167" s="93">
        <v>110</v>
      </c>
      <c r="B167" s="94" t="s">
        <v>220</v>
      </c>
      <c r="C167" s="93">
        <v>26</v>
      </c>
      <c r="D167" s="94" t="s">
        <v>221</v>
      </c>
      <c r="E167" s="93">
        <v>554476</v>
      </c>
      <c r="F167" s="94" t="s">
        <v>231</v>
      </c>
      <c r="G167" s="95">
        <v>2.096152129590839</v>
      </c>
      <c r="H167" s="96">
        <v>14.789002936562188</v>
      </c>
      <c r="I167" s="97">
        <v>10.55505451520769</v>
      </c>
      <c r="J167" s="98">
        <v>0.77114708933890153</v>
      </c>
      <c r="K167" s="99">
        <v>97</v>
      </c>
      <c r="M167" s="100">
        <f t="shared" si="16"/>
        <v>0.71370967741935476</v>
      </c>
      <c r="N167" s="89">
        <f t="shared" si="17"/>
        <v>10.55505451520769</v>
      </c>
      <c r="O167" s="100"/>
      <c r="V167" s="109">
        <f t="shared" si="18"/>
        <v>111.12572914121633</v>
      </c>
      <c r="W167" s="109">
        <f t="shared" si="19"/>
        <v>33.849379791330584</v>
      </c>
      <c r="X167" s="109">
        <f t="shared" si="20"/>
        <v>19.020768860254943</v>
      </c>
      <c r="Y167" s="109">
        <f t="shared" si="21"/>
        <v>11.509250672519082</v>
      </c>
      <c r="Z167" s="109">
        <f t="shared" si="22"/>
        <v>-0.39160474556122415</v>
      </c>
      <c r="AA167" s="109">
        <f t="shared" si="23"/>
        <v>-6.9135742498951371</v>
      </c>
    </row>
    <row r="168" spans="1:27" ht="19.5" thickBot="1" x14ac:dyDescent="0.35">
      <c r="A168" s="93">
        <v>110</v>
      </c>
      <c r="B168" s="94" t="s">
        <v>220</v>
      </c>
      <c r="C168" s="93">
        <v>26</v>
      </c>
      <c r="D168" s="94" t="s">
        <v>221</v>
      </c>
      <c r="E168" s="93">
        <v>554471</v>
      </c>
      <c r="F168" s="94" t="s">
        <v>232</v>
      </c>
      <c r="G168" s="95">
        <v>1.8666392638061642</v>
      </c>
      <c r="H168" s="96">
        <v>10.714443003421598</v>
      </c>
      <c r="I168" s="97">
        <v>7.084925436012532</v>
      </c>
      <c r="J168" s="98">
        <v>0.84638584239312042</v>
      </c>
      <c r="K168" s="99">
        <v>180</v>
      </c>
      <c r="M168" s="100">
        <f t="shared" si="16"/>
        <v>0.66125</v>
      </c>
      <c r="N168" s="89">
        <f t="shared" si="17"/>
        <v>7.084925436012532</v>
      </c>
      <c r="O168" s="100"/>
      <c r="V168" s="109">
        <f t="shared" si="18"/>
        <v>117.23014136955493</v>
      </c>
      <c r="W168" s="109">
        <f t="shared" si="19"/>
        <v>42.955579997656422</v>
      </c>
      <c r="X168" s="109">
        <f t="shared" si="20"/>
        <v>28.70298419148806</v>
      </c>
      <c r="Y168" s="109">
        <f t="shared" si="21"/>
        <v>21.48324977953963</v>
      </c>
      <c r="Z168" s="109">
        <f t="shared" si="22"/>
        <v>10.044681271002764</v>
      </c>
      <c r="AA168" s="109">
        <f t="shared" si="23"/>
        <v>3.7760566751125335</v>
      </c>
    </row>
    <row r="169" spans="1:27" ht="19.5" thickBot="1" x14ac:dyDescent="0.35">
      <c r="A169" s="93">
        <v>110</v>
      </c>
      <c r="B169" s="94" t="s">
        <v>220</v>
      </c>
      <c r="C169" s="93">
        <v>26</v>
      </c>
      <c r="D169" s="94" t="s">
        <v>221</v>
      </c>
      <c r="E169" s="93">
        <v>454481</v>
      </c>
      <c r="F169" s="94" t="s">
        <v>233</v>
      </c>
      <c r="G169" s="95">
        <v>10.446022454723625</v>
      </c>
      <c r="H169" s="96">
        <v>15.029644123443905</v>
      </c>
      <c r="I169" s="97">
        <v>10.515964375543394</v>
      </c>
      <c r="J169" s="98">
        <v>0.77199463515000399</v>
      </c>
      <c r="K169" s="99">
        <v>98</v>
      </c>
      <c r="M169" s="100">
        <f t="shared" si="16"/>
        <v>0.69968152866242028</v>
      </c>
      <c r="N169" s="89">
        <f t="shared" si="17"/>
        <v>10.515964375543394</v>
      </c>
      <c r="O169" s="100"/>
      <c r="V169" s="109">
        <f t="shared" si="18"/>
        <v>565.51094564221671</v>
      </c>
      <c r="W169" s="109">
        <f t="shared" si="19"/>
        <v>172.68883004626332</v>
      </c>
      <c r="X169" s="109">
        <f t="shared" si="20"/>
        <v>97.309928657943175</v>
      </c>
      <c r="Y169" s="109">
        <f t="shared" si="21"/>
        <v>59.12631244589906</v>
      </c>
      <c r="Z169" s="109">
        <f t="shared" si="22"/>
        <v>-1.3698062509759936</v>
      </c>
      <c r="AA169" s="109">
        <f t="shared" si="23"/>
        <v>-34.523208036881236</v>
      </c>
    </row>
    <row r="170" spans="1:27" ht="19.5" thickBot="1" x14ac:dyDescent="0.35">
      <c r="A170" s="93">
        <v>110</v>
      </c>
      <c r="B170" s="94" t="s">
        <v>220</v>
      </c>
      <c r="C170" s="93">
        <v>26</v>
      </c>
      <c r="D170" s="94" t="s">
        <v>221</v>
      </c>
      <c r="E170" s="93">
        <v>554486</v>
      </c>
      <c r="F170" s="94" t="s">
        <v>234</v>
      </c>
      <c r="G170" s="95">
        <v>4.6766736719616731</v>
      </c>
      <c r="H170" s="96">
        <v>11.11901399316325</v>
      </c>
      <c r="I170" s="97">
        <v>7.6977789183437881</v>
      </c>
      <c r="J170" s="98">
        <v>0.83309805661823688</v>
      </c>
      <c r="K170" s="99">
        <v>162</v>
      </c>
      <c r="M170" s="100">
        <f t="shared" si="16"/>
        <v>0.69230769230769229</v>
      </c>
      <c r="N170" s="89">
        <f t="shared" si="17"/>
        <v>7.6977789183437881</v>
      </c>
      <c r="O170" s="100"/>
      <c r="V170" s="109">
        <f t="shared" si="18"/>
        <v>276.12785410822187</v>
      </c>
      <c r="W170" s="109">
        <f t="shared" si="19"/>
        <v>98.388624363401931</v>
      </c>
      <c r="X170" s="109">
        <f t="shared" si="20"/>
        <v>64.282123380266398</v>
      </c>
      <c r="Y170" s="109">
        <f t="shared" si="21"/>
        <v>47.005279065876557</v>
      </c>
      <c r="Z170" s="109">
        <f t="shared" si="22"/>
        <v>19.632753149353206</v>
      </c>
      <c r="AA170" s="109">
        <f t="shared" si="23"/>
        <v>4.6319172419666401</v>
      </c>
    </row>
    <row r="171" spans="1:27" ht="19.5" thickBot="1" x14ac:dyDescent="0.35">
      <c r="A171" s="93">
        <v>110</v>
      </c>
      <c r="B171" s="94" t="s">
        <v>220</v>
      </c>
      <c r="C171" s="93">
        <v>26</v>
      </c>
      <c r="D171" s="94" t="s">
        <v>221</v>
      </c>
      <c r="E171" s="93">
        <v>554491</v>
      </c>
      <c r="F171" s="94" t="s">
        <v>235</v>
      </c>
      <c r="G171" s="95">
        <v>3.3325728901477198</v>
      </c>
      <c r="H171" s="96">
        <v>11.40260130913914</v>
      </c>
      <c r="I171" s="97">
        <v>8.0418346074981315</v>
      </c>
      <c r="J171" s="98">
        <v>0.82563829923100251</v>
      </c>
      <c r="K171" s="99">
        <v>156</v>
      </c>
      <c r="M171" s="100">
        <f t="shared" si="16"/>
        <v>0.70526315789473693</v>
      </c>
      <c r="N171" s="89">
        <f t="shared" si="17"/>
        <v>8.0418346074981315</v>
      </c>
      <c r="O171" s="100"/>
      <c r="V171" s="109">
        <f t="shared" si="18"/>
        <v>191.42315811624593</v>
      </c>
      <c r="W171" s="109">
        <f t="shared" si="19"/>
        <v>67.093756417112118</v>
      </c>
      <c r="X171" s="109">
        <f t="shared" si="20"/>
        <v>43.236103453429557</v>
      </c>
      <c r="Y171" s="109">
        <f t="shared" si="21"/>
        <v>31.150872072934202</v>
      </c>
      <c r="Z171" s="109">
        <f t="shared" si="22"/>
        <v>12.003665375339247</v>
      </c>
      <c r="AA171" s="109">
        <f t="shared" si="23"/>
        <v>1.5105122541633595</v>
      </c>
    </row>
    <row r="172" spans="1:27" ht="19.5" thickBot="1" x14ac:dyDescent="0.35">
      <c r="A172" s="93">
        <v>110</v>
      </c>
      <c r="B172" s="94" t="s">
        <v>220</v>
      </c>
      <c r="C172" s="93">
        <v>26</v>
      </c>
      <c r="D172" s="94" t="s">
        <v>221</v>
      </c>
      <c r="E172" s="93">
        <v>554601</v>
      </c>
      <c r="F172" s="94" t="s">
        <v>236</v>
      </c>
      <c r="G172" s="95">
        <v>4.0624214284196407</v>
      </c>
      <c r="H172" s="96">
        <v>2.2154274632952524</v>
      </c>
      <c r="I172" s="97">
        <v>1.3538723386804319</v>
      </c>
      <c r="J172" s="98">
        <v>0.97064556844077388</v>
      </c>
      <c r="K172" s="99">
        <v>275</v>
      </c>
      <c r="M172" s="100">
        <f t="shared" si="16"/>
        <v>0.61111111111111105</v>
      </c>
      <c r="N172" s="89">
        <f t="shared" si="17"/>
        <v>1.3538723386804319</v>
      </c>
      <c r="O172" s="100"/>
      <c r="V172" s="109">
        <f t="shared" si="18"/>
        <v>316.59325435192051</v>
      </c>
      <c r="W172" s="109">
        <f t="shared" si="19"/>
        <v>141.68505116682536</v>
      </c>
      <c r="X172" s="109">
        <f t="shared" si="20"/>
        <v>108.12179778457774</v>
      </c>
      <c r="Y172" s="109">
        <f t="shared" si="21"/>
        <v>91.120138668146097</v>
      </c>
      <c r="Z172" s="109">
        <f t="shared" si="22"/>
        <v>64.183601745091934</v>
      </c>
      <c r="AA172" s="109">
        <f t="shared" si="23"/>
        <v>49.42169882359066</v>
      </c>
    </row>
    <row r="173" spans="1:27" ht="19.5" thickBot="1" x14ac:dyDescent="0.35">
      <c r="A173" s="93">
        <v>110</v>
      </c>
      <c r="B173" s="94" t="s">
        <v>220</v>
      </c>
      <c r="C173" s="93">
        <v>26</v>
      </c>
      <c r="D173" s="94" t="s">
        <v>221</v>
      </c>
      <c r="E173" s="93">
        <v>554611</v>
      </c>
      <c r="F173" s="94" t="s">
        <v>237</v>
      </c>
      <c r="G173" s="95">
        <v>2.9971506287074314</v>
      </c>
      <c r="H173" s="96">
        <v>6.005704160342046</v>
      </c>
      <c r="I173" s="97">
        <v>4.3291117489132249</v>
      </c>
      <c r="J173" s="98">
        <v>0.90613692966829207</v>
      </c>
      <c r="K173" s="99">
        <v>235</v>
      </c>
      <c r="M173" s="100">
        <f t="shared" si="16"/>
        <v>0.72083333333333333</v>
      </c>
      <c r="N173" s="89">
        <f t="shared" si="17"/>
        <v>4.3291117489132249</v>
      </c>
      <c r="O173" s="100"/>
      <c r="V173" s="109">
        <f t="shared" si="18"/>
        <v>184.86033076023489</v>
      </c>
      <c r="W173" s="109">
        <f t="shared" si="19"/>
        <v>75.459884740312305</v>
      </c>
      <c r="X173" s="109">
        <f t="shared" si="20"/>
        <v>54.466959176884764</v>
      </c>
      <c r="Y173" s="109">
        <f t="shared" si="21"/>
        <v>43.832871944006449</v>
      </c>
      <c r="Z173" s="109">
        <f t="shared" si="22"/>
        <v>26.984781917629931</v>
      </c>
      <c r="AA173" s="109">
        <f t="shared" si="23"/>
        <v>17.751602831077776</v>
      </c>
    </row>
    <row r="174" spans="1:27" ht="19.5" thickBot="1" x14ac:dyDescent="0.35">
      <c r="A174" s="93">
        <v>110</v>
      </c>
      <c r="B174" s="94" t="s">
        <v>220</v>
      </c>
      <c r="C174" s="93">
        <v>26</v>
      </c>
      <c r="D174" s="94" t="s">
        <v>221</v>
      </c>
      <c r="E174" s="93">
        <v>554636</v>
      </c>
      <c r="F174" s="94" t="s">
        <v>238</v>
      </c>
      <c r="G174" s="95">
        <v>2.7185394315829101</v>
      </c>
      <c r="H174" s="96">
        <v>6.6212024702982628</v>
      </c>
      <c r="I174" s="97">
        <v>4.6900184164612693</v>
      </c>
      <c r="J174" s="98">
        <v>0.8983118122114031</v>
      </c>
      <c r="K174" s="99">
        <v>229</v>
      </c>
      <c r="M174" s="100">
        <f t="shared" si="16"/>
        <v>0.70833333333333326</v>
      </c>
      <c r="N174" s="89">
        <f t="shared" si="17"/>
        <v>4.6900184164612693</v>
      </c>
      <c r="O174" s="100"/>
      <c r="V174" s="109">
        <f t="shared" si="18"/>
        <v>169.16139354106258</v>
      </c>
      <c r="W174" s="109">
        <f t="shared" si="19"/>
        <v>68.179539282472831</v>
      </c>
      <c r="X174" s="109">
        <f t="shared" si="20"/>
        <v>48.80206298478555</v>
      </c>
      <c r="Y174" s="109">
        <f t="shared" si="21"/>
        <v>38.986290872411431</v>
      </c>
      <c r="Z174" s="109">
        <f t="shared" si="22"/>
        <v>23.434696400215902</v>
      </c>
      <c r="AA174" s="109">
        <f t="shared" si="23"/>
        <v>14.912029639863977</v>
      </c>
    </row>
    <row r="175" spans="1:27" ht="19.5" thickBot="1" x14ac:dyDescent="0.35">
      <c r="A175" s="93">
        <v>110</v>
      </c>
      <c r="B175" s="94" t="s">
        <v>220</v>
      </c>
      <c r="C175" s="93">
        <v>26</v>
      </c>
      <c r="D175" s="94" t="s">
        <v>221</v>
      </c>
      <c r="E175" s="93">
        <v>454671</v>
      </c>
      <c r="F175" s="94" t="s">
        <v>239</v>
      </c>
      <c r="G175" s="95">
        <v>4.4235571915611969</v>
      </c>
      <c r="H175" s="96">
        <v>11.98130773602473</v>
      </c>
      <c r="I175" s="97">
        <v>8.3925669754701531</v>
      </c>
      <c r="J175" s="98">
        <v>0.81803377922044174</v>
      </c>
      <c r="K175" s="99">
        <v>146</v>
      </c>
      <c r="M175" s="100">
        <f t="shared" si="16"/>
        <v>0.70047169811320753</v>
      </c>
      <c r="N175" s="89">
        <f t="shared" si="17"/>
        <v>8.3925669754701531</v>
      </c>
      <c r="O175" s="100"/>
      <c r="V175" s="109">
        <f t="shared" si="18"/>
        <v>253.47111662382517</v>
      </c>
      <c r="W175" s="109">
        <f t="shared" si="19"/>
        <v>87.311134079290412</v>
      </c>
      <c r="X175" s="109">
        <f t="shared" si="20"/>
        <v>55.426582671313348</v>
      </c>
      <c r="Y175" s="109">
        <f t="shared" si="21"/>
        <v>39.275279698834218</v>
      </c>
      <c r="Z175" s="109">
        <f t="shared" si="22"/>
        <v>13.686002446877964</v>
      </c>
      <c r="AA175" s="109">
        <f t="shared" si="23"/>
        <v>-0.33756812954074983</v>
      </c>
    </row>
    <row r="176" spans="1:27" ht="19.5" thickBot="1" x14ac:dyDescent="0.35">
      <c r="A176" s="93">
        <v>110</v>
      </c>
      <c r="B176" s="94" t="s">
        <v>220</v>
      </c>
      <c r="C176" s="93">
        <v>27</v>
      </c>
      <c r="D176" s="94" t="s">
        <v>240</v>
      </c>
      <c r="E176" s="93">
        <v>554184</v>
      </c>
      <c r="F176" s="94" t="s">
        <v>536</v>
      </c>
      <c r="G176" s="95">
        <v>4.0428715832699478</v>
      </c>
      <c r="H176" s="96">
        <v>2.720838338155426</v>
      </c>
      <c r="I176" s="97">
        <v>1.8551170487423359</v>
      </c>
      <c r="J176" s="98">
        <v>0.95977766523043329</v>
      </c>
      <c r="K176" s="99">
        <v>273</v>
      </c>
      <c r="M176" s="100">
        <f t="shared" si="16"/>
        <v>0.68181818181818177</v>
      </c>
      <c r="N176" s="89">
        <f t="shared" si="17"/>
        <v>1.8551170487423359</v>
      </c>
      <c r="O176" s="100"/>
      <c r="V176" s="109">
        <f t="shared" si="18"/>
        <v>279.23393377534279</v>
      </c>
      <c r="W176" s="109">
        <f t="shared" si="19"/>
        <v>123.21879111463825</v>
      </c>
      <c r="X176" s="109">
        <f t="shared" si="20"/>
        <v>93.280939891917797</v>
      </c>
      <c r="Y176" s="109">
        <f t="shared" si="21"/>
        <v>78.11574909916952</v>
      </c>
      <c r="Z176" s="109">
        <f t="shared" si="22"/>
        <v>54.088816260642993</v>
      </c>
      <c r="AA176" s="109">
        <f t="shared" si="23"/>
        <v>40.921449903307114</v>
      </c>
    </row>
    <row r="177" spans="1:27" ht="19.5" thickBot="1" x14ac:dyDescent="0.35">
      <c r="A177" s="93">
        <v>110</v>
      </c>
      <c r="B177" s="94" t="s">
        <v>220</v>
      </c>
      <c r="C177" s="93">
        <v>27</v>
      </c>
      <c r="D177" s="94" t="s">
        <v>240</v>
      </c>
      <c r="E177" s="93">
        <v>554506</v>
      </c>
      <c r="F177" s="94" t="s">
        <v>242</v>
      </c>
      <c r="G177" s="95">
        <v>2.6587267141460678</v>
      </c>
      <c r="H177" s="96">
        <v>15.79703539161587</v>
      </c>
      <c r="I177" s="97">
        <v>10.615983903056142</v>
      </c>
      <c r="J177" s="98">
        <v>0.76982602863439964</v>
      </c>
      <c r="K177" s="99">
        <v>96</v>
      </c>
      <c r="M177" s="100">
        <f t="shared" si="16"/>
        <v>0.67202380952380958</v>
      </c>
      <c r="N177" s="89">
        <f t="shared" si="17"/>
        <v>10.615983903056142</v>
      </c>
      <c r="O177" s="100"/>
      <c r="V177" s="109">
        <f t="shared" si="18"/>
        <v>149.43688865601138</v>
      </c>
      <c r="W177" s="109">
        <f t="shared" si="19"/>
        <v>45.340797212430076</v>
      </c>
      <c r="X177" s="109">
        <f t="shared" si="20"/>
        <v>25.365727835465236</v>
      </c>
      <c r="Y177" s="109">
        <f t="shared" si="21"/>
        <v>15.247241510362562</v>
      </c>
      <c r="Z177" s="109">
        <f t="shared" si="22"/>
        <v>-0.78395748233621698</v>
      </c>
      <c r="AA177" s="109">
        <f t="shared" si="23"/>
        <v>-9.5694596395547151</v>
      </c>
    </row>
    <row r="178" spans="1:27" ht="19.5" thickBot="1" x14ac:dyDescent="0.35">
      <c r="A178" s="93">
        <v>110</v>
      </c>
      <c r="B178" s="94" t="s">
        <v>220</v>
      </c>
      <c r="C178" s="93">
        <v>27</v>
      </c>
      <c r="D178" s="94" t="s">
        <v>240</v>
      </c>
      <c r="E178" s="93">
        <v>554196</v>
      </c>
      <c r="F178" s="94" t="s">
        <v>243</v>
      </c>
      <c r="G178" s="95">
        <v>3.2063500094108797</v>
      </c>
      <c r="H178" s="96">
        <v>11.539601070189532</v>
      </c>
      <c r="I178" s="97">
        <v>7.500740695623195</v>
      </c>
      <c r="J178" s="98">
        <v>0.83737020610985036</v>
      </c>
      <c r="K178" s="99">
        <v>170</v>
      </c>
      <c r="M178" s="100">
        <f t="shared" si="16"/>
        <v>0.64999999999999991</v>
      </c>
      <c r="N178" s="89">
        <f t="shared" si="17"/>
        <v>7.500740695623195</v>
      </c>
      <c r="O178" s="100"/>
      <c r="V178" s="109">
        <f t="shared" si="18"/>
        <v>202.6708380737191</v>
      </c>
      <c r="W178" s="109">
        <f t="shared" si="19"/>
        <v>72.880322928184526</v>
      </c>
      <c r="X178" s="109">
        <f t="shared" si="20"/>
        <v>47.974733212463079</v>
      </c>
      <c r="Y178" s="109">
        <f t="shared" si="21"/>
        <v>35.358663440622465</v>
      </c>
      <c r="Z178" s="109">
        <f t="shared" si="22"/>
        <v>15.370424239627484</v>
      </c>
      <c r="AA178" s="109">
        <f t="shared" si="23"/>
        <v>4.4163640536539495</v>
      </c>
    </row>
    <row r="179" spans="1:27" ht="19.5" thickBot="1" x14ac:dyDescent="0.35">
      <c r="A179" s="93">
        <v>110</v>
      </c>
      <c r="B179" s="94" t="s">
        <v>220</v>
      </c>
      <c r="C179" s="93">
        <v>27</v>
      </c>
      <c r="D179" s="94" t="s">
        <v>240</v>
      </c>
      <c r="E179" s="93">
        <v>554257</v>
      </c>
      <c r="F179" s="94" t="s">
        <v>244</v>
      </c>
      <c r="G179" s="95">
        <v>3.5085191890858076</v>
      </c>
      <c r="H179" s="96">
        <v>13.110944395885127</v>
      </c>
      <c r="I179" s="97">
        <v>8.6218710429461982</v>
      </c>
      <c r="J179" s="98">
        <v>0.81306204712822816</v>
      </c>
      <c r="K179" s="99">
        <v>136</v>
      </c>
      <c r="M179" s="100">
        <f t="shared" si="16"/>
        <v>0.65760869565217395</v>
      </c>
      <c r="N179" s="89">
        <f t="shared" si="17"/>
        <v>8.6218710429461982</v>
      </c>
      <c r="O179" s="100"/>
      <c r="V179" s="109">
        <f t="shared" si="18"/>
        <v>212.84143813802848</v>
      </c>
      <c r="W179" s="109">
        <f t="shared" si="19"/>
        <v>72.462584066810223</v>
      </c>
      <c r="X179" s="109">
        <f t="shared" si="20"/>
        <v>45.525190834796526</v>
      </c>
      <c r="Y179" s="109">
        <f t="shared" si="21"/>
        <v>31.879899301222896</v>
      </c>
      <c r="Z179" s="109">
        <f t="shared" si="22"/>
        <v>10.261015126283127</v>
      </c>
      <c r="AA179" s="109">
        <f t="shared" si="23"/>
        <v>-1.5866797118941582</v>
      </c>
    </row>
    <row r="180" spans="1:27" ht="19.5" thickBot="1" x14ac:dyDescent="0.35">
      <c r="A180" s="93">
        <v>110</v>
      </c>
      <c r="B180" s="94" t="s">
        <v>220</v>
      </c>
      <c r="C180" s="93">
        <v>27</v>
      </c>
      <c r="D180" s="94" t="s">
        <v>240</v>
      </c>
      <c r="E180" s="93">
        <v>554321</v>
      </c>
      <c r="F180" s="94" t="s">
        <v>245</v>
      </c>
      <c r="G180" s="95">
        <v>2.5722025560324151</v>
      </c>
      <c r="H180" s="96">
        <v>8.1642092885531508</v>
      </c>
      <c r="I180" s="97">
        <v>5.714946501987205</v>
      </c>
      <c r="J180" s="98">
        <v>0.8760894944343639</v>
      </c>
      <c r="K180" s="99">
        <v>212</v>
      </c>
      <c r="M180" s="100">
        <f t="shared" si="16"/>
        <v>0.7</v>
      </c>
      <c r="N180" s="89">
        <f t="shared" si="17"/>
        <v>5.714946501987205</v>
      </c>
      <c r="O180" s="100"/>
      <c r="V180" s="109">
        <f t="shared" si="18"/>
        <v>157.95442057442307</v>
      </c>
      <c r="W180" s="109">
        <f t="shared" si="19"/>
        <v>61.27088812561896</v>
      </c>
      <c r="X180" s="109">
        <f t="shared" si="20"/>
        <v>42.718219706539934</v>
      </c>
      <c r="Y180" s="109">
        <f t="shared" si="21"/>
        <v>33.320258770839814</v>
      </c>
      <c r="Z180" s="109">
        <f t="shared" si="22"/>
        <v>18.430622411689072</v>
      </c>
      <c r="AA180" s="109">
        <f t="shared" si="23"/>
        <v>10.27072542500111</v>
      </c>
    </row>
    <row r="181" spans="1:27" ht="19.5" thickBot="1" x14ac:dyDescent="0.35">
      <c r="A181" s="93">
        <v>110</v>
      </c>
      <c r="B181" s="94" t="s">
        <v>220</v>
      </c>
      <c r="C181" s="93">
        <v>27</v>
      </c>
      <c r="D181" s="94" t="s">
        <v>240</v>
      </c>
      <c r="E181" s="93">
        <v>454355</v>
      </c>
      <c r="F181" s="94" t="s">
        <v>246</v>
      </c>
      <c r="G181" s="95">
        <v>3.8299949952945602</v>
      </c>
      <c r="H181" s="96">
        <v>7.5718114607535263</v>
      </c>
      <c r="I181" s="97">
        <v>5.1958292437584541</v>
      </c>
      <c r="J181" s="98">
        <v>0.88734490721777404</v>
      </c>
      <c r="K181" s="99">
        <v>217</v>
      </c>
      <c r="M181" s="100">
        <f t="shared" si="16"/>
        <v>0.68620689655172407</v>
      </c>
      <c r="N181" s="89">
        <f t="shared" si="17"/>
        <v>5.1958292437584541</v>
      </c>
      <c r="O181" s="100"/>
      <c r="V181" s="109">
        <f t="shared" si="18"/>
        <v>243.00307864937739</v>
      </c>
      <c r="W181" s="109">
        <f t="shared" si="19"/>
        <v>96.148154937318068</v>
      </c>
      <c r="X181" s="109">
        <f t="shared" si="20"/>
        <v>67.96806432280016</v>
      </c>
      <c r="Y181" s="109">
        <f t="shared" si="21"/>
        <v>53.693277279908784</v>
      </c>
      <c r="Z181" s="109">
        <f t="shared" si="22"/>
        <v>31.077053438674561</v>
      </c>
      <c r="AA181" s="109">
        <f t="shared" si="23"/>
        <v>18.682791260543471</v>
      </c>
    </row>
    <row r="182" spans="1:27" ht="19.5" thickBot="1" x14ac:dyDescent="0.35">
      <c r="A182" s="93">
        <v>110</v>
      </c>
      <c r="B182" s="94" t="s">
        <v>220</v>
      </c>
      <c r="C182" s="93">
        <v>27</v>
      </c>
      <c r="D182" s="94" t="s">
        <v>240</v>
      </c>
      <c r="E182" s="93">
        <v>554357</v>
      </c>
      <c r="F182" s="94" t="s">
        <v>537</v>
      </c>
      <c r="G182" s="95">
        <v>4.3873447963910781</v>
      </c>
      <c r="H182" s="96">
        <v>5.242350685298141</v>
      </c>
      <c r="I182" s="97">
        <v>3.6981365160418407</v>
      </c>
      <c r="J182" s="98">
        <v>0.91981762818004575</v>
      </c>
      <c r="K182" s="99">
        <v>245</v>
      </c>
      <c r="M182" s="100">
        <f t="shared" si="16"/>
        <v>0.70543478260869563</v>
      </c>
      <c r="N182" s="89">
        <f t="shared" si="17"/>
        <v>3.6981365160418407</v>
      </c>
      <c r="O182" s="100"/>
      <c r="V182" s="109">
        <f t="shared" si="18"/>
        <v>280.68733186388243</v>
      </c>
      <c r="W182" s="109">
        <f t="shared" si="19"/>
        <v>117.04702657655423</v>
      </c>
      <c r="X182" s="109">
        <f t="shared" si="20"/>
        <v>85.645977741270215</v>
      </c>
      <c r="Y182" s="109">
        <f t="shared" si="21"/>
        <v>69.739595778957295</v>
      </c>
      <c r="Z182" s="109">
        <f t="shared" si="22"/>
        <v>44.538358528767567</v>
      </c>
      <c r="AA182" s="109">
        <f t="shared" si="23"/>
        <v>30.727443679107623</v>
      </c>
    </row>
    <row r="183" spans="1:27" ht="19.5" thickBot="1" x14ac:dyDescent="0.35">
      <c r="A183" s="93">
        <v>110</v>
      </c>
      <c r="B183" s="94" t="s">
        <v>220</v>
      </c>
      <c r="C183" s="93">
        <v>27</v>
      </c>
      <c r="D183" s="94" t="s">
        <v>240</v>
      </c>
      <c r="E183" s="93">
        <v>554381</v>
      </c>
      <c r="F183" s="94" t="s">
        <v>248</v>
      </c>
      <c r="G183" s="95">
        <v>4.4287659362610263</v>
      </c>
      <c r="H183" s="96">
        <v>7.9028787033953423</v>
      </c>
      <c r="I183" s="97">
        <v>4.9788135831390656</v>
      </c>
      <c r="J183" s="98">
        <v>0.89205020414639069</v>
      </c>
      <c r="K183" s="99">
        <v>222</v>
      </c>
      <c r="M183" s="100">
        <f t="shared" si="16"/>
        <v>0.63</v>
      </c>
      <c r="N183" s="89">
        <f t="shared" si="17"/>
        <v>4.9788135831390656</v>
      </c>
      <c r="O183" s="100"/>
      <c r="V183" s="109">
        <f t="shared" si="18"/>
        <v>307.68594788092236</v>
      </c>
      <c r="W183" s="109">
        <f t="shared" si="19"/>
        <v>122.72179717131672</v>
      </c>
      <c r="X183" s="109">
        <f t="shared" si="20"/>
        <v>87.22890121875146</v>
      </c>
      <c r="Y183" s="109">
        <f t="shared" si="21"/>
        <v>69.249770555582074</v>
      </c>
      <c r="Z183" s="109">
        <f t="shared" si="22"/>
        <v>40.764578984788926</v>
      </c>
      <c r="AA183" s="109">
        <f t="shared" si="23"/>
        <v>25.153974181744445</v>
      </c>
    </row>
    <row r="184" spans="1:27" ht="19.5" thickBot="1" x14ac:dyDescent="0.35">
      <c r="A184" s="93">
        <v>110</v>
      </c>
      <c r="B184" s="94" t="s">
        <v>220</v>
      </c>
      <c r="C184" s="93">
        <v>27</v>
      </c>
      <c r="D184" s="94" t="s">
        <v>240</v>
      </c>
      <c r="E184" s="93">
        <v>554376</v>
      </c>
      <c r="F184" s="94" t="s">
        <v>538</v>
      </c>
      <c r="G184" s="95">
        <v>3.0178712591756058</v>
      </c>
      <c r="H184" s="96">
        <v>21.207001393917292</v>
      </c>
      <c r="I184" s="97">
        <v>13.784550906046238</v>
      </c>
      <c r="J184" s="98">
        <v>0.70112569362293897</v>
      </c>
      <c r="K184" s="99">
        <v>58</v>
      </c>
      <c r="M184" s="100">
        <f t="shared" si="16"/>
        <v>0.64999999999999991</v>
      </c>
      <c r="N184" s="89">
        <f t="shared" si="17"/>
        <v>13.784550906046238</v>
      </c>
      <c r="O184" s="100"/>
      <c r="V184" s="109">
        <f t="shared" si="18"/>
        <v>159.72004424473133</v>
      </c>
      <c r="W184" s="109">
        <f t="shared" si="19"/>
        <v>37.558999997639788</v>
      </c>
      <c r="X184" s="109">
        <f t="shared" si="20"/>
        <v>14.117434611674575</v>
      </c>
      <c r="Y184" s="109">
        <f t="shared" si="21"/>
        <v>2.2429747877492905</v>
      </c>
      <c r="Z184" s="109">
        <f t="shared" si="22"/>
        <v>-16.570296511129648</v>
      </c>
      <c r="AA184" s="109">
        <f t="shared" si="23"/>
        <v>-26.88044459524453</v>
      </c>
    </row>
    <row r="185" spans="1:27" ht="19.5" thickBot="1" x14ac:dyDescent="0.35">
      <c r="A185" s="93">
        <v>110</v>
      </c>
      <c r="B185" s="94" t="s">
        <v>220</v>
      </c>
      <c r="C185" s="93">
        <v>27</v>
      </c>
      <c r="D185" s="94" t="s">
        <v>240</v>
      </c>
      <c r="E185" s="93">
        <v>554416</v>
      </c>
      <c r="F185" s="94" t="s">
        <v>250</v>
      </c>
      <c r="G185" s="95">
        <v>3.9319019689987416</v>
      </c>
      <c r="H185" s="96">
        <v>7.6298952101391011</v>
      </c>
      <c r="I185" s="97">
        <v>4.8704164424721261</v>
      </c>
      <c r="J185" s="98">
        <v>0.89440045265654544</v>
      </c>
      <c r="K185" s="99">
        <v>225</v>
      </c>
      <c r="M185" s="100">
        <f t="shared" si="16"/>
        <v>0.63833333333333331</v>
      </c>
      <c r="N185" s="89">
        <f t="shared" si="17"/>
        <v>4.8704164424721261</v>
      </c>
      <c r="O185" s="100"/>
      <c r="V185" s="109">
        <f t="shared" si="18"/>
        <v>270.31077325274748</v>
      </c>
      <c r="W185" s="109">
        <f t="shared" si="19"/>
        <v>108.241553301609</v>
      </c>
      <c r="X185" s="109">
        <f t="shared" si="20"/>
        <v>77.141981093855549</v>
      </c>
      <c r="Y185" s="109">
        <f t="shared" si="21"/>
        <v>61.388313851849126</v>
      </c>
      <c r="Z185" s="109">
        <f t="shared" si="22"/>
        <v>36.429029794230694</v>
      </c>
      <c r="AA185" s="109">
        <f t="shared" si="23"/>
        <v>22.7507114082694</v>
      </c>
    </row>
    <row r="186" spans="1:27" ht="19.5" thickBot="1" x14ac:dyDescent="0.35">
      <c r="A186" s="93">
        <v>110</v>
      </c>
      <c r="B186" s="94" t="s">
        <v>220</v>
      </c>
      <c r="C186" s="93">
        <v>27</v>
      </c>
      <c r="D186" s="94" t="s">
        <v>240</v>
      </c>
      <c r="E186" s="93">
        <v>454466</v>
      </c>
      <c r="F186" s="94" t="s">
        <v>251</v>
      </c>
      <c r="G186" s="95">
        <v>1.845993697746853</v>
      </c>
      <c r="H186" s="96">
        <v>2.1668546349222328</v>
      </c>
      <c r="I186" s="97">
        <v>1.4084555126994516</v>
      </c>
      <c r="J186" s="98">
        <v>0.96946210527349441</v>
      </c>
      <c r="K186" s="99">
        <v>274</v>
      </c>
      <c r="M186" s="100">
        <f t="shared" si="16"/>
        <v>0.65000000000000013</v>
      </c>
      <c r="N186" s="89">
        <f t="shared" si="17"/>
        <v>1.4084555126994516</v>
      </c>
      <c r="O186" s="100"/>
      <c r="V186" s="109">
        <f t="shared" si="18"/>
        <v>135.0902116103517</v>
      </c>
      <c r="W186" s="109">
        <f t="shared" si="19"/>
        <v>60.365845186613761</v>
      </c>
      <c r="X186" s="109">
        <f t="shared" si="20"/>
        <v>46.026935984889413</v>
      </c>
      <c r="Y186" s="109">
        <f t="shared" si="21"/>
        <v>38.763479025793607</v>
      </c>
      <c r="Z186" s="109">
        <f t="shared" si="22"/>
        <v>27.25563880691719</v>
      </c>
      <c r="AA186" s="109">
        <f t="shared" si="23"/>
        <v>20.949051563261214</v>
      </c>
    </row>
    <row r="187" spans="1:27" ht="19.5" thickBot="1" x14ac:dyDescent="0.35">
      <c r="A187" s="93">
        <v>110</v>
      </c>
      <c r="B187" s="94" t="s">
        <v>220</v>
      </c>
      <c r="C187" s="93">
        <v>27</v>
      </c>
      <c r="D187" s="94" t="s">
        <v>240</v>
      </c>
      <c r="E187" s="93">
        <v>554496</v>
      </c>
      <c r="F187" s="94" t="s">
        <v>252</v>
      </c>
      <c r="G187" s="95">
        <v>3.1022424753270625</v>
      </c>
      <c r="H187" s="96">
        <v>22.241975135333508</v>
      </c>
      <c r="I187" s="97">
        <v>15.690262894382007</v>
      </c>
      <c r="J187" s="98">
        <v>0.65980636791182889</v>
      </c>
      <c r="K187" s="99">
        <v>35</v>
      </c>
      <c r="M187" s="100">
        <f t="shared" si="16"/>
        <v>0.70543478260869563</v>
      </c>
      <c r="N187" s="89">
        <f t="shared" si="17"/>
        <v>15.690262894382007</v>
      </c>
      <c r="O187" s="100"/>
      <c r="V187" s="109">
        <f t="shared" si="18"/>
        <v>142.36772979585783</v>
      </c>
      <c r="W187" s="109">
        <f t="shared" si="19"/>
        <v>26.659498668133562</v>
      </c>
      <c r="X187" s="109">
        <f t="shared" si="20"/>
        <v>4.4561679550408568</v>
      </c>
      <c r="Y187" s="109">
        <f t="shared" si="21"/>
        <v>-6.7910569708080821</v>
      </c>
      <c r="Z187" s="109">
        <f t="shared" si="22"/>
        <v>-24.610570197268515</v>
      </c>
      <c r="AA187" s="109">
        <f t="shared" si="23"/>
        <v>-34.376113745380678</v>
      </c>
    </row>
    <row r="188" spans="1:27" ht="19.5" thickBot="1" x14ac:dyDescent="0.35">
      <c r="A188" s="93">
        <v>110</v>
      </c>
      <c r="B188" s="94" t="s">
        <v>220</v>
      </c>
      <c r="C188" s="93">
        <v>27</v>
      </c>
      <c r="D188" s="94" t="s">
        <v>240</v>
      </c>
      <c r="E188" s="93">
        <v>554516</v>
      </c>
      <c r="F188" s="94" t="s">
        <v>253</v>
      </c>
      <c r="G188" s="95">
        <v>2.5928609072087352</v>
      </c>
      <c r="H188" s="96">
        <v>12.34157987843961</v>
      </c>
      <c r="I188" s="97">
        <v>8.2919989808266141</v>
      </c>
      <c r="J188" s="98">
        <v>0.82021427750781328</v>
      </c>
      <c r="K188" s="99">
        <v>151</v>
      </c>
      <c r="M188" s="100">
        <f t="shared" si="16"/>
        <v>0.67187500000000011</v>
      </c>
      <c r="N188" s="89">
        <f t="shared" si="17"/>
        <v>8.2919989808266141</v>
      </c>
      <c r="O188" s="100"/>
      <c r="V188" s="109">
        <f t="shared" si="18"/>
        <v>155.30815118921475</v>
      </c>
      <c r="W188" s="109">
        <f t="shared" si="19"/>
        <v>53.768393583508221</v>
      </c>
      <c r="X188" s="109">
        <f t="shared" si="20"/>
        <v>34.283860835288046</v>
      </c>
      <c r="Y188" s="109">
        <f t="shared" si="21"/>
        <v>24.413858661916972</v>
      </c>
      <c r="Z188" s="109">
        <f t="shared" si="22"/>
        <v>8.7763449255849029</v>
      </c>
      <c r="AA188" s="109">
        <f t="shared" si="23"/>
        <v>0.20659223730195639</v>
      </c>
    </row>
    <row r="189" spans="1:27" ht="19.5" thickBot="1" x14ac:dyDescent="0.35">
      <c r="A189" s="93">
        <v>110</v>
      </c>
      <c r="B189" s="94" t="s">
        <v>220</v>
      </c>
      <c r="C189" s="93">
        <v>27</v>
      </c>
      <c r="D189" s="94" t="s">
        <v>240</v>
      </c>
      <c r="E189" s="93">
        <v>554531</v>
      </c>
      <c r="F189" s="94" t="s">
        <v>254</v>
      </c>
      <c r="G189" s="95">
        <v>2.547061984299011</v>
      </c>
      <c r="H189" s="96">
        <v>20.023069840617151</v>
      </c>
      <c r="I189" s="97">
        <v>13.014995396401147</v>
      </c>
      <c r="J189" s="98">
        <v>0.71781106630801794</v>
      </c>
      <c r="K189" s="99">
        <v>61</v>
      </c>
      <c r="M189" s="100">
        <f t="shared" si="16"/>
        <v>0.65</v>
      </c>
      <c r="N189" s="89">
        <f t="shared" si="17"/>
        <v>13.014995396401147</v>
      </c>
      <c r="O189" s="100"/>
      <c r="V189" s="109">
        <f t="shared" si="18"/>
        <v>138.01061573055674</v>
      </c>
      <c r="W189" s="109">
        <f t="shared" si="19"/>
        <v>34.907558958998543</v>
      </c>
      <c r="X189" s="109">
        <f t="shared" si="20"/>
        <v>15.123043676739018</v>
      </c>
      <c r="Y189" s="109">
        <f t="shared" si="21"/>
        <v>5.1010836247161029</v>
      </c>
      <c r="Z189" s="109">
        <f t="shared" si="22"/>
        <v>-10.777184203967938</v>
      </c>
      <c r="AA189" s="109">
        <f t="shared" si="23"/>
        <v>-19.478876218728011</v>
      </c>
    </row>
    <row r="190" spans="1:27" ht="19.5" thickBot="1" x14ac:dyDescent="0.35">
      <c r="A190" s="93">
        <v>110</v>
      </c>
      <c r="B190" s="94" t="s">
        <v>220</v>
      </c>
      <c r="C190" s="93">
        <v>27</v>
      </c>
      <c r="D190" s="94" t="s">
        <v>240</v>
      </c>
      <c r="E190" s="93">
        <v>554533</v>
      </c>
      <c r="F190" s="94" t="s">
        <v>255</v>
      </c>
      <c r="G190" s="95">
        <v>3.4525823809523799</v>
      </c>
      <c r="H190" s="96">
        <v>2.8963827351866236</v>
      </c>
      <c r="I190" s="97">
        <v>3.1570571813534198</v>
      </c>
      <c r="J190" s="98">
        <v>0.93154921899879572</v>
      </c>
      <c r="K190" s="99">
        <v>256</v>
      </c>
      <c r="M190" s="100">
        <f t="shared" si="16"/>
        <v>1.0900000000000001</v>
      </c>
      <c r="N190" s="89">
        <f t="shared" si="17"/>
        <v>3.1570571813534198</v>
      </c>
      <c r="O190" s="100"/>
      <c r="V190" s="109">
        <f t="shared" si="18"/>
        <v>144.77699055443838</v>
      </c>
      <c r="W190" s="109">
        <f t="shared" si="19"/>
        <v>61.435179037606005</v>
      </c>
      <c r="X190" s="109">
        <f t="shared" si="20"/>
        <v>45.442662469844848</v>
      </c>
      <c r="Y190" s="109">
        <f t="shared" si="21"/>
        <v>37.341561184986261</v>
      </c>
      <c r="Z190" s="109">
        <f t="shared" si="22"/>
        <v>24.506601232983968</v>
      </c>
      <c r="AA190" s="109">
        <f t="shared" si="23"/>
        <v>17.472718839191394</v>
      </c>
    </row>
    <row r="191" spans="1:27" ht="19.5" thickBot="1" x14ac:dyDescent="0.35">
      <c r="A191" s="93">
        <v>110</v>
      </c>
      <c r="B191" s="94" t="s">
        <v>220</v>
      </c>
      <c r="C191" s="93">
        <v>27</v>
      </c>
      <c r="D191" s="94" t="s">
        <v>240</v>
      </c>
      <c r="E191" s="93">
        <v>454535</v>
      </c>
      <c r="F191" s="94" t="s">
        <v>256</v>
      </c>
      <c r="G191" s="95">
        <v>7.5857846084163612</v>
      </c>
      <c r="H191" s="96">
        <v>13.578028551683685</v>
      </c>
      <c r="I191" s="97">
        <v>8.7334406946509144</v>
      </c>
      <c r="J191" s="98">
        <v>0.81064301276916517</v>
      </c>
      <c r="K191" s="99">
        <v>129</v>
      </c>
      <c r="M191" s="100">
        <f t="shared" si="16"/>
        <v>0.64320388349514568</v>
      </c>
      <c r="N191" s="89">
        <f t="shared" si="17"/>
        <v>8.7334406946509144</v>
      </c>
      <c r="O191" s="100"/>
      <c r="V191" s="109">
        <f t="shared" si="18"/>
        <v>469.09162545349716</v>
      </c>
      <c r="W191" s="109">
        <f t="shared" si="19"/>
        <v>158.78058085123249</v>
      </c>
      <c r="X191" s="109">
        <f t="shared" si="20"/>
        <v>99.234784669940069</v>
      </c>
      <c r="Y191" s="109">
        <f t="shared" si="21"/>
        <v>69.07151900075678</v>
      </c>
      <c r="Z191" s="109">
        <f t="shared" si="22"/>
        <v>21.282423015848142</v>
      </c>
      <c r="AA191" s="109">
        <f t="shared" si="23"/>
        <v>-4.9072092167847954</v>
      </c>
    </row>
    <row r="192" spans="1:27" ht="19.5" thickBot="1" x14ac:dyDescent="0.35">
      <c r="A192" s="93">
        <v>110</v>
      </c>
      <c r="B192" s="94" t="s">
        <v>220</v>
      </c>
      <c r="C192" s="93">
        <v>27</v>
      </c>
      <c r="D192" s="94" t="s">
        <v>240</v>
      </c>
      <c r="E192" s="93">
        <v>454651</v>
      </c>
      <c r="F192" s="94" t="s">
        <v>539</v>
      </c>
      <c r="G192" s="95">
        <v>10.875606546817368</v>
      </c>
      <c r="H192" s="96">
        <v>68.869722049588759</v>
      </c>
      <c r="I192" s="97">
        <v>46.121565527468256</v>
      </c>
      <c r="J192" s="98">
        <v>0</v>
      </c>
      <c r="K192" s="99">
        <v>1</v>
      </c>
      <c r="M192" s="100">
        <f t="shared" si="16"/>
        <v>0.66969292389853141</v>
      </c>
      <c r="N192" s="89">
        <f t="shared" si="17"/>
        <v>46.121565527468256</v>
      </c>
      <c r="O192" s="100"/>
      <c r="V192" s="109">
        <f t="shared" si="18"/>
        <v>0</v>
      </c>
      <c r="W192" s="109">
        <f t="shared" si="19"/>
        <v>-427.29042541983671</v>
      </c>
      <c r="X192" s="109">
        <f t="shared" si="20"/>
        <v>-509.28347408775909</v>
      </c>
      <c r="Y192" s="109">
        <f t="shared" si="21"/>
        <v>-550.81752466064938</v>
      </c>
      <c r="Z192" s="109">
        <f t="shared" si="22"/>
        <v>-616.62189581989617</v>
      </c>
      <c r="AA192" s="109">
        <f t="shared" si="23"/>
        <v>-652.68435409499284</v>
      </c>
    </row>
    <row r="193" spans="1:27" ht="19.5" thickBot="1" x14ac:dyDescent="0.35">
      <c r="A193" s="93">
        <v>110</v>
      </c>
      <c r="B193" s="94" t="s">
        <v>220</v>
      </c>
      <c r="C193" s="93">
        <v>27</v>
      </c>
      <c r="D193" s="94" t="s">
        <v>240</v>
      </c>
      <c r="E193" s="93">
        <v>554686</v>
      </c>
      <c r="F193" s="94" t="s">
        <v>258</v>
      </c>
      <c r="G193" s="95">
        <v>1.70819687558818</v>
      </c>
      <c r="H193" s="96">
        <v>13.464490146711254</v>
      </c>
      <c r="I193" s="97">
        <v>8.751918595362314</v>
      </c>
      <c r="J193" s="98">
        <v>0.81024237804438792</v>
      </c>
      <c r="K193" s="99">
        <v>128</v>
      </c>
      <c r="M193" s="100">
        <f t="shared" si="16"/>
        <v>0.64999999999999991</v>
      </c>
      <c r="N193" s="89">
        <f t="shared" si="17"/>
        <v>8.751918595362314</v>
      </c>
      <c r="O193" s="100"/>
      <c r="V193" s="109">
        <f t="shared" si="18"/>
        <v>104.47580054215516</v>
      </c>
      <c r="W193" s="109">
        <f t="shared" si="19"/>
        <v>35.329340610502811</v>
      </c>
      <c r="X193" s="109">
        <f t="shared" si="20"/>
        <v>22.06077965732937</v>
      </c>
      <c r="Y193" s="109">
        <f t="shared" si="21"/>
        <v>15.339513762087861</v>
      </c>
      <c r="Z193" s="109">
        <f t="shared" si="22"/>
        <v>4.6906926254577304</v>
      </c>
      <c r="AA193" s="109">
        <f t="shared" si="23"/>
        <v>-1.1451304536710736</v>
      </c>
    </row>
    <row r="194" spans="1:27" ht="19.5" thickBot="1" x14ac:dyDescent="0.35">
      <c r="A194" s="93">
        <v>110</v>
      </c>
      <c r="B194" s="94" t="s">
        <v>220</v>
      </c>
      <c r="C194" s="93">
        <v>27</v>
      </c>
      <c r="D194" s="94" t="s">
        <v>240</v>
      </c>
      <c r="E194" s="93">
        <v>454696</v>
      </c>
      <c r="F194" s="94" t="s">
        <v>259</v>
      </c>
      <c r="G194" s="95">
        <v>4.7522852115626311</v>
      </c>
      <c r="H194" s="96">
        <v>5.2606270219584701</v>
      </c>
      <c r="I194" s="97">
        <v>3.8349970990077247</v>
      </c>
      <c r="J194" s="98">
        <v>0.91685024011763561</v>
      </c>
      <c r="K194" s="99">
        <v>242</v>
      </c>
      <c r="M194" s="100">
        <f t="shared" si="16"/>
        <v>0.72899999999999998</v>
      </c>
      <c r="N194" s="89">
        <f t="shared" si="17"/>
        <v>3.8349970990077247</v>
      </c>
      <c r="O194" s="100"/>
      <c r="V194" s="109">
        <f t="shared" si="18"/>
        <v>293.25779089732981</v>
      </c>
      <c r="W194" s="109">
        <f t="shared" si="19"/>
        <v>121.73558516717573</v>
      </c>
      <c r="X194" s="109">
        <f t="shared" si="20"/>
        <v>88.822073126170807</v>
      </c>
      <c r="Y194" s="109">
        <f t="shared" si="21"/>
        <v>72.149544224615894</v>
      </c>
      <c r="Z194" s="109">
        <f t="shared" si="22"/>
        <v>45.734463950280869</v>
      </c>
      <c r="AA194" s="109">
        <f t="shared" si="23"/>
        <v>31.258332449513919</v>
      </c>
    </row>
    <row r="195" spans="1:27" ht="19.5" thickBot="1" x14ac:dyDescent="0.35">
      <c r="A195" s="93">
        <v>110</v>
      </c>
      <c r="B195" s="94" t="s">
        <v>220</v>
      </c>
      <c r="C195" s="93">
        <v>31</v>
      </c>
      <c r="D195" s="94" t="s">
        <v>260</v>
      </c>
      <c r="E195" s="93">
        <v>455151</v>
      </c>
      <c r="F195" s="94" t="s">
        <v>261</v>
      </c>
      <c r="G195" s="95">
        <v>9.7581728930256268</v>
      </c>
      <c r="H195" s="96">
        <v>15.474208302654988</v>
      </c>
      <c r="I195" s="97">
        <v>10.429718874190142</v>
      </c>
      <c r="J195" s="98">
        <v>0.77386459555500997</v>
      </c>
      <c r="K195" s="99">
        <v>100</v>
      </c>
      <c r="M195" s="100">
        <f t="shared" si="16"/>
        <v>0.6740066225165563</v>
      </c>
      <c r="N195" s="89">
        <f t="shared" si="17"/>
        <v>10.429718874190142</v>
      </c>
      <c r="O195" s="100"/>
      <c r="V195" s="109">
        <f t="shared" si="18"/>
        <v>549.7250274397627</v>
      </c>
      <c r="W195" s="109">
        <f t="shared" si="19"/>
        <v>168.79103461367066</v>
      </c>
      <c r="X195" s="109">
        <f t="shared" si="20"/>
        <v>95.693353142416868</v>
      </c>
      <c r="Y195" s="109">
        <f t="shared" si="21"/>
        <v>58.66530200500555</v>
      </c>
      <c r="Z195" s="109">
        <f t="shared" si="22"/>
        <v>0</v>
      </c>
      <c r="AA195" s="109">
        <f t="shared" si="23"/>
        <v>-32.150067973929197</v>
      </c>
    </row>
    <row r="196" spans="1:27" ht="19.5" thickBot="1" x14ac:dyDescent="0.35">
      <c r="A196" s="93">
        <v>110</v>
      </c>
      <c r="B196" s="94" t="s">
        <v>220</v>
      </c>
      <c r="C196" s="93">
        <v>31</v>
      </c>
      <c r="D196" s="94" t="s">
        <v>260</v>
      </c>
      <c r="E196" s="93">
        <v>455231</v>
      </c>
      <c r="F196" s="94" t="s">
        <v>262</v>
      </c>
      <c r="G196" s="95">
        <v>4.5313841277936655</v>
      </c>
      <c r="H196" s="96">
        <v>20.964896667512399</v>
      </c>
      <c r="I196" s="97">
        <v>14.399573763738779</v>
      </c>
      <c r="J196" s="98">
        <v>0.68779087181758958</v>
      </c>
      <c r="K196" s="99">
        <v>48</v>
      </c>
      <c r="M196" s="100">
        <f t="shared" si="16"/>
        <v>0.68684210526315792</v>
      </c>
      <c r="N196" s="89">
        <f t="shared" si="17"/>
        <v>14.399573763738779</v>
      </c>
      <c r="O196" s="100"/>
      <c r="V196" s="109">
        <f t="shared" si="18"/>
        <v>222.64172736799034</v>
      </c>
      <c r="W196" s="109">
        <f t="shared" si="19"/>
        <v>49.05386606763809</v>
      </c>
      <c r="X196" s="109">
        <f t="shared" si="20"/>
        <v>15.743973982469964</v>
      </c>
      <c r="Y196" s="109">
        <f t="shared" si="21"/>
        <v>-1.1293435111403003</v>
      </c>
      <c r="Z196" s="109">
        <f t="shared" si="22"/>
        <v>-27.862542698846546</v>
      </c>
      <c r="AA196" s="109">
        <f t="shared" si="23"/>
        <v>-42.513011403022155</v>
      </c>
    </row>
    <row r="197" spans="1:27" ht="19.5" thickBot="1" x14ac:dyDescent="0.35">
      <c r="A197" s="93">
        <v>110</v>
      </c>
      <c r="B197" s="94" t="s">
        <v>220</v>
      </c>
      <c r="C197" s="93">
        <v>31</v>
      </c>
      <c r="D197" s="94" t="s">
        <v>260</v>
      </c>
      <c r="E197" s="93">
        <v>455298</v>
      </c>
      <c r="F197" s="94" t="s">
        <v>263</v>
      </c>
      <c r="G197" s="95">
        <v>1.9389090350509712</v>
      </c>
      <c r="H197" s="96">
        <v>12.378094880232004</v>
      </c>
      <c r="I197" s="97">
        <v>8.3423201953230279</v>
      </c>
      <c r="J197" s="98">
        <v>0.81912322142762795</v>
      </c>
      <c r="K197" s="99">
        <v>150</v>
      </c>
      <c r="M197" s="100">
        <f t="shared" si="16"/>
        <v>0.67395833333333333</v>
      </c>
      <c r="N197" s="89">
        <f t="shared" si="17"/>
        <v>8.3423201953230279</v>
      </c>
      <c r="O197" s="100"/>
      <c r="V197" s="109">
        <f t="shared" si="18"/>
        <v>115.6244850330946</v>
      </c>
      <c r="W197" s="109">
        <f t="shared" si="19"/>
        <v>39.929035787577654</v>
      </c>
      <c r="X197" s="109">
        <f t="shared" si="20"/>
        <v>25.403784846535196</v>
      </c>
      <c r="Y197" s="109">
        <f t="shared" si="21"/>
        <v>18.045935407217993</v>
      </c>
      <c r="Z197" s="109">
        <f t="shared" si="22"/>
        <v>6.3885446938086616</v>
      </c>
      <c r="AA197" s="109">
        <f t="shared" si="23"/>
        <v>0</v>
      </c>
    </row>
    <row r="198" spans="1:27" ht="19.5" thickBot="1" x14ac:dyDescent="0.35">
      <c r="A198" s="93">
        <v>110</v>
      </c>
      <c r="B198" s="94" t="s">
        <v>220</v>
      </c>
      <c r="C198" s="93">
        <v>31</v>
      </c>
      <c r="D198" s="94" t="s">
        <v>260</v>
      </c>
      <c r="E198" s="93">
        <v>555406</v>
      </c>
      <c r="F198" s="94" t="s">
        <v>264</v>
      </c>
      <c r="G198" s="95">
        <v>2.6634026095456691</v>
      </c>
      <c r="H198" s="96">
        <v>7.1337318405800749</v>
      </c>
      <c r="I198" s="97">
        <v>4.6369256963770482</v>
      </c>
      <c r="J198" s="98">
        <v>0.8994629596080066</v>
      </c>
      <c r="K198" s="99">
        <v>230</v>
      </c>
      <c r="M198" s="100">
        <f t="shared" ref="M198:M261" si="24">IF(ISERROR(I198/H198),$O$3,(I198/H198))</f>
        <v>0.64999999999999991</v>
      </c>
      <c r="N198" s="89">
        <f t="shared" ref="N198:N261" si="25">I198</f>
        <v>4.6369256963770482</v>
      </c>
      <c r="O198" s="100"/>
      <c r="V198" s="109">
        <f t="shared" ref="V198:V261" si="26">(((($O$5-N198))/M198)*G198)+((((($O$5-N198)/$T$2))*$T$3/M198)*G198)</f>
        <v>180.83518491356884</v>
      </c>
      <c r="W198" s="109">
        <f t="shared" ref="W198:W261" si="27">(((($P$5-N198))/M198)*G198)+((((($P$5-N198)/$T$2))*$T$3/M198)*G198)</f>
        <v>73.022751549062875</v>
      </c>
      <c r="X198" s="109">
        <f t="shared" ref="X198:X261" si="28">(((($Q$5-N198))/M198)*G198)+((((($Q$5-N198)/$T$2))*$T$3/M198)*G198)</f>
        <v>52.334550807898594</v>
      </c>
      <c r="Y198" s="109">
        <f t="shared" ref="Y198:Y261" si="29">(((($R$5-N198))/M198)*G198)+((((($R$5-N198)/$T$2))*$T$3/M198)*G198)</f>
        <v>41.854823687058044</v>
      </c>
      <c r="Z198" s="109">
        <f t="shared" ref="Z198:Z261" si="30">(((($S$5-N198))/M198)*G198)+((((($S$5-N198)/$T$2))*$T$3/M198)*G198)</f>
        <v>25.251293725606786</v>
      </c>
      <c r="AA198" s="109">
        <f t="shared" ref="AA198:AA261" si="31">(((($T$5-N198))/M198)*G198)+((((($T$5-N198)/$T$2))*$T$3/M198)*G198)</f>
        <v>16.152139734679036</v>
      </c>
    </row>
    <row r="199" spans="1:27" ht="19.5" thickBot="1" x14ac:dyDescent="0.35">
      <c r="A199" s="93">
        <v>110</v>
      </c>
      <c r="B199" s="94" t="s">
        <v>220</v>
      </c>
      <c r="C199" s="93">
        <v>31</v>
      </c>
      <c r="D199" s="94" t="s">
        <v>260</v>
      </c>
      <c r="E199" s="93">
        <v>554412</v>
      </c>
      <c r="F199" s="94" t="s">
        <v>265</v>
      </c>
      <c r="G199" s="95">
        <v>2.72292665518472</v>
      </c>
      <c r="H199" s="96">
        <v>9.1812976131389892</v>
      </c>
      <c r="I199" s="97">
        <v>5.8393052819563973</v>
      </c>
      <c r="J199" s="98">
        <v>0.87339316835464464</v>
      </c>
      <c r="K199" s="99">
        <v>208</v>
      </c>
      <c r="M199" s="100">
        <f t="shared" si="24"/>
        <v>0.63600000000000001</v>
      </c>
      <c r="N199" s="89">
        <f t="shared" si="25"/>
        <v>5.8393052819563973</v>
      </c>
      <c r="O199" s="100"/>
      <c r="V199" s="109">
        <f t="shared" si="26"/>
        <v>183.46989186670683</v>
      </c>
      <c r="W199" s="109">
        <f t="shared" si="27"/>
        <v>70.821703490064465</v>
      </c>
      <c r="X199" s="109">
        <f t="shared" si="28"/>
        <v>49.205566449680106</v>
      </c>
      <c r="Y199" s="109">
        <f t="shared" si="29"/>
        <v>38.255787857326155</v>
      </c>
      <c r="Z199" s="109">
        <f t="shared" si="30"/>
        <v>20.907532999825211</v>
      </c>
      <c r="AA199" s="109">
        <f t="shared" si="31"/>
        <v>11.400250946625974</v>
      </c>
    </row>
    <row r="200" spans="1:27" ht="19.5" thickBot="1" x14ac:dyDescent="0.35">
      <c r="A200" s="93">
        <v>110</v>
      </c>
      <c r="B200" s="94" t="s">
        <v>220</v>
      </c>
      <c r="C200" s="93">
        <v>31</v>
      </c>
      <c r="D200" s="94" t="s">
        <v>260</v>
      </c>
      <c r="E200" s="93">
        <v>554413</v>
      </c>
      <c r="F200" s="94" t="s">
        <v>266</v>
      </c>
      <c r="G200" s="95">
        <v>3.86437587657784</v>
      </c>
      <c r="H200" s="96">
        <v>13.715021957681559</v>
      </c>
      <c r="I200" s="97">
        <v>8.9147642724930147</v>
      </c>
      <c r="J200" s="98">
        <v>0.80671158555570455</v>
      </c>
      <c r="K200" s="99">
        <v>124</v>
      </c>
      <c r="M200" s="100">
        <f t="shared" si="24"/>
        <v>0.65000000000000013</v>
      </c>
      <c r="N200" s="89">
        <f t="shared" si="25"/>
        <v>8.9147642724930147</v>
      </c>
      <c r="O200" s="100"/>
      <c r="V200" s="109">
        <f t="shared" si="26"/>
        <v>235.32089233118231</v>
      </c>
      <c r="W200" s="109">
        <f t="shared" si="27"/>
        <v>78.894009968090401</v>
      </c>
      <c r="X200" s="109">
        <f t="shared" si="28"/>
        <v>48.877149735460144</v>
      </c>
      <c r="Y200" s="109">
        <f t="shared" si="29"/>
        <v>33.671936474141397</v>
      </c>
      <c r="Z200" s="109">
        <f t="shared" si="30"/>
        <v>9.5815941356938907</v>
      </c>
      <c r="AA200" s="109">
        <f t="shared" si="31"/>
        <v>-3.6205222299600002</v>
      </c>
    </row>
    <row r="201" spans="1:27" ht="19.5" thickBot="1" x14ac:dyDescent="0.35">
      <c r="A201" s="93">
        <v>110</v>
      </c>
      <c r="B201" s="94" t="s">
        <v>220</v>
      </c>
      <c r="C201" s="93">
        <v>31</v>
      </c>
      <c r="D201" s="94" t="s">
        <v>260</v>
      </c>
      <c r="E201" s="93">
        <v>454414</v>
      </c>
      <c r="F201" s="94" t="s">
        <v>267</v>
      </c>
      <c r="G201" s="95">
        <v>3.3153751046554638</v>
      </c>
      <c r="H201" s="96">
        <v>12.064999807663341</v>
      </c>
      <c r="I201" s="97">
        <v>8.2645248682493886</v>
      </c>
      <c r="J201" s="98">
        <v>0.82080996658000793</v>
      </c>
      <c r="K201" s="99">
        <v>152</v>
      </c>
      <c r="M201" s="100">
        <f t="shared" si="24"/>
        <v>0.68500000000000005</v>
      </c>
      <c r="N201" s="89">
        <f t="shared" si="25"/>
        <v>8.2645248682493886</v>
      </c>
      <c r="O201" s="100"/>
      <c r="V201" s="109">
        <f t="shared" si="26"/>
        <v>194.92202226666237</v>
      </c>
      <c r="W201" s="109">
        <f t="shared" si="27"/>
        <v>67.575384074767172</v>
      </c>
      <c r="X201" s="109">
        <f t="shared" si="28"/>
        <v>43.138751560231029</v>
      </c>
      <c r="Y201" s="109">
        <f t="shared" si="29"/>
        <v>30.760234756928476</v>
      </c>
      <c r="Z201" s="109">
        <f t="shared" si="30"/>
        <v>11.148362019017249</v>
      </c>
      <c r="AA201" s="109">
        <f t="shared" si="31"/>
        <v>0.4005601656134074</v>
      </c>
    </row>
    <row r="202" spans="1:27" ht="19.5" thickBot="1" x14ac:dyDescent="0.35">
      <c r="A202" s="93">
        <v>110</v>
      </c>
      <c r="B202" s="94" t="s">
        <v>220</v>
      </c>
      <c r="C202" s="93">
        <v>31</v>
      </c>
      <c r="D202" s="94" t="s">
        <v>260</v>
      </c>
      <c r="E202" s="93">
        <v>455456</v>
      </c>
      <c r="F202" s="94" t="s">
        <v>268</v>
      </c>
      <c r="G202" s="95">
        <v>1.6811262612095721</v>
      </c>
      <c r="H202" s="96">
        <v>2.3793572751174534</v>
      </c>
      <c r="I202" s="97">
        <v>1.3383884672535677</v>
      </c>
      <c r="J202" s="98">
        <v>0.97098128712789522</v>
      </c>
      <c r="K202" s="99">
        <v>276</v>
      </c>
      <c r="M202" s="100">
        <f t="shared" si="24"/>
        <v>0.56250000000000011</v>
      </c>
      <c r="N202" s="89">
        <f t="shared" si="25"/>
        <v>1.3383884672535677</v>
      </c>
      <c r="O202" s="100"/>
      <c r="V202" s="109">
        <f t="shared" si="26"/>
        <v>142.38520097650118</v>
      </c>
      <c r="W202" s="109">
        <f t="shared" si="27"/>
        <v>63.748879461823982</v>
      </c>
      <c r="X202" s="109">
        <f t="shared" si="28"/>
        <v>48.659302552432322</v>
      </c>
      <c r="Y202" s="109">
        <f t="shared" si="29"/>
        <v>41.015590546839036</v>
      </c>
      <c r="Z202" s="109">
        <f t="shared" si="30"/>
        <v>28.905294177653293</v>
      </c>
      <c r="AA202" s="109">
        <f t="shared" si="31"/>
        <v>22.26854573953004</v>
      </c>
    </row>
    <row r="203" spans="1:27" ht="19.5" thickBot="1" x14ac:dyDescent="0.35">
      <c r="A203" s="93">
        <v>110</v>
      </c>
      <c r="B203" s="94" t="s">
        <v>220</v>
      </c>
      <c r="C203" s="93">
        <v>31</v>
      </c>
      <c r="D203" s="94" t="s">
        <v>260</v>
      </c>
      <c r="E203" s="93">
        <v>455566</v>
      </c>
      <c r="F203" s="94" t="s">
        <v>269</v>
      </c>
      <c r="G203" s="95">
        <v>2.9011900208253651</v>
      </c>
      <c r="H203" s="96">
        <v>20.336482469774584</v>
      </c>
      <c r="I203" s="97">
        <v>13.45999390584233</v>
      </c>
      <c r="J203" s="98">
        <v>0.70816268372707192</v>
      </c>
      <c r="K203" s="99">
        <v>59</v>
      </c>
      <c r="M203" s="100">
        <f t="shared" si="24"/>
        <v>0.66186440677966096</v>
      </c>
      <c r="N203" s="89">
        <f t="shared" si="25"/>
        <v>13.45999390584233</v>
      </c>
      <c r="O203" s="100"/>
      <c r="V203" s="109">
        <f t="shared" si="26"/>
        <v>152.30577583389845</v>
      </c>
      <c r="W203" s="109">
        <f t="shared" si="27"/>
        <v>36.973056388321368</v>
      </c>
      <c r="X203" s="109">
        <f t="shared" si="28"/>
        <v>14.841782865837171</v>
      </c>
      <c r="Y203" s="109">
        <f t="shared" si="29"/>
        <v>3.6310589244923617</v>
      </c>
      <c r="Z203" s="109">
        <f t="shared" si="30"/>
        <v>-14.130624056690825</v>
      </c>
      <c r="AA203" s="109">
        <f t="shared" si="31"/>
        <v>-23.864475169017798</v>
      </c>
    </row>
    <row r="204" spans="1:27" ht="19.5" thickBot="1" x14ac:dyDescent="0.35">
      <c r="A204" s="93">
        <v>110</v>
      </c>
      <c r="B204" s="94" t="s">
        <v>220</v>
      </c>
      <c r="C204" s="93">
        <v>31</v>
      </c>
      <c r="D204" s="94" t="s">
        <v>260</v>
      </c>
      <c r="E204" s="93">
        <v>555624</v>
      </c>
      <c r="F204" s="94" t="s">
        <v>270</v>
      </c>
      <c r="G204" s="95">
        <v>2.679098606582758</v>
      </c>
      <c r="H204" s="96">
        <v>17.543213931923695</v>
      </c>
      <c r="I204" s="97">
        <v>11.272448100938204</v>
      </c>
      <c r="J204" s="98">
        <v>0.75559268268496305</v>
      </c>
      <c r="K204" s="99">
        <v>79</v>
      </c>
      <c r="M204" s="100">
        <f t="shared" si="24"/>
        <v>0.64255319148936174</v>
      </c>
      <c r="N204" s="89">
        <f t="shared" si="25"/>
        <v>11.272448100938204</v>
      </c>
      <c r="O204" s="100"/>
      <c r="V204" s="109">
        <f t="shared" si="26"/>
        <v>154.5765263875092</v>
      </c>
      <c r="W204" s="109">
        <f t="shared" si="27"/>
        <v>44.871886158444603</v>
      </c>
      <c r="X204" s="109">
        <f t="shared" si="28"/>
        <v>23.820588562528432</v>
      </c>
      <c r="Y204" s="109">
        <f t="shared" si="29"/>
        <v>13.156932640733052</v>
      </c>
      <c r="Z204" s="109">
        <f t="shared" si="30"/>
        <v>-3.7380044654094355</v>
      </c>
      <c r="AA204" s="109">
        <f t="shared" si="31"/>
        <v>-12.996856935501448</v>
      </c>
    </row>
    <row r="205" spans="1:27" ht="19.5" thickBot="1" x14ac:dyDescent="0.35">
      <c r="A205" s="93">
        <v>110</v>
      </c>
      <c r="B205" s="94" t="s">
        <v>220</v>
      </c>
      <c r="C205" s="93">
        <v>31</v>
      </c>
      <c r="D205" s="94" t="s">
        <v>260</v>
      </c>
      <c r="E205" s="93">
        <v>455676</v>
      </c>
      <c r="F205" s="94" t="s">
        <v>271</v>
      </c>
      <c r="G205" s="95">
        <v>1.8440784320868473</v>
      </c>
      <c r="H205" s="96">
        <v>1.0845525684808885</v>
      </c>
      <c r="I205" s="97">
        <v>0.51516247002842208</v>
      </c>
      <c r="J205" s="98">
        <v>0.98883033426691447</v>
      </c>
      <c r="K205" s="99">
        <v>279</v>
      </c>
      <c r="M205" s="100">
        <f t="shared" si="24"/>
        <v>0.47500000000000003</v>
      </c>
      <c r="N205" s="89">
        <f t="shared" si="25"/>
        <v>0.51516247002842208</v>
      </c>
      <c r="O205" s="100"/>
      <c r="V205" s="109">
        <f t="shared" si="26"/>
        <v>188.35785944744558</v>
      </c>
      <c r="W205" s="109">
        <f t="shared" si="27"/>
        <v>86.209554839113949</v>
      </c>
      <c r="X205" s="109">
        <f t="shared" si="28"/>
        <v>66.608247595060121</v>
      </c>
      <c r="Y205" s="109">
        <f t="shared" si="29"/>
        <v>56.679092628929467</v>
      </c>
      <c r="Z205" s="109">
        <f t="shared" si="30"/>
        <v>40.94786031046619</v>
      </c>
      <c r="AA205" s="109">
        <f t="shared" si="31"/>
        <v>32.326747470901971</v>
      </c>
    </row>
    <row r="206" spans="1:27" ht="19.5" thickBot="1" x14ac:dyDescent="0.35">
      <c r="A206" s="93">
        <v>110</v>
      </c>
      <c r="B206" s="94" t="s">
        <v>220</v>
      </c>
      <c r="C206" s="93">
        <v>31</v>
      </c>
      <c r="D206" s="94" t="s">
        <v>260</v>
      </c>
      <c r="E206" s="93">
        <v>455678</v>
      </c>
      <c r="F206" s="94" t="s">
        <v>272</v>
      </c>
      <c r="G206" s="95">
        <v>9.2280619185625046</v>
      </c>
      <c r="H206" s="96">
        <v>6.2851767263645444</v>
      </c>
      <c r="I206" s="97">
        <v>4.033891442050348</v>
      </c>
      <c r="J206" s="98">
        <v>0.91253784653845038</v>
      </c>
      <c r="K206" s="99">
        <v>240</v>
      </c>
      <c r="M206" s="100">
        <f t="shared" si="24"/>
        <v>0.64181034482758625</v>
      </c>
      <c r="N206" s="89">
        <f t="shared" si="25"/>
        <v>4.033891442050348</v>
      </c>
      <c r="O206" s="100"/>
      <c r="V206" s="109">
        <f t="shared" si="26"/>
        <v>643.77018484985967</v>
      </c>
      <c r="W206" s="109">
        <f t="shared" si="27"/>
        <v>265.45900906611098</v>
      </c>
      <c r="X206" s="109">
        <f t="shared" si="28"/>
        <v>192.86462173066332</v>
      </c>
      <c r="Y206" s="109">
        <f t="shared" si="29"/>
        <v>156.09151713358943</v>
      </c>
      <c r="Z206" s="109">
        <f t="shared" si="30"/>
        <v>97.830139054488797</v>
      </c>
      <c r="AA206" s="109">
        <f t="shared" si="31"/>
        <v>65.901431599133787</v>
      </c>
    </row>
    <row r="207" spans="1:27" ht="19.5" thickBot="1" x14ac:dyDescent="0.35">
      <c r="A207" s="93">
        <v>110</v>
      </c>
      <c r="B207" s="94" t="s">
        <v>220</v>
      </c>
      <c r="C207" s="93">
        <v>31</v>
      </c>
      <c r="D207" s="94" t="s">
        <v>260</v>
      </c>
      <c r="E207" s="93">
        <v>555679</v>
      </c>
      <c r="F207" s="94" t="s">
        <v>273</v>
      </c>
      <c r="G207" s="95">
        <v>3.805125832559213</v>
      </c>
      <c r="H207" s="96">
        <v>14.191383511667269</v>
      </c>
      <c r="I207" s="97">
        <v>9.9865291378399288</v>
      </c>
      <c r="J207" s="98">
        <v>0.78347376062305751</v>
      </c>
      <c r="K207" s="99">
        <v>110</v>
      </c>
      <c r="M207" s="100">
        <f t="shared" si="24"/>
        <v>0.70370370370370361</v>
      </c>
      <c r="N207" s="89">
        <f t="shared" si="25"/>
        <v>9.9865291378399288</v>
      </c>
      <c r="O207" s="100"/>
      <c r="V207" s="109">
        <f t="shared" si="26"/>
        <v>207.86426268305337</v>
      </c>
      <c r="W207" s="109">
        <f t="shared" si="27"/>
        <v>65.590580907074198</v>
      </c>
      <c r="X207" s="109">
        <f t="shared" si="28"/>
        <v>38.289587905509975</v>
      </c>
      <c r="Y207" s="109">
        <f t="shared" si="29"/>
        <v>24.46011281659661</v>
      </c>
      <c r="Z207" s="109">
        <f t="shared" si="30"/>
        <v>2.5494178774806935</v>
      </c>
      <c r="AA207" s="109">
        <f t="shared" si="31"/>
        <v>-9.4581966335380745</v>
      </c>
    </row>
    <row r="208" spans="1:27" ht="19.5" thickBot="1" x14ac:dyDescent="0.35">
      <c r="A208" s="93">
        <v>110</v>
      </c>
      <c r="B208" s="94" t="s">
        <v>220</v>
      </c>
      <c r="C208" s="93">
        <v>31</v>
      </c>
      <c r="D208" s="94" t="s">
        <v>260</v>
      </c>
      <c r="E208" s="93">
        <v>554700</v>
      </c>
      <c r="F208" s="94" t="s">
        <v>274</v>
      </c>
      <c r="G208" s="95">
        <v>2.6579345241916128</v>
      </c>
      <c r="H208" s="96">
        <v>21.445223530228247</v>
      </c>
      <c r="I208" s="97">
        <v>13.93939529464836</v>
      </c>
      <c r="J208" s="98">
        <v>0.69776838372178451</v>
      </c>
      <c r="K208" s="99">
        <v>54</v>
      </c>
      <c r="M208" s="100">
        <f t="shared" si="24"/>
        <v>0.65</v>
      </c>
      <c r="N208" s="89">
        <f t="shared" si="25"/>
        <v>13.93939529464836</v>
      </c>
      <c r="O208" s="100"/>
      <c r="V208" s="109">
        <f t="shared" si="26"/>
        <v>139.99689251264098</v>
      </c>
      <c r="W208" s="109">
        <f t="shared" si="27"/>
        <v>32.405802923106499</v>
      </c>
      <c r="X208" s="109">
        <f t="shared" si="28"/>
        <v>11.760075988594307</v>
      </c>
      <c r="Y208" s="109">
        <f t="shared" si="29"/>
        <v>1.3018642188984217</v>
      </c>
      <c r="Z208" s="109">
        <f t="shared" si="30"/>
        <v>-15.267577948735086</v>
      </c>
      <c r="AA208" s="109">
        <f t="shared" si="31"/>
        <v>-24.348050967250408</v>
      </c>
    </row>
    <row r="209" spans="1:27" ht="19.5" thickBot="1" x14ac:dyDescent="0.35">
      <c r="A209" s="93">
        <v>160</v>
      </c>
      <c r="B209" s="94" t="s">
        <v>275</v>
      </c>
      <c r="C209" s="93">
        <v>45</v>
      </c>
      <c r="D209" s="94" t="s">
        <v>276</v>
      </c>
      <c r="E209" s="93">
        <v>557105</v>
      </c>
      <c r="F209" s="94" t="s">
        <v>277</v>
      </c>
      <c r="G209" s="95">
        <v>3.8329039945897279</v>
      </c>
      <c r="H209" s="96">
        <v>14.349433243732255</v>
      </c>
      <c r="I209" s="97">
        <v>9.9663336347376763</v>
      </c>
      <c r="J209" s="98">
        <v>0.78391163611300008</v>
      </c>
      <c r="K209" s="99">
        <v>111</v>
      </c>
      <c r="M209" s="100">
        <f t="shared" si="24"/>
        <v>0.69454545454545458</v>
      </c>
      <c r="N209" s="89">
        <f t="shared" si="25"/>
        <v>9.9663336347376763</v>
      </c>
      <c r="O209" s="100"/>
      <c r="V209" s="109">
        <f t="shared" si="26"/>
        <v>212.26117581271788</v>
      </c>
      <c r="W209" s="109">
        <f t="shared" si="27"/>
        <v>67.05915788957482</v>
      </c>
      <c r="X209" s="109">
        <f t="shared" si="28"/>
        <v>39.196244484588199</v>
      </c>
      <c r="Y209" s="109">
        <f t="shared" si="29"/>
        <v>25.082125382153535</v>
      </c>
      <c r="Z209" s="109">
        <f t="shared" si="30"/>
        <v>2.7204553983296202</v>
      </c>
      <c r="AA209" s="109">
        <f t="shared" si="31"/>
        <v>-9.5343048333516069</v>
      </c>
    </row>
    <row r="210" spans="1:27" ht="19.5" thickBot="1" x14ac:dyDescent="0.35">
      <c r="A210" s="93">
        <v>160</v>
      </c>
      <c r="B210" s="94" t="s">
        <v>275</v>
      </c>
      <c r="C210" s="93">
        <v>45</v>
      </c>
      <c r="D210" s="94" t="s">
        <v>276</v>
      </c>
      <c r="E210" s="93">
        <v>557178</v>
      </c>
      <c r="F210" s="94" t="s">
        <v>278</v>
      </c>
      <c r="G210" s="95">
        <v>2.9999554737973488</v>
      </c>
      <c r="H210" s="96">
        <v>2.3333679653382946</v>
      </c>
      <c r="I210" s="97">
        <v>2.2166995670713803</v>
      </c>
      <c r="J210" s="98">
        <v>0.9519378940909714</v>
      </c>
      <c r="K210" s="99">
        <v>268</v>
      </c>
      <c r="M210" s="100">
        <f t="shared" si="24"/>
        <v>0.95000000000000018</v>
      </c>
      <c r="N210" s="89">
        <f t="shared" si="25"/>
        <v>2.2166995670713803</v>
      </c>
      <c r="O210" s="100"/>
      <c r="V210" s="109">
        <f t="shared" si="26"/>
        <v>147.49456099018082</v>
      </c>
      <c r="W210" s="109">
        <f t="shared" si="27"/>
        <v>64.406889604614875</v>
      </c>
      <c r="X210" s="109">
        <f t="shared" si="28"/>
        <v>48.463140158492187</v>
      </c>
      <c r="Y210" s="109">
        <f t="shared" si="29"/>
        <v>40.386742139694974</v>
      </c>
      <c r="Z210" s="109">
        <f t="shared" si="30"/>
        <v>27.590920746690074</v>
      </c>
      <c r="AA210" s="109">
        <f t="shared" si="31"/>
        <v>20.578487272261455</v>
      </c>
    </row>
    <row r="211" spans="1:27" ht="19.5" thickBot="1" x14ac:dyDescent="0.35">
      <c r="A211" s="93">
        <v>160</v>
      </c>
      <c r="B211" s="94" t="s">
        <v>275</v>
      </c>
      <c r="C211" s="93">
        <v>45</v>
      </c>
      <c r="D211" s="94" t="s">
        <v>276</v>
      </c>
      <c r="E211" s="93">
        <v>557224</v>
      </c>
      <c r="F211" s="94" t="s">
        <v>279</v>
      </c>
      <c r="G211" s="95">
        <v>3.3130774244478118</v>
      </c>
      <c r="H211" s="96">
        <v>4.2256784875268556</v>
      </c>
      <c r="I211" s="97">
        <v>3.0636169034569707</v>
      </c>
      <c r="J211" s="98">
        <v>0.93357517533457546</v>
      </c>
      <c r="K211" s="99">
        <v>259</v>
      </c>
      <c r="M211" s="100">
        <f t="shared" si="24"/>
        <v>0.72500000000000009</v>
      </c>
      <c r="N211" s="89">
        <f t="shared" si="25"/>
        <v>3.0636169034569707</v>
      </c>
      <c r="O211" s="100"/>
      <c r="V211" s="109">
        <f t="shared" si="26"/>
        <v>209.32401691745488</v>
      </c>
      <c r="W211" s="109">
        <f t="shared" si="27"/>
        <v>89.086786876371818</v>
      </c>
      <c r="X211" s="109">
        <f t="shared" si="28"/>
        <v>66.014383499282204</v>
      </c>
      <c r="Y211" s="109">
        <f t="shared" si="29"/>
        <v>54.326924815030694</v>
      </c>
      <c r="Z211" s="109">
        <f t="shared" si="30"/>
        <v>35.809928313157158</v>
      </c>
      <c r="AA211" s="109">
        <f t="shared" si="31"/>
        <v>25.662146304680526</v>
      </c>
    </row>
    <row r="212" spans="1:27" ht="19.5" thickBot="1" x14ac:dyDescent="0.35">
      <c r="A212" s="93">
        <v>160</v>
      </c>
      <c r="B212" s="94" t="s">
        <v>275</v>
      </c>
      <c r="C212" s="93">
        <v>45</v>
      </c>
      <c r="D212" s="94" t="s">
        <v>276</v>
      </c>
      <c r="E212" s="93">
        <v>557432</v>
      </c>
      <c r="F212" s="94" t="s">
        <v>280</v>
      </c>
      <c r="G212" s="95">
        <v>3.7658184204937859</v>
      </c>
      <c r="H212" s="96">
        <v>7.4353027346253597</v>
      </c>
      <c r="I212" s="97">
        <v>4.8329467775064838</v>
      </c>
      <c r="J212" s="98">
        <v>0.89521286360871322</v>
      </c>
      <c r="K212" s="99">
        <v>226</v>
      </c>
      <c r="M212" s="100">
        <f t="shared" si="24"/>
        <v>0.65</v>
      </c>
      <c r="N212" s="89">
        <f t="shared" si="25"/>
        <v>4.8329467775064838</v>
      </c>
      <c r="O212" s="100"/>
      <c r="V212" s="109">
        <f t="shared" si="26"/>
        <v>254.47699025425717</v>
      </c>
      <c r="W212" s="109">
        <f t="shared" si="27"/>
        <v>102.03963584632855</v>
      </c>
      <c r="X212" s="109">
        <f t="shared" si="28"/>
        <v>72.78832883073639</v>
      </c>
      <c r="Y212" s="109">
        <f t="shared" si="29"/>
        <v>57.970910956334876</v>
      </c>
      <c r="Z212" s="109">
        <f t="shared" si="30"/>
        <v>34.494971288047374</v>
      </c>
      <c r="AA212" s="109">
        <f t="shared" si="31"/>
        <v>21.629563111628112</v>
      </c>
    </row>
    <row r="213" spans="1:27" ht="19.5" thickBot="1" x14ac:dyDescent="0.35">
      <c r="A213" s="93">
        <v>160</v>
      </c>
      <c r="B213" s="94" t="s">
        <v>275</v>
      </c>
      <c r="C213" s="93">
        <v>45</v>
      </c>
      <c r="D213" s="94" t="s">
        <v>276</v>
      </c>
      <c r="E213" s="93">
        <v>557433</v>
      </c>
      <c r="F213" s="94" t="s">
        <v>281</v>
      </c>
      <c r="G213" s="95">
        <v>3.1091044286239744</v>
      </c>
      <c r="H213" s="96">
        <v>1.2865441132095772</v>
      </c>
      <c r="I213" s="97">
        <v>1.1337669997659399</v>
      </c>
      <c r="J213" s="98">
        <v>0.97541785525275138</v>
      </c>
      <c r="K213" s="99">
        <v>278</v>
      </c>
      <c r="M213" s="100">
        <f t="shared" si="24"/>
        <v>0.88124999999999998</v>
      </c>
      <c r="N213" s="89">
        <f t="shared" si="25"/>
        <v>1.1337669997659399</v>
      </c>
      <c r="O213" s="100"/>
      <c r="V213" s="109">
        <f t="shared" si="26"/>
        <v>168.85077849587734</v>
      </c>
      <c r="W213" s="109">
        <f t="shared" si="27"/>
        <v>76.022229204695833</v>
      </c>
      <c r="X213" s="109">
        <f t="shared" si="28"/>
        <v>58.209296110475542</v>
      </c>
      <c r="Y213" s="109">
        <f t="shared" si="29"/>
        <v>49.186052359858635</v>
      </c>
      <c r="Z213" s="109">
        <f t="shared" si="30"/>
        <v>34.890098253867656</v>
      </c>
      <c r="AA213" s="109">
        <f t="shared" si="31"/>
        <v>27.055554144292195</v>
      </c>
    </row>
    <row r="214" spans="1:27" ht="19.5" thickBot="1" x14ac:dyDescent="0.35">
      <c r="A214" s="93">
        <v>160</v>
      </c>
      <c r="B214" s="94" t="s">
        <v>275</v>
      </c>
      <c r="C214" s="93">
        <v>45</v>
      </c>
      <c r="D214" s="94" t="s">
        <v>276</v>
      </c>
      <c r="E214" s="93">
        <v>557434</v>
      </c>
      <c r="F214" s="94" t="s">
        <v>282</v>
      </c>
      <c r="G214" s="95">
        <v>3.7737096625031326</v>
      </c>
      <c r="H214" s="96">
        <v>16.429456832901895</v>
      </c>
      <c r="I214" s="97">
        <v>11.573492373822424</v>
      </c>
      <c r="J214" s="98">
        <v>0.74906549156641933</v>
      </c>
      <c r="K214" s="99">
        <v>76</v>
      </c>
      <c r="M214" s="100">
        <f t="shared" si="24"/>
        <v>0.70443548387096777</v>
      </c>
      <c r="N214" s="89">
        <f t="shared" si="25"/>
        <v>11.573492373822424</v>
      </c>
      <c r="O214" s="100"/>
      <c r="V214" s="109">
        <f t="shared" si="26"/>
        <v>196.88980851814679</v>
      </c>
      <c r="W214" s="109">
        <f t="shared" si="27"/>
        <v>55.937353757097306</v>
      </c>
      <c r="X214" s="109">
        <f t="shared" si="28"/>
        <v>28.889891900842652</v>
      </c>
      <c r="Y214" s="109">
        <f t="shared" si="29"/>
        <v>15.188844472348872</v>
      </c>
      <c r="Z214" s="109">
        <f t="shared" si="30"/>
        <v>-6.5183764179614077</v>
      </c>
      <c r="AA214" s="109">
        <f t="shared" si="31"/>
        <v>-18.414482008435051</v>
      </c>
    </row>
    <row r="215" spans="1:27" ht="19.5" thickBot="1" x14ac:dyDescent="0.35">
      <c r="A215" s="93">
        <v>160</v>
      </c>
      <c r="B215" s="94" t="s">
        <v>275</v>
      </c>
      <c r="C215" s="93">
        <v>45</v>
      </c>
      <c r="D215" s="94" t="s">
        <v>276</v>
      </c>
      <c r="E215" s="93">
        <v>557436</v>
      </c>
      <c r="F215" s="94" t="s">
        <v>283</v>
      </c>
      <c r="G215" s="95">
        <v>4.8901018720292821</v>
      </c>
      <c r="H215" s="96">
        <v>12.065188322041301</v>
      </c>
      <c r="I215" s="97">
        <v>9.2942849023182568</v>
      </c>
      <c r="J215" s="98">
        <v>0.79848288331013095</v>
      </c>
      <c r="K215" s="99">
        <v>121</v>
      </c>
      <c r="M215" s="100">
        <f t="shared" si="24"/>
        <v>0.77033898305084747</v>
      </c>
      <c r="N215" s="89">
        <f t="shared" si="25"/>
        <v>9.2942849023182568</v>
      </c>
      <c r="O215" s="100"/>
      <c r="V215" s="109">
        <f t="shared" si="26"/>
        <v>248.70116990100951</v>
      </c>
      <c r="W215" s="109">
        <f t="shared" si="27"/>
        <v>81.676195177619633</v>
      </c>
      <c r="X215" s="109">
        <f t="shared" si="28"/>
        <v>49.62565983553371</v>
      </c>
      <c r="Y215" s="109">
        <f t="shared" si="29"/>
        <v>33.390276746196299</v>
      </c>
      <c r="Z215" s="109">
        <f t="shared" si="30"/>
        <v>7.6677873673095185</v>
      </c>
      <c r="AA215" s="109">
        <f t="shared" si="31"/>
        <v>-6.4287868209443948</v>
      </c>
    </row>
    <row r="216" spans="1:27" ht="19.5" thickBot="1" x14ac:dyDescent="0.35">
      <c r="A216" s="93">
        <v>160</v>
      </c>
      <c r="B216" s="94" t="s">
        <v>275</v>
      </c>
      <c r="C216" s="93">
        <v>45</v>
      </c>
      <c r="D216" s="94" t="s">
        <v>276</v>
      </c>
      <c r="E216" s="93">
        <v>557437</v>
      </c>
      <c r="F216" s="94" t="s">
        <v>540</v>
      </c>
      <c r="G216" s="95">
        <v>3.2304346183598343</v>
      </c>
      <c r="H216" s="96">
        <v>7.7388967595614346</v>
      </c>
      <c r="I216" s="97">
        <v>5.0689773775127396</v>
      </c>
      <c r="J216" s="98">
        <v>0.89009528797339177</v>
      </c>
      <c r="K216" s="99">
        <v>220</v>
      </c>
      <c r="M216" s="100">
        <f t="shared" si="24"/>
        <v>0.65500000000000003</v>
      </c>
      <c r="N216" s="89">
        <f t="shared" si="25"/>
        <v>5.0689773775127396</v>
      </c>
      <c r="O216" s="100"/>
      <c r="V216" s="109">
        <f t="shared" si="26"/>
        <v>215.39337653546369</v>
      </c>
      <c r="W216" s="109">
        <f t="shared" si="27"/>
        <v>85.626144922109773</v>
      </c>
      <c r="X216" s="109">
        <f t="shared" si="28"/>
        <v>60.725023099122808</v>
      </c>
      <c r="Y216" s="109">
        <f t="shared" si="29"/>
        <v>48.111216564054132</v>
      </c>
      <c r="Z216" s="109">
        <f t="shared" si="30"/>
        <v>28.126563116687983</v>
      </c>
      <c r="AA216" s="109">
        <f t="shared" si="31"/>
        <v>17.174468014315224</v>
      </c>
    </row>
    <row r="217" spans="1:27" ht="19.5" thickBot="1" x14ac:dyDescent="0.35">
      <c r="A217" s="93">
        <v>160</v>
      </c>
      <c r="B217" s="94" t="s">
        <v>275</v>
      </c>
      <c r="C217" s="93">
        <v>45</v>
      </c>
      <c r="D217" s="94" t="s">
        <v>276</v>
      </c>
      <c r="E217" s="93">
        <v>557440</v>
      </c>
      <c r="F217" s="94" t="s">
        <v>284</v>
      </c>
      <c r="G217" s="95">
        <v>2.8985915401731601</v>
      </c>
      <c r="H217" s="96">
        <v>3.4499514199929688</v>
      </c>
      <c r="I217" s="97">
        <v>2.6823372290445331</v>
      </c>
      <c r="J217" s="98">
        <v>0.94184201688802094</v>
      </c>
      <c r="K217" s="99">
        <v>264</v>
      </c>
      <c r="M217" s="100">
        <f t="shared" si="24"/>
        <v>0.77749999999999997</v>
      </c>
      <c r="N217" s="89">
        <f t="shared" si="25"/>
        <v>2.6823372290445331</v>
      </c>
      <c r="O217" s="100"/>
      <c r="V217" s="109">
        <f t="shared" si="26"/>
        <v>172.28238305734629</v>
      </c>
      <c r="W217" s="109">
        <f t="shared" si="27"/>
        <v>74.19074054976268</v>
      </c>
      <c r="X217" s="109">
        <f t="shared" si="28"/>
        <v>55.36786893933936</v>
      </c>
      <c r="Y217" s="109">
        <f t="shared" si="29"/>
        <v>45.83303502237343</v>
      </c>
      <c r="Z217" s="109">
        <f t="shared" si="30"/>
        <v>30.726544291047251</v>
      </c>
      <c r="AA217" s="109">
        <f t="shared" si="31"/>
        <v>22.447805628486059</v>
      </c>
    </row>
    <row r="218" spans="1:27" ht="19.5" thickBot="1" x14ac:dyDescent="0.35">
      <c r="A218" s="93">
        <v>160</v>
      </c>
      <c r="B218" s="94" t="s">
        <v>275</v>
      </c>
      <c r="C218" s="93">
        <v>45</v>
      </c>
      <c r="D218" s="94" t="s">
        <v>276</v>
      </c>
      <c r="E218" s="93">
        <v>557441</v>
      </c>
      <c r="F218" s="94" t="s">
        <v>285</v>
      </c>
      <c r="G218" s="95">
        <v>2.6161258949061263</v>
      </c>
      <c r="H218" s="96">
        <v>12.614071847327565</v>
      </c>
      <c r="I218" s="97">
        <v>8.1991467007629169</v>
      </c>
      <c r="J218" s="98">
        <v>0.82222748497381737</v>
      </c>
      <c r="K218" s="99">
        <v>153</v>
      </c>
      <c r="M218" s="100">
        <f t="shared" si="24"/>
        <v>0.64999999999999991</v>
      </c>
      <c r="N218" s="89">
        <f t="shared" si="25"/>
        <v>8.1991467007629169</v>
      </c>
      <c r="O218" s="100"/>
      <c r="V218" s="109">
        <f t="shared" si="26"/>
        <v>162.37286725044098</v>
      </c>
      <c r="W218" s="109">
        <f t="shared" si="27"/>
        <v>56.474157942711422</v>
      </c>
      <c r="X218" s="109">
        <f t="shared" si="28"/>
        <v>36.153183004863614</v>
      </c>
      <c r="Y218" s="109">
        <f t="shared" si="29"/>
        <v>25.85947622763036</v>
      </c>
      <c r="Z218" s="109">
        <f t="shared" si="30"/>
        <v>9.5506671413420676</v>
      </c>
      <c r="AA218" s="109">
        <f t="shared" si="31"/>
        <v>0.61302763761523416</v>
      </c>
    </row>
    <row r="219" spans="1:27" ht="19.5" thickBot="1" x14ac:dyDescent="0.35">
      <c r="A219" s="93">
        <v>160</v>
      </c>
      <c r="B219" s="94" t="s">
        <v>275</v>
      </c>
      <c r="C219" s="93">
        <v>45</v>
      </c>
      <c r="D219" s="94" t="s">
        <v>276</v>
      </c>
      <c r="E219" s="93">
        <v>557439</v>
      </c>
      <c r="F219" s="94" t="s">
        <v>286</v>
      </c>
      <c r="G219" s="95">
        <v>3.8096855577145412</v>
      </c>
      <c r="H219" s="96">
        <v>2.6248885501193633</v>
      </c>
      <c r="I219" s="97">
        <v>2.8348796341289124</v>
      </c>
      <c r="J219" s="98">
        <v>0.93853461820500084</v>
      </c>
      <c r="K219" s="99">
        <v>262</v>
      </c>
      <c r="M219" s="100">
        <f t="shared" si="24"/>
        <v>1.08</v>
      </c>
      <c r="N219" s="89">
        <f t="shared" si="25"/>
        <v>2.8348796341289124</v>
      </c>
      <c r="O219" s="100"/>
      <c r="V219" s="109">
        <f t="shared" si="26"/>
        <v>162.439580466096</v>
      </c>
      <c r="W219" s="109">
        <f t="shared" si="27"/>
        <v>69.626163843888179</v>
      </c>
      <c r="X219" s="109">
        <f t="shared" si="28"/>
        <v>51.816134567749984</v>
      </c>
      <c r="Y219" s="109">
        <f t="shared" si="29"/>
        <v>42.794361762890503</v>
      </c>
      <c r="Z219" s="109">
        <f t="shared" si="30"/>
        <v>28.500738146202664</v>
      </c>
      <c r="AA219" s="109">
        <f t="shared" si="31"/>
        <v>20.667471203656905</v>
      </c>
    </row>
    <row r="220" spans="1:27" ht="19.5" thickBot="1" x14ac:dyDescent="0.35">
      <c r="A220" s="93">
        <v>160</v>
      </c>
      <c r="B220" s="94" t="s">
        <v>275</v>
      </c>
      <c r="C220" s="93">
        <v>45</v>
      </c>
      <c r="D220" s="94" t="s">
        <v>276</v>
      </c>
      <c r="E220" s="93">
        <v>457443</v>
      </c>
      <c r="F220" s="94" t="s">
        <v>287</v>
      </c>
      <c r="G220" s="95">
        <v>3.9282501081079944</v>
      </c>
      <c r="H220" s="96">
        <v>15.27397654140165</v>
      </c>
      <c r="I220" s="97">
        <v>10.462673930860131</v>
      </c>
      <c r="J220" s="98">
        <v>0.77315006957799481</v>
      </c>
      <c r="K220" s="99">
        <v>99</v>
      </c>
      <c r="M220" s="100">
        <f t="shared" si="24"/>
        <v>0.68500000000000005</v>
      </c>
      <c r="N220" s="89">
        <f t="shared" si="25"/>
        <v>10.462673930860131</v>
      </c>
      <c r="O220" s="100"/>
      <c r="V220" s="109">
        <f t="shared" si="26"/>
        <v>217.54471931881832</v>
      </c>
      <c r="W220" s="109">
        <f t="shared" si="27"/>
        <v>66.656982802353099</v>
      </c>
      <c r="X220" s="109">
        <f t="shared" si="28"/>
        <v>37.703033011806653</v>
      </c>
      <c r="Y220" s="109">
        <f t="shared" si="29"/>
        <v>23.036243150680793</v>
      </c>
      <c r="Z220" s="109">
        <f t="shared" si="30"/>
        <v>-0.20104939420187812</v>
      </c>
      <c r="AA220" s="109">
        <f t="shared" si="31"/>
        <v>-12.935672916370265</v>
      </c>
    </row>
    <row r="221" spans="1:27" ht="19.5" thickBot="1" x14ac:dyDescent="0.35">
      <c r="A221" s="93">
        <v>160</v>
      </c>
      <c r="B221" s="94" t="s">
        <v>275</v>
      </c>
      <c r="C221" s="93">
        <v>45</v>
      </c>
      <c r="D221" s="94" t="s">
        <v>276</v>
      </c>
      <c r="E221" s="93">
        <v>557444</v>
      </c>
      <c r="F221" s="94" t="s">
        <v>541</v>
      </c>
      <c r="G221" s="95">
        <v>5.9821857505261598</v>
      </c>
      <c r="H221" s="96">
        <v>23.235654290369425</v>
      </c>
      <c r="I221" s="97">
        <v>15.161682331917316</v>
      </c>
      <c r="J221" s="98">
        <v>0.6712669624605957</v>
      </c>
      <c r="K221" s="99">
        <v>39</v>
      </c>
      <c r="M221" s="100">
        <f t="shared" si="24"/>
        <v>0.65251798561151086</v>
      </c>
      <c r="N221" s="89">
        <f t="shared" si="25"/>
        <v>15.161682331917316</v>
      </c>
      <c r="O221" s="100"/>
      <c r="V221" s="109">
        <f t="shared" si="26"/>
        <v>301.95266509374716</v>
      </c>
      <c r="W221" s="109">
        <f t="shared" si="27"/>
        <v>60.732954954302087</v>
      </c>
      <c r="X221" s="109">
        <f t="shared" si="28"/>
        <v>14.445141662692924</v>
      </c>
      <c r="Y221" s="109">
        <f t="shared" si="29"/>
        <v>-9.0022164901737085</v>
      </c>
      <c r="Z221" s="109">
        <f t="shared" si="30"/>
        <v>-46.15098087295987</v>
      </c>
      <c r="AA221" s="109">
        <f t="shared" si="31"/>
        <v>-66.509442505905184</v>
      </c>
    </row>
    <row r="222" spans="1:27" ht="19.5" thickBot="1" x14ac:dyDescent="0.35">
      <c r="A222" s="93">
        <v>160</v>
      </c>
      <c r="B222" s="94" t="s">
        <v>275</v>
      </c>
      <c r="C222" s="93">
        <v>45</v>
      </c>
      <c r="D222" s="94" t="s">
        <v>276</v>
      </c>
      <c r="E222" s="93">
        <v>557445</v>
      </c>
      <c r="F222" s="94" t="s">
        <v>288</v>
      </c>
      <c r="G222" s="95">
        <v>3.051458348283218</v>
      </c>
      <c r="H222" s="96">
        <v>10.486789052193201</v>
      </c>
      <c r="I222" s="97">
        <v>7.6520788865222267</v>
      </c>
      <c r="J222" s="98">
        <v>0.83408891699556609</v>
      </c>
      <c r="K222" s="99">
        <v>163</v>
      </c>
      <c r="M222" s="100">
        <f t="shared" si="24"/>
        <v>0.72968750000000004</v>
      </c>
      <c r="N222" s="89">
        <f t="shared" si="25"/>
        <v>7.6520788865222267</v>
      </c>
      <c r="O222" s="100"/>
      <c r="V222" s="109">
        <f t="shared" si="26"/>
        <v>171.14297495420766</v>
      </c>
      <c r="W222" s="109">
        <f t="shared" si="27"/>
        <v>61.11175610949919</v>
      </c>
      <c r="X222" s="109">
        <f t="shared" si="28"/>
        <v>39.997791122194414</v>
      </c>
      <c r="Y222" s="109">
        <f t="shared" si="29"/>
        <v>29.302390672716598</v>
      </c>
      <c r="Z222" s="109">
        <f t="shared" si="30"/>
        <v>12.357159201996708</v>
      </c>
      <c r="AA222" s="109">
        <f t="shared" si="31"/>
        <v>3.0707441491751091</v>
      </c>
    </row>
    <row r="223" spans="1:27" ht="19.5" thickBot="1" x14ac:dyDescent="0.35">
      <c r="A223" s="93">
        <v>160</v>
      </c>
      <c r="B223" s="94" t="s">
        <v>275</v>
      </c>
      <c r="C223" s="93">
        <v>45</v>
      </c>
      <c r="D223" s="94" t="s">
        <v>276</v>
      </c>
      <c r="E223" s="93">
        <v>457446</v>
      </c>
      <c r="F223" s="94" t="s">
        <v>289</v>
      </c>
      <c r="G223" s="95">
        <v>7.0990085753429479</v>
      </c>
      <c r="H223" s="96">
        <v>8.4518844234670389</v>
      </c>
      <c r="I223" s="97">
        <v>6.0818351663864902</v>
      </c>
      <c r="J223" s="98">
        <v>0.86813467633130581</v>
      </c>
      <c r="K223" s="99">
        <v>199</v>
      </c>
      <c r="M223" s="100">
        <f t="shared" si="24"/>
        <v>0.71958333333333335</v>
      </c>
      <c r="N223" s="89">
        <f t="shared" si="25"/>
        <v>6.0818351663864902</v>
      </c>
      <c r="O223" s="100"/>
      <c r="V223" s="109">
        <f t="shared" si="26"/>
        <v>420.22307411115895</v>
      </c>
      <c r="W223" s="109">
        <f t="shared" si="27"/>
        <v>160.64859631825163</v>
      </c>
      <c r="X223" s="109">
        <f t="shared" si="28"/>
        <v>110.83867425011181</v>
      </c>
      <c r="Y223" s="109">
        <f t="shared" si="29"/>
        <v>85.607171631046327</v>
      </c>
      <c r="Z223" s="109">
        <f t="shared" si="30"/>
        <v>45.631702339009244</v>
      </c>
      <c r="AA223" s="109">
        <f t="shared" si="31"/>
        <v>23.724134984816615</v>
      </c>
    </row>
    <row r="224" spans="1:27" ht="19.5" thickBot="1" x14ac:dyDescent="0.35">
      <c r="A224" s="93">
        <v>160</v>
      </c>
      <c r="B224" s="94" t="s">
        <v>275</v>
      </c>
      <c r="C224" s="93">
        <v>45</v>
      </c>
      <c r="D224" s="94" t="s">
        <v>276</v>
      </c>
      <c r="E224" s="93">
        <v>557447</v>
      </c>
      <c r="F224" s="94" t="s">
        <v>290</v>
      </c>
      <c r="G224" s="95">
        <v>2.9671499978994009</v>
      </c>
      <c r="H224" s="96">
        <v>5.3923798969810184</v>
      </c>
      <c r="I224" s="97">
        <v>3.7409635535305812</v>
      </c>
      <c r="J224" s="98">
        <v>0.91888905958097611</v>
      </c>
      <c r="K224" s="99">
        <v>244</v>
      </c>
      <c r="M224" s="100">
        <f t="shared" si="24"/>
        <v>0.69374999999999998</v>
      </c>
      <c r="N224" s="89">
        <f t="shared" si="25"/>
        <v>3.7409635535305812</v>
      </c>
      <c r="O224" s="100"/>
      <c r="V224" s="109">
        <f t="shared" si="26"/>
        <v>192.83052031120494</v>
      </c>
      <c r="W224" s="109">
        <f t="shared" si="27"/>
        <v>80.297003941434014</v>
      </c>
      <c r="X224" s="109">
        <f t="shared" si="28"/>
        <v>58.702871389989511</v>
      </c>
      <c r="Y224" s="109">
        <f t="shared" si="29"/>
        <v>47.764239298117076</v>
      </c>
      <c r="Z224" s="109">
        <f t="shared" si="30"/>
        <v>30.433644371316273</v>
      </c>
      <c r="AA224" s="109">
        <f t="shared" si="31"/>
        <v>20.936040406408058</v>
      </c>
    </row>
    <row r="225" spans="1:27" ht="19.5" thickBot="1" x14ac:dyDescent="0.35">
      <c r="A225" s="93">
        <v>160</v>
      </c>
      <c r="B225" s="94" t="s">
        <v>275</v>
      </c>
      <c r="C225" s="93">
        <v>45</v>
      </c>
      <c r="D225" s="94" t="s">
        <v>276</v>
      </c>
      <c r="E225" s="93">
        <v>457453</v>
      </c>
      <c r="F225" s="94" t="s">
        <v>542</v>
      </c>
      <c r="G225" s="95">
        <v>7.6823512051361167</v>
      </c>
      <c r="H225" s="96">
        <v>4.4257284120607432</v>
      </c>
      <c r="I225" s="97">
        <v>3.3160420969778657</v>
      </c>
      <c r="J225" s="98">
        <v>0.92810213488952453</v>
      </c>
      <c r="K225" s="99">
        <v>251</v>
      </c>
      <c r="M225" s="100">
        <f t="shared" si="24"/>
        <v>0.74926470588235294</v>
      </c>
      <c r="N225" s="89">
        <f t="shared" si="25"/>
        <v>3.3160420969778657</v>
      </c>
      <c r="O225" s="100"/>
      <c r="V225" s="109">
        <f t="shared" si="26"/>
        <v>466.90748933798864</v>
      </c>
      <c r="W225" s="109">
        <f t="shared" si="27"/>
        <v>197.13089624031804</v>
      </c>
      <c r="X225" s="109">
        <f t="shared" si="28"/>
        <v>145.36328336766906</v>
      </c>
      <c r="Y225" s="109">
        <f t="shared" si="29"/>
        <v>119.14010120745272</v>
      </c>
      <c r="Z225" s="109">
        <f t="shared" si="30"/>
        <v>77.593466866574587</v>
      </c>
      <c r="AA225" s="109">
        <f t="shared" si="31"/>
        <v>54.824861362195797</v>
      </c>
    </row>
    <row r="226" spans="1:27" ht="19.5" thickBot="1" x14ac:dyDescent="0.35">
      <c r="A226" s="93">
        <v>160</v>
      </c>
      <c r="B226" s="94" t="s">
        <v>275</v>
      </c>
      <c r="C226" s="93">
        <v>45</v>
      </c>
      <c r="D226" s="94" t="s">
        <v>276</v>
      </c>
      <c r="E226" s="93">
        <v>557459</v>
      </c>
      <c r="F226" s="94" t="s">
        <v>293</v>
      </c>
      <c r="G226" s="95">
        <v>2.8462753676030181</v>
      </c>
      <c r="H226" s="96">
        <v>6.3240543079142206</v>
      </c>
      <c r="I226" s="97">
        <v>3.8646998548364686</v>
      </c>
      <c r="J226" s="98">
        <v>0.91620622997858137</v>
      </c>
      <c r="K226" s="99">
        <v>241</v>
      </c>
      <c r="M226" s="100">
        <f t="shared" si="24"/>
        <v>0.61111111111111116</v>
      </c>
      <c r="N226" s="89">
        <f t="shared" si="25"/>
        <v>3.8646998548364686</v>
      </c>
      <c r="O226" s="100"/>
      <c r="V226" s="109">
        <f t="shared" si="26"/>
        <v>209.37564465862525</v>
      </c>
      <c r="W226" s="109">
        <f t="shared" si="27"/>
        <v>86.828804285368335</v>
      </c>
      <c r="X226" s="109">
        <f t="shared" si="28"/>
        <v>63.31320821987763</v>
      </c>
      <c r="Y226" s="109">
        <f t="shared" si="29"/>
        <v>51.401247729282289</v>
      </c>
      <c r="Z226" s="109">
        <f t="shared" si="30"/>
        <v>32.528562341138326</v>
      </c>
      <c r="AA226" s="109">
        <f t="shared" si="31"/>
        <v>22.185853834709128</v>
      </c>
    </row>
    <row r="227" spans="1:27" ht="19.5" thickBot="1" x14ac:dyDescent="0.35">
      <c r="A227" s="93">
        <v>160</v>
      </c>
      <c r="B227" s="94" t="s">
        <v>275</v>
      </c>
      <c r="C227" s="93">
        <v>45</v>
      </c>
      <c r="D227" s="94" t="s">
        <v>276</v>
      </c>
      <c r="E227" s="93">
        <v>557559</v>
      </c>
      <c r="F227" s="94" t="s">
        <v>294</v>
      </c>
      <c r="G227" s="95">
        <v>3.0811951635880193</v>
      </c>
      <c r="H227" s="96">
        <v>12.332876686639155</v>
      </c>
      <c r="I227" s="97">
        <v>8.6979235579455096</v>
      </c>
      <c r="J227" s="98">
        <v>0.81141308933311562</v>
      </c>
      <c r="K227" s="99">
        <v>133</v>
      </c>
      <c r="M227" s="100">
        <f t="shared" si="24"/>
        <v>0.70526315789473681</v>
      </c>
      <c r="N227" s="89">
        <f t="shared" si="25"/>
        <v>8.6979235579455096</v>
      </c>
      <c r="O227" s="100"/>
      <c r="V227" s="109">
        <f t="shared" si="26"/>
        <v>173.93468943843436</v>
      </c>
      <c r="W227" s="109">
        <f t="shared" si="27"/>
        <v>58.983519926225213</v>
      </c>
      <c r="X227" s="109">
        <f t="shared" si="28"/>
        <v>36.925462278459335</v>
      </c>
      <c r="Y227" s="109">
        <f t="shared" si="29"/>
        <v>25.751826259721312</v>
      </c>
      <c r="Z227" s="109">
        <f t="shared" si="30"/>
        <v>8.0489034377587778</v>
      </c>
      <c r="AA227" s="109">
        <f t="shared" si="31"/>
        <v>-1.6527456224430388</v>
      </c>
    </row>
    <row r="228" spans="1:27" ht="19.5" thickBot="1" x14ac:dyDescent="0.35">
      <c r="A228" s="93">
        <v>160</v>
      </c>
      <c r="B228" s="94" t="s">
        <v>275</v>
      </c>
      <c r="C228" s="93">
        <v>45</v>
      </c>
      <c r="D228" s="94" t="s">
        <v>276</v>
      </c>
      <c r="E228" s="93">
        <v>457574</v>
      </c>
      <c r="F228" s="94" t="s">
        <v>295</v>
      </c>
      <c r="G228" s="95">
        <v>3.2922099681706554</v>
      </c>
      <c r="H228" s="96">
        <v>21.86980803050281</v>
      </c>
      <c r="I228" s="97">
        <v>15.065867754346382</v>
      </c>
      <c r="J228" s="98">
        <v>0.6733443979612157</v>
      </c>
      <c r="K228" s="99">
        <v>40</v>
      </c>
      <c r="M228" s="100">
        <f t="shared" si="24"/>
        <v>0.68888888888888899</v>
      </c>
      <c r="N228" s="89">
        <f t="shared" si="25"/>
        <v>15.065867754346382</v>
      </c>
      <c r="O228" s="100"/>
      <c r="V228" s="109">
        <f t="shared" si="26"/>
        <v>157.88896705465055</v>
      </c>
      <c r="W228" s="109">
        <f t="shared" si="27"/>
        <v>32.145992557994141</v>
      </c>
      <c r="X228" s="109">
        <f t="shared" si="28"/>
        <v>8.0170881543359673</v>
      </c>
      <c r="Y228" s="109">
        <f t="shared" si="29"/>
        <v>-4.2055472038007737</v>
      </c>
      <c r="Z228" s="109">
        <f t="shared" si="30"/>
        <v>-23.570449556376513</v>
      </c>
      <c r="AA228" s="109">
        <f t="shared" si="31"/>
        <v>-34.182905397662225</v>
      </c>
    </row>
    <row r="229" spans="1:27" ht="19.5" thickBot="1" x14ac:dyDescent="0.35">
      <c r="A229" s="93">
        <v>160</v>
      </c>
      <c r="B229" s="94" t="s">
        <v>275</v>
      </c>
      <c r="C229" s="93">
        <v>45</v>
      </c>
      <c r="D229" s="94" t="s">
        <v>276</v>
      </c>
      <c r="E229" s="93">
        <v>557612</v>
      </c>
      <c r="F229" s="94" t="s">
        <v>296</v>
      </c>
      <c r="G229" s="95">
        <v>3.782552822511259</v>
      </c>
      <c r="H229" s="96">
        <v>-0.26437172114257329</v>
      </c>
      <c r="I229" s="97">
        <v>0.10574868845702931</v>
      </c>
      <c r="J229" s="98">
        <v>0.99770717478369098</v>
      </c>
      <c r="K229" s="99">
        <v>284</v>
      </c>
      <c r="M229" s="100">
        <f t="shared" si="24"/>
        <v>-0.39999999999999997</v>
      </c>
      <c r="N229" s="89">
        <f t="shared" si="25"/>
        <v>0.10574868845702931</v>
      </c>
      <c r="O229" s="100"/>
      <c r="V229" s="109">
        <f t="shared" si="26"/>
        <v>-462.91823900149745</v>
      </c>
      <c r="W229" s="109">
        <f t="shared" si="27"/>
        <v>-214.1067706085492</v>
      </c>
      <c r="X229" s="109">
        <f t="shared" si="28"/>
        <v>-166.36216969212259</v>
      </c>
      <c r="Y229" s="109">
        <f t="shared" si="29"/>
        <v>-142.17686738586585</v>
      </c>
      <c r="Z229" s="109">
        <f t="shared" si="30"/>
        <v>-103.85894299352894</v>
      </c>
      <c r="AA229" s="109">
        <f t="shared" si="31"/>
        <v>-82.859752130616485</v>
      </c>
    </row>
    <row r="230" spans="1:27" ht="19.5" thickBot="1" x14ac:dyDescent="0.35">
      <c r="A230" s="93">
        <v>160</v>
      </c>
      <c r="B230" s="94" t="s">
        <v>275</v>
      </c>
      <c r="C230" s="93">
        <v>45</v>
      </c>
      <c r="D230" s="94" t="s">
        <v>276</v>
      </c>
      <c r="E230" s="93">
        <v>557712</v>
      </c>
      <c r="F230" s="94" t="s">
        <v>543</v>
      </c>
      <c r="G230" s="95">
        <v>5.6556242556549732</v>
      </c>
      <c r="H230" s="96">
        <v>8.8407570481730211</v>
      </c>
      <c r="I230" s="97">
        <v>6.0559185779985194</v>
      </c>
      <c r="J230" s="98">
        <v>0.86869659542688671</v>
      </c>
      <c r="K230" s="99">
        <v>201</v>
      </c>
      <c r="M230" s="100">
        <f t="shared" si="24"/>
        <v>0.68499999999999994</v>
      </c>
      <c r="N230" s="89">
        <f t="shared" si="25"/>
        <v>6.0559185779985194</v>
      </c>
      <c r="O230" s="100"/>
      <c r="V230" s="109">
        <f t="shared" si="26"/>
        <v>351.91216758181355</v>
      </c>
      <c r="W230" s="109">
        <f t="shared" si="27"/>
        <v>134.67438509896331</v>
      </c>
      <c r="X230" s="109">
        <f t="shared" si="28"/>
        <v>92.988480121975826</v>
      </c>
      <c r="Y230" s="109">
        <f t="shared" si="29"/>
        <v>71.872245104259505</v>
      </c>
      <c r="Z230" s="109">
        <f t="shared" si="30"/>
        <v>38.416789943364265</v>
      </c>
      <c r="AA230" s="109">
        <f t="shared" si="31"/>
        <v>20.08235509412836</v>
      </c>
    </row>
    <row r="231" spans="1:27" ht="19.5" thickBot="1" x14ac:dyDescent="0.35">
      <c r="A231" s="93">
        <v>160</v>
      </c>
      <c r="B231" s="94" t="s">
        <v>275</v>
      </c>
      <c r="C231" s="93">
        <v>42</v>
      </c>
      <c r="D231" s="94" t="s">
        <v>299</v>
      </c>
      <c r="E231" s="93">
        <v>457163</v>
      </c>
      <c r="F231" s="94" t="s">
        <v>300</v>
      </c>
      <c r="G231" s="95">
        <v>2.446257751706499</v>
      </c>
      <c r="H231" s="96">
        <v>15.533931358415263</v>
      </c>
      <c r="I231" s="97">
        <v>10.669358117227326</v>
      </c>
      <c r="J231" s="98">
        <v>0.76866877793050936</v>
      </c>
      <c r="K231" s="99">
        <v>93</v>
      </c>
      <c r="M231" s="100">
        <f t="shared" si="24"/>
        <v>0.68684210526315792</v>
      </c>
      <c r="N231" s="89">
        <f t="shared" si="25"/>
        <v>10.669358117227326</v>
      </c>
      <c r="O231" s="100"/>
      <c r="V231" s="109">
        <f t="shared" si="26"/>
        <v>134.32620091756425</v>
      </c>
      <c r="W231" s="109">
        <f t="shared" si="27"/>
        <v>40.615175912297893</v>
      </c>
      <c r="X231" s="109">
        <f t="shared" si="28"/>
        <v>22.632903956571113</v>
      </c>
      <c r="Y231" s="109">
        <f t="shared" si="29"/>
        <v>13.523880631319161</v>
      </c>
      <c r="Z231" s="109">
        <f t="shared" si="30"/>
        <v>-0.90797813336292277</v>
      </c>
      <c r="AA231" s="109">
        <f t="shared" si="31"/>
        <v>-8.8170014302188005</v>
      </c>
    </row>
    <row r="232" spans="1:27" ht="19.5" thickBot="1" x14ac:dyDescent="0.35">
      <c r="A232" s="93">
        <v>160</v>
      </c>
      <c r="B232" s="94" t="s">
        <v>275</v>
      </c>
      <c r="C232" s="93">
        <v>42</v>
      </c>
      <c r="D232" s="94" t="s">
        <v>299</v>
      </c>
      <c r="E232" s="93">
        <v>457165</v>
      </c>
      <c r="F232" s="94" t="s">
        <v>301</v>
      </c>
      <c r="G232" s="95">
        <v>3.2867156132296058</v>
      </c>
      <c r="H232" s="96">
        <v>24.340408302436021</v>
      </c>
      <c r="I232" s="97">
        <v>17.198019741189952</v>
      </c>
      <c r="J232" s="98">
        <v>0.62711543841790318</v>
      </c>
      <c r="K232" s="99">
        <v>24</v>
      </c>
      <c r="M232" s="100">
        <f t="shared" si="24"/>
        <v>0.70656250000000009</v>
      </c>
      <c r="N232" s="89">
        <f t="shared" si="25"/>
        <v>17.198019741189952</v>
      </c>
      <c r="O232" s="100"/>
      <c r="V232" s="109">
        <f t="shared" si="26"/>
        <v>143.13150012812596</v>
      </c>
      <c r="W232" s="109">
        <f t="shared" si="27"/>
        <v>20.738402078099643</v>
      </c>
      <c r="X232" s="109">
        <f t="shared" si="28"/>
        <v>-2.7476922690256829</v>
      </c>
      <c r="Y232" s="109">
        <f t="shared" si="29"/>
        <v>-14.644708494436573</v>
      </c>
      <c r="Z232" s="109">
        <f t="shared" si="30"/>
        <v>-33.493716972687665</v>
      </c>
      <c r="AA232" s="109">
        <f t="shared" si="31"/>
        <v>-43.823449934178853</v>
      </c>
    </row>
    <row r="233" spans="1:27" ht="19.5" thickBot="1" x14ac:dyDescent="0.35">
      <c r="A233" s="93">
        <v>160</v>
      </c>
      <c r="B233" s="94" t="s">
        <v>275</v>
      </c>
      <c r="C233" s="93">
        <v>42</v>
      </c>
      <c r="D233" s="94" t="s">
        <v>299</v>
      </c>
      <c r="E233" s="93">
        <v>557210</v>
      </c>
      <c r="F233" s="94" t="s">
        <v>302</v>
      </c>
      <c r="G233" s="95">
        <v>2.3582831220937974</v>
      </c>
      <c r="H233" s="96">
        <v>0.84807459344588942</v>
      </c>
      <c r="I233" s="97">
        <v>0.40283543188679743</v>
      </c>
      <c r="J233" s="98">
        <v>0.99126579015088101</v>
      </c>
      <c r="K233" s="99">
        <v>280</v>
      </c>
      <c r="M233" s="100">
        <f t="shared" si="24"/>
        <v>0.47499999999999998</v>
      </c>
      <c r="N233" s="89">
        <f t="shared" si="25"/>
        <v>0.40283543188679743</v>
      </c>
      <c r="O233" s="100"/>
      <c r="V233" s="109">
        <f t="shared" si="26"/>
        <v>241.47303370206382</v>
      </c>
      <c r="W233" s="109">
        <f t="shared" si="27"/>
        <v>110.84159280628988</v>
      </c>
      <c r="X233" s="109">
        <f t="shared" si="28"/>
        <v>85.774637279720352</v>
      </c>
      <c r="Y233" s="109">
        <f t="shared" si="29"/>
        <v>73.076826727930879</v>
      </c>
      <c r="Z233" s="109">
        <f t="shared" si="30"/>
        <v>52.959081722700418</v>
      </c>
      <c r="AA233" s="109">
        <f t="shared" si="31"/>
        <v>41.934049083387521</v>
      </c>
    </row>
    <row r="234" spans="1:27" ht="19.5" thickBot="1" x14ac:dyDescent="0.35">
      <c r="A234" s="93">
        <v>160</v>
      </c>
      <c r="B234" s="94" t="s">
        <v>275</v>
      </c>
      <c r="C234" s="93">
        <v>42</v>
      </c>
      <c r="D234" s="94" t="s">
        <v>299</v>
      </c>
      <c r="E234" s="93">
        <v>557250</v>
      </c>
      <c r="F234" s="94" t="s">
        <v>303</v>
      </c>
      <c r="G234" s="95">
        <v>2.9549106548231645</v>
      </c>
      <c r="H234" s="96">
        <v>12.521529183837286</v>
      </c>
      <c r="I234" s="97">
        <v>8.3758877648641299</v>
      </c>
      <c r="J234" s="98">
        <v>0.81839541504991264</v>
      </c>
      <c r="K234" s="99">
        <v>147</v>
      </c>
      <c r="M234" s="100">
        <f t="shared" si="24"/>
        <v>0.66891891891891886</v>
      </c>
      <c r="N234" s="89">
        <f t="shared" si="25"/>
        <v>8.3758877648641299</v>
      </c>
      <c r="O234" s="100"/>
      <c r="V234" s="109">
        <f t="shared" si="26"/>
        <v>177.38228667899881</v>
      </c>
      <c r="W234" s="109">
        <f t="shared" si="27"/>
        <v>61.1528163007264</v>
      </c>
      <c r="X234" s="109">
        <f t="shared" si="28"/>
        <v>38.84946463538364</v>
      </c>
      <c r="Y234" s="109">
        <f t="shared" si="29"/>
        <v>27.551573520673649</v>
      </c>
      <c r="Z234" s="109">
        <f t="shared" si="30"/>
        <v>9.6517874421544967</v>
      </c>
      <c r="AA234" s="109">
        <f t="shared" si="31"/>
        <v>-0.1577476573849228</v>
      </c>
    </row>
    <row r="235" spans="1:27" ht="19.5" thickBot="1" x14ac:dyDescent="0.35">
      <c r="A235" s="93">
        <v>160</v>
      </c>
      <c r="B235" s="94" t="s">
        <v>275</v>
      </c>
      <c r="C235" s="93">
        <v>42</v>
      </c>
      <c r="D235" s="94" t="s">
        <v>299</v>
      </c>
      <c r="E235" s="93">
        <v>457258</v>
      </c>
      <c r="F235" s="94" t="s">
        <v>304</v>
      </c>
      <c r="G235" s="95">
        <v>3.2319854415753091</v>
      </c>
      <c r="H235" s="96">
        <v>4.0222953460036752</v>
      </c>
      <c r="I235" s="97">
        <v>2.939369675925763</v>
      </c>
      <c r="J235" s="98">
        <v>0.93626908275316056</v>
      </c>
      <c r="K235" s="99">
        <v>261</v>
      </c>
      <c r="M235" s="100">
        <f t="shared" si="24"/>
        <v>0.73076923076923084</v>
      </c>
      <c r="N235" s="89">
        <f t="shared" si="25"/>
        <v>2.939369675925763</v>
      </c>
      <c r="O235" s="100"/>
      <c r="V235" s="109">
        <f t="shared" si="26"/>
        <v>203.17300876334912</v>
      </c>
      <c r="W235" s="109">
        <f t="shared" si="27"/>
        <v>86.804752424392689</v>
      </c>
      <c r="X235" s="109">
        <f t="shared" si="28"/>
        <v>64.474769027207103</v>
      </c>
      <c r="Y235" s="109">
        <f t="shared" si="29"/>
        <v>53.163387455498935</v>
      </c>
      <c r="Z235" s="109">
        <f t="shared" si="30"/>
        <v>35.242227804521264</v>
      </c>
      <c r="AA235" s="109">
        <f t="shared" si="31"/>
        <v>25.420979447163301</v>
      </c>
    </row>
    <row r="236" spans="1:27" ht="19.5" thickBot="1" x14ac:dyDescent="0.35">
      <c r="A236" s="93">
        <v>160</v>
      </c>
      <c r="B236" s="94" t="s">
        <v>275</v>
      </c>
      <c r="C236" s="93">
        <v>42</v>
      </c>
      <c r="D236" s="94" t="s">
        <v>299</v>
      </c>
      <c r="E236" s="93">
        <v>557305</v>
      </c>
      <c r="F236" s="94" t="s">
        <v>305</v>
      </c>
      <c r="G236" s="95">
        <v>2.895036046810425</v>
      </c>
      <c r="H236" s="96">
        <v>14.507591380864859</v>
      </c>
      <c r="I236" s="97">
        <v>9.309037802721619</v>
      </c>
      <c r="J236" s="98">
        <v>0.79816301341337803</v>
      </c>
      <c r="K236" s="99">
        <v>120</v>
      </c>
      <c r="M236" s="100">
        <f t="shared" si="24"/>
        <v>0.64166666666666672</v>
      </c>
      <c r="N236" s="89">
        <f t="shared" si="25"/>
        <v>9.309037802721619</v>
      </c>
      <c r="O236" s="100"/>
      <c r="V236" s="109">
        <f t="shared" si="26"/>
        <v>176.69012667148328</v>
      </c>
      <c r="W236" s="109">
        <f t="shared" si="27"/>
        <v>57.979422670148836</v>
      </c>
      <c r="X236" s="109">
        <f t="shared" si="28"/>
        <v>35.199945407064646</v>
      </c>
      <c r="Y236" s="109">
        <f t="shared" si="29"/>
        <v>23.660870131295678</v>
      </c>
      <c r="Z236" s="109">
        <f t="shared" si="30"/>
        <v>5.3789645187281074</v>
      </c>
      <c r="AA236" s="109">
        <f t="shared" si="31"/>
        <v>-4.6399817416500397</v>
      </c>
    </row>
    <row r="237" spans="1:27" ht="19.5" thickBot="1" x14ac:dyDescent="0.35">
      <c r="A237" s="93">
        <v>160</v>
      </c>
      <c r="B237" s="94" t="s">
        <v>275</v>
      </c>
      <c r="C237" s="93">
        <v>42</v>
      </c>
      <c r="D237" s="94" t="s">
        <v>299</v>
      </c>
      <c r="E237" s="93">
        <v>457308</v>
      </c>
      <c r="F237" s="94" t="s">
        <v>306</v>
      </c>
      <c r="G237" s="95">
        <v>9.4580011961370065</v>
      </c>
      <c r="H237" s="96">
        <v>20.511733502342619</v>
      </c>
      <c r="I237" s="97">
        <v>13.922074788252395</v>
      </c>
      <c r="J237" s="98">
        <v>0.6981439240183438</v>
      </c>
      <c r="K237" s="99">
        <v>55</v>
      </c>
      <c r="M237" s="100">
        <f t="shared" si="24"/>
        <v>0.678737113402062</v>
      </c>
      <c r="N237" s="89">
        <f t="shared" si="25"/>
        <v>13.922074788252395</v>
      </c>
      <c r="O237" s="100"/>
      <c r="V237" s="109">
        <f t="shared" si="26"/>
        <v>477.33020495935892</v>
      </c>
      <c r="W237" s="109">
        <f t="shared" si="27"/>
        <v>110.68741284493791</v>
      </c>
      <c r="X237" s="109">
        <f t="shared" si="28"/>
        <v>40.332079541967431</v>
      </c>
      <c r="Y237" s="109">
        <f t="shared" si="29"/>
        <v>4.6931806480744571</v>
      </c>
      <c r="Z237" s="109">
        <f t="shared" si="30"/>
        <v>-51.771221406930877</v>
      </c>
      <c r="AA237" s="109">
        <f t="shared" si="31"/>
        <v>-82.715140591405486</v>
      </c>
    </row>
    <row r="238" spans="1:27" ht="19.5" thickBot="1" x14ac:dyDescent="0.35">
      <c r="A238" s="93">
        <v>160</v>
      </c>
      <c r="B238" s="94" t="s">
        <v>275</v>
      </c>
      <c r="C238" s="93">
        <v>42</v>
      </c>
      <c r="D238" s="94" t="s">
        <v>299</v>
      </c>
      <c r="E238" s="93">
        <v>457345</v>
      </c>
      <c r="F238" s="94" t="s">
        <v>307</v>
      </c>
      <c r="G238" s="95">
        <v>2.4953960784280431</v>
      </c>
      <c r="H238" s="96">
        <v>4.4081178515473871</v>
      </c>
      <c r="I238" s="97">
        <v>3.1457931940588169</v>
      </c>
      <c r="J238" s="98">
        <v>0.93179344287033572</v>
      </c>
      <c r="K238" s="99">
        <v>258</v>
      </c>
      <c r="M238" s="100">
        <f t="shared" si="24"/>
        <v>0.71363636363636351</v>
      </c>
      <c r="N238" s="89">
        <f t="shared" si="25"/>
        <v>3.1457931940588169</v>
      </c>
      <c r="O238" s="100"/>
      <c r="V238" s="109">
        <f t="shared" si="26"/>
        <v>159.86682629492745</v>
      </c>
      <c r="W238" s="109">
        <f t="shared" si="27"/>
        <v>67.862573898916523</v>
      </c>
      <c r="X238" s="109">
        <f t="shared" si="28"/>
        <v>50.207815693300709</v>
      </c>
      <c r="Y238" s="109">
        <f t="shared" si="29"/>
        <v>41.264696342610293</v>
      </c>
      <c r="Z238" s="109">
        <f t="shared" si="30"/>
        <v>27.095687133130685</v>
      </c>
      <c r="AA238" s="109">
        <f t="shared" si="31"/>
        <v>19.330712034747485</v>
      </c>
    </row>
    <row r="239" spans="1:27" ht="19.5" thickBot="1" x14ac:dyDescent="0.35">
      <c r="A239" s="93">
        <v>160</v>
      </c>
      <c r="B239" s="94" t="s">
        <v>275</v>
      </c>
      <c r="C239" s="93">
        <v>42</v>
      </c>
      <c r="D239" s="94" t="s">
        <v>299</v>
      </c>
      <c r="E239" s="93">
        <v>557353</v>
      </c>
      <c r="F239" s="94" t="s">
        <v>308</v>
      </c>
      <c r="G239" s="95">
        <v>2.3401625074782282</v>
      </c>
      <c r="H239" s="96">
        <v>11.110339524248571</v>
      </c>
      <c r="I239" s="97">
        <v>7.8199697420672631</v>
      </c>
      <c r="J239" s="98">
        <v>0.83044873579995915</v>
      </c>
      <c r="K239" s="99">
        <v>159</v>
      </c>
      <c r="M239" s="100">
        <f t="shared" si="24"/>
        <v>0.70384615384615379</v>
      </c>
      <c r="N239" s="89">
        <f t="shared" si="25"/>
        <v>7.8199697420672631</v>
      </c>
      <c r="O239" s="100"/>
      <c r="V239" s="109">
        <f t="shared" si="26"/>
        <v>135.47441688600858</v>
      </c>
      <c r="W239" s="109">
        <f t="shared" si="27"/>
        <v>47.993432891136671</v>
      </c>
      <c r="X239" s="109">
        <f t="shared" si="28"/>
        <v>31.206647717652942</v>
      </c>
      <c r="Y239" s="109">
        <f t="shared" si="29"/>
        <v>22.703205100516922</v>
      </c>
      <c r="Z239" s="109">
        <f t="shared" si="30"/>
        <v>9.230796645498371</v>
      </c>
      <c r="AA239" s="109">
        <f t="shared" si="31"/>
        <v>1.8475763636965699</v>
      </c>
    </row>
    <row r="240" spans="1:27" ht="19.5" thickBot="1" x14ac:dyDescent="0.35">
      <c r="A240" s="93">
        <v>160</v>
      </c>
      <c r="B240" s="94" t="s">
        <v>275</v>
      </c>
      <c r="C240" s="93">
        <v>42</v>
      </c>
      <c r="D240" s="94" t="s">
        <v>299</v>
      </c>
      <c r="E240" s="93">
        <v>457435</v>
      </c>
      <c r="F240" s="94" t="s">
        <v>309</v>
      </c>
      <c r="G240" s="95">
        <v>3.4293753761305177</v>
      </c>
      <c r="H240" s="96">
        <v>9.9143419051324067</v>
      </c>
      <c r="I240" s="97">
        <v>6.9546192481590561</v>
      </c>
      <c r="J240" s="98">
        <v>0.84921111916686465</v>
      </c>
      <c r="K240" s="99">
        <v>183</v>
      </c>
      <c r="M240" s="100">
        <f t="shared" si="24"/>
        <v>0.70147058823529418</v>
      </c>
      <c r="N240" s="89">
        <f t="shared" si="25"/>
        <v>6.9546192481590561</v>
      </c>
      <c r="O240" s="100"/>
      <c r="V240" s="109">
        <f t="shared" si="26"/>
        <v>203.70299649264695</v>
      </c>
      <c r="W240" s="109">
        <f t="shared" si="27"/>
        <v>75.070427610037115</v>
      </c>
      <c r="X240" s="109">
        <f t="shared" si="28"/>
        <v>50.387036985712442</v>
      </c>
      <c r="Y240" s="109">
        <f t="shared" si="29"/>
        <v>37.88352344210405</v>
      </c>
      <c r="Z240" s="109">
        <f t="shared" si="30"/>
        <v>18.073612425254773</v>
      </c>
      <c r="AA240" s="109">
        <f t="shared" si="31"/>
        <v>7.2172805905554274</v>
      </c>
    </row>
    <row r="241" spans="1:27" ht="19.5" thickBot="1" x14ac:dyDescent="0.35">
      <c r="A241" s="93">
        <v>160</v>
      </c>
      <c r="B241" s="94" t="s">
        <v>275</v>
      </c>
      <c r="C241" s="93">
        <v>42</v>
      </c>
      <c r="D241" s="94" t="s">
        <v>299</v>
      </c>
      <c r="E241" s="93">
        <v>557458</v>
      </c>
      <c r="F241" s="94" t="s">
        <v>310</v>
      </c>
      <c r="G241" s="95">
        <v>2.2933005833727047</v>
      </c>
      <c r="H241" s="96">
        <v>25.72711158222009</v>
      </c>
      <c r="I241" s="97">
        <v>16.875240986981652</v>
      </c>
      <c r="J241" s="98">
        <v>0.63411387289246723</v>
      </c>
      <c r="K241" s="99">
        <v>28</v>
      </c>
      <c r="M241" s="100">
        <f t="shared" si="24"/>
        <v>0.65593220338983049</v>
      </c>
      <c r="N241" s="89">
        <f t="shared" si="25"/>
        <v>16.875240986981652</v>
      </c>
      <c r="O241" s="100"/>
      <c r="V241" s="109">
        <f t="shared" si="26"/>
        <v>108.77910205844515</v>
      </c>
      <c r="W241" s="109">
        <f t="shared" si="27"/>
        <v>16.787663116668401</v>
      </c>
      <c r="X241" s="109">
        <f t="shared" si="28"/>
        <v>-0.86463630654995505</v>
      </c>
      <c r="Y241" s="109">
        <f t="shared" si="29"/>
        <v>-9.8065101468696412</v>
      </c>
      <c r="Z241" s="109">
        <f t="shared" si="30"/>
        <v>-23.973546035048098</v>
      </c>
      <c r="AA241" s="109">
        <f t="shared" si="31"/>
        <v>-31.737439703492342</v>
      </c>
    </row>
    <row r="242" spans="1:27" ht="19.5" thickBot="1" x14ac:dyDescent="0.35">
      <c r="A242" s="93">
        <v>160</v>
      </c>
      <c r="B242" s="94" t="s">
        <v>275</v>
      </c>
      <c r="C242" s="93">
        <v>42</v>
      </c>
      <c r="D242" s="94" t="s">
        <v>299</v>
      </c>
      <c r="E242" s="93">
        <v>557503</v>
      </c>
      <c r="F242" s="94" t="s">
        <v>311</v>
      </c>
      <c r="G242" s="95">
        <v>2.7186061751380932</v>
      </c>
      <c r="H242" s="96">
        <v>14.713422034351179</v>
      </c>
      <c r="I242" s="97">
        <v>9.9499516507299841</v>
      </c>
      <c r="J242" s="98">
        <v>0.78426682752552768</v>
      </c>
      <c r="K242" s="99">
        <v>112</v>
      </c>
      <c r="M242" s="100">
        <f t="shared" si="24"/>
        <v>0.67624999999999991</v>
      </c>
      <c r="N242" s="89">
        <f t="shared" si="25"/>
        <v>9.9499516507299841</v>
      </c>
      <c r="O242" s="100"/>
      <c r="V242" s="109">
        <f t="shared" si="26"/>
        <v>154.69598906675805</v>
      </c>
      <c r="W242" s="109">
        <f t="shared" si="27"/>
        <v>48.920655158712272</v>
      </c>
      <c r="X242" s="109">
        <f t="shared" si="28"/>
        <v>28.62335480973632</v>
      </c>
      <c r="Y242" s="109">
        <f t="shared" si="29"/>
        <v>18.341640531714539</v>
      </c>
      <c r="Z242" s="109">
        <f t="shared" si="30"/>
        <v>2.0518317321392892</v>
      </c>
      <c r="AA242" s="109">
        <f t="shared" si="31"/>
        <v>-6.8753951343305806</v>
      </c>
    </row>
    <row r="243" spans="1:27" ht="19.5" thickBot="1" x14ac:dyDescent="0.35">
      <c r="A243" s="93">
        <v>160</v>
      </c>
      <c r="B243" s="94" t="s">
        <v>275</v>
      </c>
      <c r="C243" s="93">
        <v>42</v>
      </c>
      <c r="D243" s="94" t="s">
        <v>299</v>
      </c>
      <c r="E243" s="93">
        <v>557523</v>
      </c>
      <c r="F243" s="94" t="s">
        <v>312</v>
      </c>
      <c r="G243" s="95">
        <v>3.5315548920620055</v>
      </c>
      <c r="H243" s="96">
        <v>3.9642594913272537</v>
      </c>
      <c r="I243" s="97">
        <v>2.774981643929078</v>
      </c>
      <c r="J243" s="98">
        <v>0.93983331631975053</v>
      </c>
      <c r="K243" s="99">
        <v>263</v>
      </c>
      <c r="M243" s="100">
        <f t="shared" si="24"/>
        <v>0.70000000000000007</v>
      </c>
      <c r="N243" s="89">
        <f t="shared" si="25"/>
        <v>2.774981643929078</v>
      </c>
      <c r="O243" s="100"/>
      <c r="V243" s="109">
        <f t="shared" si="26"/>
        <v>232.64565405484626</v>
      </c>
      <c r="W243" s="109">
        <f t="shared" si="27"/>
        <v>99.902141612311084</v>
      </c>
      <c r="X243" s="109">
        <f t="shared" si="28"/>
        <v>74.429899248449146</v>
      </c>
      <c r="Y243" s="109">
        <f t="shared" si="29"/>
        <v>61.526788317297004</v>
      </c>
      <c r="Z243" s="109">
        <f t="shared" si="30"/>
        <v>41.083776159540463</v>
      </c>
      <c r="AA243" s="109">
        <f t="shared" si="31"/>
        <v>29.880488901125688</v>
      </c>
    </row>
    <row r="244" spans="1:27" ht="19.5" thickBot="1" x14ac:dyDescent="0.35">
      <c r="A244" s="93">
        <v>160</v>
      </c>
      <c r="B244" s="94" t="s">
        <v>275</v>
      </c>
      <c r="C244" s="93">
        <v>42</v>
      </c>
      <c r="D244" s="94" t="s">
        <v>299</v>
      </c>
      <c r="E244" s="93">
        <v>457543</v>
      </c>
      <c r="F244" s="94" t="s">
        <v>313</v>
      </c>
      <c r="G244" s="95">
        <v>3.0483447717785292</v>
      </c>
      <c r="H244" s="96">
        <v>1.6402344138661176</v>
      </c>
      <c r="I244" s="97">
        <v>1.1809687779836047</v>
      </c>
      <c r="J244" s="98">
        <v>0.97439443426350603</v>
      </c>
      <c r="K244" s="99">
        <v>277</v>
      </c>
      <c r="M244" s="100">
        <f t="shared" si="24"/>
        <v>0.72</v>
      </c>
      <c r="N244" s="89">
        <f t="shared" si="25"/>
        <v>1.1809687779836047</v>
      </c>
      <c r="O244" s="100"/>
      <c r="V244" s="109">
        <f t="shared" si="26"/>
        <v>202.41494258554775</v>
      </c>
      <c r="W244" s="109">
        <f t="shared" si="27"/>
        <v>91.017050676219199</v>
      </c>
      <c r="X244" s="109">
        <f t="shared" si="28"/>
        <v>69.640833870399106</v>
      </c>
      <c r="Y244" s="109">
        <f t="shared" si="29"/>
        <v>58.812588253312491</v>
      </c>
      <c r="Z244" s="109">
        <f t="shared" si="30"/>
        <v>41.656883867106039</v>
      </c>
      <c r="AA244" s="109">
        <f t="shared" si="31"/>
        <v>32.255124337936451</v>
      </c>
    </row>
    <row r="245" spans="1:27" ht="19.5" thickBot="1" x14ac:dyDescent="0.35">
      <c r="A245" s="93">
        <v>160</v>
      </c>
      <c r="B245" s="94" t="s">
        <v>275</v>
      </c>
      <c r="C245" s="93">
        <v>42</v>
      </c>
      <c r="D245" s="94" t="s">
        <v>299</v>
      </c>
      <c r="E245" s="93">
        <v>457583</v>
      </c>
      <c r="F245" s="94" t="s">
        <v>314</v>
      </c>
      <c r="G245" s="95">
        <v>6.1679190817437588</v>
      </c>
      <c r="H245" s="96">
        <v>10.214141781864784</v>
      </c>
      <c r="I245" s="97">
        <v>7.3728269449254142</v>
      </c>
      <c r="J245" s="98">
        <v>0.84014361046494745</v>
      </c>
      <c r="K245" s="99">
        <v>172</v>
      </c>
      <c r="M245" s="100">
        <f t="shared" si="24"/>
        <v>0.72182539682539693</v>
      </c>
      <c r="N245" s="89">
        <f t="shared" si="25"/>
        <v>7.3728269449254142</v>
      </c>
      <c r="O245" s="100"/>
      <c r="V245" s="109">
        <f t="shared" si="26"/>
        <v>352.23801476369511</v>
      </c>
      <c r="W245" s="109">
        <f t="shared" si="27"/>
        <v>127.40924025338451</v>
      </c>
      <c r="X245" s="109">
        <f t="shared" si="28"/>
        <v>84.266694683213061</v>
      </c>
      <c r="Y245" s="109">
        <f t="shared" si="29"/>
        <v>62.412589991826543</v>
      </c>
      <c r="Z245" s="109">
        <f t="shared" si="30"/>
        <v>27.78809282314214</v>
      </c>
      <c r="AA245" s="109">
        <f t="shared" si="31"/>
        <v>8.8129934118863744</v>
      </c>
    </row>
    <row r="246" spans="1:27" ht="19.5" thickBot="1" x14ac:dyDescent="0.35">
      <c r="A246" s="93">
        <v>160</v>
      </c>
      <c r="B246" s="94" t="s">
        <v>275</v>
      </c>
      <c r="C246" s="93">
        <v>42</v>
      </c>
      <c r="D246" s="94" t="s">
        <v>299</v>
      </c>
      <c r="E246" s="93">
        <v>457614</v>
      </c>
      <c r="F246" s="94" t="s">
        <v>315</v>
      </c>
      <c r="G246" s="95">
        <v>8.5209209199683276</v>
      </c>
      <c r="H246" s="96">
        <v>4.8116864814363751</v>
      </c>
      <c r="I246" s="97">
        <v>3.467935012840119</v>
      </c>
      <c r="J246" s="98">
        <v>0.92480881832220652</v>
      </c>
      <c r="K246" s="99">
        <v>247</v>
      </c>
      <c r="M246" s="100">
        <f t="shared" si="24"/>
        <v>0.72073170731707314</v>
      </c>
      <c r="N246" s="89">
        <f t="shared" si="25"/>
        <v>3.467935012840119</v>
      </c>
      <c r="O246" s="100"/>
      <c r="V246" s="109">
        <f t="shared" si="26"/>
        <v>536.46458275380587</v>
      </c>
      <c r="W246" s="109">
        <f t="shared" si="27"/>
        <v>225.39446734324611</v>
      </c>
      <c r="X246" s="109">
        <f t="shared" si="28"/>
        <v>165.70301255126569</v>
      </c>
      <c r="Y246" s="109">
        <f t="shared" si="29"/>
        <v>135.46596267475041</v>
      </c>
      <c r="Z246" s="109">
        <f t="shared" si="30"/>
        <v>87.559966861917673</v>
      </c>
      <c r="AA246" s="109">
        <f t="shared" si="31"/>
        <v>61.306270569517672</v>
      </c>
    </row>
    <row r="247" spans="1:27" ht="19.5" thickBot="1" x14ac:dyDescent="0.35">
      <c r="A247" s="93">
        <v>160</v>
      </c>
      <c r="B247" s="94" t="s">
        <v>275</v>
      </c>
      <c r="C247" s="93">
        <v>42</v>
      </c>
      <c r="D247" s="94" t="s">
        <v>299</v>
      </c>
      <c r="E247" s="93">
        <v>457617</v>
      </c>
      <c r="F247" s="94" t="s">
        <v>544</v>
      </c>
      <c r="G247" s="95">
        <v>7.6256604154574292</v>
      </c>
      <c r="H247" s="96">
        <v>6.0322644195847879</v>
      </c>
      <c r="I247" s="97">
        <v>4.5602607650230649</v>
      </c>
      <c r="J247" s="98">
        <v>0.90112519571116578</v>
      </c>
      <c r="K247" s="99">
        <v>231</v>
      </c>
      <c r="M247" s="100">
        <f t="shared" si="24"/>
        <v>0.75597826086956521</v>
      </c>
      <c r="N247" s="89">
        <f t="shared" si="25"/>
        <v>4.5602607650230649</v>
      </c>
      <c r="O247" s="100"/>
      <c r="V247" s="109">
        <f t="shared" si="26"/>
        <v>445.99447025467879</v>
      </c>
      <c r="W247" s="109">
        <f t="shared" si="27"/>
        <v>180.58675799362683</v>
      </c>
      <c r="X247" s="109">
        <f t="shared" si="28"/>
        <v>129.65749261895715</v>
      </c>
      <c r="Y247" s="109">
        <f t="shared" si="29"/>
        <v>103.85898020751124</v>
      </c>
      <c r="Z247" s="109">
        <f t="shared" si="30"/>
        <v>62.985170341557598</v>
      </c>
      <c r="AA247" s="109">
        <f t="shared" si="31"/>
        <v>40.585289651746379</v>
      </c>
    </row>
    <row r="248" spans="1:27" ht="19.5" thickBot="1" x14ac:dyDescent="0.35">
      <c r="A248" s="93">
        <v>160</v>
      </c>
      <c r="B248" s="94" t="s">
        <v>275</v>
      </c>
      <c r="C248" s="93">
        <v>42</v>
      </c>
      <c r="D248" s="94" t="s">
        <v>299</v>
      </c>
      <c r="E248" s="93">
        <v>557668</v>
      </c>
      <c r="F248" s="94" t="s">
        <v>317</v>
      </c>
      <c r="G248" s="95">
        <v>4.1503367731124419</v>
      </c>
      <c r="H248" s="96">
        <v>0.48188860551192086</v>
      </c>
      <c r="I248" s="97">
        <v>0.39755809954733468</v>
      </c>
      <c r="J248" s="98">
        <v>0.99138021238002938</v>
      </c>
      <c r="K248" s="99">
        <v>281</v>
      </c>
      <c r="M248" s="100">
        <f t="shared" si="24"/>
        <v>0.82499999999999996</v>
      </c>
      <c r="N248" s="89">
        <f t="shared" si="25"/>
        <v>0.39755809954733468</v>
      </c>
      <c r="O248" s="100"/>
      <c r="V248" s="109">
        <f t="shared" si="26"/>
        <v>244.7066788422523</v>
      </c>
      <c r="W248" s="109">
        <f t="shared" si="27"/>
        <v>112.34118818526144</v>
      </c>
      <c r="X248" s="109">
        <f t="shared" si="28"/>
        <v>86.941484677446269</v>
      </c>
      <c r="Y248" s="109">
        <f t="shared" si="29"/>
        <v>74.075118721197356</v>
      </c>
      <c r="Z248" s="109">
        <f t="shared" si="30"/>
        <v>53.690323374308512</v>
      </c>
      <c r="AA248" s="109">
        <f t="shared" si="31"/>
        <v>42.518940399391013</v>
      </c>
    </row>
    <row r="249" spans="1:27" ht="19.5" thickBot="1" x14ac:dyDescent="0.35">
      <c r="A249" s="93">
        <v>160</v>
      </c>
      <c r="B249" s="94" t="s">
        <v>275</v>
      </c>
      <c r="C249" s="93">
        <v>44</v>
      </c>
      <c r="D249" s="94" t="s">
        <v>318</v>
      </c>
      <c r="E249" s="93">
        <v>557113</v>
      </c>
      <c r="F249" s="94" t="s">
        <v>319</v>
      </c>
      <c r="G249" s="95">
        <v>2.609015620706443</v>
      </c>
      <c r="H249" s="96">
        <v>19.930888718067532</v>
      </c>
      <c r="I249" s="97">
        <v>14.775687693875062</v>
      </c>
      <c r="J249" s="98">
        <v>0.67963603305973597</v>
      </c>
      <c r="K249" s="99">
        <v>42</v>
      </c>
      <c r="M249" s="100">
        <f t="shared" si="24"/>
        <v>0.74134615384615365</v>
      </c>
      <c r="N249" s="89">
        <f t="shared" si="25"/>
        <v>14.775687693875062</v>
      </c>
      <c r="O249" s="100"/>
      <c r="V249" s="109">
        <f t="shared" si="26"/>
        <v>117.356790447753</v>
      </c>
      <c r="W249" s="109">
        <f t="shared" si="27"/>
        <v>24.758914528956069</v>
      </c>
      <c r="X249" s="109">
        <f t="shared" si="28"/>
        <v>6.9902455041441645</v>
      </c>
      <c r="Y249" s="109">
        <f t="shared" si="29"/>
        <v>-2.0105760274280939</v>
      </c>
      <c r="Z249" s="109">
        <f t="shared" si="30"/>
        <v>-16.271005545668167</v>
      </c>
      <c r="AA249" s="109">
        <f t="shared" si="31"/>
        <v>-24.086081283447982</v>
      </c>
    </row>
    <row r="250" spans="1:27" ht="19.5" thickBot="1" x14ac:dyDescent="0.35">
      <c r="A250" s="93">
        <v>160</v>
      </c>
      <c r="B250" s="94" t="s">
        <v>275</v>
      </c>
      <c r="C250" s="93">
        <v>44</v>
      </c>
      <c r="D250" s="94" t="s">
        <v>318</v>
      </c>
      <c r="E250" s="93">
        <v>457180</v>
      </c>
      <c r="F250" s="94" t="s">
        <v>320</v>
      </c>
      <c r="G250" s="95">
        <v>2.2652346622280293</v>
      </c>
      <c r="H250" s="96">
        <v>9.270562714833666</v>
      </c>
      <c r="I250" s="97">
        <v>6.6439032789641272</v>
      </c>
      <c r="J250" s="98">
        <v>0.85594801037256063</v>
      </c>
      <c r="K250" s="99">
        <v>189</v>
      </c>
      <c r="M250" s="100">
        <f t="shared" si="24"/>
        <v>0.71666666666666667</v>
      </c>
      <c r="N250" s="89">
        <f t="shared" si="25"/>
        <v>6.6439032789641272</v>
      </c>
      <c r="O250" s="100"/>
      <c r="V250" s="109">
        <f t="shared" si="26"/>
        <v>132.74542638650541</v>
      </c>
      <c r="W250" s="109">
        <f t="shared" si="27"/>
        <v>49.580275966945408</v>
      </c>
      <c r="X250" s="109">
        <f t="shared" si="28"/>
        <v>33.621659016598215</v>
      </c>
      <c r="Y250" s="109">
        <f t="shared" si="29"/>
        <v>25.537729777991697</v>
      </c>
      <c r="Z250" s="109">
        <f t="shared" si="30"/>
        <v>12.729976315352905</v>
      </c>
      <c r="AA250" s="109">
        <f t="shared" si="31"/>
        <v>5.7110037652409087</v>
      </c>
    </row>
    <row r="251" spans="1:27" ht="19.5" thickBot="1" x14ac:dyDescent="0.35">
      <c r="A251" s="93">
        <v>160</v>
      </c>
      <c r="B251" s="94" t="s">
        <v>275</v>
      </c>
      <c r="C251" s="93">
        <v>44</v>
      </c>
      <c r="D251" s="94" t="s">
        <v>318</v>
      </c>
      <c r="E251" s="93">
        <v>557182</v>
      </c>
      <c r="F251" s="94" t="s">
        <v>321</v>
      </c>
      <c r="G251" s="95">
        <v>2.8398721827825186</v>
      </c>
      <c r="H251" s="96">
        <v>4.5776708116710187</v>
      </c>
      <c r="I251" s="97">
        <v>2.9754860275861619</v>
      </c>
      <c r="J251" s="98">
        <v>0.9354860141116832</v>
      </c>
      <c r="K251" s="99">
        <v>260</v>
      </c>
      <c r="M251" s="100">
        <f t="shared" si="24"/>
        <v>0.64999999999999991</v>
      </c>
      <c r="N251" s="89">
        <f t="shared" si="25"/>
        <v>2.9754860275861619</v>
      </c>
      <c r="O251" s="100"/>
      <c r="V251" s="109">
        <f t="shared" si="26"/>
        <v>200.53903595390875</v>
      </c>
      <c r="W251" s="109">
        <f t="shared" si="27"/>
        <v>85.583253687786325</v>
      </c>
      <c r="X251" s="109">
        <f t="shared" si="28"/>
        <v>63.524310895552887</v>
      </c>
      <c r="Y251" s="109">
        <f t="shared" si="29"/>
        <v>52.350226501791866</v>
      </c>
      <c r="Z251" s="109">
        <f t="shared" si="30"/>
        <v>34.646593297961367</v>
      </c>
      <c r="AA251" s="109">
        <f t="shared" si="31"/>
        <v>24.944554930544513</v>
      </c>
    </row>
    <row r="252" spans="1:27" ht="19.5" thickBot="1" x14ac:dyDescent="0.35">
      <c r="A252" s="93">
        <v>160</v>
      </c>
      <c r="B252" s="94" t="s">
        <v>275</v>
      </c>
      <c r="C252" s="93">
        <v>44</v>
      </c>
      <c r="D252" s="94" t="s">
        <v>318</v>
      </c>
      <c r="E252" s="93">
        <v>457192</v>
      </c>
      <c r="F252" s="94" t="s">
        <v>322</v>
      </c>
      <c r="G252" s="95">
        <v>2.6045092899078925</v>
      </c>
      <c r="H252" s="96">
        <v>8.0629391806633404</v>
      </c>
      <c r="I252" s="97">
        <v>5.5096751067866157</v>
      </c>
      <c r="J252" s="98">
        <v>0.88054015418220655</v>
      </c>
      <c r="K252" s="99">
        <v>214</v>
      </c>
      <c r="M252" s="100">
        <f t="shared" si="24"/>
        <v>0.68333333333333335</v>
      </c>
      <c r="N252" s="89">
        <f t="shared" si="25"/>
        <v>5.5096751067866157</v>
      </c>
      <c r="O252" s="100"/>
      <c r="V252" s="109">
        <f t="shared" si="26"/>
        <v>164.67158154860408</v>
      </c>
      <c r="W252" s="109">
        <f t="shared" si="27"/>
        <v>64.385955834038882</v>
      </c>
      <c r="X252" s="109">
        <f t="shared" si="28"/>
        <v>45.142079302454761</v>
      </c>
      <c r="Y252" s="109">
        <f t="shared" si="29"/>
        <v>35.393982920304168</v>
      </c>
      <c r="Z252" s="109">
        <f t="shared" si="30"/>
        <v>19.949610325307592</v>
      </c>
      <c r="AA252" s="109">
        <f t="shared" si="31"/>
        <v>11.485703863163025</v>
      </c>
    </row>
    <row r="253" spans="1:27" ht="19.5" thickBot="1" x14ac:dyDescent="0.35">
      <c r="A253" s="93">
        <v>160</v>
      </c>
      <c r="B253" s="94" t="s">
        <v>275</v>
      </c>
      <c r="C253" s="93">
        <v>44</v>
      </c>
      <c r="D253" s="94" t="s">
        <v>318</v>
      </c>
      <c r="E253" s="93">
        <v>557303</v>
      </c>
      <c r="F253" s="94" t="s">
        <v>323</v>
      </c>
      <c r="G253" s="95">
        <v>3.4099257872156699</v>
      </c>
      <c r="H253" s="96">
        <v>2.6393536286749608</v>
      </c>
      <c r="I253" s="97">
        <v>2.0235044486508031</v>
      </c>
      <c r="J253" s="98">
        <v>0.9561267180437385</v>
      </c>
      <c r="K253" s="99">
        <v>270</v>
      </c>
      <c r="M253" s="100">
        <f t="shared" si="24"/>
        <v>0.76666666666666661</v>
      </c>
      <c r="N253" s="89">
        <f t="shared" si="25"/>
        <v>2.0235044486508031</v>
      </c>
      <c r="O253" s="100"/>
      <c r="V253" s="109">
        <f t="shared" si="26"/>
        <v>208.65557211684271</v>
      </c>
      <c r="W253" s="109">
        <f t="shared" si="27"/>
        <v>91.62920320597199</v>
      </c>
      <c r="X253" s="109">
        <f t="shared" si="28"/>
        <v>69.172934142345554</v>
      </c>
      <c r="Y253" s="109">
        <f t="shared" si="29"/>
        <v>57.797581839681534</v>
      </c>
      <c r="Z253" s="109">
        <f t="shared" si="30"/>
        <v>39.775070318007799</v>
      </c>
      <c r="AA253" s="109">
        <f t="shared" si="31"/>
        <v>29.898278574341433</v>
      </c>
    </row>
    <row r="254" spans="1:27" ht="19.5" thickBot="1" x14ac:dyDescent="0.35">
      <c r="A254" s="93">
        <v>160</v>
      </c>
      <c r="B254" s="94" t="s">
        <v>275</v>
      </c>
      <c r="C254" s="93">
        <v>44</v>
      </c>
      <c r="D254" s="94" t="s">
        <v>318</v>
      </c>
      <c r="E254" s="93">
        <v>457306</v>
      </c>
      <c r="F254" s="94" t="s">
        <v>324</v>
      </c>
      <c r="G254" s="95">
        <v>2.7703810879421567</v>
      </c>
      <c r="H254" s="96">
        <v>7.9411457491364965</v>
      </c>
      <c r="I254" s="97">
        <v>6.2085321311430786</v>
      </c>
      <c r="J254" s="98">
        <v>0.86538765412363305</v>
      </c>
      <c r="K254" s="99">
        <v>195</v>
      </c>
      <c r="M254" s="100">
        <f t="shared" si="24"/>
        <v>0.78181818181818175</v>
      </c>
      <c r="N254" s="89">
        <f t="shared" si="25"/>
        <v>6.2085321311430786</v>
      </c>
      <c r="O254" s="100"/>
      <c r="V254" s="109">
        <f t="shared" si="26"/>
        <v>150.45985177132766</v>
      </c>
      <c r="W254" s="109">
        <f t="shared" si="27"/>
        <v>57.224818143965834</v>
      </c>
      <c r="X254" s="109">
        <f t="shared" si="28"/>
        <v>39.333884495610882</v>
      </c>
      <c r="Y254" s="109">
        <f t="shared" si="29"/>
        <v>30.271129115498866</v>
      </c>
      <c r="Z254" s="109">
        <f t="shared" si="30"/>
        <v>15.912574856223042</v>
      </c>
      <c r="AA254" s="109">
        <f t="shared" si="31"/>
        <v>8.0437242807383971</v>
      </c>
    </row>
    <row r="255" spans="1:27" ht="19.5" thickBot="1" x14ac:dyDescent="0.35">
      <c r="A255" s="93">
        <v>160</v>
      </c>
      <c r="B255" s="94" t="s">
        <v>275</v>
      </c>
      <c r="C255" s="93">
        <v>44</v>
      </c>
      <c r="D255" s="94" t="s">
        <v>318</v>
      </c>
      <c r="E255" s="93">
        <v>557307</v>
      </c>
      <c r="F255" s="94" t="s">
        <v>325</v>
      </c>
      <c r="G255" s="95">
        <v>3.0557347686989251</v>
      </c>
      <c r="H255" s="96">
        <v>21.598733200297215</v>
      </c>
      <c r="I255" s="97">
        <v>14.039176580193189</v>
      </c>
      <c r="J255" s="98">
        <v>0.69560494272832107</v>
      </c>
      <c r="K255" s="99">
        <v>53</v>
      </c>
      <c r="M255" s="100">
        <f t="shared" si="24"/>
        <v>0.65</v>
      </c>
      <c r="N255" s="89">
        <f t="shared" si="25"/>
        <v>14.039176580193189</v>
      </c>
      <c r="O255" s="100"/>
      <c r="V255" s="109">
        <f t="shared" si="26"/>
        <v>160.45052597235764</v>
      </c>
      <c r="W255" s="109">
        <f t="shared" si="27"/>
        <v>36.756796774519771</v>
      </c>
      <c r="X255" s="109">
        <f t="shared" si="28"/>
        <v>13.021123436953115</v>
      </c>
      <c r="Y255" s="109">
        <f t="shared" si="29"/>
        <v>0.99768153791098502</v>
      </c>
      <c r="Z255" s="109">
        <f t="shared" si="30"/>
        <v>-18.051629146287681</v>
      </c>
      <c r="AA255" s="109">
        <f t="shared" si="31"/>
        <v>-28.491132778285131</v>
      </c>
    </row>
    <row r="256" spans="1:27" ht="19.5" thickBot="1" x14ac:dyDescent="0.35">
      <c r="A256" s="93">
        <v>160</v>
      </c>
      <c r="B256" s="94" t="s">
        <v>275</v>
      </c>
      <c r="C256" s="93">
        <v>44</v>
      </c>
      <c r="D256" s="94" t="s">
        <v>318</v>
      </c>
      <c r="E256" s="93">
        <v>557347</v>
      </c>
      <c r="F256" s="94" t="s">
        <v>326</v>
      </c>
      <c r="G256" s="95">
        <v>2.9172250003730302</v>
      </c>
      <c r="H256" s="96">
        <v>4.7990813181053218</v>
      </c>
      <c r="I256" s="97">
        <v>3.3593569226737254</v>
      </c>
      <c r="J256" s="98">
        <v>0.92716299014887038</v>
      </c>
      <c r="K256" s="99">
        <v>250</v>
      </c>
      <c r="M256" s="100">
        <f t="shared" si="24"/>
        <v>0.70000000000000007</v>
      </c>
      <c r="N256" s="89">
        <f t="shared" si="25"/>
        <v>3.3593569226737254</v>
      </c>
      <c r="O256" s="100"/>
      <c r="V256" s="109">
        <f t="shared" si="26"/>
        <v>189.58508208673757</v>
      </c>
      <c r="W256" s="109">
        <f t="shared" si="27"/>
        <v>79.932901964856811</v>
      </c>
      <c r="X256" s="109">
        <f t="shared" si="28"/>
        <v>58.891670974381718</v>
      </c>
      <c r="Y256" s="109">
        <f t="shared" si="29"/>
        <v>48.233114349493576</v>
      </c>
      <c r="Z256" s="109">
        <f t="shared" si="30"/>
        <v>31.346256301899597</v>
      </c>
      <c r="AA256" s="109">
        <f t="shared" si="31"/>
        <v>22.091831360050385</v>
      </c>
    </row>
    <row r="257" spans="1:27" ht="19.5" thickBot="1" x14ac:dyDescent="0.35">
      <c r="A257" s="93">
        <v>160</v>
      </c>
      <c r="B257" s="94" t="s">
        <v>275</v>
      </c>
      <c r="C257" s="93">
        <v>44</v>
      </c>
      <c r="D257" s="94" t="s">
        <v>318</v>
      </c>
      <c r="E257" s="93">
        <v>457348</v>
      </c>
      <c r="F257" s="94" t="s">
        <v>327</v>
      </c>
      <c r="G257" s="95">
        <v>7.9687895544253466</v>
      </c>
      <c r="H257" s="96">
        <v>11.670530306369285</v>
      </c>
      <c r="I257" s="97">
        <v>8.0532933592607403</v>
      </c>
      <c r="J257" s="98">
        <v>0.82538985250913688</v>
      </c>
      <c r="K257" s="99">
        <v>155</v>
      </c>
      <c r="M257" s="100">
        <f t="shared" si="24"/>
        <v>0.69005376344086022</v>
      </c>
      <c r="N257" s="89">
        <f t="shared" si="25"/>
        <v>8.0532933592607403</v>
      </c>
      <c r="O257" s="100"/>
      <c r="V257" s="109">
        <f t="shared" si="26"/>
        <v>467.6756311886561</v>
      </c>
      <c r="W257" s="109">
        <f t="shared" si="27"/>
        <v>163.82872890749343</v>
      </c>
      <c r="X257" s="109">
        <f t="shared" si="28"/>
        <v>105.52334136725521</v>
      </c>
      <c r="Y257" s="109">
        <f t="shared" si="29"/>
        <v>75.988411832239237</v>
      </c>
      <c r="Z257" s="109">
        <f t="shared" si="30"/>
        <v>29.19481866044897</v>
      </c>
      <c r="AA257" s="109">
        <f t="shared" si="31"/>
        <v>3.5507471258119687</v>
      </c>
    </row>
    <row r="258" spans="1:27" ht="19.5" thickBot="1" x14ac:dyDescent="0.35">
      <c r="A258" s="93">
        <v>160</v>
      </c>
      <c r="B258" s="94" t="s">
        <v>275</v>
      </c>
      <c r="C258" s="93">
        <v>44</v>
      </c>
      <c r="D258" s="94" t="s">
        <v>318</v>
      </c>
      <c r="E258" s="93">
        <v>457350</v>
      </c>
      <c r="F258" s="94" t="s">
        <v>328</v>
      </c>
      <c r="G258" s="95">
        <v>9.0017407223157058</v>
      </c>
      <c r="H258" s="96">
        <v>12.997486109542338</v>
      </c>
      <c r="I258" s="97">
        <v>8.7066493490203491</v>
      </c>
      <c r="J258" s="98">
        <v>0.8112238982036506</v>
      </c>
      <c r="K258" s="99">
        <v>132</v>
      </c>
      <c r="M258" s="100">
        <f t="shared" si="24"/>
        <v>0.66987179487179493</v>
      </c>
      <c r="N258" s="89">
        <f t="shared" si="25"/>
        <v>8.7066493490203491</v>
      </c>
      <c r="O258" s="100"/>
      <c r="V258" s="109">
        <f t="shared" si="26"/>
        <v>534.87429945381109</v>
      </c>
      <c r="W258" s="109">
        <f t="shared" si="27"/>
        <v>181.30040530655924</v>
      </c>
      <c r="X258" s="109">
        <f t="shared" si="28"/>
        <v>113.45287167170757</v>
      </c>
      <c r="Y258" s="109">
        <f t="shared" si="29"/>
        <v>79.084313129033589</v>
      </c>
      <c r="Z258" s="109">
        <f t="shared" si="30"/>
        <v>24.632571693860619</v>
      </c>
      <c r="AA258" s="109">
        <f t="shared" si="31"/>
        <v>-5.2083586109089186</v>
      </c>
    </row>
    <row r="259" spans="1:27" ht="19.5" thickBot="1" x14ac:dyDescent="0.35">
      <c r="A259" s="93">
        <v>160</v>
      </c>
      <c r="B259" s="94" t="s">
        <v>275</v>
      </c>
      <c r="C259" s="93">
        <v>44</v>
      </c>
      <c r="D259" s="94" t="s">
        <v>318</v>
      </c>
      <c r="E259" s="93">
        <v>557352</v>
      </c>
      <c r="F259" s="94" t="s">
        <v>329</v>
      </c>
      <c r="G259" s="95">
        <v>3.7659220906912432</v>
      </c>
      <c r="H259" s="96">
        <v>18.056666697403305</v>
      </c>
      <c r="I259" s="97">
        <v>12.75915933544454</v>
      </c>
      <c r="J259" s="98">
        <v>0.72335806060517027</v>
      </c>
      <c r="K259" s="99">
        <v>63</v>
      </c>
      <c r="M259" s="100">
        <f t="shared" si="24"/>
        <v>0.70661764705882346</v>
      </c>
      <c r="N259" s="89">
        <f t="shared" si="25"/>
        <v>12.75915933544454</v>
      </c>
      <c r="O259" s="100"/>
      <c r="V259" s="109">
        <f t="shared" si="26"/>
        <v>189.15436332824046</v>
      </c>
      <c r="W259" s="109">
        <f t="shared" si="27"/>
        <v>48.927171869630861</v>
      </c>
      <c r="X259" s="109">
        <f t="shared" si="28"/>
        <v>22.018881278904992</v>
      </c>
      <c r="Y259" s="109">
        <f t="shared" si="29"/>
        <v>8.3883318557259852</v>
      </c>
      <c r="Z259" s="109">
        <f t="shared" si="30"/>
        <v>-13.207195692766396</v>
      </c>
      <c r="AA259" s="109">
        <f t="shared" si="31"/>
        <v>-25.042090509427364</v>
      </c>
    </row>
    <row r="260" spans="1:27" ht="19.5" thickBot="1" x14ac:dyDescent="0.35">
      <c r="A260" s="93">
        <v>160</v>
      </c>
      <c r="B260" s="94" t="s">
        <v>275</v>
      </c>
      <c r="C260" s="93">
        <v>44</v>
      </c>
      <c r="D260" s="94" t="s">
        <v>318</v>
      </c>
      <c r="E260" s="93">
        <v>457449</v>
      </c>
      <c r="F260" s="94" t="s">
        <v>330</v>
      </c>
      <c r="G260" s="95">
        <v>2.5137664021459973</v>
      </c>
      <c r="H260" s="96">
        <v>15.912377524758099</v>
      </c>
      <c r="I260" s="97">
        <v>10.850252424694428</v>
      </c>
      <c r="J260" s="98">
        <v>0.76474665808487297</v>
      </c>
      <c r="K260" s="99">
        <v>88</v>
      </c>
      <c r="M260" s="100">
        <f t="shared" si="24"/>
        <v>0.68187500000000001</v>
      </c>
      <c r="N260" s="89">
        <f t="shared" si="25"/>
        <v>10.850252424694428</v>
      </c>
      <c r="O260" s="100"/>
      <c r="V260" s="109">
        <f t="shared" si="26"/>
        <v>138.32921869426798</v>
      </c>
      <c r="W260" s="109">
        <f t="shared" si="27"/>
        <v>41.330603636285574</v>
      </c>
      <c r="X260" s="109">
        <f t="shared" si="28"/>
        <v>22.71747380227222</v>
      </c>
      <c r="Y260" s="109">
        <f t="shared" si="29"/>
        <v>13.288885788955293</v>
      </c>
      <c r="Z260" s="109">
        <f t="shared" si="30"/>
        <v>-1.6492745055020257</v>
      </c>
      <c r="AA260" s="109">
        <f t="shared" si="31"/>
        <v>-9.8357638349403214</v>
      </c>
    </row>
    <row r="261" spans="1:27" ht="19.5" thickBot="1" x14ac:dyDescent="0.35">
      <c r="A261" s="93">
        <v>160</v>
      </c>
      <c r="B261" s="94" t="s">
        <v>275</v>
      </c>
      <c r="C261" s="93">
        <v>44</v>
      </c>
      <c r="D261" s="94" t="s">
        <v>318</v>
      </c>
      <c r="E261" s="93">
        <v>557508</v>
      </c>
      <c r="F261" s="94" t="s">
        <v>331</v>
      </c>
      <c r="G261" s="95">
        <v>2.6468734470179118</v>
      </c>
      <c r="H261" s="96">
        <v>34.002381225063139</v>
      </c>
      <c r="I261" s="97">
        <v>22.366010761374866</v>
      </c>
      <c r="J261" s="98">
        <v>0.51506392930104428</v>
      </c>
      <c r="K261" s="99">
        <v>9</v>
      </c>
      <c r="M261" s="100">
        <f t="shared" si="24"/>
        <v>0.65777777777777779</v>
      </c>
      <c r="N261" s="89">
        <f t="shared" si="25"/>
        <v>22.366010761374866</v>
      </c>
      <c r="O261" s="100"/>
      <c r="V261" s="109">
        <f t="shared" si="26"/>
        <v>101.69305710285572</v>
      </c>
      <c r="W261" s="109">
        <f t="shared" si="27"/>
        <v>-4.1833911502883385</v>
      </c>
      <c r="X261" s="109">
        <f t="shared" si="28"/>
        <v>-24.500094399318801</v>
      </c>
      <c r="Y261" s="109">
        <f t="shared" si="29"/>
        <v>-34.791637328003254</v>
      </c>
      <c r="Z261" s="109">
        <f t="shared" si="30"/>
        <v>-51.097018126150282</v>
      </c>
      <c r="AA261" s="109">
        <f t="shared" si="31"/>
        <v>-60.03277884134269</v>
      </c>
    </row>
    <row r="262" spans="1:27" ht="19.5" thickBot="1" x14ac:dyDescent="0.35">
      <c r="A262" s="93">
        <v>160</v>
      </c>
      <c r="B262" s="94" t="s">
        <v>275</v>
      </c>
      <c r="C262" s="93">
        <v>44</v>
      </c>
      <c r="D262" s="94" t="s">
        <v>318</v>
      </c>
      <c r="E262" s="93">
        <v>557622</v>
      </c>
      <c r="F262" s="94" t="s">
        <v>332</v>
      </c>
      <c r="G262" s="95">
        <v>2.5572602827516584</v>
      </c>
      <c r="H262" s="96">
        <v>8.602956902113851</v>
      </c>
      <c r="I262" s="97">
        <v>5.591921986374004</v>
      </c>
      <c r="J262" s="98">
        <v>0.87875689121949541</v>
      </c>
      <c r="K262" s="99">
        <v>213</v>
      </c>
      <c r="M262" s="100">
        <f t="shared" ref="M262:M297" si="32">IF(ISERROR(I262/H262),$O$3,(I262/H262))</f>
        <v>0.65000000000000013</v>
      </c>
      <c r="N262" s="89">
        <f t="shared" ref="N262:N297" si="33">I262</f>
        <v>5.591921986374004</v>
      </c>
      <c r="O262" s="100"/>
      <c r="V262" s="109">
        <f t="shared" ref="V262:V297" si="34">(((($O$5-N262))/M262)*G262)+((((($O$5-N262)/$T$2))*$T$3/M262)*G262)</f>
        <v>169.63150196681275</v>
      </c>
      <c r="W262" s="109">
        <f t="shared" ref="W262:W297" si="35">(((($P$5-N262))/M262)*G262)+((((($P$5-N262)/$T$2))*$T$3/M262)*G262)</f>
        <v>66.115626131243488</v>
      </c>
      <c r="X262" s="109">
        <f t="shared" ref="X262:X297" si="36">(((($Q$5-N262))/M262)*G262)+((((($Q$5-N262)/$T$2))*$T$3/M262)*G262)</f>
        <v>46.251894719642308</v>
      </c>
      <c r="Y262" s="109">
        <f t="shared" ref="Y262:Y297" si="37">(((($R$5-N262))/M262)*G262)+((((($R$5-N262)/$T$2))*$T$3/M262)*G262)</f>
        <v>36.189807281509005</v>
      </c>
      <c r="Z262" s="109">
        <f t="shared" ref="Z262:Z297" si="38">(((($S$5-N262))/M262)*G262)+((((($S$5-N262)/$T$2))*$T$3/M262)*G262)</f>
        <v>20.247963727056934</v>
      </c>
      <c r="AA262" s="109">
        <f t="shared" ref="AA262:AA297" si="39">(((($T$5-N262))/M262)*G262)+((((($T$5-N262)/$T$2))*$T$3/M262)*G262)</f>
        <v>11.511430608014132</v>
      </c>
    </row>
    <row r="263" spans="1:27" ht="19.5" thickBot="1" x14ac:dyDescent="0.35">
      <c r="A263" s="93">
        <v>160</v>
      </c>
      <c r="B263" s="94" t="s">
        <v>275</v>
      </c>
      <c r="C263" s="93">
        <v>44</v>
      </c>
      <c r="D263" s="94" t="s">
        <v>318</v>
      </c>
      <c r="E263" s="93">
        <v>557628</v>
      </c>
      <c r="F263" s="94" t="s">
        <v>333</v>
      </c>
      <c r="G263" s="95">
        <v>2.2781598815647484</v>
      </c>
      <c r="H263" s="96">
        <v>13.168522649689791</v>
      </c>
      <c r="I263" s="97">
        <v>8.5595397222983642</v>
      </c>
      <c r="J263" s="98">
        <v>0.81441350430308734</v>
      </c>
      <c r="K263" s="99">
        <v>140</v>
      </c>
      <c r="M263" s="100">
        <f t="shared" si="32"/>
        <v>0.65</v>
      </c>
      <c r="N263" s="89">
        <f t="shared" si="33"/>
        <v>8.5595397222983642</v>
      </c>
      <c r="O263" s="100"/>
      <c r="V263" s="109">
        <f t="shared" si="34"/>
        <v>140.0528645820587</v>
      </c>
      <c r="W263" s="109">
        <f t="shared" si="35"/>
        <v>47.834752478163274</v>
      </c>
      <c r="X263" s="109">
        <f t="shared" si="36"/>
        <v>30.138956588589398</v>
      </c>
      <c r="Y263" s="109">
        <f t="shared" si="37"/>
        <v>21.175049362968124</v>
      </c>
      <c r="Z263" s="109">
        <f t="shared" si="38"/>
        <v>6.9731049348259138</v>
      </c>
      <c r="AA263" s="109">
        <f t="shared" si="39"/>
        <v>-0.8099194956590553</v>
      </c>
    </row>
    <row r="264" spans="1:27" ht="19.5" thickBot="1" x14ac:dyDescent="0.35">
      <c r="A264" s="93">
        <v>160</v>
      </c>
      <c r="B264" s="94" t="s">
        <v>275</v>
      </c>
      <c r="C264" s="93">
        <v>44</v>
      </c>
      <c r="D264" s="94" t="s">
        <v>318</v>
      </c>
      <c r="E264" s="93">
        <v>457632</v>
      </c>
      <c r="F264" s="94" t="s">
        <v>334</v>
      </c>
      <c r="G264" s="95">
        <v>8.7272633833985207</v>
      </c>
      <c r="H264" s="96">
        <v>11.343762145224497</v>
      </c>
      <c r="I264" s="97">
        <v>8.361727702502602</v>
      </c>
      <c r="J264" s="98">
        <v>0.8187024311322938</v>
      </c>
      <c r="K264" s="99">
        <v>148</v>
      </c>
      <c r="M264" s="100">
        <f t="shared" si="32"/>
        <v>0.73712121212121207</v>
      </c>
      <c r="N264" s="89">
        <f t="shared" si="33"/>
        <v>8.361727702502602</v>
      </c>
      <c r="O264" s="100"/>
      <c r="V264" s="109">
        <f t="shared" si="34"/>
        <v>475.59955611840309</v>
      </c>
      <c r="W264" s="109">
        <f t="shared" si="35"/>
        <v>164.08054332790542</v>
      </c>
      <c r="X264" s="109">
        <f t="shared" si="36"/>
        <v>104.30294931414399</v>
      </c>
      <c r="Y264" s="109">
        <f t="shared" si="37"/>
        <v>74.022265119209223</v>
      </c>
      <c r="Z264" s="109">
        <f t="shared" si="38"/>
        <v>26.047137381005552</v>
      </c>
      <c r="AA264" s="109">
        <f t="shared" si="39"/>
        <v>-0.24444495346501249</v>
      </c>
    </row>
    <row r="265" spans="1:27" ht="19.5" thickBot="1" x14ac:dyDescent="0.35">
      <c r="A265" s="93">
        <v>160</v>
      </c>
      <c r="B265" s="94" t="s">
        <v>275</v>
      </c>
      <c r="C265" s="93">
        <v>44</v>
      </c>
      <c r="D265" s="94" t="s">
        <v>318</v>
      </c>
      <c r="E265" s="93">
        <v>557633</v>
      </c>
      <c r="F265" s="94" t="s">
        <v>335</v>
      </c>
      <c r="G265" s="95">
        <v>2.0694097089783541</v>
      </c>
      <c r="H265" s="96">
        <v>14.980117211929182</v>
      </c>
      <c r="I265" s="97">
        <v>9.906206543372523</v>
      </c>
      <c r="J265" s="98">
        <v>0.78521530156055164</v>
      </c>
      <c r="K265" s="99">
        <v>115</v>
      </c>
      <c r="M265" s="100">
        <f t="shared" si="32"/>
        <v>0.66129032258064513</v>
      </c>
      <c r="N265" s="89">
        <f t="shared" si="33"/>
        <v>9.906206543372523</v>
      </c>
      <c r="O265" s="100"/>
      <c r="V265" s="109">
        <f t="shared" si="34"/>
        <v>120.56444630879859</v>
      </c>
      <c r="W265" s="109">
        <f t="shared" si="35"/>
        <v>38.226562826047015</v>
      </c>
      <c r="X265" s="109">
        <f t="shared" si="36"/>
        <v>22.426690687602523</v>
      </c>
      <c r="Y265" s="109">
        <f t="shared" si="37"/>
        <v>14.423174546848404</v>
      </c>
      <c r="Z265" s="109">
        <f t="shared" si="38"/>
        <v>1.7428233785718694</v>
      </c>
      <c r="AA265" s="109">
        <f t="shared" si="39"/>
        <v>-5.2063294947671057</v>
      </c>
    </row>
    <row r="266" spans="1:27" ht="19.5" thickBot="1" x14ac:dyDescent="0.35">
      <c r="A266" s="93">
        <v>160</v>
      </c>
      <c r="B266" s="94" t="s">
        <v>275</v>
      </c>
      <c r="C266" s="93">
        <v>44</v>
      </c>
      <c r="D266" s="94" t="s">
        <v>318</v>
      </c>
      <c r="E266" s="93">
        <v>457634</v>
      </c>
      <c r="F266" s="94" t="s">
        <v>336</v>
      </c>
      <c r="G266" s="95">
        <v>1.4936029656191039</v>
      </c>
      <c r="H266" s="96">
        <v>-4.0171318202444635</v>
      </c>
      <c r="I266" s="97">
        <v>-3.0798010621874221</v>
      </c>
      <c r="J266" s="98">
        <v>1.0667757268636775</v>
      </c>
      <c r="K266" s="99">
        <v>292</v>
      </c>
      <c r="M266" s="100">
        <f t="shared" si="32"/>
        <v>0.76666666666666672</v>
      </c>
      <c r="N266" s="89">
        <f t="shared" si="33"/>
        <v>-3.0798010621874221</v>
      </c>
      <c r="O266" s="100"/>
      <c r="V266" s="109">
        <f t="shared" si="34"/>
        <v>101.97128637949454</v>
      </c>
      <c r="W266" s="109">
        <f t="shared" si="35"/>
        <v>50.71183307519405</v>
      </c>
      <c r="X266" s="109">
        <f t="shared" si="36"/>
        <v>40.8756219189506</v>
      </c>
      <c r="Y266" s="109">
        <f t="shared" si="37"/>
        <v>35.893032562337588</v>
      </c>
      <c r="Z266" s="109">
        <f t="shared" si="38"/>
        <v>27.99887933542637</v>
      </c>
      <c r="AA266" s="109">
        <f t="shared" si="39"/>
        <v>23.672683881422685</v>
      </c>
    </row>
    <row r="267" spans="1:27" ht="19.5" thickBot="1" x14ac:dyDescent="0.35">
      <c r="A267" s="93">
        <v>160</v>
      </c>
      <c r="B267" s="94" t="s">
        <v>275</v>
      </c>
      <c r="C267" s="93">
        <v>44</v>
      </c>
      <c r="D267" s="94" t="s">
        <v>318</v>
      </c>
      <c r="E267" s="93">
        <v>557660</v>
      </c>
      <c r="F267" s="94" t="s">
        <v>545</v>
      </c>
      <c r="G267" s="95">
        <v>1.9227562633698749</v>
      </c>
      <c r="H267" s="96">
        <v>23.923989158864654</v>
      </c>
      <c r="I267" s="97">
        <v>16.642775067036283</v>
      </c>
      <c r="J267" s="98">
        <v>0.63915415973630652</v>
      </c>
      <c r="K267" s="99">
        <v>30</v>
      </c>
      <c r="M267" s="100">
        <f t="shared" si="32"/>
        <v>0.69565217391304357</v>
      </c>
      <c r="N267" s="89">
        <f t="shared" si="33"/>
        <v>16.642775067036283</v>
      </c>
      <c r="O267" s="100"/>
      <c r="V267" s="109">
        <f t="shared" si="34"/>
        <v>86.679000456806165</v>
      </c>
      <c r="W267" s="109">
        <f t="shared" si="35"/>
        <v>13.955048346448192</v>
      </c>
      <c r="X267" s="109">
        <f t="shared" si="36"/>
        <v>0</v>
      </c>
      <c r="Y267" s="109">
        <f t="shared" si="37"/>
        <v>-7.0690100342038624</v>
      </c>
      <c r="Z267" s="109">
        <f t="shared" si="38"/>
        <v>-18.268778744525918</v>
      </c>
      <c r="AA267" s="109">
        <f t="shared" si="39"/>
        <v>-24.406535016511299</v>
      </c>
    </row>
    <row r="268" spans="1:27" ht="19.5" thickBot="1" x14ac:dyDescent="0.35">
      <c r="A268" s="93">
        <v>160</v>
      </c>
      <c r="B268" s="94" t="s">
        <v>275</v>
      </c>
      <c r="C268" s="93">
        <v>44</v>
      </c>
      <c r="D268" s="94" t="s">
        <v>318</v>
      </c>
      <c r="E268" s="93">
        <v>457158</v>
      </c>
      <c r="F268" s="94" t="s">
        <v>338</v>
      </c>
      <c r="G268" s="95">
        <v>4.3844463775093123</v>
      </c>
      <c r="H268" s="96">
        <v>7.5266059061136072</v>
      </c>
      <c r="I268" s="97">
        <v>6.0897084149464638</v>
      </c>
      <c r="J268" s="98">
        <v>0.86796396988476754</v>
      </c>
      <c r="K268" s="99">
        <v>197</v>
      </c>
      <c r="M268" s="100">
        <f t="shared" si="32"/>
        <v>0.80909090909090908</v>
      </c>
      <c r="N268" s="89">
        <f t="shared" si="33"/>
        <v>6.0897084149464638</v>
      </c>
      <c r="O268" s="100"/>
      <c r="V268" s="109">
        <f t="shared" si="34"/>
        <v>230.77848911327183</v>
      </c>
      <c r="W268" s="109">
        <f t="shared" si="35"/>
        <v>88.197105265001795</v>
      </c>
      <c r="X268" s="109">
        <f t="shared" si="36"/>
        <v>60.837067104717278</v>
      </c>
      <c r="Y268" s="109">
        <f t="shared" si="37"/>
        <v>46.977682350921185</v>
      </c>
      <c r="Z268" s="109">
        <f t="shared" si="38"/>
        <v>25.019600107604372</v>
      </c>
      <c r="AA268" s="109">
        <f t="shared" si="39"/>
        <v>12.986016156403911</v>
      </c>
    </row>
    <row r="269" spans="1:27" ht="19.5" thickBot="1" x14ac:dyDescent="0.35">
      <c r="A269" s="93">
        <v>80</v>
      </c>
      <c r="B269" s="94" t="s">
        <v>339</v>
      </c>
      <c r="C269" s="93">
        <v>57</v>
      </c>
      <c r="D269" s="94" t="s">
        <v>340</v>
      </c>
      <c r="E269" s="93">
        <v>588201</v>
      </c>
      <c r="F269" s="94" t="s">
        <v>341</v>
      </c>
      <c r="G269" s="95">
        <v>3.4164164511271813</v>
      </c>
      <c r="H269" s="96">
        <v>8.7811308806050477</v>
      </c>
      <c r="I269" s="97">
        <v>6.0809331348189959</v>
      </c>
      <c r="J269" s="98">
        <v>0.86815423402751957</v>
      </c>
      <c r="K269" s="99">
        <v>200</v>
      </c>
      <c r="M269" s="100">
        <f t="shared" si="32"/>
        <v>0.6925</v>
      </c>
      <c r="N269" s="89">
        <f t="shared" si="33"/>
        <v>6.0809331348189959</v>
      </c>
      <c r="O269" s="100"/>
      <c r="V269" s="109">
        <f t="shared" si="34"/>
        <v>210.14743869695499</v>
      </c>
      <c r="W269" s="109">
        <f t="shared" si="35"/>
        <v>80.340947461436429</v>
      </c>
      <c r="X269" s="109">
        <f t="shared" si="36"/>
        <v>55.432292083004896</v>
      </c>
      <c r="Y269" s="109">
        <f t="shared" si="37"/>
        <v>42.814669382079316</v>
      </c>
      <c r="Z269" s="109">
        <f t="shared" si="38"/>
        <v>22.823969801697313</v>
      </c>
      <c r="AA269" s="109">
        <f t="shared" si="39"/>
        <v>11.868561265645768</v>
      </c>
    </row>
    <row r="270" spans="1:27" ht="19.5" thickBot="1" x14ac:dyDescent="0.35">
      <c r="A270" s="93">
        <v>80</v>
      </c>
      <c r="B270" s="94" t="s">
        <v>339</v>
      </c>
      <c r="C270" s="93">
        <v>57</v>
      </c>
      <c r="D270" s="94" t="s">
        <v>340</v>
      </c>
      <c r="E270" s="93">
        <v>588206</v>
      </c>
      <c r="F270" s="94" t="s">
        <v>342</v>
      </c>
      <c r="G270" s="95">
        <v>2.696068831168831</v>
      </c>
      <c r="H270" s="96">
        <v>17.803699759100915</v>
      </c>
      <c r="I270" s="97">
        <v>11.572404843415594</v>
      </c>
      <c r="J270" s="98">
        <v>0.74908907121716184</v>
      </c>
      <c r="K270" s="99">
        <v>77</v>
      </c>
      <c r="M270" s="100">
        <f t="shared" si="32"/>
        <v>0.64999999999999991</v>
      </c>
      <c r="N270" s="89">
        <f t="shared" si="33"/>
        <v>11.572404843415594</v>
      </c>
      <c r="O270" s="100"/>
      <c r="V270" s="109">
        <f t="shared" si="34"/>
        <v>152.44994314781999</v>
      </c>
      <c r="W270" s="109">
        <f t="shared" si="35"/>
        <v>43.315206940553793</v>
      </c>
      <c r="X270" s="109">
        <f t="shared" si="36"/>
        <v>22.373268612750042</v>
      </c>
      <c r="Y270" s="109">
        <f t="shared" si="37"/>
        <v>11.765009257446442</v>
      </c>
      <c r="Z270" s="109">
        <f t="shared" si="38"/>
        <v>-5.0421604344397508</v>
      </c>
      <c r="AA270" s="109">
        <f t="shared" si="39"/>
        <v>-14.252914143632259</v>
      </c>
    </row>
    <row r="271" spans="1:27" ht="19.5" thickBot="1" x14ac:dyDescent="0.35">
      <c r="A271" s="93">
        <v>80</v>
      </c>
      <c r="B271" s="94" t="s">
        <v>339</v>
      </c>
      <c r="C271" s="93">
        <v>57</v>
      </c>
      <c r="D271" s="94" t="s">
        <v>340</v>
      </c>
      <c r="E271" s="93">
        <v>588216</v>
      </c>
      <c r="F271" s="94" t="s">
        <v>546</v>
      </c>
      <c r="G271" s="95">
        <v>1</v>
      </c>
      <c r="H271" s="96">
        <v>9</v>
      </c>
      <c r="I271" s="97">
        <v>5.85</v>
      </c>
      <c r="J271" s="98">
        <v>0.87316128728293141</v>
      </c>
      <c r="K271" s="99">
        <v>207</v>
      </c>
      <c r="M271" s="100">
        <f t="shared" si="32"/>
        <v>0.64999999999999991</v>
      </c>
      <c r="N271" s="89">
        <f t="shared" si="33"/>
        <v>5.85</v>
      </c>
      <c r="O271" s="100"/>
      <c r="V271" s="109">
        <f t="shared" si="34"/>
        <v>65.910909210259021</v>
      </c>
      <c r="W271" s="109">
        <f t="shared" si="35"/>
        <v>25.431699278533046</v>
      </c>
      <c r="X271" s="109">
        <f t="shared" si="36"/>
        <v>17.664116312661676</v>
      </c>
      <c r="Y271" s="109">
        <f t="shared" si="37"/>
        <v>13.729402468317952</v>
      </c>
      <c r="Z271" s="109">
        <f t="shared" si="38"/>
        <v>7.4954482392637365</v>
      </c>
      <c r="AA271" s="109">
        <f t="shared" si="39"/>
        <v>4.0790837893993919</v>
      </c>
    </row>
    <row r="272" spans="1:27" ht="19.5" thickBot="1" x14ac:dyDescent="0.35">
      <c r="A272" s="93">
        <v>80</v>
      </c>
      <c r="B272" s="94" t="s">
        <v>339</v>
      </c>
      <c r="C272" s="93">
        <v>57</v>
      </c>
      <c r="D272" s="94" t="s">
        <v>340</v>
      </c>
      <c r="E272" s="93">
        <v>488256</v>
      </c>
      <c r="F272" s="94" t="s">
        <v>344</v>
      </c>
      <c r="G272" s="95">
        <v>2.4104500221611009</v>
      </c>
      <c r="H272" s="96">
        <v>11.616088175475408</v>
      </c>
      <c r="I272" s="97">
        <v>7.550457314059015</v>
      </c>
      <c r="J272" s="98">
        <v>0.83629225877941527</v>
      </c>
      <c r="K272" s="99">
        <v>167</v>
      </c>
      <c r="M272" s="100">
        <f t="shared" si="32"/>
        <v>0.65</v>
      </c>
      <c r="N272" s="89">
        <f t="shared" si="33"/>
        <v>7.550457314059015</v>
      </c>
      <c r="O272" s="100"/>
      <c r="V272" s="109">
        <f t="shared" si="34"/>
        <v>152.16649533189937</v>
      </c>
      <c r="W272" s="109">
        <f t="shared" si="35"/>
        <v>54.593382854906665</v>
      </c>
      <c r="X272" s="109">
        <f t="shared" si="36"/>
        <v>35.870012322683834</v>
      </c>
      <c r="Y272" s="109">
        <f t="shared" si="37"/>
        <v>26.385581249387915</v>
      </c>
      <c r="Z272" s="109">
        <f t="shared" si="38"/>
        <v>11.358946139812899</v>
      </c>
      <c r="AA272" s="109">
        <f t="shared" si="39"/>
        <v>3.1239703759269939</v>
      </c>
    </row>
    <row r="273" spans="1:27" ht="19.5" thickBot="1" x14ac:dyDescent="0.35">
      <c r="A273" s="93">
        <v>80</v>
      </c>
      <c r="B273" s="94" t="s">
        <v>339</v>
      </c>
      <c r="C273" s="93">
        <v>57</v>
      </c>
      <c r="D273" s="94" t="s">
        <v>340</v>
      </c>
      <c r="E273" s="93">
        <v>488281</v>
      </c>
      <c r="F273" s="94" t="s">
        <v>345</v>
      </c>
      <c r="G273" s="95">
        <v>4.4816822777970051</v>
      </c>
      <c r="H273" s="96">
        <v>0.22313049832964851</v>
      </c>
      <c r="I273" s="97">
        <v>0.22313049832964851</v>
      </c>
      <c r="J273" s="98">
        <v>0.99516212219212818</v>
      </c>
      <c r="K273" s="99">
        <v>283</v>
      </c>
      <c r="M273" s="100">
        <f t="shared" si="32"/>
        <v>1</v>
      </c>
      <c r="N273" s="89">
        <f t="shared" si="33"/>
        <v>0.22313049832964851</v>
      </c>
      <c r="O273" s="100"/>
      <c r="V273" s="109">
        <f t="shared" si="34"/>
        <v>218.83213069011464</v>
      </c>
      <c r="W273" s="109">
        <f t="shared" si="35"/>
        <v>100.91240813945812</v>
      </c>
      <c r="X273" s="109">
        <f t="shared" si="36"/>
        <v>78.284712841806765</v>
      </c>
      <c r="Y273" s="109">
        <f t="shared" si="37"/>
        <v>66.822523593948205</v>
      </c>
      <c r="Z273" s="109">
        <f t="shared" si="38"/>
        <v>48.662432171130732</v>
      </c>
      <c r="AA273" s="109">
        <f t="shared" si="39"/>
        <v>38.710243164986451</v>
      </c>
    </row>
    <row r="274" spans="1:27" ht="19.5" thickBot="1" x14ac:dyDescent="0.35">
      <c r="A274" s="93">
        <v>80</v>
      </c>
      <c r="B274" s="94" t="s">
        <v>339</v>
      </c>
      <c r="C274" s="93">
        <v>57</v>
      </c>
      <c r="D274" s="94" t="s">
        <v>340</v>
      </c>
      <c r="E274" s="93">
        <v>488286</v>
      </c>
      <c r="F274" s="94" t="s">
        <v>346</v>
      </c>
      <c r="G274" s="95">
        <v>8.7604801060090036</v>
      </c>
      <c r="H274" s="96">
        <v>16.665753273026148</v>
      </c>
      <c r="I274" s="97">
        <v>10.821324727964923</v>
      </c>
      <c r="J274" s="98">
        <v>0.76537386352334136</v>
      </c>
      <c r="K274" s="99">
        <v>89</v>
      </c>
      <c r="M274" s="100">
        <f t="shared" si="32"/>
        <v>0.64931506849315068</v>
      </c>
      <c r="N274" s="89">
        <f t="shared" si="33"/>
        <v>10.821324727964923</v>
      </c>
      <c r="O274" s="100"/>
      <c r="V274" s="109">
        <f t="shared" si="34"/>
        <v>506.66655849000074</v>
      </c>
      <c r="W274" s="109">
        <f t="shared" si="35"/>
        <v>151.67517628025257</v>
      </c>
      <c r="X274" s="109">
        <f t="shared" si="36"/>
        <v>83.555639902581987</v>
      </c>
      <c r="Y274" s="109">
        <f t="shared" si="37"/>
        <v>49.04929680548851</v>
      </c>
      <c r="Z274" s="109">
        <f t="shared" si="38"/>
        <v>-5.6207432505502428</v>
      </c>
      <c r="AA274" s="109">
        <f t="shared" si="39"/>
        <v>-35.581306715971564</v>
      </c>
    </row>
    <row r="275" spans="1:27" ht="19.5" thickBot="1" x14ac:dyDescent="0.35">
      <c r="A275" s="93">
        <v>80</v>
      </c>
      <c r="B275" s="94" t="s">
        <v>339</v>
      </c>
      <c r="C275" s="93">
        <v>57</v>
      </c>
      <c r="D275" s="94" t="s">
        <v>340</v>
      </c>
      <c r="E275" s="93">
        <v>488291</v>
      </c>
      <c r="F275" s="94" t="s">
        <v>347</v>
      </c>
      <c r="G275" s="95">
        <v>1.8422613011112312</v>
      </c>
      <c r="H275" s="96">
        <v>11.941845593092493</v>
      </c>
      <c r="I275" s="97">
        <v>7.7621996355101217</v>
      </c>
      <c r="J275" s="98">
        <v>0.83170129750068333</v>
      </c>
      <c r="K275" s="99">
        <v>160</v>
      </c>
      <c r="M275" s="100">
        <f t="shared" si="32"/>
        <v>0.65000000000000013</v>
      </c>
      <c r="N275" s="89">
        <f t="shared" si="33"/>
        <v>7.7621996355101217</v>
      </c>
      <c r="O275" s="100"/>
      <c r="V275" s="109">
        <f t="shared" si="34"/>
        <v>115.65953407188307</v>
      </c>
      <c r="W275" s="109">
        <f t="shared" si="35"/>
        <v>41.086252115106937</v>
      </c>
      <c r="X275" s="109">
        <f t="shared" si="36"/>
        <v>26.77633461391132</v>
      </c>
      <c r="Y275" s="109">
        <f t="shared" si="37"/>
        <v>19.527563567530272</v>
      </c>
      <c r="Z275" s="109">
        <f t="shared" si="38"/>
        <v>8.0429909384449978</v>
      </c>
      <c r="AA275" s="109">
        <f t="shared" si="39"/>
        <v>1.7491549219677582</v>
      </c>
    </row>
    <row r="276" spans="1:27" ht="19.5" thickBot="1" x14ac:dyDescent="0.35">
      <c r="A276" s="93">
        <v>80</v>
      </c>
      <c r="B276" s="94" t="s">
        <v>339</v>
      </c>
      <c r="C276" s="93">
        <v>57</v>
      </c>
      <c r="D276" s="94" t="s">
        <v>340</v>
      </c>
      <c r="E276" s="93">
        <v>488288</v>
      </c>
      <c r="F276" s="94" t="s">
        <v>348</v>
      </c>
      <c r="G276" s="95">
        <v>1.8752380952380938</v>
      </c>
      <c r="H276" s="96">
        <v>30.396140172676507</v>
      </c>
      <c r="I276" s="97">
        <v>20.557389537836478</v>
      </c>
      <c r="J276" s="98">
        <v>0.55427814943546794</v>
      </c>
      <c r="K276" s="99">
        <v>13</v>
      </c>
      <c r="M276" s="100">
        <f t="shared" si="32"/>
        <v>0.6763157894736842</v>
      </c>
      <c r="N276" s="89">
        <f t="shared" si="33"/>
        <v>20.557389537836478</v>
      </c>
      <c r="O276" s="100"/>
      <c r="V276" s="109">
        <f t="shared" si="34"/>
        <v>75.406856287229218</v>
      </c>
      <c r="W276" s="109">
        <f t="shared" si="35"/>
        <v>2.4523245257862296</v>
      </c>
      <c r="X276" s="109">
        <f t="shared" si="36"/>
        <v>-11.546969905826797</v>
      </c>
      <c r="Y276" s="109">
        <f t="shared" si="37"/>
        <v>-18.638393049053253</v>
      </c>
      <c r="Z276" s="109">
        <f t="shared" si="38"/>
        <v>-29.873671913685129</v>
      </c>
      <c r="AA276" s="109">
        <f t="shared" si="39"/>
        <v>-36.030888647575708</v>
      </c>
    </row>
    <row r="277" spans="1:27" ht="19.5" thickBot="1" x14ac:dyDescent="0.35">
      <c r="A277" s="93">
        <v>80</v>
      </c>
      <c r="B277" s="94" t="s">
        <v>339</v>
      </c>
      <c r="C277" s="93">
        <v>57</v>
      </c>
      <c r="D277" s="94" t="s">
        <v>340</v>
      </c>
      <c r="E277" s="93">
        <v>588336</v>
      </c>
      <c r="F277" s="94" t="s">
        <v>349</v>
      </c>
      <c r="G277" s="95">
        <v>4.0366848484848461</v>
      </c>
      <c r="H277" s="96">
        <v>4.7068326394446114</v>
      </c>
      <c r="I277" s="97">
        <v>3.14614602741824</v>
      </c>
      <c r="J277" s="98">
        <v>0.93178579279698315</v>
      </c>
      <c r="K277" s="99">
        <v>257</v>
      </c>
      <c r="M277" s="100">
        <f t="shared" si="32"/>
        <v>0.66842105263157892</v>
      </c>
      <c r="N277" s="89">
        <f t="shared" si="33"/>
        <v>3.14614602741824</v>
      </c>
      <c r="O277" s="100"/>
      <c r="V277" s="109">
        <f t="shared" si="34"/>
        <v>276.10037446050512</v>
      </c>
      <c r="W277" s="109">
        <f t="shared" si="35"/>
        <v>117.20176063263591</v>
      </c>
      <c r="X277" s="109">
        <f t="shared" si="36"/>
        <v>86.710598177842854</v>
      </c>
      <c r="Y277" s="109">
        <f t="shared" si="37"/>
        <v>71.265124396855796</v>
      </c>
      <c r="Z277" s="109">
        <f t="shared" si="38"/>
        <v>46.794125893331859</v>
      </c>
      <c r="AA277" s="109">
        <f t="shared" si="39"/>
        <v>33.383400330015299</v>
      </c>
    </row>
    <row r="278" spans="1:27" ht="19.5" thickBot="1" x14ac:dyDescent="0.35">
      <c r="A278" s="93">
        <v>80</v>
      </c>
      <c r="B278" s="94" t="s">
        <v>339</v>
      </c>
      <c r="C278" s="93">
        <v>57</v>
      </c>
      <c r="D278" s="94" t="s">
        <v>340</v>
      </c>
      <c r="E278" s="93">
        <v>588396</v>
      </c>
      <c r="F278" s="94" t="s">
        <v>350</v>
      </c>
      <c r="G278" s="95">
        <v>2.7711007085481154</v>
      </c>
      <c r="H278" s="96">
        <v>6.4956137986882769</v>
      </c>
      <c r="I278" s="97">
        <v>4.4747561724297018</v>
      </c>
      <c r="J278" s="98">
        <v>0.90297909185748026</v>
      </c>
      <c r="K278" s="99">
        <v>232</v>
      </c>
      <c r="M278" s="100">
        <f t="shared" si="32"/>
        <v>0.68888888888888888</v>
      </c>
      <c r="N278" s="89">
        <f t="shared" si="33"/>
        <v>4.4747561724297018</v>
      </c>
      <c r="O278" s="100"/>
      <c r="V278" s="109">
        <f t="shared" si="34"/>
        <v>178.22023442221013</v>
      </c>
      <c r="W278" s="109">
        <f t="shared" si="35"/>
        <v>72.380555576863102</v>
      </c>
      <c r="X278" s="109">
        <f t="shared" si="36"/>
        <v>52.070908034358339</v>
      </c>
      <c r="Y278" s="109">
        <f t="shared" si="37"/>
        <v>41.782939214411464</v>
      </c>
      <c r="Z278" s="109">
        <f t="shared" si="38"/>
        <v>25.483221046677009</v>
      </c>
      <c r="AA278" s="109">
        <f t="shared" si="39"/>
        <v>16.550563596045652</v>
      </c>
    </row>
    <row r="279" spans="1:27" ht="19.5" thickBot="1" x14ac:dyDescent="0.35">
      <c r="A279" s="93">
        <v>80</v>
      </c>
      <c r="B279" s="94" t="s">
        <v>339</v>
      </c>
      <c r="C279" s="93">
        <v>57</v>
      </c>
      <c r="D279" s="94" t="s">
        <v>340</v>
      </c>
      <c r="E279" s="93">
        <v>488451</v>
      </c>
      <c r="F279" s="94" t="s">
        <v>351</v>
      </c>
      <c r="G279" s="95">
        <v>4.6270713344626389</v>
      </c>
      <c r="H279" s="96">
        <v>3.0256719613824319</v>
      </c>
      <c r="I279" s="97">
        <v>2.1179703729677026</v>
      </c>
      <c r="J279" s="98">
        <v>0.95407852381536529</v>
      </c>
      <c r="K279" s="99">
        <v>269</v>
      </c>
      <c r="M279" s="100">
        <f t="shared" si="32"/>
        <v>0.70000000000000007</v>
      </c>
      <c r="N279" s="89">
        <f t="shared" si="33"/>
        <v>2.1179703729677026</v>
      </c>
      <c r="O279" s="100"/>
      <c r="V279" s="109">
        <f t="shared" si="34"/>
        <v>309.43430661502816</v>
      </c>
      <c r="W279" s="109">
        <f t="shared" si="35"/>
        <v>135.51269983515684</v>
      </c>
      <c r="X279" s="109">
        <f t="shared" si="36"/>
        <v>102.13876510424483</v>
      </c>
      <c r="Y279" s="109">
        <f t="shared" si="37"/>
        <v>85.233006439945555</v>
      </c>
      <c r="Z279" s="109">
        <f t="shared" si="38"/>
        <v>58.448409163023022</v>
      </c>
      <c r="AA279" s="109">
        <f t="shared" si="39"/>
        <v>43.769773007124527</v>
      </c>
    </row>
    <row r="280" spans="1:27" ht="19.5" thickBot="1" x14ac:dyDescent="0.35">
      <c r="A280" s="93">
        <v>80</v>
      </c>
      <c r="B280" s="94" t="s">
        <v>339</v>
      </c>
      <c r="C280" s="93">
        <v>57</v>
      </c>
      <c r="D280" s="94" t="s">
        <v>340</v>
      </c>
      <c r="E280" s="93">
        <v>588501</v>
      </c>
      <c r="F280" s="94" t="s">
        <v>352</v>
      </c>
      <c r="G280" s="95">
        <v>4.6545454545454543</v>
      </c>
      <c r="H280" s="96">
        <v>3.65234375</v>
      </c>
      <c r="I280" s="97">
        <v>3.2978515625</v>
      </c>
      <c r="J280" s="98">
        <v>0.92849653898812423</v>
      </c>
      <c r="K280" s="99">
        <v>252</v>
      </c>
      <c r="M280" s="100">
        <f t="shared" si="32"/>
        <v>0.90294117647058825</v>
      </c>
      <c r="N280" s="89">
        <f t="shared" si="33"/>
        <v>3.2978515625</v>
      </c>
      <c r="O280" s="100"/>
      <c r="V280" s="109">
        <f t="shared" si="34"/>
        <v>234.84120133763676</v>
      </c>
      <c r="W280" s="109">
        <f t="shared" si="35"/>
        <v>99.20887790871592</v>
      </c>
      <c r="X280" s="109">
        <f t="shared" si="36"/>
        <v>73.182299651260266</v>
      </c>
      <c r="Y280" s="109">
        <f t="shared" si="37"/>
        <v>59.998386683680145</v>
      </c>
      <c r="Z280" s="109">
        <f t="shared" si="38"/>
        <v>39.110486508200651</v>
      </c>
      <c r="AA280" s="109">
        <f t="shared" si="39"/>
        <v>27.663389373730702</v>
      </c>
    </row>
    <row r="281" spans="1:27" ht="19.5" thickBot="1" x14ac:dyDescent="0.35">
      <c r="A281" s="93">
        <v>80</v>
      </c>
      <c r="B281" s="94" t="s">
        <v>339</v>
      </c>
      <c r="C281" s="93">
        <v>57</v>
      </c>
      <c r="D281" s="94" t="s">
        <v>340</v>
      </c>
      <c r="E281" s="93">
        <v>488561</v>
      </c>
      <c r="F281" s="94" t="s">
        <v>353</v>
      </c>
      <c r="G281" s="95">
        <v>6.2429622962544666</v>
      </c>
      <c r="H281" s="96">
        <v>13.455150938585152</v>
      </c>
      <c r="I281" s="97">
        <v>8.7258255640407878</v>
      </c>
      <c r="J281" s="98">
        <v>0.81080812274587644</v>
      </c>
      <c r="K281" s="99">
        <v>131</v>
      </c>
      <c r="M281" s="100">
        <f t="shared" si="32"/>
        <v>0.64851190476190479</v>
      </c>
      <c r="N281" s="89">
        <f t="shared" si="33"/>
        <v>8.7258255640407878</v>
      </c>
      <c r="O281" s="100"/>
      <c r="V281" s="109">
        <f t="shared" si="34"/>
        <v>382.97201232472395</v>
      </c>
      <c r="W281" s="109">
        <f t="shared" si="35"/>
        <v>129.68195443262624</v>
      </c>
      <c r="X281" s="109">
        <f t="shared" si="36"/>
        <v>81.077953948782252</v>
      </c>
      <c r="Y281" s="109">
        <f t="shared" si="37"/>
        <v>56.457317846852135</v>
      </c>
      <c r="Z281" s="109">
        <f t="shared" si="38"/>
        <v>17.449673423034604</v>
      </c>
      <c r="AA281" s="109">
        <f t="shared" si="39"/>
        <v>-3.927501446389734</v>
      </c>
    </row>
    <row r="282" spans="1:27" ht="19.5" thickBot="1" x14ac:dyDescent="0.35">
      <c r="A282" s="93">
        <v>80</v>
      </c>
      <c r="B282" s="94" t="s">
        <v>339</v>
      </c>
      <c r="C282" s="93">
        <v>57</v>
      </c>
      <c r="D282" s="94" t="s">
        <v>340</v>
      </c>
      <c r="E282" s="93">
        <v>588631</v>
      </c>
      <c r="F282" s="94" t="s">
        <v>354</v>
      </c>
      <c r="G282" s="95">
        <v>5.0415908392682587</v>
      </c>
      <c r="H282" s="96">
        <v>5.1571023569563739</v>
      </c>
      <c r="I282" s="97">
        <v>3.2826940002933842</v>
      </c>
      <c r="J282" s="98">
        <v>0.92882518269380221</v>
      </c>
      <c r="K282" s="99">
        <v>254</v>
      </c>
      <c r="M282" s="100">
        <f t="shared" si="32"/>
        <v>0.6365384615384615</v>
      </c>
      <c r="N282" s="89">
        <f t="shared" si="33"/>
        <v>3.2826940002933842</v>
      </c>
      <c r="O282" s="100"/>
      <c r="V282" s="109">
        <f t="shared" si="34"/>
        <v>360.95504394522482</v>
      </c>
      <c r="W282" s="109">
        <f t="shared" si="35"/>
        <v>152.55954689766901</v>
      </c>
      <c r="X282" s="109">
        <f t="shared" si="36"/>
        <v>112.5703940520203</v>
      </c>
      <c r="Y282" s="109">
        <f t="shared" si="37"/>
        <v>92.313658589176086</v>
      </c>
      <c r="Z282" s="109">
        <f t="shared" si="38"/>
        <v>60.219949440044168</v>
      </c>
      <c r="AA282" s="109">
        <f t="shared" si="39"/>
        <v>42.631785816646037</v>
      </c>
    </row>
    <row r="283" spans="1:27" ht="19.5" thickBot="1" x14ac:dyDescent="0.35">
      <c r="A283" s="93">
        <v>80</v>
      </c>
      <c r="B283" s="94" t="s">
        <v>339</v>
      </c>
      <c r="C283" s="93">
        <v>57</v>
      </c>
      <c r="D283" s="94" t="s">
        <v>340</v>
      </c>
      <c r="E283" s="93">
        <v>488706</v>
      </c>
      <c r="F283" s="94" t="s">
        <v>355</v>
      </c>
      <c r="G283" s="95">
        <v>3.3249222622538745</v>
      </c>
      <c r="H283" s="96">
        <v>10.526561898104182</v>
      </c>
      <c r="I283" s="97">
        <v>6.7369996147866766</v>
      </c>
      <c r="J283" s="98">
        <v>0.85392951133078143</v>
      </c>
      <c r="K283" s="99">
        <v>188</v>
      </c>
      <c r="M283" s="100">
        <f t="shared" si="32"/>
        <v>0.64</v>
      </c>
      <c r="N283" s="89">
        <f t="shared" si="33"/>
        <v>6.7369996147866766</v>
      </c>
      <c r="O283" s="100"/>
      <c r="V283" s="109">
        <f t="shared" si="34"/>
        <v>217.67057844461448</v>
      </c>
      <c r="W283" s="109">
        <f t="shared" si="35"/>
        <v>80.977379898851225</v>
      </c>
      <c r="X283" s="109">
        <f t="shared" si="36"/>
        <v>54.747229597860141</v>
      </c>
      <c r="Y283" s="109">
        <f t="shared" si="37"/>
        <v>41.460196040317889</v>
      </c>
      <c r="Z283" s="109">
        <f t="shared" si="38"/>
        <v>20.408917011044252</v>
      </c>
      <c r="AA283" s="109">
        <f t="shared" si="39"/>
        <v>8.8722841361031044</v>
      </c>
    </row>
    <row r="284" spans="1:27" ht="19.5" thickBot="1" x14ac:dyDescent="0.35">
      <c r="A284" s="93">
        <v>80</v>
      </c>
      <c r="B284" s="94" t="s">
        <v>339</v>
      </c>
      <c r="C284" s="93">
        <v>57</v>
      </c>
      <c r="D284" s="94" t="s">
        <v>340</v>
      </c>
      <c r="E284" s="93">
        <v>588716</v>
      </c>
      <c r="F284" s="94" t="s">
        <v>356</v>
      </c>
      <c r="G284" s="95">
        <v>2.6482683982683981</v>
      </c>
      <c r="H284" s="96">
        <v>18.880261544748674</v>
      </c>
      <c r="I284" s="97">
        <v>11.875684511646915</v>
      </c>
      <c r="J284" s="98">
        <v>0.74251341263396164</v>
      </c>
      <c r="K284" s="99">
        <v>72</v>
      </c>
      <c r="M284" s="100">
        <f t="shared" si="32"/>
        <v>0.62899999999999989</v>
      </c>
      <c r="N284" s="89">
        <f t="shared" si="33"/>
        <v>11.875684511646915</v>
      </c>
      <c r="O284" s="100"/>
      <c r="V284" s="109">
        <f t="shared" si="34"/>
        <v>153.38816166332802</v>
      </c>
      <c r="W284" s="109">
        <f t="shared" si="35"/>
        <v>42.609341167476828</v>
      </c>
      <c r="X284" s="109">
        <f t="shared" si="36"/>
        <v>21.351918393805452</v>
      </c>
      <c r="Y284" s="109">
        <f t="shared" si="37"/>
        <v>10.583848577218774</v>
      </c>
      <c r="Z284" s="109">
        <f t="shared" si="38"/>
        <v>-6.4765164270520437</v>
      </c>
      <c r="AA284" s="109">
        <f t="shared" si="39"/>
        <v>-15.82602756568984</v>
      </c>
    </row>
    <row r="285" spans="1:27" ht="19.5" thickBot="1" x14ac:dyDescent="0.35">
      <c r="A285" s="93">
        <v>80</v>
      </c>
      <c r="B285" s="94" t="s">
        <v>339</v>
      </c>
      <c r="C285" s="93">
        <v>55</v>
      </c>
      <c r="D285" s="94" t="s">
        <v>357</v>
      </c>
      <c r="E285" s="93">
        <v>588186</v>
      </c>
      <c r="F285" s="94" t="s">
        <v>358</v>
      </c>
      <c r="G285" s="95">
        <v>2.6856036307778246</v>
      </c>
      <c r="H285" s="96">
        <v>20.107211422096608</v>
      </c>
      <c r="I285" s="97">
        <v>13.330336461315898</v>
      </c>
      <c r="J285" s="98">
        <v>0.71097389455748505</v>
      </c>
      <c r="K285" s="99">
        <v>60</v>
      </c>
      <c r="M285" s="100">
        <f t="shared" si="32"/>
        <v>0.66296296296296287</v>
      </c>
      <c r="N285" s="89">
        <f t="shared" si="33"/>
        <v>13.330336461315898</v>
      </c>
      <c r="O285" s="100"/>
      <c r="V285" s="109">
        <f t="shared" si="34"/>
        <v>141.31312157486062</v>
      </c>
      <c r="W285" s="109">
        <f t="shared" si="35"/>
        <v>34.72764470210916</v>
      </c>
      <c r="X285" s="109">
        <f t="shared" si="36"/>
        <v>14.274885471816541</v>
      </c>
      <c r="Y285" s="109">
        <f t="shared" si="37"/>
        <v>3.9144226029872415</v>
      </c>
      <c r="Z285" s="109">
        <f t="shared" si="38"/>
        <v>-12.500151333296062</v>
      </c>
      <c r="AA285" s="109">
        <f t="shared" si="39"/>
        <v>-21.495752647503334</v>
      </c>
    </row>
    <row r="286" spans="1:27" ht="19.5" thickBot="1" x14ac:dyDescent="0.35">
      <c r="A286" s="93">
        <v>80</v>
      </c>
      <c r="B286" s="94" t="s">
        <v>339</v>
      </c>
      <c r="C286" s="93">
        <v>55</v>
      </c>
      <c r="D286" s="94" t="s">
        <v>357</v>
      </c>
      <c r="E286" s="93">
        <v>488246</v>
      </c>
      <c r="F286" s="94" t="s">
        <v>359</v>
      </c>
      <c r="G286" s="95">
        <v>2.9350329380764157</v>
      </c>
      <c r="H286" s="96">
        <v>14.991313872217413</v>
      </c>
      <c r="I286" s="97">
        <v>10.655757758036353</v>
      </c>
      <c r="J286" s="98">
        <v>0.76896365862320559</v>
      </c>
      <c r="K286" s="99">
        <v>94</v>
      </c>
      <c r="M286" s="100">
        <f t="shared" si="32"/>
        <v>0.71079545454545445</v>
      </c>
      <c r="N286" s="89">
        <f t="shared" si="33"/>
        <v>10.655757758036353</v>
      </c>
      <c r="O286" s="100"/>
      <c r="V286" s="109">
        <f t="shared" si="34"/>
        <v>155.79386074343387</v>
      </c>
      <c r="W286" s="109">
        <f t="shared" si="35"/>
        <v>47.147865748451437</v>
      </c>
      <c r="X286" s="109">
        <f t="shared" si="36"/>
        <v>26.299712302360003</v>
      </c>
      <c r="Y286" s="109">
        <f t="shared" si="37"/>
        <v>15.738960218505563</v>
      </c>
      <c r="Z286" s="109">
        <f t="shared" si="38"/>
        <v>-0.99294144437590381</v>
      </c>
      <c r="AA286" s="109">
        <f t="shared" si="39"/>
        <v>-10.162446371646876</v>
      </c>
    </row>
    <row r="287" spans="1:27" ht="19.5" thickBot="1" x14ac:dyDescent="0.35">
      <c r="A287" s="93">
        <v>80</v>
      </c>
      <c r="B287" s="94" t="s">
        <v>339</v>
      </c>
      <c r="C287" s="93">
        <v>55</v>
      </c>
      <c r="D287" s="94" t="s">
        <v>357</v>
      </c>
      <c r="E287" s="93">
        <v>588316</v>
      </c>
      <c r="F287" s="94" t="s">
        <v>360</v>
      </c>
      <c r="G287" s="95">
        <v>3.9592642514101137</v>
      </c>
      <c r="H287" s="96">
        <v>12.88118113910585</v>
      </c>
      <c r="I287" s="97">
        <v>8.7263687912962169</v>
      </c>
      <c r="J287" s="98">
        <v>0.8107963445842028</v>
      </c>
      <c r="K287" s="99">
        <v>130</v>
      </c>
      <c r="M287" s="100">
        <f t="shared" si="32"/>
        <v>0.67745098039215679</v>
      </c>
      <c r="N287" s="89">
        <f t="shared" si="33"/>
        <v>8.7263687912962169</v>
      </c>
      <c r="O287" s="100"/>
      <c r="V287" s="109">
        <f t="shared" si="34"/>
        <v>232.5008697296758</v>
      </c>
      <c r="W287" s="109">
        <f t="shared" si="35"/>
        <v>78.727193492759397</v>
      </c>
      <c r="X287" s="109">
        <f t="shared" si="36"/>
        <v>49.219458777780972</v>
      </c>
      <c r="Y287" s="109">
        <f t="shared" si="37"/>
        <v>34.272145976826152</v>
      </c>
      <c r="Z287" s="109">
        <f t="shared" si="38"/>
        <v>10.590407600232686</v>
      </c>
      <c r="AA287" s="109">
        <f t="shared" si="39"/>
        <v>-2.3877834688821493</v>
      </c>
    </row>
    <row r="288" spans="1:27" ht="19.5" thickBot="1" x14ac:dyDescent="0.35">
      <c r="A288" s="93">
        <v>80</v>
      </c>
      <c r="B288" s="94" t="s">
        <v>339</v>
      </c>
      <c r="C288" s="93">
        <v>55</v>
      </c>
      <c r="D288" s="94" t="s">
        <v>357</v>
      </c>
      <c r="E288" s="93">
        <v>488326</v>
      </c>
      <c r="F288" s="94" t="s">
        <v>361</v>
      </c>
      <c r="G288" s="95">
        <v>5.0512032770097308</v>
      </c>
      <c r="H288" s="96">
        <v>17.025646224024321</v>
      </c>
      <c r="I288" s="97">
        <v>12.15057019766852</v>
      </c>
      <c r="J288" s="98">
        <v>0.73655338758108502</v>
      </c>
      <c r="K288" s="99">
        <v>69</v>
      </c>
      <c r="M288" s="100">
        <f t="shared" si="32"/>
        <v>0.71366279069767447</v>
      </c>
      <c r="N288" s="89">
        <f t="shared" si="33"/>
        <v>12.15057019766852</v>
      </c>
      <c r="O288" s="100"/>
      <c r="V288" s="109">
        <f t="shared" si="34"/>
        <v>255.78920400836043</v>
      </c>
      <c r="W288" s="109">
        <f t="shared" si="35"/>
        <v>69.560261796440969</v>
      </c>
      <c r="X288" s="109">
        <f t="shared" si="36"/>
        <v>33.824664147243716</v>
      </c>
      <c r="Y288" s="109">
        <f t="shared" si="37"/>
        <v>15.722591543192689</v>
      </c>
      <c r="Z288" s="109">
        <f t="shared" si="38"/>
        <v>-12.957382790110401</v>
      </c>
      <c r="AA288" s="109">
        <f t="shared" si="39"/>
        <v>-28.674733469180715</v>
      </c>
    </row>
    <row r="289" spans="1:27" ht="19.5" thickBot="1" x14ac:dyDescent="0.35">
      <c r="A289" s="93">
        <v>80</v>
      </c>
      <c r="B289" s="94" t="s">
        <v>339</v>
      </c>
      <c r="C289" s="93">
        <v>55</v>
      </c>
      <c r="D289" s="94" t="s">
        <v>357</v>
      </c>
      <c r="E289" s="93">
        <v>488346</v>
      </c>
      <c r="F289" s="94" t="s">
        <v>362</v>
      </c>
      <c r="G289" s="95">
        <v>1.7883809038086731</v>
      </c>
      <c r="H289" s="96">
        <v>28.517414769631284</v>
      </c>
      <c r="I289" s="97">
        <v>18.927735097098413</v>
      </c>
      <c r="J289" s="98">
        <v>0.58961204198877915</v>
      </c>
      <c r="K289" s="99">
        <v>18</v>
      </c>
      <c r="M289" s="100">
        <f t="shared" si="32"/>
        <v>0.66372549019607852</v>
      </c>
      <c r="N289" s="89">
        <f t="shared" si="33"/>
        <v>18.927735097098413</v>
      </c>
      <c r="O289" s="100"/>
      <c r="V289" s="109">
        <f t="shared" si="34"/>
        <v>77.949630069999543</v>
      </c>
      <c r="W289" s="109">
        <f t="shared" si="35"/>
        <v>7.0544171798727877</v>
      </c>
      <c r="X289" s="109">
        <f t="shared" si="36"/>
        <v>-6.5497131610103851</v>
      </c>
      <c r="Y289" s="109">
        <f t="shared" si="37"/>
        <v>-13.440963660389469</v>
      </c>
      <c r="Z289" s="109">
        <f t="shared" si="38"/>
        <v>-24.35909948768278</v>
      </c>
      <c r="AA289" s="109">
        <f t="shared" si="39"/>
        <v>-30.342513822891032</v>
      </c>
    </row>
    <row r="290" spans="1:27" ht="19.5" thickBot="1" x14ac:dyDescent="0.35">
      <c r="A290" s="93">
        <v>80</v>
      </c>
      <c r="B290" s="94" t="s">
        <v>339</v>
      </c>
      <c r="C290" s="93">
        <v>55</v>
      </c>
      <c r="D290" s="94" t="s">
        <v>357</v>
      </c>
      <c r="E290" s="93">
        <v>588386</v>
      </c>
      <c r="F290" s="94" t="s">
        <v>363</v>
      </c>
      <c r="G290" s="95">
        <v>2.000245656392583</v>
      </c>
      <c r="H290" s="96">
        <v>28.996438419770023</v>
      </c>
      <c r="I290" s="97">
        <v>18.847684972850516</v>
      </c>
      <c r="J290" s="98">
        <v>0.59134767527295773</v>
      </c>
      <c r="K290" s="99">
        <v>19</v>
      </c>
      <c r="M290" s="100">
        <f t="shared" si="32"/>
        <v>0.65</v>
      </c>
      <c r="N290" s="89">
        <f t="shared" si="33"/>
        <v>18.847684972850516</v>
      </c>
      <c r="O290" s="100"/>
      <c r="V290" s="109">
        <f t="shared" si="34"/>
        <v>89.28717039663546</v>
      </c>
      <c r="W290" s="109">
        <f t="shared" si="35"/>
        <v>8.3188065564970852</v>
      </c>
      <c r="X290" s="109">
        <f t="shared" si="36"/>
        <v>-7.218267531656136</v>
      </c>
      <c r="Y290" s="109">
        <f t="shared" si="37"/>
        <v>-15.08866180795243</v>
      </c>
      <c r="Z290" s="109">
        <f t="shared" si="38"/>
        <v>-27.558101676768299</v>
      </c>
      <c r="AA290" s="109">
        <f t="shared" si="39"/>
        <v>-34.391669828263488</v>
      </c>
    </row>
    <row r="291" spans="1:27" ht="19.5" thickBot="1" x14ac:dyDescent="0.35">
      <c r="A291" s="93">
        <v>80</v>
      </c>
      <c r="B291" s="94" t="s">
        <v>339</v>
      </c>
      <c r="C291" s="93">
        <v>55</v>
      </c>
      <c r="D291" s="94" t="s">
        <v>357</v>
      </c>
      <c r="E291" s="93">
        <v>588461</v>
      </c>
      <c r="F291" s="94" t="s">
        <v>364</v>
      </c>
      <c r="G291" s="95">
        <v>2.8681779875897826</v>
      </c>
      <c r="H291" s="96">
        <v>11.854215514906464</v>
      </c>
      <c r="I291" s="97">
        <v>7.7052400846892022</v>
      </c>
      <c r="J291" s="98">
        <v>0.83293628486872906</v>
      </c>
      <c r="K291" s="99">
        <v>161</v>
      </c>
      <c r="M291" s="100">
        <f t="shared" si="32"/>
        <v>0.65</v>
      </c>
      <c r="N291" s="89">
        <f t="shared" si="33"/>
        <v>7.7052400846892022</v>
      </c>
      <c r="O291" s="100"/>
      <c r="V291" s="109">
        <f t="shared" si="34"/>
        <v>180.33528477751915</v>
      </c>
      <c r="W291" s="109">
        <f t="shared" si="35"/>
        <v>64.233705896317005</v>
      </c>
      <c r="X291" s="109">
        <f t="shared" si="36"/>
        <v>41.954895416827391</v>
      </c>
      <c r="Y291" s="109">
        <f t="shared" si="37"/>
        <v>30.669435781015942</v>
      </c>
      <c r="Z291" s="109">
        <f t="shared" si="38"/>
        <v>12.789345485600412</v>
      </c>
      <c r="AA291" s="109">
        <f t="shared" si="39"/>
        <v>2.9906041729152251</v>
      </c>
    </row>
    <row r="292" spans="1:27" ht="19.5" thickBot="1" x14ac:dyDescent="0.35">
      <c r="A292" s="93">
        <v>80</v>
      </c>
      <c r="B292" s="94" t="s">
        <v>339</v>
      </c>
      <c r="C292" s="93">
        <v>55</v>
      </c>
      <c r="D292" s="94" t="s">
        <v>357</v>
      </c>
      <c r="E292" s="93">
        <v>588551</v>
      </c>
      <c r="F292" s="94" t="s">
        <v>365</v>
      </c>
      <c r="G292" s="95">
        <v>3.709824957651044</v>
      </c>
      <c r="H292" s="96">
        <v>14.016833838145541</v>
      </c>
      <c r="I292" s="97">
        <v>9.3602799044154601</v>
      </c>
      <c r="J292" s="98">
        <v>0.79705199081239275</v>
      </c>
      <c r="K292" s="99">
        <v>119</v>
      </c>
      <c r="M292" s="100">
        <f t="shared" si="32"/>
        <v>0.66778846153846161</v>
      </c>
      <c r="N292" s="89">
        <f t="shared" si="33"/>
        <v>9.3602799044154601</v>
      </c>
      <c r="O292" s="100"/>
      <c r="V292" s="109">
        <f t="shared" si="34"/>
        <v>217.25878448436708</v>
      </c>
      <c r="W292" s="109">
        <f t="shared" si="35"/>
        <v>71.088230861614022</v>
      </c>
      <c r="X292" s="109">
        <f t="shared" si="36"/>
        <v>43.039464486304659</v>
      </c>
      <c r="Y292" s="109">
        <f t="shared" si="37"/>
        <v>28.831200492395475</v>
      </c>
      <c r="Z292" s="109">
        <f t="shared" si="38"/>
        <v>6.3203722806625375</v>
      </c>
      <c r="AA292" s="109">
        <f t="shared" si="39"/>
        <v>-6.0161304291488946</v>
      </c>
    </row>
    <row r="293" spans="1:27" ht="19.5" thickBot="1" x14ac:dyDescent="0.35">
      <c r="A293" s="93">
        <v>80</v>
      </c>
      <c r="B293" s="94" t="s">
        <v>339</v>
      </c>
      <c r="C293" s="93">
        <v>55</v>
      </c>
      <c r="D293" s="94" t="s">
        <v>357</v>
      </c>
      <c r="E293" s="93">
        <v>488556</v>
      </c>
      <c r="F293" s="94" t="s">
        <v>366</v>
      </c>
      <c r="G293" s="95">
        <v>3.4795865202819636</v>
      </c>
      <c r="H293" s="96">
        <v>16.956037637258984</v>
      </c>
      <c r="I293" s="97">
        <v>11.222597792118023</v>
      </c>
      <c r="J293" s="98">
        <v>0.7566735286677494</v>
      </c>
      <c r="K293" s="99">
        <v>80</v>
      </c>
      <c r="M293" s="100">
        <f t="shared" si="32"/>
        <v>0.66186440677966107</v>
      </c>
      <c r="N293" s="89">
        <f t="shared" si="33"/>
        <v>11.222597792118023</v>
      </c>
      <c r="O293" s="100"/>
      <c r="V293" s="109">
        <f t="shared" si="34"/>
        <v>195.18360760936903</v>
      </c>
      <c r="W293" s="109">
        <f t="shared" si="35"/>
        <v>56.857550698377054</v>
      </c>
      <c r="X293" s="109">
        <f t="shared" si="36"/>
        <v>30.314070101542157</v>
      </c>
      <c r="Y293" s="109">
        <f t="shared" si="37"/>
        <v>16.868317279805915</v>
      </c>
      <c r="Z293" s="109">
        <f t="shared" si="38"/>
        <v>-4.434428226420537</v>
      </c>
      <c r="AA293" s="109">
        <f t="shared" si="39"/>
        <v>-16.108871085302574</v>
      </c>
    </row>
    <row r="294" spans="1:27" ht="19.5" thickBot="1" x14ac:dyDescent="0.35">
      <c r="A294" s="101">
        <v>80</v>
      </c>
      <c r="B294" s="102" t="s">
        <v>339</v>
      </c>
      <c r="C294" s="101">
        <v>55</v>
      </c>
      <c r="D294" s="102" t="s">
        <v>357</v>
      </c>
      <c r="E294" s="101">
        <v>488586</v>
      </c>
      <c r="F294" s="102" t="s">
        <v>357</v>
      </c>
      <c r="G294" s="95">
        <v>10.350720622575185</v>
      </c>
      <c r="H294" s="96">
        <v>18.162986603074497</v>
      </c>
      <c r="I294" s="97">
        <v>12.590910792796189</v>
      </c>
      <c r="J294" s="98">
        <v>0.72700599711218572</v>
      </c>
      <c r="K294" s="99">
        <v>66</v>
      </c>
      <c r="M294" s="100">
        <f t="shared" si="32"/>
        <v>0.69321808510638283</v>
      </c>
      <c r="N294" s="89">
        <f t="shared" si="33"/>
        <v>12.590910792796189</v>
      </c>
      <c r="O294" s="100"/>
      <c r="V294" s="109">
        <f t="shared" si="34"/>
        <v>532.6168263197676</v>
      </c>
      <c r="W294" s="109">
        <f t="shared" si="35"/>
        <v>139.74934158728439</v>
      </c>
      <c r="X294" s="109">
        <f t="shared" si="36"/>
        <v>64.361734284676899</v>
      </c>
      <c r="Y294" s="109">
        <f t="shared" si="37"/>
        <v>26.173708041658603</v>
      </c>
      <c r="Z294" s="109">
        <f t="shared" si="38"/>
        <v>-34.329397676974409</v>
      </c>
      <c r="AA294" s="109">
        <f t="shared" si="39"/>
        <v>-67.486628527365411</v>
      </c>
    </row>
    <row r="295" spans="1:27" ht="19.5" thickBot="1" x14ac:dyDescent="0.35">
      <c r="A295" s="101">
        <v>80</v>
      </c>
      <c r="B295" s="102" t="s">
        <v>339</v>
      </c>
      <c r="C295" s="101">
        <v>55</v>
      </c>
      <c r="D295" s="102" t="s">
        <v>357</v>
      </c>
      <c r="E295" s="101">
        <v>588587</v>
      </c>
      <c r="F295" s="102" t="s">
        <v>367</v>
      </c>
      <c r="G295" s="95">
        <v>3.9573386034255598</v>
      </c>
      <c r="H295" s="96">
        <v>14.909009794847551</v>
      </c>
      <c r="I295" s="97">
        <v>10.013042595268377</v>
      </c>
      <c r="J295" s="98">
        <v>0.78289890031367226</v>
      </c>
      <c r="K295" s="99">
        <v>109</v>
      </c>
      <c r="M295" s="100">
        <f t="shared" si="32"/>
        <v>0.67161016949152552</v>
      </c>
      <c r="N295" s="89">
        <f t="shared" si="33"/>
        <v>10.013042595268377</v>
      </c>
      <c r="O295" s="100"/>
      <c r="V295" s="109">
        <f t="shared" si="34"/>
        <v>226.34339085909193</v>
      </c>
      <c r="W295" s="109">
        <f t="shared" si="35"/>
        <v>71.307827381587046</v>
      </c>
      <c r="X295" s="109">
        <f t="shared" si="36"/>
        <v>41.557948270722974</v>
      </c>
      <c r="Y295" s="109">
        <f t="shared" si="37"/>
        <v>26.487975832786152</v>
      </c>
      <c r="Z295" s="109">
        <f t="shared" si="38"/>
        <v>2.6119019611737722</v>
      </c>
      <c r="AA295" s="109">
        <f t="shared" si="39"/>
        <v>-10.472789870079337</v>
      </c>
    </row>
    <row r="296" spans="1:27" ht="19.5" thickBot="1" x14ac:dyDescent="0.35">
      <c r="A296" s="101">
        <v>80</v>
      </c>
      <c r="B296" s="102" t="s">
        <v>339</v>
      </c>
      <c r="C296" s="101">
        <v>55</v>
      </c>
      <c r="D296" s="102" t="s">
        <v>357</v>
      </c>
      <c r="E296" s="101">
        <v>488616</v>
      </c>
      <c r="F296" s="102" t="s">
        <v>368</v>
      </c>
      <c r="G296" s="95">
        <v>1.8999134199134189</v>
      </c>
      <c r="H296" s="96">
        <v>7.3687568355814843</v>
      </c>
      <c r="I296" s="97">
        <v>4.9739108640175012</v>
      </c>
      <c r="J296" s="98">
        <v>0.89215650407497049</v>
      </c>
      <c r="K296" s="99">
        <v>224</v>
      </c>
      <c r="M296" s="100">
        <f t="shared" si="32"/>
        <v>0.67499999999999993</v>
      </c>
      <c r="N296" s="89">
        <f t="shared" si="33"/>
        <v>4.9739108640175012</v>
      </c>
      <c r="O296" s="100"/>
      <c r="V296" s="109">
        <f t="shared" si="34"/>
        <v>123.21037240827906</v>
      </c>
      <c r="W296" s="109">
        <f t="shared" si="35"/>
        <v>49.151785423232894</v>
      </c>
      <c r="X296" s="109">
        <f t="shared" si="36"/>
        <v>34.940633088199661</v>
      </c>
      <c r="Y296" s="109">
        <f t="shared" si="37"/>
        <v>27.741892105011452</v>
      </c>
      <c r="Z296" s="109">
        <f t="shared" si="38"/>
        <v>16.336584483842596</v>
      </c>
      <c r="AA296" s="109">
        <f t="shared" si="39"/>
        <v>10.086187694734368</v>
      </c>
    </row>
    <row r="297" spans="1:27" ht="18.75" x14ac:dyDescent="0.3">
      <c r="A297" s="101">
        <v>80</v>
      </c>
      <c r="B297" s="102" t="s">
        <v>339</v>
      </c>
      <c r="C297" s="101">
        <v>55</v>
      </c>
      <c r="D297" s="102" t="s">
        <v>357</v>
      </c>
      <c r="E297" s="101">
        <v>588666</v>
      </c>
      <c r="F297" s="102" t="s">
        <v>369</v>
      </c>
      <c r="G297" s="103">
        <v>3.2823042081807854</v>
      </c>
      <c r="H297" s="104">
        <v>30.46640215454768</v>
      </c>
      <c r="I297" s="105">
        <v>20.656220660783326</v>
      </c>
      <c r="J297" s="106">
        <v>0.55213530970709868</v>
      </c>
      <c r="K297" s="107">
        <v>12</v>
      </c>
      <c r="M297" s="100">
        <f t="shared" si="32"/>
        <v>0.67799999999999994</v>
      </c>
      <c r="N297" s="89">
        <f t="shared" si="33"/>
        <v>20.656220660783326</v>
      </c>
      <c r="O297" s="100"/>
      <c r="V297" s="109">
        <f t="shared" si="34"/>
        <v>131.15076981531243</v>
      </c>
      <c r="W297" s="109">
        <f t="shared" si="35"/>
        <v>3.7727422094430394</v>
      </c>
      <c r="X297" s="109">
        <f t="shared" si="36"/>
        <v>-20.669913640966158</v>
      </c>
      <c r="Y297" s="109">
        <f t="shared" si="37"/>
        <v>-33.051481599712162</v>
      </c>
      <c r="Z297" s="109">
        <f t="shared" si="38"/>
        <v>-52.668188428267008</v>
      </c>
      <c r="AA297" s="109">
        <f t="shared" si="39"/>
        <v>-63.418639485501274</v>
      </c>
    </row>
  </sheetData>
  <mergeCells count="3">
    <mergeCell ref="A1:K1"/>
    <mergeCell ref="M1:T1"/>
    <mergeCell ref="V1:AA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BQ300"/>
  <sheetViews>
    <sheetView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9.28515625" customWidth="1"/>
    <col min="7" max="7" width="8.28515625" customWidth="1"/>
    <col min="8" max="8" width="0.28515625" customWidth="1"/>
    <col min="9" max="10" width="9.7109375" customWidth="1"/>
    <col min="11" max="11" width="0.28515625" customWidth="1"/>
    <col min="12" max="12" width="10.7109375" customWidth="1"/>
    <col min="13" max="14" width="9.5703125" customWidth="1"/>
    <col min="15" max="17" width="7.85546875" customWidth="1"/>
    <col min="18" max="18" width="10" customWidth="1"/>
    <col min="19" max="20" width="7.85546875" customWidth="1"/>
    <col min="21" max="22" width="9.5703125" customWidth="1"/>
    <col min="23" max="23" width="0.28515625" customWidth="1"/>
    <col min="24" max="25" width="9.5703125" customWidth="1"/>
    <col min="26" max="27" width="7.85546875" customWidth="1"/>
    <col min="28" max="28" width="10" customWidth="1"/>
    <col min="29" max="30" width="7.85546875" customWidth="1"/>
    <col min="31" max="32" width="9.5703125" customWidth="1"/>
    <col min="33" max="33" width="0.28515625" customWidth="1"/>
    <col min="34" max="34" width="9" customWidth="1"/>
    <col min="35" max="37" width="7.85546875" customWidth="1"/>
    <col min="38" max="38" width="10" customWidth="1"/>
    <col min="39" max="40" width="7.85546875" customWidth="1"/>
    <col min="41" max="41" width="8.85546875" customWidth="1"/>
    <col min="42" max="42" width="7.85546875" customWidth="1"/>
    <col min="43" max="43" width="0.28515625" customWidth="1"/>
    <col min="44" max="44" width="7.5703125" customWidth="1"/>
    <col min="45" max="47" width="7.85546875" customWidth="1"/>
    <col min="48" max="48" width="10" customWidth="1"/>
    <col min="49" max="49" width="7.42578125" customWidth="1"/>
    <col min="50" max="50" width="7.85546875" customWidth="1"/>
    <col min="51" max="51" width="8.85546875" customWidth="1"/>
    <col min="52" max="52" width="7.85546875" customWidth="1"/>
    <col min="53" max="53" width="0.28515625" customWidth="1"/>
    <col min="54" max="54" width="9.42578125" customWidth="1"/>
    <col min="55" max="55" width="9" customWidth="1"/>
    <col min="56" max="57" width="7.85546875" customWidth="1"/>
    <col min="58" max="58" width="10" customWidth="1"/>
    <col min="59" max="59" width="8.85546875" customWidth="1"/>
    <col min="60" max="60" width="7.85546875" customWidth="1"/>
    <col min="61" max="61" width="8.85546875" customWidth="1"/>
    <col min="62" max="62" width="7.85546875" customWidth="1"/>
    <col min="63" max="63" width="0.28515625" customWidth="1"/>
    <col min="64" max="64" width="8.140625" customWidth="1"/>
    <col min="65" max="65" width="9.140625" customWidth="1"/>
    <col min="66" max="66" width="10.7109375" customWidth="1"/>
    <col min="67" max="67" width="8.140625" customWidth="1"/>
    <col min="68" max="68" width="9.140625" customWidth="1"/>
    <col min="69" max="69" width="10.140625" customWidth="1"/>
    <col min="70" max="70" width="4.7109375" customWidth="1"/>
  </cols>
  <sheetData>
    <row r="1" spans="1:69" s="156" customFormat="1" ht="3.75" customHeight="1" x14ac:dyDescent="0.2"/>
    <row r="2" spans="1:69" s="156" customFormat="1" ht="24" customHeight="1" x14ac:dyDescent="0.2">
      <c r="A2" s="282" t="s">
        <v>19</v>
      </c>
      <c r="B2" s="283" t="s">
        <v>20</v>
      </c>
      <c r="C2" s="283" t="s">
        <v>21</v>
      </c>
      <c r="D2" s="284" t="s">
        <v>22</v>
      </c>
      <c r="E2" s="157"/>
      <c r="F2" s="281" t="s">
        <v>23</v>
      </c>
      <c r="G2" s="280" t="s">
        <v>24</v>
      </c>
      <c r="H2" s="158"/>
      <c r="I2" s="280" t="s">
        <v>25</v>
      </c>
      <c r="J2" s="281" t="s">
        <v>26</v>
      </c>
      <c r="K2" s="158"/>
      <c r="L2" s="276" t="s">
        <v>27</v>
      </c>
      <c r="M2" s="276"/>
      <c r="N2" s="276"/>
      <c r="O2" s="276"/>
      <c r="P2" s="276"/>
      <c r="Q2" s="276"/>
      <c r="R2" s="276"/>
      <c r="S2" s="276"/>
      <c r="T2" s="276"/>
      <c r="U2" s="276"/>
      <c r="V2" s="276"/>
      <c r="W2" s="159"/>
      <c r="X2" s="277" t="s">
        <v>28</v>
      </c>
      <c r="Y2" s="277"/>
      <c r="Z2" s="277"/>
      <c r="AA2" s="277"/>
      <c r="AB2" s="277"/>
      <c r="AC2" s="277"/>
      <c r="AD2" s="277"/>
      <c r="AE2" s="277"/>
      <c r="AF2" s="277"/>
      <c r="AG2" s="160"/>
      <c r="AH2" s="278" t="s">
        <v>29</v>
      </c>
      <c r="AI2" s="278"/>
      <c r="AJ2" s="278"/>
      <c r="AK2" s="278"/>
      <c r="AL2" s="278"/>
      <c r="AM2" s="278"/>
      <c r="AN2" s="278"/>
      <c r="AO2" s="278"/>
      <c r="AP2" s="278"/>
      <c r="AQ2" s="161"/>
      <c r="AR2" s="279" t="s">
        <v>30</v>
      </c>
      <c r="AS2" s="279"/>
      <c r="AT2" s="279"/>
      <c r="AU2" s="279"/>
      <c r="AV2" s="279"/>
      <c r="AW2" s="279"/>
      <c r="AX2" s="279"/>
      <c r="AY2" s="279"/>
      <c r="AZ2" s="279"/>
      <c r="BA2" s="161"/>
      <c r="BB2" s="274" t="s">
        <v>31</v>
      </c>
      <c r="BC2" s="274"/>
      <c r="BD2" s="274"/>
      <c r="BE2" s="274"/>
      <c r="BF2" s="274"/>
      <c r="BG2" s="274"/>
      <c r="BH2" s="274"/>
      <c r="BI2" s="274"/>
      <c r="BJ2" s="274"/>
      <c r="BK2" s="162"/>
      <c r="BL2" s="275" t="s">
        <v>32</v>
      </c>
      <c r="BM2" s="275"/>
      <c r="BN2" s="275"/>
      <c r="BO2" s="275"/>
      <c r="BP2" s="275"/>
      <c r="BQ2" s="275"/>
    </row>
    <row r="3" spans="1:69" s="156" customFormat="1" ht="20.25" customHeight="1" x14ac:dyDescent="0.2">
      <c r="A3" s="282"/>
      <c r="B3" s="283"/>
      <c r="C3" s="283"/>
      <c r="D3" s="284"/>
      <c r="E3" s="157"/>
      <c r="F3" s="281"/>
      <c r="G3" s="280"/>
      <c r="H3" s="158"/>
      <c r="I3" s="280"/>
      <c r="J3" s="281"/>
      <c r="K3" s="158"/>
      <c r="L3" s="276" t="s">
        <v>686</v>
      </c>
      <c r="M3" s="276"/>
      <c r="N3" s="276"/>
      <c r="O3" s="276"/>
      <c r="P3" s="276"/>
      <c r="Q3" s="276"/>
      <c r="R3" s="276"/>
      <c r="S3" s="276"/>
      <c r="T3" s="276"/>
      <c r="U3" s="276"/>
      <c r="V3" s="276"/>
      <c r="W3" s="159"/>
      <c r="X3" s="277" t="s">
        <v>687</v>
      </c>
      <c r="Y3" s="277"/>
      <c r="Z3" s="277"/>
      <c r="AA3" s="277"/>
      <c r="AB3" s="277"/>
      <c r="AC3" s="277"/>
      <c r="AD3" s="277"/>
      <c r="AE3" s="277"/>
      <c r="AF3" s="277"/>
      <c r="AG3" s="159"/>
      <c r="AH3" s="278" t="s">
        <v>688</v>
      </c>
      <c r="AI3" s="278"/>
      <c r="AJ3" s="278"/>
      <c r="AK3" s="278"/>
      <c r="AL3" s="278"/>
      <c r="AM3" s="278"/>
      <c r="AN3" s="278"/>
      <c r="AO3" s="278"/>
      <c r="AP3" s="278"/>
      <c r="AQ3" s="159"/>
      <c r="AR3" s="279" t="s">
        <v>689</v>
      </c>
      <c r="AS3" s="279"/>
      <c r="AT3" s="279"/>
      <c r="AU3" s="279"/>
      <c r="AV3" s="279"/>
      <c r="AW3" s="279"/>
      <c r="AX3" s="279"/>
      <c r="AY3" s="279"/>
      <c r="AZ3" s="279"/>
      <c r="BA3" s="159"/>
      <c r="BB3" s="274" t="s">
        <v>690</v>
      </c>
      <c r="BC3" s="274"/>
      <c r="BD3" s="274"/>
      <c r="BE3" s="274"/>
      <c r="BF3" s="274"/>
      <c r="BG3" s="274"/>
      <c r="BH3" s="274"/>
      <c r="BI3" s="274"/>
      <c r="BJ3" s="274"/>
      <c r="BK3" s="162"/>
      <c r="BL3" s="275" t="s">
        <v>685</v>
      </c>
      <c r="BM3" s="275"/>
      <c r="BN3" s="275"/>
      <c r="BO3" s="275"/>
      <c r="BP3" s="275"/>
      <c r="BQ3" s="275"/>
    </row>
    <row r="4" spans="1:69" s="156" customFormat="1" ht="20.25" customHeight="1" x14ac:dyDescent="0.2">
      <c r="A4" s="282"/>
      <c r="B4" s="283"/>
      <c r="C4" s="283"/>
      <c r="D4" s="284"/>
      <c r="E4" s="157"/>
      <c r="F4" s="281"/>
      <c r="G4" s="280"/>
      <c r="H4" s="158"/>
      <c r="I4" s="280"/>
      <c r="J4" s="281"/>
      <c r="K4" s="158"/>
      <c r="L4" s="273" t="s">
        <v>33</v>
      </c>
      <c r="M4" s="273" t="s">
        <v>34</v>
      </c>
      <c r="N4" s="273" t="s">
        <v>35</v>
      </c>
      <c r="O4" s="273" t="s">
        <v>36</v>
      </c>
      <c r="P4" s="273" t="s">
        <v>37</v>
      </c>
      <c r="Q4" s="273" t="s">
        <v>38</v>
      </c>
      <c r="R4" s="273" t="s">
        <v>39</v>
      </c>
      <c r="S4" s="273" t="s">
        <v>40</v>
      </c>
      <c r="T4" s="273" t="s">
        <v>41</v>
      </c>
      <c r="U4" s="273" t="s">
        <v>42</v>
      </c>
      <c r="V4" s="273" t="s">
        <v>43</v>
      </c>
      <c r="W4" s="159"/>
      <c r="X4" s="272" t="s">
        <v>44</v>
      </c>
      <c r="Y4" s="272" t="s">
        <v>36</v>
      </c>
      <c r="Z4" s="272" t="s">
        <v>37</v>
      </c>
      <c r="AA4" s="272" t="s">
        <v>38</v>
      </c>
      <c r="AB4" s="272" t="s">
        <v>39</v>
      </c>
      <c r="AC4" s="272" t="s">
        <v>40</v>
      </c>
      <c r="AD4" s="272" t="s">
        <v>41</v>
      </c>
      <c r="AE4" s="272" t="s">
        <v>42</v>
      </c>
      <c r="AF4" s="272" t="s">
        <v>43</v>
      </c>
      <c r="AG4" s="159"/>
      <c r="AH4" s="271" t="s">
        <v>45</v>
      </c>
      <c r="AI4" s="271" t="s">
        <v>36</v>
      </c>
      <c r="AJ4" s="271" t="s">
        <v>37</v>
      </c>
      <c r="AK4" s="271" t="s">
        <v>38</v>
      </c>
      <c r="AL4" s="271" t="s">
        <v>39</v>
      </c>
      <c r="AM4" s="271" t="s">
        <v>40</v>
      </c>
      <c r="AN4" s="271" t="s">
        <v>41</v>
      </c>
      <c r="AO4" s="271" t="s">
        <v>42</v>
      </c>
      <c r="AP4" s="271" t="s">
        <v>43</v>
      </c>
      <c r="AQ4" s="159"/>
      <c r="AR4" s="270" t="s">
        <v>46</v>
      </c>
      <c r="AS4" s="270" t="s">
        <v>36</v>
      </c>
      <c r="AT4" s="270" t="s">
        <v>37</v>
      </c>
      <c r="AU4" s="270" t="s">
        <v>38</v>
      </c>
      <c r="AV4" s="270" t="s">
        <v>39</v>
      </c>
      <c r="AW4" s="270" t="s">
        <v>40</v>
      </c>
      <c r="AX4" s="270" t="s">
        <v>41</v>
      </c>
      <c r="AY4" s="270" t="s">
        <v>42</v>
      </c>
      <c r="AZ4" s="270" t="s">
        <v>43</v>
      </c>
      <c r="BA4" s="159"/>
      <c r="BB4" s="269" t="s">
        <v>47</v>
      </c>
      <c r="BC4" s="269" t="s">
        <v>36</v>
      </c>
      <c r="BD4" s="269" t="s">
        <v>37</v>
      </c>
      <c r="BE4" s="269" t="s">
        <v>38</v>
      </c>
      <c r="BF4" s="269" t="s">
        <v>39</v>
      </c>
      <c r="BG4" s="269" t="s">
        <v>40</v>
      </c>
      <c r="BH4" s="269" t="s">
        <v>41</v>
      </c>
      <c r="BI4" s="269" t="s">
        <v>42</v>
      </c>
      <c r="BJ4" s="269" t="s">
        <v>43</v>
      </c>
      <c r="BK4" s="162"/>
      <c r="BL4" s="268" t="s">
        <v>48</v>
      </c>
      <c r="BM4" s="268" t="s">
        <v>49</v>
      </c>
      <c r="BN4" s="268" t="s">
        <v>41</v>
      </c>
      <c r="BO4" s="268" t="s">
        <v>50</v>
      </c>
      <c r="BP4" s="268" t="s">
        <v>51</v>
      </c>
      <c r="BQ4" s="268" t="s">
        <v>41</v>
      </c>
    </row>
    <row r="5" spans="1:69" s="156" customFormat="1" ht="20.25" customHeight="1" x14ac:dyDescent="0.2">
      <c r="A5" s="282"/>
      <c r="B5" s="283"/>
      <c r="C5" s="283"/>
      <c r="D5" s="209" t="s">
        <v>376</v>
      </c>
      <c r="E5" s="157"/>
      <c r="F5" s="163" t="s">
        <v>52</v>
      </c>
      <c r="G5" s="164" t="s">
        <v>52</v>
      </c>
      <c r="H5" s="158"/>
      <c r="I5" s="163" t="s">
        <v>52</v>
      </c>
      <c r="J5" s="163" t="s">
        <v>52</v>
      </c>
      <c r="K5" s="158"/>
      <c r="L5" s="273"/>
      <c r="M5" s="273"/>
      <c r="N5" s="273"/>
      <c r="O5" s="273"/>
      <c r="P5" s="273"/>
      <c r="Q5" s="273"/>
      <c r="R5" s="273"/>
      <c r="S5" s="273"/>
      <c r="T5" s="273"/>
      <c r="U5" s="273"/>
      <c r="V5" s="273"/>
      <c r="W5" s="159"/>
      <c r="X5" s="272"/>
      <c r="Y5" s="272"/>
      <c r="Z5" s="272"/>
      <c r="AA5" s="272"/>
      <c r="AB5" s="272"/>
      <c r="AC5" s="272"/>
      <c r="AD5" s="272"/>
      <c r="AE5" s="272"/>
      <c r="AF5" s="272"/>
      <c r="AG5" s="159"/>
      <c r="AH5" s="271"/>
      <c r="AI5" s="271"/>
      <c r="AJ5" s="271"/>
      <c r="AK5" s="271"/>
      <c r="AL5" s="271"/>
      <c r="AM5" s="271"/>
      <c r="AN5" s="271"/>
      <c r="AO5" s="271"/>
      <c r="AP5" s="271"/>
      <c r="AQ5" s="159"/>
      <c r="AR5" s="270"/>
      <c r="AS5" s="270"/>
      <c r="AT5" s="270"/>
      <c r="AU5" s="270"/>
      <c r="AV5" s="270"/>
      <c r="AW5" s="270"/>
      <c r="AX5" s="270"/>
      <c r="AY5" s="270"/>
      <c r="AZ5" s="270"/>
      <c r="BA5" s="159"/>
      <c r="BB5" s="269"/>
      <c r="BC5" s="269"/>
      <c r="BD5" s="269"/>
      <c r="BE5" s="269"/>
      <c r="BF5" s="269"/>
      <c r="BG5" s="269"/>
      <c r="BH5" s="269"/>
      <c r="BI5" s="269"/>
      <c r="BJ5" s="269"/>
      <c r="BK5" s="162"/>
      <c r="BL5" s="268"/>
      <c r="BM5" s="268"/>
      <c r="BN5" s="268"/>
      <c r="BO5" s="268"/>
      <c r="BP5" s="268"/>
      <c r="BQ5" s="268"/>
    </row>
    <row r="6" spans="1:69" s="156" customFormat="1" ht="22.35" customHeight="1" x14ac:dyDescent="0.2">
      <c r="A6" s="165" t="s">
        <v>4</v>
      </c>
      <c r="B6" s="165" t="s">
        <v>0</v>
      </c>
      <c r="C6" s="165" t="s">
        <v>5</v>
      </c>
      <c r="D6" s="166">
        <v>1.89995189988889</v>
      </c>
      <c r="E6" s="167"/>
      <c r="F6" s="168">
        <v>5.7000000000000002E-2</v>
      </c>
      <c r="G6" s="168">
        <v>3.95E-2</v>
      </c>
      <c r="H6" s="169"/>
      <c r="I6" s="170">
        <v>6</v>
      </c>
      <c r="J6" s="170">
        <v>6</v>
      </c>
      <c r="K6" s="167"/>
      <c r="L6" s="171">
        <v>265.52704</v>
      </c>
      <c r="M6" s="171">
        <v>237.11945</v>
      </c>
      <c r="N6" s="171">
        <v>502.64648999999997</v>
      </c>
      <c r="O6" s="166">
        <v>264.55748170750797</v>
      </c>
      <c r="P6" s="172">
        <v>234.65600000000001</v>
      </c>
      <c r="Q6" s="178">
        <v>1.1274268789526301</v>
      </c>
      <c r="R6" s="179">
        <v>-0.25551748692936399</v>
      </c>
      <c r="S6" s="168">
        <v>0.01</v>
      </c>
      <c r="T6" s="168">
        <v>6.4999999999999997E-3</v>
      </c>
      <c r="U6" s="175">
        <v>0</v>
      </c>
      <c r="V6" s="176">
        <v>33</v>
      </c>
      <c r="W6" s="167"/>
      <c r="X6" s="175">
        <v>1525.370435</v>
      </c>
      <c r="Y6" s="166">
        <v>802.84686948612</v>
      </c>
      <c r="Z6" s="177">
        <v>573</v>
      </c>
      <c r="AA6" s="178">
        <v>1.40112891707874</v>
      </c>
      <c r="AB6" s="179">
        <v>297.34792421821498</v>
      </c>
      <c r="AC6" s="168">
        <v>0.02</v>
      </c>
      <c r="AD6" s="168">
        <v>0.02</v>
      </c>
      <c r="AE6" s="176">
        <v>0</v>
      </c>
      <c r="AF6" s="176">
        <v>0</v>
      </c>
      <c r="AG6" s="167"/>
      <c r="AH6" s="180">
        <v>122.1</v>
      </c>
      <c r="AI6" s="166">
        <v>64.264784812257901</v>
      </c>
      <c r="AJ6" s="181" t="s">
        <v>53</v>
      </c>
      <c r="AK6" s="182">
        <v>1.0200759494009199</v>
      </c>
      <c r="AL6" s="183">
        <v>-12.9181818137041</v>
      </c>
      <c r="AM6" s="168">
        <v>8.9999999999999993E-3</v>
      </c>
      <c r="AN6" s="168">
        <v>2E-3</v>
      </c>
      <c r="AO6" s="176">
        <v>0</v>
      </c>
      <c r="AP6" s="176">
        <v>22</v>
      </c>
      <c r="AQ6" s="167"/>
      <c r="AR6" s="180">
        <v>20.2</v>
      </c>
      <c r="AS6" s="166">
        <v>10.631848101618401</v>
      </c>
      <c r="AT6" s="181" t="s">
        <v>54</v>
      </c>
      <c r="AU6" s="173">
        <v>0.66449050635115103</v>
      </c>
      <c r="AV6" s="174">
        <v>-14.090331889194699</v>
      </c>
      <c r="AW6" s="168"/>
      <c r="AX6" s="168"/>
      <c r="AY6" s="176">
        <v>11</v>
      </c>
      <c r="AZ6" s="176">
        <v>17</v>
      </c>
      <c r="BA6" s="167"/>
      <c r="BB6" s="184">
        <v>67.400000000000006</v>
      </c>
      <c r="BC6" s="180">
        <v>35.474582279657497</v>
      </c>
      <c r="BD6" s="181" t="s">
        <v>55</v>
      </c>
      <c r="BE6" s="182">
        <v>1.1085806962392999</v>
      </c>
      <c r="BF6" s="183">
        <v>-1.1806637783893701</v>
      </c>
      <c r="BG6" s="168">
        <v>1.7999999999999999E-2</v>
      </c>
      <c r="BH6" s="168">
        <v>1.0999999999999999E-2</v>
      </c>
      <c r="BI6" s="176">
        <v>0</v>
      </c>
      <c r="BJ6" s="176">
        <v>6</v>
      </c>
      <c r="BK6" s="169"/>
      <c r="BL6" s="185">
        <v>0.8</v>
      </c>
      <c r="BM6" s="182">
        <v>0.84</v>
      </c>
      <c r="BN6" s="186">
        <v>1.5E-3</v>
      </c>
      <c r="BO6" s="187">
        <v>0.95</v>
      </c>
      <c r="BP6" s="178">
        <v>1</v>
      </c>
      <c r="BQ6" s="186">
        <v>2.5000000000000001E-3</v>
      </c>
    </row>
    <row r="7" spans="1:69" s="156" customFormat="1" ht="22.35" customHeight="1" x14ac:dyDescent="0.2">
      <c r="A7" s="165" t="s">
        <v>4</v>
      </c>
      <c r="B7" s="165" t="s">
        <v>0</v>
      </c>
      <c r="C7" s="165" t="s">
        <v>56</v>
      </c>
      <c r="D7" s="166">
        <v>9.1914924981111099</v>
      </c>
      <c r="E7" s="167"/>
      <c r="F7" s="168">
        <v>0.05</v>
      </c>
      <c r="G7" s="168">
        <v>4.2999999999999997E-2</v>
      </c>
      <c r="H7" s="169"/>
      <c r="I7" s="170">
        <v>5</v>
      </c>
      <c r="J7" s="170">
        <v>5</v>
      </c>
      <c r="K7" s="167"/>
      <c r="L7" s="171">
        <v>3150.5862900000002</v>
      </c>
      <c r="M7" s="171">
        <v>6287.9668199999996</v>
      </c>
      <c r="N7" s="171">
        <v>9438.5531100000007</v>
      </c>
      <c r="O7" s="166">
        <v>1026.8792703622</v>
      </c>
      <c r="P7" s="172">
        <v>244.07400000000001</v>
      </c>
      <c r="Q7" s="178">
        <v>4.20724563190754</v>
      </c>
      <c r="R7" s="179">
        <v>6907.9930144980799</v>
      </c>
      <c r="S7" s="168">
        <v>0.01</v>
      </c>
      <c r="T7" s="168">
        <v>0.01</v>
      </c>
      <c r="U7" s="175">
        <v>0</v>
      </c>
      <c r="V7" s="176">
        <v>0</v>
      </c>
      <c r="W7" s="167"/>
      <c r="X7" s="175">
        <v>5974.2011249999996</v>
      </c>
      <c r="Y7" s="166">
        <v>649.97073393986</v>
      </c>
      <c r="Z7" s="177">
        <v>573</v>
      </c>
      <c r="AA7" s="178">
        <v>1.1343293786035999</v>
      </c>
      <c r="AB7" s="179">
        <v>33.335097800872099</v>
      </c>
      <c r="AC7" s="168">
        <v>0.02</v>
      </c>
      <c r="AD7" s="168">
        <v>1.2999999999999999E-2</v>
      </c>
      <c r="AE7" s="176">
        <v>0</v>
      </c>
      <c r="AF7" s="176">
        <v>346</v>
      </c>
      <c r="AG7" s="167"/>
      <c r="AH7" s="180">
        <v>474.35</v>
      </c>
      <c r="AI7" s="166">
        <v>51.607505538135499</v>
      </c>
      <c r="AJ7" s="181" t="s">
        <v>53</v>
      </c>
      <c r="AK7" s="188">
        <v>0.81916675457357901</v>
      </c>
      <c r="AL7" s="171">
        <v>-178.83422288576801</v>
      </c>
      <c r="AM7" s="168"/>
      <c r="AN7" s="168"/>
      <c r="AO7" s="176">
        <v>105</v>
      </c>
      <c r="AP7" s="176">
        <v>221</v>
      </c>
      <c r="AQ7" s="167"/>
      <c r="AR7" s="180">
        <v>73.7</v>
      </c>
      <c r="AS7" s="166">
        <v>8.0182843009604401</v>
      </c>
      <c r="AT7" s="181" t="s">
        <v>54</v>
      </c>
      <c r="AU7" s="173">
        <v>0.50114276881002695</v>
      </c>
      <c r="AV7" s="174">
        <v>-92.188056605909296</v>
      </c>
      <c r="AW7" s="168"/>
      <c r="AX7" s="168"/>
      <c r="AY7" s="176">
        <v>74</v>
      </c>
      <c r="AZ7" s="176">
        <v>103</v>
      </c>
      <c r="BA7" s="167"/>
      <c r="BB7" s="184">
        <v>383</v>
      </c>
      <c r="BC7" s="180">
        <v>41.668967262793103</v>
      </c>
      <c r="BD7" s="181" t="s">
        <v>55</v>
      </c>
      <c r="BE7" s="178">
        <v>1.30215522696228</v>
      </c>
      <c r="BF7" s="179">
        <v>51.223886788181296</v>
      </c>
      <c r="BG7" s="168">
        <v>0.02</v>
      </c>
      <c r="BH7" s="168">
        <v>0.02</v>
      </c>
      <c r="BI7" s="176">
        <v>0</v>
      </c>
      <c r="BJ7" s="176">
        <v>0</v>
      </c>
      <c r="BK7" s="169"/>
      <c r="BL7" s="185">
        <v>0.8</v>
      </c>
      <c r="BM7" s="182">
        <v>0.82</v>
      </c>
      <c r="BN7" s="186">
        <v>7.5000000000000002E-4</v>
      </c>
      <c r="BO7" s="187">
        <v>0.95</v>
      </c>
      <c r="BP7" s="178">
        <v>1</v>
      </c>
      <c r="BQ7" s="186">
        <v>2.5000000000000001E-3</v>
      </c>
    </row>
    <row r="8" spans="1:69" s="156" customFormat="1" ht="22.35" customHeight="1" x14ac:dyDescent="0.2">
      <c r="A8" s="165" t="s">
        <v>4</v>
      </c>
      <c r="B8" s="165" t="s">
        <v>0</v>
      </c>
      <c r="C8" s="165" t="s">
        <v>57</v>
      </c>
      <c r="D8" s="166">
        <v>2.4137029143333302</v>
      </c>
      <c r="E8" s="167"/>
      <c r="F8" s="168">
        <v>5.2499999999999998E-2</v>
      </c>
      <c r="G8" s="168">
        <v>0.05</v>
      </c>
      <c r="H8" s="169"/>
      <c r="I8" s="170">
        <v>6</v>
      </c>
      <c r="J8" s="170">
        <v>5</v>
      </c>
      <c r="K8" s="167"/>
      <c r="L8" s="171">
        <v>1159.26242</v>
      </c>
      <c r="M8" s="171">
        <v>837.72443999999996</v>
      </c>
      <c r="N8" s="171">
        <v>1996.98686</v>
      </c>
      <c r="O8" s="166">
        <v>827.35404102189204</v>
      </c>
      <c r="P8" s="172">
        <v>214.66499999999999</v>
      </c>
      <c r="Q8" s="178">
        <v>3.8541636550992999</v>
      </c>
      <c r="R8" s="179">
        <v>1412.5277192731501</v>
      </c>
      <c r="S8" s="168">
        <v>0.01</v>
      </c>
      <c r="T8" s="168">
        <v>0.01</v>
      </c>
      <c r="U8" s="175">
        <v>0</v>
      </c>
      <c r="V8" s="176">
        <v>0</v>
      </c>
      <c r="W8" s="167"/>
      <c r="X8" s="175">
        <v>2252.5861249999998</v>
      </c>
      <c r="Y8" s="166">
        <v>933.24912176367195</v>
      </c>
      <c r="Z8" s="177">
        <v>573</v>
      </c>
      <c r="AA8" s="178">
        <v>1.6287070187847701</v>
      </c>
      <c r="AB8" s="179">
        <v>692.50372853813803</v>
      </c>
      <c r="AC8" s="168">
        <v>0.02</v>
      </c>
      <c r="AD8" s="168">
        <v>0.02</v>
      </c>
      <c r="AE8" s="176">
        <v>0</v>
      </c>
      <c r="AF8" s="176">
        <v>0</v>
      </c>
      <c r="AG8" s="167"/>
      <c r="AH8" s="180">
        <v>112.85</v>
      </c>
      <c r="AI8" s="166">
        <v>46.753889772374599</v>
      </c>
      <c r="AJ8" s="181" t="s">
        <v>53</v>
      </c>
      <c r="AK8" s="173">
        <v>0.74212523448213696</v>
      </c>
      <c r="AL8" s="174">
        <v>-58.677383904183699</v>
      </c>
      <c r="AM8" s="168"/>
      <c r="AN8" s="168"/>
      <c r="AO8" s="176">
        <v>40</v>
      </c>
      <c r="AP8" s="176">
        <v>70</v>
      </c>
      <c r="AQ8" s="167"/>
      <c r="AR8" s="180">
        <v>38.1</v>
      </c>
      <c r="AS8" s="166">
        <v>15.784875501351101</v>
      </c>
      <c r="AT8" s="181" t="s">
        <v>54</v>
      </c>
      <c r="AU8" s="182">
        <v>0.98655471883444401</v>
      </c>
      <c r="AV8" s="183">
        <v>-5.4625101978879398</v>
      </c>
      <c r="AW8" s="168">
        <v>2.5000000000000001E-3</v>
      </c>
      <c r="AX8" s="168"/>
      <c r="AY8" s="176">
        <v>1</v>
      </c>
      <c r="AZ8" s="176">
        <v>9</v>
      </c>
      <c r="BA8" s="167"/>
      <c r="BB8" s="184">
        <v>113.8</v>
      </c>
      <c r="BC8" s="180">
        <v>47.147475906922701</v>
      </c>
      <c r="BD8" s="181" t="s">
        <v>55</v>
      </c>
      <c r="BE8" s="178">
        <v>1.4733586220913399</v>
      </c>
      <c r="BF8" s="179">
        <v>26.674979604224099</v>
      </c>
      <c r="BG8" s="168">
        <v>0.02</v>
      </c>
      <c r="BH8" s="168">
        <v>0.02</v>
      </c>
      <c r="BI8" s="176">
        <v>0</v>
      </c>
      <c r="BJ8" s="176">
        <v>0</v>
      </c>
      <c r="BK8" s="169"/>
      <c r="BL8" s="185">
        <v>0.8</v>
      </c>
      <c r="BM8" s="182">
        <v>0.88</v>
      </c>
      <c r="BN8" s="186">
        <v>3.0000000000000001E-3</v>
      </c>
      <c r="BO8" s="187">
        <v>0.95</v>
      </c>
      <c r="BP8" s="178">
        <v>1</v>
      </c>
      <c r="BQ8" s="186">
        <v>2.5000000000000001E-3</v>
      </c>
    </row>
    <row r="9" spans="1:69" s="156" customFormat="1" ht="22.35" customHeight="1" x14ac:dyDescent="0.2">
      <c r="A9" s="165" t="s">
        <v>4</v>
      </c>
      <c r="B9" s="165" t="s">
        <v>0</v>
      </c>
      <c r="C9" s="165" t="s">
        <v>58</v>
      </c>
      <c r="D9" s="166">
        <v>2.8152337733333299</v>
      </c>
      <c r="E9" s="167"/>
      <c r="F9" s="168">
        <v>0</v>
      </c>
      <c r="G9" s="168"/>
      <c r="H9" s="169"/>
      <c r="I9" s="170">
        <v>2</v>
      </c>
      <c r="J9" s="170">
        <v>2</v>
      </c>
      <c r="K9" s="167"/>
      <c r="L9" s="171">
        <v>997.77229999999997</v>
      </c>
      <c r="M9" s="171">
        <v>-565.57429999999999</v>
      </c>
      <c r="N9" s="171">
        <v>432.19799999999998</v>
      </c>
      <c r="O9" s="166">
        <v>153.52117614313201</v>
      </c>
      <c r="P9" s="172">
        <v>212.5</v>
      </c>
      <c r="Q9" s="173">
        <v>0.72245259361473702</v>
      </c>
      <c r="R9" s="174">
        <v>-242.61353546799899</v>
      </c>
      <c r="S9" s="168"/>
      <c r="T9" s="168"/>
      <c r="U9" s="175">
        <v>167</v>
      </c>
      <c r="V9" s="176">
        <v>286</v>
      </c>
      <c r="W9" s="167"/>
      <c r="X9" s="175">
        <v>1515.4833900000001</v>
      </c>
      <c r="Y9" s="166">
        <v>538.31529173707497</v>
      </c>
      <c r="Z9" s="177">
        <v>573</v>
      </c>
      <c r="AA9" s="188">
        <v>0.93946822292683296</v>
      </c>
      <c r="AB9" s="171">
        <v>-304.12606799135801</v>
      </c>
      <c r="AC9" s="168">
        <v>0</v>
      </c>
      <c r="AD9" s="168"/>
      <c r="AE9" s="176">
        <v>98</v>
      </c>
      <c r="AF9" s="176">
        <v>421</v>
      </c>
      <c r="AG9" s="167"/>
      <c r="AH9" s="180">
        <v>100</v>
      </c>
      <c r="AI9" s="166">
        <v>35.521028820848699</v>
      </c>
      <c r="AJ9" s="181" t="s">
        <v>53</v>
      </c>
      <c r="AK9" s="173">
        <v>0.56382585429918597</v>
      </c>
      <c r="AL9" s="174">
        <v>-100.06177286816001</v>
      </c>
      <c r="AM9" s="168"/>
      <c r="AN9" s="168"/>
      <c r="AO9" s="176">
        <v>78</v>
      </c>
      <c r="AP9" s="176">
        <v>113</v>
      </c>
      <c r="AQ9" s="167"/>
      <c r="AR9" s="180">
        <v>7</v>
      </c>
      <c r="AS9" s="166">
        <v>2.4864720174594099</v>
      </c>
      <c r="AT9" s="181" t="s">
        <v>54</v>
      </c>
      <c r="AU9" s="173">
        <v>0.15540450109121301</v>
      </c>
      <c r="AV9" s="174">
        <v>-43.809339141119899</v>
      </c>
      <c r="AW9" s="168"/>
      <c r="AX9" s="168"/>
      <c r="AY9" s="176">
        <v>39</v>
      </c>
      <c r="AZ9" s="176">
        <v>48</v>
      </c>
      <c r="BA9" s="167"/>
      <c r="BB9" s="184">
        <v>83</v>
      </c>
      <c r="BC9" s="180">
        <v>29.482453921304401</v>
      </c>
      <c r="BD9" s="181" t="s">
        <v>55</v>
      </c>
      <c r="BE9" s="188">
        <v>0.92132668504076298</v>
      </c>
      <c r="BF9" s="171">
        <v>-18.618678282239902</v>
      </c>
      <c r="BG9" s="168"/>
      <c r="BH9" s="168"/>
      <c r="BI9" s="176">
        <v>8</v>
      </c>
      <c r="BJ9" s="176">
        <v>26</v>
      </c>
      <c r="BK9" s="169"/>
      <c r="BL9" s="185">
        <v>0.8</v>
      </c>
      <c r="BM9" s="182">
        <v>0.82</v>
      </c>
      <c r="BN9" s="186">
        <v>7.5000000000000002E-4</v>
      </c>
      <c r="BO9" s="187">
        <v>0.95</v>
      </c>
      <c r="BP9" s="178">
        <v>1</v>
      </c>
      <c r="BQ9" s="186">
        <v>2.5000000000000001E-3</v>
      </c>
    </row>
    <row r="10" spans="1:69" s="156" customFormat="1" ht="22.35" customHeight="1" x14ac:dyDescent="0.2">
      <c r="A10" s="165" t="s">
        <v>4</v>
      </c>
      <c r="B10" s="165" t="s">
        <v>0</v>
      </c>
      <c r="C10" s="165" t="s">
        <v>59</v>
      </c>
      <c r="D10" s="166">
        <v>6.67734879333333</v>
      </c>
      <c r="E10" s="167"/>
      <c r="F10" s="168">
        <v>5.5E-2</v>
      </c>
      <c r="G10" s="168">
        <v>4.2000000000000003E-2</v>
      </c>
      <c r="H10" s="169"/>
      <c r="I10" s="170">
        <v>6</v>
      </c>
      <c r="J10" s="170">
        <v>6</v>
      </c>
      <c r="K10" s="167"/>
      <c r="L10" s="171">
        <v>2751.9059999999999</v>
      </c>
      <c r="M10" s="171">
        <v>3159.7347</v>
      </c>
      <c r="N10" s="171">
        <v>5911.6406999999999</v>
      </c>
      <c r="O10" s="166">
        <v>885.32752788085304</v>
      </c>
      <c r="P10" s="172">
        <v>234.65600000000001</v>
      </c>
      <c r="Q10" s="178">
        <v>3.77287402785718</v>
      </c>
      <c r="R10" s="179">
        <v>4144.2001068701802</v>
      </c>
      <c r="S10" s="168">
        <v>0.01</v>
      </c>
      <c r="T10" s="168">
        <v>0.01</v>
      </c>
      <c r="U10" s="175">
        <v>0</v>
      </c>
      <c r="V10" s="176">
        <v>0</v>
      </c>
      <c r="W10" s="167"/>
      <c r="X10" s="175">
        <v>4923.2164300000004</v>
      </c>
      <c r="Y10" s="166">
        <v>737.30107298204098</v>
      </c>
      <c r="Z10" s="177">
        <v>573</v>
      </c>
      <c r="AA10" s="178">
        <v>1.2867383472636</v>
      </c>
      <c r="AB10" s="179">
        <v>607.35210152176205</v>
      </c>
      <c r="AC10" s="168">
        <v>0.02</v>
      </c>
      <c r="AD10" s="168">
        <v>0.02</v>
      </c>
      <c r="AE10" s="176">
        <v>0</v>
      </c>
      <c r="AF10" s="176">
        <v>0</v>
      </c>
      <c r="AG10" s="167"/>
      <c r="AH10" s="180">
        <v>421.3</v>
      </c>
      <c r="AI10" s="166">
        <v>63.093903439734298</v>
      </c>
      <c r="AJ10" s="181" t="s">
        <v>53</v>
      </c>
      <c r="AK10" s="182">
        <v>1.00149053078943</v>
      </c>
      <c r="AL10" s="183">
        <v>-53.219114649439703</v>
      </c>
      <c r="AM10" s="168">
        <v>7.0000000000000001E-3</v>
      </c>
      <c r="AN10" s="168">
        <v>1E-3</v>
      </c>
      <c r="AO10" s="176">
        <v>0</v>
      </c>
      <c r="AP10" s="176">
        <v>84</v>
      </c>
      <c r="AQ10" s="167"/>
      <c r="AR10" s="180">
        <v>53.7</v>
      </c>
      <c r="AS10" s="166">
        <v>8.0421139679889304</v>
      </c>
      <c r="AT10" s="181" t="s">
        <v>54</v>
      </c>
      <c r="AU10" s="173">
        <v>0.50263212299930804</v>
      </c>
      <c r="AV10" s="174">
        <v>-66.812791022079907</v>
      </c>
      <c r="AW10" s="168"/>
      <c r="AX10" s="168"/>
      <c r="AY10" s="176">
        <v>54</v>
      </c>
      <c r="AZ10" s="176">
        <v>75</v>
      </c>
      <c r="BA10" s="167"/>
      <c r="BB10" s="184">
        <v>237.8</v>
      </c>
      <c r="BC10" s="180">
        <v>35.612936714855998</v>
      </c>
      <c r="BD10" s="181" t="s">
        <v>55</v>
      </c>
      <c r="BE10" s="182">
        <v>1.1129042723392499</v>
      </c>
      <c r="BF10" s="183">
        <v>-3.2255820441598599</v>
      </c>
      <c r="BG10" s="168">
        <v>1.7999999999999999E-2</v>
      </c>
      <c r="BH10" s="168">
        <v>1.0999999999999999E-2</v>
      </c>
      <c r="BI10" s="176">
        <v>0</v>
      </c>
      <c r="BJ10" s="176">
        <v>19</v>
      </c>
      <c r="BK10" s="169"/>
      <c r="BL10" s="185">
        <v>0.8</v>
      </c>
      <c r="BM10" s="182">
        <v>0.85</v>
      </c>
      <c r="BN10" s="186">
        <v>1.8749999999999999E-3</v>
      </c>
      <c r="BO10" s="187">
        <v>0.95</v>
      </c>
      <c r="BP10" s="178">
        <v>1</v>
      </c>
      <c r="BQ10" s="186">
        <v>2.5000000000000001E-3</v>
      </c>
    </row>
    <row r="11" spans="1:69" s="156" customFormat="1" ht="22.35" customHeight="1" x14ac:dyDescent="0.2">
      <c r="A11" s="165" t="s">
        <v>4</v>
      </c>
      <c r="B11" s="165" t="s">
        <v>0</v>
      </c>
      <c r="C11" s="165" t="s">
        <v>60</v>
      </c>
      <c r="D11" s="166">
        <v>2.0789473684444402</v>
      </c>
      <c r="E11" s="167"/>
      <c r="F11" s="168">
        <v>4.8000000000000001E-2</v>
      </c>
      <c r="G11" s="168">
        <v>3.5000000000000003E-2</v>
      </c>
      <c r="H11" s="169"/>
      <c r="I11" s="170">
        <v>6</v>
      </c>
      <c r="J11" s="170">
        <v>6</v>
      </c>
      <c r="K11" s="167"/>
      <c r="L11" s="171">
        <v>483.38405999999998</v>
      </c>
      <c r="M11" s="171">
        <v>343.81862999999998</v>
      </c>
      <c r="N11" s="171">
        <v>827.20268999999996</v>
      </c>
      <c r="O11" s="166">
        <v>397.89496480564998</v>
      </c>
      <c r="P11" s="172">
        <v>214.66499999999999</v>
      </c>
      <c r="Q11" s="178">
        <v>1.85356236370927</v>
      </c>
      <c r="R11" s="179">
        <v>323.80196683644198</v>
      </c>
      <c r="S11" s="168">
        <v>0.01</v>
      </c>
      <c r="T11" s="168">
        <v>0.01</v>
      </c>
      <c r="U11" s="175">
        <v>0</v>
      </c>
      <c r="V11" s="176">
        <v>0</v>
      </c>
      <c r="W11" s="167"/>
      <c r="X11" s="175">
        <v>1242.1526100000001</v>
      </c>
      <c r="Y11" s="166">
        <v>597.49112885403702</v>
      </c>
      <c r="Z11" s="177">
        <v>573</v>
      </c>
      <c r="AA11" s="182">
        <v>1.04274193517284</v>
      </c>
      <c r="AB11" s="183">
        <v>-101.562547909853</v>
      </c>
      <c r="AC11" s="168">
        <v>1.0999999999999999E-2</v>
      </c>
      <c r="AD11" s="168">
        <v>4.0000000000000001E-3</v>
      </c>
      <c r="AE11" s="176">
        <v>0</v>
      </c>
      <c r="AF11" s="176">
        <v>188</v>
      </c>
      <c r="AG11" s="167"/>
      <c r="AH11" s="180">
        <v>131.5</v>
      </c>
      <c r="AI11" s="166">
        <v>63.253164556250297</v>
      </c>
      <c r="AJ11" s="181" t="s">
        <v>53</v>
      </c>
      <c r="AK11" s="182">
        <v>1.0040184850198499</v>
      </c>
      <c r="AL11" s="183">
        <v>-16.238315791135701</v>
      </c>
      <c r="AM11" s="168">
        <v>7.0000000000000001E-3</v>
      </c>
      <c r="AN11" s="168">
        <v>1E-3</v>
      </c>
      <c r="AO11" s="176">
        <v>0</v>
      </c>
      <c r="AP11" s="176">
        <v>26</v>
      </c>
      <c r="AQ11" s="167"/>
      <c r="AR11" s="180">
        <v>24.4</v>
      </c>
      <c r="AS11" s="166">
        <v>11.736708860627401</v>
      </c>
      <c r="AT11" s="181" t="s">
        <v>54</v>
      </c>
      <c r="AU11" s="173">
        <v>0.73354430378921398</v>
      </c>
      <c r="AV11" s="174">
        <v>-13.1208421056853</v>
      </c>
      <c r="AW11" s="168"/>
      <c r="AX11" s="168"/>
      <c r="AY11" s="176">
        <v>9</v>
      </c>
      <c r="AZ11" s="176">
        <v>16</v>
      </c>
      <c r="BA11" s="167"/>
      <c r="BB11" s="184">
        <v>81.8</v>
      </c>
      <c r="BC11" s="180">
        <v>39.3468354425952</v>
      </c>
      <c r="BD11" s="181" t="s">
        <v>55</v>
      </c>
      <c r="BE11" s="178">
        <v>1.2295886075811</v>
      </c>
      <c r="BF11" s="179">
        <v>6.7583157886294902</v>
      </c>
      <c r="BG11" s="168">
        <v>0.02</v>
      </c>
      <c r="BH11" s="168">
        <v>0.02</v>
      </c>
      <c r="BI11" s="176">
        <v>0</v>
      </c>
      <c r="BJ11" s="176">
        <v>0</v>
      </c>
      <c r="BK11" s="169"/>
      <c r="BL11" s="185">
        <v>0.8</v>
      </c>
      <c r="BM11" s="182">
        <v>0.85</v>
      </c>
      <c r="BN11" s="186">
        <v>1.8749999999999999E-3</v>
      </c>
      <c r="BO11" s="187">
        <v>0.95</v>
      </c>
      <c r="BP11" s="178">
        <v>1</v>
      </c>
      <c r="BQ11" s="186">
        <v>2.5000000000000001E-3</v>
      </c>
    </row>
    <row r="12" spans="1:69" s="156" customFormat="1" ht="22.35" customHeight="1" x14ac:dyDescent="0.2">
      <c r="A12" s="165" t="s">
        <v>4</v>
      </c>
      <c r="B12" s="165" t="s">
        <v>0</v>
      </c>
      <c r="C12" s="165" t="s">
        <v>61</v>
      </c>
      <c r="D12" s="166">
        <v>5.4163613696666699</v>
      </c>
      <c r="E12" s="167"/>
      <c r="F12" s="168">
        <v>4.1000000000000002E-2</v>
      </c>
      <c r="G12" s="168">
        <v>3.2000000000000001E-2</v>
      </c>
      <c r="H12" s="169"/>
      <c r="I12" s="170">
        <v>5</v>
      </c>
      <c r="J12" s="170">
        <v>4</v>
      </c>
      <c r="K12" s="167"/>
      <c r="L12" s="171">
        <v>2239.0366100000001</v>
      </c>
      <c r="M12" s="171">
        <v>2205.0746199999999</v>
      </c>
      <c r="N12" s="171">
        <v>4444.1112300000004</v>
      </c>
      <c r="O12" s="166">
        <v>820.49754931205803</v>
      </c>
      <c r="P12" s="172">
        <v>216.447</v>
      </c>
      <c r="Q12" s="178">
        <v>3.7907550084411299</v>
      </c>
      <c r="R12" s="179">
        <v>3121.6945989390902</v>
      </c>
      <c r="S12" s="168">
        <v>0.01</v>
      </c>
      <c r="T12" s="168">
        <v>0.01</v>
      </c>
      <c r="U12" s="175">
        <v>0</v>
      </c>
      <c r="V12" s="176">
        <v>0</v>
      </c>
      <c r="W12" s="167"/>
      <c r="X12" s="175">
        <v>3189.5224699999999</v>
      </c>
      <c r="Y12" s="166">
        <v>588.86810763076699</v>
      </c>
      <c r="Z12" s="177">
        <v>573</v>
      </c>
      <c r="AA12" s="182">
        <v>1.02769303251443</v>
      </c>
      <c r="AB12" s="183">
        <v>-311.31020311583302</v>
      </c>
      <c r="AC12" s="168">
        <v>8.9999999999999993E-3</v>
      </c>
      <c r="AD12" s="168">
        <v>3.0000000000000001E-3</v>
      </c>
      <c r="AE12" s="176">
        <v>0</v>
      </c>
      <c r="AF12" s="176">
        <v>535</v>
      </c>
      <c r="AG12" s="167"/>
      <c r="AH12" s="180">
        <v>326.89999999999998</v>
      </c>
      <c r="AI12" s="166">
        <v>60.354170944121798</v>
      </c>
      <c r="AJ12" s="181" t="s">
        <v>53</v>
      </c>
      <c r="AK12" s="182">
        <v>0.95800271339875898</v>
      </c>
      <c r="AL12" s="183">
        <v>-58.008304373992203</v>
      </c>
      <c r="AM12" s="168">
        <v>2E-3</v>
      </c>
      <c r="AN12" s="168"/>
      <c r="AO12" s="176">
        <v>15</v>
      </c>
      <c r="AP12" s="176">
        <v>83</v>
      </c>
      <c r="AQ12" s="167"/>
      <c r="AR12" s="180">
        <v>46.2</v>
      </c>
      <c r="AS12" s="166">
        <v>8.5297115252934503</v>
      </c>
      <c r="AT12" s="181" t="s">
        <v>54</v>
      </c>
      <c r="AU12" s="173">
        <v>0.53310697033084098</v>
      </c>
      <c r="AV12" s="174">
        <v>-51.554489999744</v>
      </c>
      <c r="AW12" s="168"/>
      <c r="AX12" s="168"/>
      <c r="AY12" s="176">
        <v>41</v>
      </c>
      <c r="AZ12" s="176">
        <v>58</v>
      </c>
      <c r="BA12" s="167"/>
      <c r="BB12" s="184">
        <v>206.2</v>
      </c>
      <c r="BC12" s="180">
        <v>38.069838019816203</v>
      </c>
      <c r="BD12" s="181" t="s">
        <v>55</v>
      </c>
      <c r="BE12" s="178">
        <v>1.1896824381192601</v>
      </c>
      <c r="BF12" s="179">
        <v>10.6910200005119</v>
      </c>
      <c r="BG12" s="168">
        <v>0.02</v>
      </c>
      <c r="BH12" s="168">
        <v>1.9E-2</v>
      </c>
      <c r="BI12" s="176">
        <v>0</v>
      </c>
      <c r="BJ12" s="176">
        <v>2</v>
      </c>
      <c r="BK12" s="169"/>
      <c r="BL12" s="185">
        <v>0.8</v>
      </c>
      <c r="BM12" s="188">
        <v>0.78</v>
      </c>
      <c r="BN12" s="186"/>
      <c r="BO12" s="187">
        <v>0.95</v>
      </c>
      <c r="BP12" s="178">
        <v>1</v>
      </c>
      <c r="BQ12" s="186">
        <v>2.5000000000000001E-3</v>
      </c>
    </row>
    <row r="13" spans="1:69" s="156" customFormat="1" ht="22.35" customHeight="1" x14ac:dyDescent="0.2">
      <c r="A13" s="165" t="s">
        <v>4</v>
      </c>
      <c r="B13" s="165" t="s">
        <v>0</v>
      </c>
      <c r="C13" s="165" t="s">
        <v>62</v>
      </c>
      <c r="D13" s="166">
        <v>2.5347178251111102</v>
      </c>
      <c r="E13" s="167"/>
      <c r="F13" s="168">
        <v>6.6000000000000003E-2</v>
      </c>
      <c r="G13" s="168">
        <v>5.8999999999999997E-2</v>
      </c>
      <c r="H13" s="169"/>
      <c r="I13" s="170">
        <v>6</v>
      </c>
      <c r="J13" s="170">
        <v>6</v>
      </c>
      <c r="K13" s="167"/>
      <c r="L13" s="171">
        <v>1992.38537</v>
      </c>
      <c r="M13" s="171">
        <v>1527.8431399999999</v>
      </c>
      <c r="N13" s="171">
        <v>3520.2285099999999</v>
      </c>
      <c r="O13" s="166">
        <v>1388.8048898877701</v>
      </c>
      <c r="P13" s="172">
        <v>223.197</v>
      </c>
      <c r="Q13" s="178">
        <v>6.22232776375923</v>
      </c>
      <c r="R13" s="179">
        <v>2882.07219454403</v>
      </c>
      <c r="S13" s="168">
        <v>0.01</v>
      </c>
      <c r="T13" s="168">
        <v>0.01</v>
      </c>
      <c r="U13" s="175">
        <v>0</v>
      </c>
      <c r="V13" s="176">
        <v>0</v>
      </c>
      <c r="W13" s="167"/>
      <c r="X13" s="175">
        <v>2315.2052100000001</v>
      </c>
      <c r="Y13" s="166">
        <v>913.39761257192902</v>
      </c>
      <c r="Z13" s="177">
        <v>573</v>
      </c>
      <c r="AA13" s="178">
        <v>1.5940621510853901</v>
      </c>
      <c r="AB13" s="179">
        <v>676.90555204638497</v>
      </c>
      <c r="AC13" s="168">
        <v>0.02</v>
      </c>
      <c r="AD13" s="168">
        <v>0.02</v>
      </c>
      <c r="AE13" s="176">
        <v>0</v>
      </c>
      <c r="AF13" s="176">
        <v>0</v>
      </c>
      <c r="AG13" s="167"/>
      <c r="AH13" s="180">
        <v>173.45</v>
      </c>
      <c r="AI13" s="166">
        <v>68.429707749578299</v>
      </c>
      <c r="AJ13" s="181" t="s">
        <v>53</v>
      </c>
      <c r="AK13" s="182">
        <v>1.08618583729489</v>
      </c>
      <c r="AL13" s="183">
        <v>-6.6771875236958902</v>
      </c>
      <c r="AM13" s="168">
        <v>1.6E-2</v>
      </c>
      <c r="AN13" s="168">
        <v>8.9999999999999993E-3</v>
      </c>
      <c r="AO13" s="176">
        <v>0</v>
      </c>
      <c r="AP13" s="176">
        <v>19</v>
      </c>
      <c r="AQ13" s="167"/>
      <c r="AR13" s="180">
        <v>37.4</v>
      </c>
      <c r="AS13" s="166">
        <v>14.7550940895603</v>
      </c>
      <c r="AT13" s="181" t="s">
        <v>54</v>
      </c>
      <c r="AU13" s="188">
        <v>0.92219338059751599</v>
      </c>
      <c r="AV13" s="171">
        <v>-8.3465873076053203</v>
      </c>
      <c r="AW13" s="168"/>
      <c r="AX13" s="168"/>
      <c r="AY13" s="176">
        <v>4</v>
      </c>
      <c r="AZ13" s="176">
        <v>12</v>
      </c>
      <c r="BA13" s="167"/>
      <c r="BB13" s="184">
        <v>146.80000000000001</v>
      </c>
      <c r="BC13" s="180">
        <v>57.915716907685699</v>
      </c>
      <c r="BD13" s="181" t="s">
        <v>55</v>
      </c>
      <c r="BE13" s="178">
        <v>1.8098661533651801</v>
      </c>
      <c r="BF13" s="179">
        <v>55.306825384789398</v>
      </c>
      <c r="BG13" s="168">
        <v>0.02</v>
      </c>
      <c r="BH13" s="168">
        <v>0.02</v>
      </c>
      <c r="BI13" s="176">
        <v>0</v>
      </c>
      <c r="BJ13" s="176">
        <v>0</v>
      </c>
      <c r="BK13" s="169"/>
      <c r="BL13" s="185">
        <v>0.8</v>
      </c>
      <c r="BM13" s="182">
        <v>0.82</v>
      </c>
      <c r="BN13" s="186">
        <v>7.5000000000000002E-4</v>
      </c>
      <c r="BO13" s="187">
        <v>0.95</v>
      </c>
      <c r="BP13" s="178">
        <v>1</v>
      </c>
      <c r="BQ13" s="186">
        <v>2.5000000000000001E-3</v>
      </c>
    </row>
    <row r="14" spans="1:69" s="156" customFormat="1" ht="22.35" customHeight="1" x14ac:dyDescent="0.2">
      <c r="A14" s="165" t="s">
        <v>4</v>
      </c>
      <c r="B14" s="165" t="s">
        <v>0</v>
      </c>
      <c r="C14" s="165" t="s">
        <v>63</v>
      </c>
      <c r="D14" s="166">
        <v>2.8184251681111099</v>
      </c>
      <c r="E14" s="167"/>
      <c r="F14" s="168">
        <v>0.02</v>
      </c>
      <c r="G14" s="168">
        <v>0.02</v>
      </c>
      <c r="H14" s="169"/>
      <c r="I14" s="170">
        <v>2</v>
      </c>
      <c r="J14" s="170">
        <v>2</v>
      </c>
      <c r="K14" s="167"/>
      <c r="L14" s="171">
        <v>1009.74608</v>
      </c>
      <c r="M14" s="171">
        <v>-1106.434</v>
      </c>
      <c r="N14" s="171">
        <v>-96.687920000000005</v>
      </c>
      <c r="O14" s="166">
        <v>-34.305654481789801</v>
      </c>
      <c r="P14" s="172">
        <v>212.5</v>
      </c>
      <c r="Q14" s="173">
        <v>-0.16143837403195199</v>
      </c>
      <c r="R14" s="174">
        <v>-772.264432796233</v>
      </c>
      <c r="S14" s="168"/>
      <c r="T14" s="168"/>
      <c r="U14" s="175">
        <v>696</v>
      </c>
      <c r="V14" s="176">
        <v>816</v>
      </c>
      <c r="W14" s="167"/>
      <c r="X14" s="175">
        <v>2117.6069950000001</v>
      </c>
      <c r="Y14" s="166">
        <v>751.34405516936397</v>
      </c>
      <c r="Z14" s="177">
        <v>573</v>
      </c>
      <c r="AA14" s="178">
        <v>1.3112461695800399</v>
      </c>
      <c r="AB14" s="179">
        <v>295.93479814239299</v>
      </c>
      <c r="AC14" s="168">
        <v>0.02</v>
      </c>
      <c r="AD14" s="168">
        <v>0.02</v>
      </c>
      <c r="AE14" s="176">
        <v>0</v>
      </c>
      <c r="AF14" s="176">
        <v>0</v>
      </c>
      <c r="AG14" s="167"/>
      <c r="AH14" s="180">
        <v>150.19999999999999</v>
      </c>
      <c r="AI14" s="166">
        <v>53.292172415797403</v>
      </c>
      <c r="AJ14" s="181" t="s">
        <v>53</v>
      </c>
      <c r="AK14" s="188">
        <v>0.84590749866345005</v>
      </c>
      <c r="AL14" s="171">
        <v>-50.088566146647899</v>
      </c>
      <c r="AM14" s="168"/>
      <c r="AN14" s="168"/>
      <c r="AO14" s="176">
        <v>28</v>
      </c>
      <c r="AP14" s="176">
        <v>63</v>
      </c>
      <c r="AQ14" s="167"/>
      <c r="AR14" s="180">
        <v>15.3</v>
      </c>
      <c r="AS14" s="166">
        <v>5.4285635017423397</v>
      </c>
      <c r="AT14" s="181" t="s">
        <v>54</v>
      </c>
      <c r="AU14" s="173">
        <v>0.33928521885889601</v>
      </c>
      <c r="AV14" s="174">
        <v>-35.566937434069303</v>
      </c>
      <c r="AW14" s="168"/>
      <c r="AX14" s="168"/>
      <c r="AY14" s="176">
        <v>30</v>
      </c>
      <c r="AZ14" s="176">
        <v>39</v>
      </c>
      <c r="BA14" s="167"/>
      <c r="BB14" s="184">
        <v>67.400000000000006</v>
      </c>
      <c r="BC14" s="180">
        <v>23.914064053427001</v>
      </c>
      <c r="BD14" s="181" t="s">
        <v>55</v>
      </c>
      <c r="BE14" s="188">
        <v>0.74731450166959501</v>
      </c>
      <c r="BF14" s="171">
        <v>-34.333874868138601</v>
      </c>
      <c r="BG14" s="168"/>
      <c r="BH14" s="168"/>
      <c r="BI14" s="176">
        <v>23</v>
      </c>
      <c r="BJ14" s="176">
        <v>41</v>
      </c>
      <c r="BK14" s="169"/>
      <c r="BL14" s="185">
        <v>0.8</v>
      </c>
      <c r="BM14" s="188">
        <v>0.79</v>
      </c>
      <c r="BN14" s="186"/>
      <c r="BO14" s="187">
        <v>0.95</v>
      </c>
      <c r="BP14" s="178">
        <v>1</v>
      </c>
      <c r="BQ14" s="186">
        <v>2.5000000000000001E-3</v>
      </c>
    </row>
    <row r="15" spans="1:69" s="156" customFormat="1" ht="22.35" customHeight="1" x14ac:dyDescent="0.2">
      <c r="A15" s="165" t="s">
        <v>4</v>
      </c>
      <c r="B15" s="165" t="s">
        <v>64</v>
      </c>
      <c r="C15" s="165" t="s">
        <v>65</v>
      </c>
      <c r="D15" s="166">
        <v>3.6851069297777799</v>
      </c>
      <c r="E15" s="167"/>
      <c r="F15" s="168">
        <v>1.0999999999999999E-2</v>
      </c>
      <c r="G15" s="168">
        <v>5.4999999999999997E-3</v>
      </c>
      <c r="H15" s="169"/>
      <c r="I15" s="170">
        <v>4</v>
      </c>
      <c r="J15" s="170">
        <v>3</v>
      </c>
      <c r="K15" s="167"/>
      <c r="L15" s="171">
        <v>2879.92571</v>
      </c>
      <c r="M15" s="171">
        <v>-1935.6009899999999</v>
      </c>
      <c r="N15" s="171">
        <v>944.32471999999996</v>
      </c>
      <c r="O15" s="166">
        <v>256.25436059109001</v>
      </c>
      <c r="P15" s="172">
        <v>231.52600000000001</v>
      </c>
      <c r="Q15" s="182">
        <v>1.10680597682805</v>
      </c>
      <c r="R15" s="183">
        <v>-18.082699602767999</v>
      </c>
      <c r="S15" s="168">
        <v>8.9999999999999993E-3</v>
      </c>
      <c r="T15" s="168">
        <v>5.4999999999999997E-3</v>
      </c>
      <c r="U15" s="175">
        <v>0</v>
      </c>
      <c r="V15" s="176">
        <v>80</v>
      </c>
      <c r="W15" s="167"/>
      <c r="X15" s="175">
        <v>2022.3134050000001</v>
      </c>
      <c r="Y15" s="166">
        <v>548.78011507849305</v>
      </c>
      <c r="Z15" s="177">
        <v>573</v>
      </c>
      <c r="AA15" s="182">
        <v>0.95773143992756105</v>
      </c>
      <c r="AB15" s="183">
        <v>-359.53334842028897</v>
      </c>
      <c r="AC15" s="168">
        <v>2E-3</v>
      </c>
      <c r="AD15" s="168"/>
      <c r="AE15" s="176">
        <v>90</v>
      </c>
      <c r="AF15" s="176">
        <v>512</v>
      </c>
      <c r="AG15" s="167"/>
      <c r="AH15" s="180">
        <v>174.5</v>
      </c>
      <c r="AI15" s="166">
        <v>47.352764336345302</v>
      </c>
      <c r="AJ15" s="181" t="s">
        <v>53</v>
      </c>
      <c r="AK15" s="188">
        <v>0.75163117994198803</v>
      </c>
      <c r="AL15" s="171">
        <v>-87.378438857728199</v>
      </c>
      <c r="AM15" s="168"/>
      <c r="AN15" s="168"/>
      <c r="AO15" s="176">
        <v>58</v>
      </c>
      <c r="AP15" s="176">
        <v>105</v>
      </c>
      <c r="AQ15" s="167"/>
      <c r="AR15" s="180">
        <v>16.600000000000001</v>
      </c>
      <c r="AS15" s="166">
        <v>4.5046182692454497</v>
      </c>
      <c r="AT15" s="181" t="s">
        <v>54</v>
      </c>
      <c r="AU15" s="173">
        <v>0.281538641827841</v>
      </c>
      <c r="AV15" s="174">
        <v>-49.908809868629397</v>
      </c>
      <c r="AW15" s="168"/>
      <c r="AX15" s="168"/>
      <c r="AY15" s="176">
        <v>43</v>
      </c>
      <c r="AZ15" s="176">
        <v>55</v>
      </c>
      <c r="BA15" s="167"/>
      <c r="BB15" s="184">
        <v>98.4</v>
      </c>
      <c r="BC15" s="180">
        <v>26.702074559864599</v>
      </c>
      <c r="BD15" s="181" t="s">
        <v>55</v>
      </c>
      <c r="BE15" s="188">
        <v>0.83443982999576904</v>
      </c>
      <c r="BF15" s="171">
        <v>-34.617619737258799</v>
      </c>
      <c r="BG15" s="168"/>
      <c r="BH15" s="168"/>
      <c r="BI15" s="176">
        <v>20</v>
      </c>
      <c r="BJ15" s="176">
        <v>44</v>
      </c>
      <c r="BK15" s="169"/>
      <c r="BL15" s="185">
        <v>0.8</v>
      </c>
      <c r="BM15" s="182">
        <v>0.81</v>
      </c>
      <c r="BN15" s="186">
        <v>3.7500000000000001E-4</v>
      </c>
      <c r="BO15" s="187">
        <v>0.95</v>
      </c>
      <c r="BP15" s="178">
        <v>1</v>
      </c>
      <c r="BQ15" s="186">
        <v>2.5000000000000001E-3</v>
      </c>
    </row>
    <row r="16" spans="1:69" s="156" customFormat="1" ht="22.35" customHeight="1" x14ac:dyDescent="0.2">
      <c r="A16" s="165" t="s">
        <v>4</v>
      </c>
      <c r="B16" s="165" t="s">
        <v>64</v>
      </c>
      <c r="C16" s="165" t="s">
        <v>66</v>
      </c>
      <c r="D16" s="166">
        <v>2.98808404311111</v>
      </c>
      <c r="E16" s="167"/>
      <c r="F16" s="168">
        <v>5.1999999999999998E-2</v>
      </c>
      <c r="G16" s="168">
        <v>4.4999999999999998E-2</v>
      </c>
      <c r="H16" s="169"/>
      <c r="I16" s="170">
        <v>6</v>
      </c>
      <c r="J16" s="170">
        <v>5</v>
      </c>
      <c r="K16" s="167"/>
      <c r="L16" s="171">
        <v>1465.193</v>
      </c>
      <c r="M16" s="171">
        <v>314.37700999999998</v>
      </c>
      <c r="N16" s="171">
        <v>1779.5700099999999</v>
      </c>
      <c r="O16" s="166">
        <v>595.55554138536195</v>
      </c>
      <c r="P16" s="172">
        <v>233.14400000000001</v>
      </c>
      <c r="Q16" s="178">
        <v>2.5544536483261902</v>
      </c>
      <c r="R16" s="179">
        <v>993.74444898607499</v>
      </c>
      <c r="S16" s="168">
        <v>0.01</v>
      </c>
      <c r="T16" s="168">
        <v>0.01</v>
      </c>
      <c r="U16" s="175">
        <v>0</v>
      </c>
      <c r="V16" s="176">
        <v>0</v>
      </c>
      <c r="W16" s="167"/>
      <c r="X16" s="175">
        <v>2154.5627049999998</v>
      </c>
      <c r="Y16" s="166">
        <v>721.05157482676702</v>
      </c>
      <c r="Z16" s="177">
        <v>573</v>
      </c>
      <c r="AA16" s="178">
        <v>1.2583797117395601</v>
      </c>
      <c r="AB16" s="179">
        <v>223.232512239393</v>
      </c>
      <c r="AC16" s="168">
        <v>0.02</v>
      </c>
      <c r="AD16" s="168">
        <v>0.02</v>
      </c>
      <c r="AE16" s="176">
        <v>0</v>
      </c>
      <c r="AF16" s="176">
        <v>0</v>
      </c>
      <c r="AG16" s="167"/>
      <c r="AH16" s="180">
        <v>180.8</v>
      </c>
      <c r="AI16" s="166">
        <v>60.506999599568204</v>
      </c>
      <c r="AJ16" s="181" t="s">
        <v>53</v>
      </c>
      <c r="AK16" s="182">
        <v>0.96042856507250995</v>
      </c>
      <c r="AL16" s="183">
        <v>-31.5452044396479</v>
      </c>
      <c r="AM16" s="168">
        <v>2E-3</v>
      </c>
      <c r="AN16" s="168"/>
      <c r="AO16" s="176">
        <v>8</v>
      </c>
      <c r="AP16" s="176">
        <v>46</v>
      </c>
      <c r="AQ16" s="167"/>
      <c r="AR16" s="180">
        <v>19.8</v>
      </c>
      <c r="AS16" s="166">
        <v>6.6263196464128802</v>
      </c>
      <c r="AT16" s="181" t="s">
        <v>54</v>
      </c>
      <c r="AU16" s="173">
        <v>0.41414497790080501</v>
      </c>
      <c r="AV16" s="174">
        <v>-34.128940810069302</v>
      </c>
      <c r="AW16" s="168"/>
      <c r="AX16" s="168"/>
      <c r="AY16" s="176">
        <v>29</v>
      </c>
      <c r="AZ16" s="176">
        <v>38</v>
      </c>
      <c r="BA16" s="167"/>
      <c r="BB16" s="184">
        <v>109.8</v>
      </c>
      <c r="BC16" s="180">
        <v>36.745954402835103</v>
      </c>
      <c r="BD16" s="181" t="s">
        <v>55</v>
      </c>
      <c r="BE16" s="178">
        <v>1.1483110750886001</v>
      </c>
      <c r="BF16" s="179">
        <v>1.9421183798613699</v>
      </c>
      <c r="BG16" s="168">
        <v>0.02</v>
      </c>
      <c r="BH16" s="168">
        <v>1.4999999999999999E-2</v>
      </c>
      <c r="BI16" s="176">
        <v>0</v>
      </c>
      <c r="BJ16" s="176">
        <v>5</v>
      </c>
      <c r="BK16" s="169"/>
      <c r="BL16" s="185">
        <v>0.8</v>
      </c>
      <c r="BM16" s="182">
        <v>0.81</v>
      </c>
      <c r="BN16" s="186">
        <v>3.7500000000000001E-4</v>
      </c>
      <c r="BO16" s="187">
        <v>0.95</v>
      </c>
      <c r="BP16" s="178">
        <v>1</v>
      </c>
      <c r="BQ16" s="186">
        <v>2.5000000000000001E-3</v>
      </c>
    </row>
    <row r="17" spans="1:69" s="156" customFormat="1" ht="22.35" customHeight="1" x14ac:dyDescent="0.2">
      <c r="A17" s="165" t="s">
        <v>4</v>
      </c>
      <c r="B17" s="165" t="s">
        <v>64</v>
      </c>
      <c r="C17" s="165" t="s">
        <v>67</v>
      </c>
      <c r="D17" s="166">
        <v>3.7318809292222199</v>
      </c>
      <c r="E17" s="167"/>
      <c r="F17" s="168">
        <v>4.8000000000000001E-2</v>
      </c>
      <c r="G17" s="168">
        <v>4.1000000000000002E-2</v>
      </c>
      <c r="H17" s="169"/>
      <c r="I17" s="170">
        <v>4</v>
      </c>
      <c r="J17" s="170">
        <v>4</v>
      </c>
      <c r="K17" s="167"/>
      <c r="L17" s="171">
        <v>1272.63824</v>
      </c>
      <c r="M17" s="171">
        <v>1132.67263</v>
      </c>
      <c r="N17" s="171">
        <v>2405.3108699999998</v>
      </c>
      <c r="O17" s="166">
        <v>644.53044339260305</v>
      </c>
      <c r="P17" s="172">
        <v>246.29499999999999</v>
      </c>
      <c r="Q17" s="178">
        <v>2.6169042952256598</v>
      </c>
      <c r="R17" s="179">
        <v>1368.51687401398</v>
      </c>
      <c r="S17" s="168">
        <v>0.01</v>
      </c>
      <c r="T17" s="168">
        <v>0.01</v>
      </c>
      <c r="U17" s="175">
        <v>0</v>
      </c>
      <c r="V17" s="176">
        <v>0</v>
      </c>
      <c r="W17" s="167"/>
      <c r="X17" s="175">
        <v>2753.3357599999999</v>
      </c>
      <c r="Y17" s="166">
        <v>737.78767656819002</v>
      </c>
      <c r="Z17" s="177">
        <v>573</v>
      </c>
      <c r="AA17" s="178">
        <v>1.2875875681818301</v>
      </c>
      <c r="AB17" s="179">
        <v>341.256912682794</v>
      </c>
      <c r="AC17" s="168">
        <v>0.02</v>
      </c>
      <c r="AD17" s="168">
        <v>0.02</v>
      </c>
      <c r="AE17" s="176">
        <v>0</v>
      </c>
      <c r="AF17" s="176">
        <v>0</v>
      </c>
      <c r="AG17" s="167"/>
      <c r="AH17" s="180">
        <v>148.1</v>
      </c>
      <c r="AI17" s="166">
        <v>39.685081814994099</v>
      </c>
      <c r="AJ17" s="181" t="s">
        <v>53</v>
      </c>
      <c r="AK17" s="173">
        <v>0.62992193357133397</v>
      </c>
      <c r="AL17" s="174">
        <v>-117.102386354248</v>
      </c>
      <c r="AM17" s="168"/>
      <c r="AN17" s="168"/>
      <c r="AO17" s="176">
        <v>88</v>
      </c>
      <c r="AP17" s="176">
        <v>135</v>
      </c>
      <c r="AQ17" s="167"/>
      <c r="AR17" s="180">
        <v>18.100000000000001</v>
      </c>
      <c r="AS17" s="166">
        <v>4.8501011536218304</v>
      </c>
      <c r="AT17" s="181" t="s">
        <v>54</v>
      </c>
      <c r="AU17" s="173">
        <v>0.30313132210136401</v>
      </c>
      <c r="AV17" s="174">
        <v>-49.252987010602602</v>
      </c>
      <c r="AW17" s="168"/>
      <c r="AX17" s="168"/>
      <c r="AY17" s="176">
        <v>42</v>
      </c>
      <c r="AZ17" s="176">
        <v>54</v>
      </c>
      <c r="BA17" s="167"/>
      <c r="BB17" s="184">
        <v>132.19999999999999</v>
      </c>
      <c r="BC17" s="180">
        <v>35.424495718718497</v>
      </c>
      <c r="BD17" s="181" t="s">
        <v>55</v>
      </c>
      <c r="BE17" s="182">
        <v>1.1070154912099499</v>
      </c>
      <c r="BF17" s="183">
        <v>-2.5059740212052799</v>
      </c>
      <c r="BG17" s="168">
        <v>1.7999999999999999E-2</v>
      </c>
      <c r="BH17" s="168">
        <v>1.0999999999999999E-2</v>
      </c>
      <c r="BI17" s="176">
        <v>0</v>
      </c>
      <c r="BJ17" s="176">
        <v>12</v>
      </c>
      <c r="BK17" s="169"/>
      <c r="BL17" s="185">
        <v>0.8</v>
      </c>
      <c r="BM17" s="188">
        <v>0.77</v>
      </c>
      <c r="BN17" s="186"/>
      <c r="BO17" s="187">
        <v>0.95</v>
      </c>
      <c r="BP17" s="178">
        <v>1</v>
      </c>
      <c r="BQ17" s="186">
        <v>2.5000000000000001E-3</v>
      </c>
    </row>
    <row r="18" spans="1:69" s="156" customFormat="1" ht="22.35" customHeight="1" x14ac:dyDescent="0.2">
      <c r="A18" s="165" t="s">
        <v>4</v>
      </c>
      <c r="B18" s="165" t="s">
        <v>64</v>
      </c>
      <c r="C18" s="165" t="s">
        <v>68</v>
      </c>
      <c r="D18" s="166">
        <v>2.4135234434444399</v>
      </c>
      <c r="E18" s="167"/>
      <c r="F18" s="168">
        <v>0.06</v>
      </c>
      <c r="G18" s="168">
        <v>5.7000000000000002E-2</v>
      </c>
      <c r="H18" s="169"/>
      <c r="I18" s="170">
        <v>5</v>
      </c>
      <c r="J18" s="170">
        <v>5</v>
      </c>
      <c r="K18" s="167"/>
      <c r="L18" s="171">
        <v>394.63168000000002</v>
      </c>
      <c r="M18" s="171">
        <v>-829.84217000000001</v>
      </c>
      <c r="N18" s="171">
        <v>-435.21048999999999</v>
      </c>
      <c r="O18" s="166">
        <v>-180.32163357770901</v>
      </c>
      <c r="P18" s="172">
        <v>233.14400000000001</v>
      </c>
      <c r="Q18" s="173">
        <v>-0.77343458797013498</v>
      </c>
      <c r="R18" s="174">
        <v>-1069.9344089398101</v>
      </c>
      <c r="S18" s="168"/>
      <c r="T18" s="168"/>
      <c r="U18" s="175">
        <v>998</v>
      </c>
      <c r="V18" s="176">
        <v>1111</v>
      </c>
      <c r="W18" s="167"/>
      <c r="X18" s="175">
        <v>1722.85068</v>
      </c>
      <c r="Y18" s="166">
        <v>713.83217125135695</v>
      </c>
      <c r="Z18" s="177">
        <v>573</v>
      </c>
      <c r="AA18" s="178">
        <v>1.2457804035800299</v>
      </c>
      <c r="AB18" s="179">
        <v>162.88428347034699</v>
      </c>
      <c r="AC18" s="168">
        <v>0.02</v>
      </c>
      <c r="AD18" s="168">
        <v>0.02</v>
      </c>
      <c r="AE18" s="176">
        <v>0</v>
      </c>
      <c r="AF18" s="176">
        <v>0</v>
      </c>
      <c r="AG18" s="167"/>
      <c r="AH18" s="180">
        <v>187.1</v>
      </c>
      <c r="AI18" s="166">
        <v>77.521517558984797</v>
      </c>
      <c r="AJ18" s="181" t="s">
        <v>53</v>
      </c>
      <c r="AK18" s="178">
        <v>1.23050027871404</v>
      </c>
      <c r="AL18" s="179">
        <v>15.585370015064299</v>
      </c>
      <c r="AM18" s="168">
        <v>0.02</v>
      </c>
      <c r="AN18" s="168">
        <v>0.02</v>
      </c>
      <c r="AO18" s="176">
        <v>0</v>
      </c>
      <c r="AP18" s="176">
        <v>0</v>
      </c>
      <c r="AQ18" s="167"/>
      <c r="AR18" s="180">
        <v>17.3</v>
      </c>
      <c r="AS18" s="166">
        <v>7.1679436331931399</v>
      </c>
      <c r="AT18" s="181" t="s">
        <v>54</v>
      </c>
      <c r="AU18" s="173">
        <v>0.44799647707457102</v>
      </c>
      <c r="AV18" s="174">
        <v>-26.259271107285301</v>
      </c>
      <c r="AW18" s="168"/>
      <c r="AX18" s="168"/>
      <c r="AY18" s="176">
        <v>22</v>
      </c>
      <c r="AZ18" s="176">
        <v>30</v>
      </c>
      <c r="BA18" s="167"/>
      <c r="BB18" s="184">
        <v>90</v>
      </c>
      <c r="BC18" s="180">
        <v>37.289880172681102</v>
      </c>
      <c r="BD18" s="181" t="s">
        <v>55</v>
      </c>
      <c r="BE18" s="178">
        <v>1.16530875539628</v>
      </c>
      <c r="BF18" s="179">
        <v>2.88145778542949</v>
      </c>
      <c r="BG18" s="168">
        <v>0.02</v>
      </c>
      <c r="BH18" s="168">
        <v>1.7000000000000001E-2</v>
      </c>
      <c r="BI18" s="176">
        <v>0</v>
      </c>
      <c r="BJ18" s="176">
        <v>3</v>
      </c>
      <c r="BK18" s="169"/>
      <c r="BL18" s="185">
        <v>0.8</v>
      </c>
      <c r="BM18" s="182">
        <v>0.86</v>
      </c>
      <c r="BN18" s="186">
        <v>2.2499999999999998E-3</v>
      </c>
      <c r="BO18" s="187">
        <v>0.95</v>
      </c>
      <c r="BP18" s="178">
        <v>1</v>
      </c>
      <c r="BQ18" s="186">
        <v>2.5000000000000001E-3</v>
      </c>
    </row>
    <row r="19" spans="1:69" s="156" customFormat="1" ht="22.35" customHeight="1" x14ac:dyDescent="0.2">
      <c r="A19" s="165" t="s">
        <v>4</v>
      </c>
      <c r="B19" s="165" t="s">
        <v>64</v>
      </c>
      <c r="C19" s="165" t="s">
        <v>69</v>
      </c>
      <c r="D19" s="166">
        <v>5.75203804544444</v>
      </c>
      <c r="E19" s="167"/>
      <c r="F19" s="168">
        <v>0.01</v>
      </c>
      <c r="G19" s="168">
        <v>0.01</v>
      </c>
      <c r="H19" s="169"/>
      <c r="I19" s="170">
        <v>2</v>
      </c>
      <c r="J19" s="170">
        <v>2</v>
      </c>
      <c r="K19" s="167"/>
      <c r="L19" s="171">
        <v>2357.0675099999999</v>
      </c>
      <c r="M19" s="171">
        <v>1887.43983</v>
      </c>
      <c r="N19" s="171">
        <v>4244.5073400000001</v>
      </c>
      <c r="O19" s="166">
        <v>737.91364147210504</v>
      </c>
      <c r="P19" s="172">
        <v>212.5</v>
      </c>
      <c r="Q19" s="178">
        <v>3.4725347833981401</v>
      </c>
      <c r="R19" s="179">
        <v>2865.7438205069702</v>
      </c>
      <c r="S19" s="168">
        <v>0.01</v>
      </c>
      <c r="T19" s="168">
        <v>0.01</v>
      </c>
      <c r="U19" s="175">
        <v>0</v>
      </c>
      <c r="V19" s="176">
        <v>0</v>
      </c>
      <c r="W19" s="167"/>
      <c r="X19" s="175">
        <v>2747.0752950000001</v>
      </c>
      <c r="Y19" s="166">
        <v>477.58294943401103</v>
      </c>
      <c r="Z19" s="177">
        <v>573</v>
      </c>
      <c r="AA19" s="188">
        <v>0.83347809674347395</v>
      </c>
      <c r="AB19" s="171">
        <v>-970.71998344474105</v>
      </c>
      <c r="AC19" s="168"/>
      <c r="AD19" s="168"/>
      <c r="AE19" s="176">
        <v>549</v>
      </c>
      <c r="AF19" s="176">
        <v>1209</v>
      </c>
      <c r="AG19" s="167"/>
      <c r="AH19" s="180">
        <v>299.89999999999998</v>
      </c>
      <c r="AI19" s="166">
        <v>52.138041791555601</v>
      </c>
      <c r="AJ19" s="181" t="s">
        <v>53</v>
      </c>
      <c r="AK19" s="188">
        <v>0.82758796494532605</v>
      </c>
      <c r="AL19" s="171">
        <v>-108.862831661464</v>
      </c>
      <c r="AM19" s="168"/>
      <c r="AN19" s="168"/>
      <c r="AO19" s="176">
        <v>63</v>
      </c>
      <c r="AP19" s="176">
        <v>135</v>
      </c>
      <c r="AQ19" s="167"/>
      <c r="AR19" s="180">
        <v>27.8</v>
      </c>
      <c r="AS19" s="166">
        <v>4.8330695625383298</v>
      </c>
      <c r="AT19" s="181" t="s">
        <v>54</v>
      </c>
      <c r="AU19" s="173">
        <v>0.302066847658646</v>
      </c>
      <c r="AV19" s="174">
        <v>-76.0127826441813</v>
      </c>
      <c r="AW19" s="168"/>
      <c r="AX19" s="168"/>
      <c r="AY19" s="176">
        <v>65</v>
      </c>
      <c r="AZ19" s="176">
        <v>83</v>
      </c>
      <c r="BA19" s="167"/>
      <c r="BB19" s="184">
        <v>150.4</v>
      </c>
      <c r="BC19" s="180">
        <v>26.147254036178602</v>
      </c>
      <c r="BD19" s="181" t="s">
        <v>55</v>
      </c>
      <c r="BE19" s="188">
        <v>0.81710168863057997</v>
      </c>
      <c r="BF19" s="171">
        <v>-57.225565288362503</v>
      </c>
      <c r="BG19" s="168"/>
      <c r="BH19" s="168"/>
      <c r="BI19" s="176">
        <v>34</v>
      </c>
      <c r="BJ19" s="176">
        <v>71</v>
      </c>
      <c r="BK19" s="169"/>
      <c r="BL19" s="185">
        <v>0.8</v>
      </c>
      <c r="BM19" s="188">
        <v>0.79</v>
      </c>
      <c r="BN19" s="186"/>
      <c r="BO19" s="187">
        <v>0.95</v>
      </c>
      <c r="BP19" s="178">
        <v>1</v>
      </c>
      <c r="BQ19" s="186">
        <v>2.5000000000000001E-3</v>
      </c>
    </row>
    <row r="20" spans="1:69" s="156" customFormat="1" ht="22.35" customHeight="1" x14ac:dyDescent="0.2">
      <c r="A20" s="165" t="s">
        <v>4</v>
      </c>
      <c r="B20" s="165" t="s">
        <v>64</v>
      </c>
      <c r="C20" s="165" t="s">
        <v>70</v>
      </c>
      <c r="D20" s="166">
        <v>3.7144129870000002</v>
      </c>
      <c r="E20" s="167"/>
      <c r="F20" s="168">
        <v>4.1000000000000002E-2</v>
      </c>
      <c r="G20" s="168">
        <v>3.4000000000000002E-2</v>
      </c>
      <c r="H20" s="169"/>
      <c r="I20" s="170">
        <v>4</v>
      </c>
      <c r="J20" s="170">
        <v>4</v>
      </c>
      <c r="K20" s="167"/>
      <c r="L20" s="171">
        <v>1757.77928</v>
      </c>
      <c r="M20" s="171">
        <v>1196.8021000000001</v>
      </c>
      <c r="N20" s="171">
        <v>2954.5813800000001</v>
      </c>
      <c r="O20" s="166">
        <v>795.43696146354205</v>
      </c>
      <c r="P20" s="172">
        <v>231.90199999999999</v>
      </c>
      <c r="Q20" s="178">
        <v>3.4300564956901698</v>
      </c>
      <c r="R20" s="179">
        <v>1982.94496502328</v>
      </c>
      <c r="S20" s="168">
        <v>0.01</v>
      </c>
      <c r="T20" s="168">
        <v>0.01</v>
      </c>
      <c r="U20" s="175">
        <v>0</v>
      </c>
      <c r="V20" s="176">
        <v>0</v>
      </c>
      <c r="W20" s="167"/>
      <c r="X20" s="175">
        <v>2215.9263150000002</v>
      </c>
      <c r="Y20" s="166">
        <v>596.57510426424699</v>
      </c>
      <c r="Z20" s="177">
        <v>573</v>
      </c>
      <c r="AA20" s="182">
        <v>1.0411432884192799</v>
      </c>
      <c r="AB20" s="183">
        <v>-184.862232669528</v>
      </c>
      <c r="AC20" s="168">
        <v>1.0999999999999999E-2</v>
      </c>
      <c r="AD20" s="168">
        <v>4.0000000000000001E-3</v>
      </c>
      <c r="AE20" s="176">
        <v>0</v>
      </c>
      <c r="AF20" s="176">
        <v>339</v>
      </c>
      <c r="AG20" s="167"/>
      <c r="AH20" s="180">
        <v>135.19999999999999</v>
      </c>
      <c r="AI20" s="166">
        <v>36.3987527701372</v>
      </c>
      <c r="AJ20" s="181" t="s">
        <v>53</v>
      </c>
      <c r="AK20" s="173">
        <v>0.57775798047836902</v>
      </c>
      <c r="AL20" s="174">
        <v>-128.761044508168</v>
      </c>
      <c r="AM20" s="168"/>
      <c r="AN20" s="168"/>
      <c r="AO20" s="176">
        <v>99</v>
      </c>
      <c r="AP20" s="176">
        <v>146</v>
      </c>
      <c r="AQ20" s="167"/>
      <c r="AR20" s="180">
        <v>52</v>
      </c>
      <c r="AS20" s="166">
        <v>13.999520296206599</v>
      </c>
      <c r="AT20" s="181" t="s">
        <v>54</v>
      </c>
      <c r="AU20" s="188">
        <v>0.87497001851291401</v>
      </c>
      <c r="AV20" s="171">
        <v>-15.037725589376</v>
      </c>
      <c r="AW20" s="168"/>
      <c r="AX20" s="168"/>
      <c r="AY20" s="176">
        <v>8</v>
      </c>
      <c r="AZ20" s="176">
        <v>20</v>
      </c>
      <c r="BA20" s="167"/>
      <c r="BB20" s="184">
        <v>154.19999999999999</v>
      </c>
      <c r="BC20" s="180">
        <v>41.513962109135797</v>
      </c>
      <c r="BD20" s="181" t="s">
        <v>55</v>
      </c>
      <c r="BE20" s="178">
        <v>1.2973113159104901</v>
      </c>
      <c r="BF20" s="179">
        <v>20.124548821247998</v>
      </c>
      <c r="BG20" s="168">
        <v>0.02</v>
      </c>
      <c r="BH20" s="168">
        <v>0.02</v>
      </c>
      <c r="BI20" s="176">
        <v>0</v>
      </c>
      <c r="BJ20" s="176">
        <v>0</v>
      </c>
      <c r="BK20" s="169"/>
      <c r="BL20" s="185">
        <v>0.8</v>
      </c>
      <c r="BM20" s="188">
        <v>0.8</v>
      </c>
      <c r="BN20" s="186">
        <v>0</v>
      </c>
      <c r="BO20" s="187">
        <v>0.95</v>
      </c>
      <c r="BP20" s="178">
        <v>1</v>
      </c>
      <c r="BQ20" s="186">
        <v>2.5000000000000001E-3</v>
      </c>
    </row>
    <row r="21" spans="1:69" s="156" customFormat="1" ht="22.35" customHeight="1" x14ac:dyDescent="0.2">
      <c r="A21" s="165" t="s">
        <v>4</v>
      </c>
      <c r="B21" s="165" t="s">
        <v>64</v>
      </c>
      <c r="C21" s="165" t="s">
        <v>71</v>
      </c>
      <c r="D21" s="166">
        <v>6.6311696409999996</v>
      </c>
      <c r="E21" s="167"/>
      <c r="F21" s="168">
        <v>0.04</v>
      </c>
      <c r="G21" s="168">
        <v>3.4000000000000002E-2</v>
      </c>
      <c r="H21" s="169"/>
      <c r="I21" s="170">
        <v>5</v>
      </c>
      <c r="J21" s="170">
        <v>5</v>
      </c>
      <c r="K21" s="167"/>
      <c r="L21" s="171">
        <v>3095.9188100000001</v>
      </c>
      <c r="M21" s="171">
        <v>-749.14260000000002</v>
      </c>
      <c r="N21" s="171">
        <v>2346.77621</v>
      </c>
      <c r="O21" s="166">
        <v>353.90079534235798</v>
      </c>
      <c r="P21" s="172">
        <v>218.77099999999999</v>
      </c>
      <c r="Q21" s="178">
        <v>1.6176769102959601</v>
      </c>
      <c r="R21" s="179">
        <v>710.37802193679397</v>
      </c>
      <c r="S21" s="168">
        <v>0.01</v>
      </c>
      <c r="T21" s="168">
        <v>0.01</v>
      </c>
      <c r="U21" s="175">
        <v>0</v>
      </c>
      <c r="V21" s="176">
        <v>0</v>
      </c>
      <c r="W21" s="167"/>
      <c r="X21" s="175">
        <v>3935.90562</v>
      </c>
      <c r="Y21" s="166">
        <v>593.54621176701698</v>
      </c>
      <c r="Z21" s="177">
        <v>573</v>
      </c>
      <c r="AA21" s="182">
        <v>1.0358572631187</v>
      </c>
      <c r="AB21" s="183">
        <v>-350.11109044250497</v>
      </c>
      <c r="AC21" s="168">
        <v>0.01</v>
      </c>
      <c r="AD21" s="168">
        <v>4.0000000000000001E-3</v>
      </c>
      <c r="AE21" s="176">
        <v>0</v>
      </c>
      <c r="AF21" s="176">
        <v>624</v>
      </c>
      <c r="AG21" s="167"/>
      <c r="AH21" s="180">
        <v>231.4</v>
      </c>
      <c r="AI21" s="166">
        <v>34.895804590682197</v>
      </c>
      <c r="AJ21" s="181" t="s">
        <v>53</v>
      </c>
      <c r="AK21" s="173">
        <v>0.553901660169558</v>
      </c>
      <c r="AL21" s="174">
        <v>-239.83743936802401</v>
      </c>
      <c r="AM21" s="168"/>
      <c r="AN21" s="168"/>
      <c r="AO21" s="176">
        <v>187</v>
      </c>
      <c r="AP21" s="176">
        <v>270</v>
      </c>
      <c r="AQ21" s="167"/>
      <c r="AR21" s="180">
        <v>42</v>
      </c>
      <c r="AS21" s="166">
        <v>6.3337242558714397</v>
      </c>
      <c r="AT21" s="181" t="s">
        <v>54</v>
      </c>
      <c r="AU21" s="173">
        <v>0.39585776599196498</v>
      </c>
      <c r="AV21" s="174">
        <v>-77.679349680767999</v>
      </c>
      <c r="AW21" s="168"/>
      <c r="AX21" s="168"/>
      <c r="AY21" s="176">
        <v>65</v>
      </c>
      <c r="AZ21" s="176">
        <v>86</v>
      </c>
      <c r="BA21" s="167"/>
      <c r="BB21" s="184">
        <v>259.8</v>
      </c>
      <c r="BC21" s="180">
        <v>39.178608611319</v>
      </c>
      <c r="BD21" s="181" t="s">
        <v>55</v>
      </c>
      <c r="BE21" s="178">
        <v>1.2243315191037201</v>
      </c>
      <c r="BF21" s="179">
        <v>20.441300638464</v>
      </c>
      <c r="BG21" s="168">
        <v>0.02</v>
      </c>
      <c r="BH21" s="168">
        <v>0.02</v>
      </c>
      <c r="BI21" s="176">
        <v>0</v>
      </c>
      <c r="BJ21" s="176">
        <v>0</v>
      </c>
      <c r="BK21" s="169"/>
      <c r="BL21" s="185">
        <v>0.8</v>
      </c>
      <c r="BM21" s="182">
        <v>0.81</v>
      </c>
      <c r="BN21" s="186">
        <v>3.7500000000000001E-4</v>
      </c>
      <c r="BO21" s="187">
        <v>0.95</v>
      </c>
      <c r="BP21" s="178">
        <v>1</v>
      </c>
      <c r="BQ21" s="186">
        <v>2.5000000000000001E-3</v>
      </c>
    </row>
    <row r="22" spans="1:69" s="156" customFormat="1" ht="22.35" customHeight="1" x14ac:dyDescent="0.2">
      <c r="A22" s="165" t="s">
        <v>4</v>
      </c>
      <c r="B22" s="165" t="s">
        <v>64</v>
      </c>
      <c r="C22" s="165" t="s">
        <v>72</v>
      </c>
      <c r="D22" s="166">
        <v>4.3170066618888896</v>
      </c>
      <c r="E22" s="167"/>
      <c r="F22" s="168">
        <v>3.5999999999999997E-2</v>
      </c>
      <c r="G22" s="168">
        <v>2.4E-2</v>
      </c>
      <c r="H22" s="169"/>
      <c r="I22" s="170">
        <v>5</v>
      </c>
      <c r="J22" s="170">
        <v>4</v>
      </c>
      <c r="K22" s="167"/>
      <c r="L22" s="171">
        <v>2469.7280599999999</v>
      </c>
      <c r="M22" s="171">
        <v>-471.82281999999998</v>
      </c>
      <c r="N22" s="171">
        <v>1997.90524</v>
      </c>
      <c r="O22" s="166">
        <v>462.79873914436502</v>
      </c>
      <c r="P22" s="172">
        <v>242.99700000000001</v>
      </c>
      <c r="Q22" s="178">
        <v>1.9045450731670099</v>
      </c>
      <c r="R22" s="179">
        <v>814.61105470015195</v>
      </c>
      <c r="S22" s="168">
        <v>0.01</v>
      </c>
      <c r="T22" s="168">
        <v>0.01</v>
      </c>
      <c r="U22" s="175">
        <v>0</v>
      </c>
      <c r="V22" s="176">
        <v>0</v>
      </c>
      <c r="W22" s="167"/>
      <c r="X22" s="175">
        <v>2468.6036399999998</v>
      </c>
      <c r="Y22" s="166">
        <v>571.83225168336298</v>
      </c>
      <c r="Z22" s="177">
        <v>573</v>
      </c>
      <c r="AA22" s="182">
        <v>0.99796204482262196</v>
      </c>
      <c r="AB22" s="183">
        <v>-321.66771387191199</v>
      </c>
      <c r="AC22" s="168">
        <v>6.0000000000000001E-3</v>
      </c>
      <c r="AD22" s="168">
        <v>0</v>
      </c>
      <c r="AE22" s="176">
        <v>6</v>
      </c>
      <c r="AF22" s="176">
        <v>500</v>
      </c>
      <c r="AG22" s="167"/>
      <c r="AH22" s="180">
        <v>139.5</v>
      </c>
      <c r="AI22" s="166">
        <v>32.314057152499799</v>
      </c>
      <c r="AJ22" s="181" t="s">
        <v>53</v>
      </c>
      <c r="AK22" s="173">
        <v>0.51292154210317198</v>
      </c>
      <c r="AL22" s="174">
        <v>-167.28376142047199</v>
      </c>
      <c r="AM22" s="168"/>
      <c r="AN22" s="168"/>
      <c r="AO22" s="176">
        <v>133</v>
      </c>
      <c r="AP22" s="176">
        <v>187</v>
      </c>
      <c r="AQ22" s="167"/>
      <c r="AR22" s="180">
        <v>37.1</v>
      </c>
      <c r="AS22" s="166">
        <v>8.5939177086576599</v>
      </c>
      <c r="AT22" s="181" t="s">
        <v>54</v>
      </c>
      <c r="AU22" s="173">
        <v>0.53711985679110397</v>
      </c>
      <c r="AV22" s="174">
        <v>-40.813336233770698</v>
      </c>
      <c r="AW22" s="168"/>
      <c r="AX22" s="168"/>
      <c r="AY22" s="176">
        <v>32</v>
      </c>
      <c r="AZ22" s="176">
        <v>46</v>
      </c>
      <c r="BA22" s="167"/>
      <c r="BB22" s="184">
        <v>157.4</v>
      </c>
      <c r="BC22" s="180">
        <v>36.460448715437103</v>
      </c>
      <c r="BD22" s="181" t="s">
        <v>55</v>
      </c>
      <c r="BE22" s="178">
        <v>1.1393890223574099</v>
      </c>
      <c r="BF22" s="179">
        <v>1.57332753245862</v>
      </c>
      <c r="BG22" s="168">
        <v>0.02</v>
      </c>
      <c r="BH22" s="168">
        <v>1.4E-2</v>
      </c>
      <c r="BI22" s="176">
        <v>0</v>
      </c>
      <c r="BJ22" s="176">
        <v>9</v>
      </c>
      <c r="BK22" s="169"/>
      <c r="BL22" s="185">
        <v>0.8</v>
      </c>
      <c r="BM22" s="182">
        <v>0.81</v>
      </c>
      <c r="BN22" s="186">
        <v>3.7500000000000001E-4</v>
      </c>
      <c r="BO22" s="187">
        <v>0.95</v>
      </c>
      <c r="BP22" s="178">
        <v>1</v>
      </c>
      <c r="BQ22" s="186">
        <v>2.5000000000000001E-3</v>
      </c>
    </row>
    <row r="23" spans="1:69" s="156" customFormat="1" ht="22.35" customHeight="1" x14ac:dyDescent="0.2">
      <c r="A23" s="165" t="s">
        <v>4</v>
      </c>
      <c r="B23" s="165" t="s">
        <v>64</v>
      </c>
      <c r="C23" s="165" t="s">
        <v>73</v>
      </c>
      <c r="D23" s="166">
        <v>4.4760896213333297</v>
      </c>
      <c r="E23" s="167"/>
      <c r="F23" s="168">
        <v>0.01</v>
      </c>
      <c r="G23" s="168">
        <v>0.01</v>
      </c>
      <c r="H23" s="169"/>
      <c r="I23" s="170">
        <v>3</v>
      </c>
      <c r="J23" s="170">
        <v>3</v>
      </c>
      <c r="K23" s="167"/>
      <c r="L23" s="171">
        <v>4373.03856</v>
      </c>
      <c r="M23" s="171">
        <v>2284.1196199999999</v>
      </c>
      <c r="N23" s="171">
        <v>6657.1581800000004</v>
      </c>
      <c r="O23" s="166">
        <v>1487.2709760482801</v>
      </c>
      <c r="P23" s="172">
        <v>251.20400000000001</v>
      </c>
      <c r="Q23" s="178">
        <v>5.9205704369686796</v>
      </c>
      <c r="R23" s="179">
        <v>5388.8218757561899</v>
      </c>
      <c r="S23" s="168">
        <v>0.01</v>
      </c>
      <c r="T23" s="168">
        <v>0.01</v>
      </c>
      <c r="U23" s="175">
        <v>0</v>
      </c>
      <c r="V23" s="176">
        <v>0</v>
      </c>
      <c r="W23" s="167"/>
      <c r="X23" s="175">
        <v>2268.1726950000002</v>
      </c>
      <c r="Y23" s="166">
        <v>506.73084921931502</v>
      </c>
      <c r="Z23" s="177">
        <v>573</v>
      </c>
      <c r="AA23" s="188">
        <v>0.88434703179636098</v>
      </c>
      <c r="AB23" s="171">
        <v>-624.92097521106996</v>
      </c>
      <c r="AC23" s="168"/>
      <c r="AD23" s="168"/>
      <c r="AE23" s="176">
        <v>297</v>
      </c>
      <c r="AF23" s="176">
        <v>810</v>
      </c>
      <c r="AG23" s="167"/>
      <c r="AH23" s="180">
        <v>92.5</v>
      </c>
      <c r="AI23" s="166">
        <v>20.665359236584301</v>
      </c>
      <c r="AJ23" s="181" t="s">
        <v>53</v>
      </c>
      <c r="AK23" s="173">
        <v>0.32802157518387798</v>
      </c>
      <c r="AL23" s="174">
        <v>-225.588832850432</v>
      </c>
      <c r="AM23" s="168"/>
      <c r="AN23" s="168"/>
      <c r="AO23" s="176">
        <v>190</v>
      </c>
      <c r="AP23" s="176">
        <v>246</v>
      </c>
      <c r="AQ23" s="167"/>
      <c r="AR23" s="180">
        <v>19.8</v>
      </c>
      <c r="AS23" s="166">
        <v>4.4235039230742599</v>
      </c>
      <c r="AT23" s="181" t="s">
        <v>54</v>
      </c>
      <c r="AU23" s="173">
        <v>0.27646899519214102</v>
      </c>
      <c r="AV23" s="174">
        <v>-60.984465485824003</v>
      </c>
      <c r="AW23" s="168"/>
      <c r="AX23" s="168"/>
      <c r="AY23" s="176">
        <v>52</v>
      </c>
      <c r="AZ23" s="176">
        <v>67</v>
      </c>
      <c r="BA23" s="167"/>
      <c r="BB23" s="184">
        <v>120.6</v>
      </c>
      <c r="BC23" s="180">
        <v>26.943160258725101</v>
      </c>
      <c r="BD23" s="181" t="s">
        <v>55</v>
      </c>
      <c r="BE23" s="188">
        <v>0.84197375808515795</v>
      </c>
      <c r="BF23" s="171">
        <v>-40.9689309716479</v>
      </c>
      <c r="BG23" s="168"/>
      <c r="BH23" s="168"/>
      <c r="BI23" s="176">
        <v>23</v>
      </c>
      <c r="BJ23" s="176">
        <v>52</v>
      </c>
      <c r="BK23" s="169"/>
      <c r="BL23" s="185">
        <v>0.8</v>
      </c>
      <c r="BM23" s="182">
        <v>0.81</v>
      </c>
      <c r="BN23" s="186">
        <v>3.7500000000000001E-4</v>
      </c>
      <c r="BO23" s="187">
        <v>0.95</v>
      </c>
      <c r="BP23" s="178">
        <v>1</v>
      </c>
      <c r="BQ23" s="186">
        <v>2.5000000000000001E-3</v>
      </c>
    </row>
    <row r="24" spans="1:69" s="156" customFormat="1" ht="22.35" customHeight="1" x14ac:dyDescent="0.2">
      <c r="A24" s="165" t="s">
        <v>4</v>
      </c>
      <c r="B24" s="165" t="s">
        <v>64</v>
      </c>
      <c r="C24" s="165" t="s">
        <v>74</v>
      </c>
      <c r="D24" s="166">
        <v>5.2411436323333298</v>
      </c>
      <c r="E24" s="167"/>
      <c r="F24" s="168">
        <v>3.7999999999999999E-2</v>
      </c>
      <c r="G24" s="168">
        <v>2.4E-2</v>
      </c>
      <c r="H24" s="169"/>
      <c r="I24" s="170">
        <v>5</v>
      </c>
      <c r="J24" s="170">
        <v>5</v>
      </c>
      <c r="K24" s="167"/>
      <c r="L24" s="171">
        <v>4268.3462499999996</v>
      </c>
      <c r="M24" s="171">
        <v>3902.6409800000001</v>
      </c>
      <c r="N24" s="171">
        <v>8170.9872299999997</v>
      </c>
      <c r="O24" s="166">
        <v>1559.00845372603</v>
      </c>
      <c r="P24" s="172">
        <v>248.62299999999999</v>
      </c>
      <c r="Q24" s="178">
        <v>6.2705721261750904</v>
      </c>
      <c r="R24" s="179">
        <v>6701.1255634757899</v>
      </c>
      <c r="S24" s="168">
        <v>0.01</v>
      </c>
      <c r="T24" s="168">
        <v>0.01</v>
      </c>
      <c r="U24" s="175">
        <v>0</v>
      </c>
      <c r="V24" s="176">
        <v>0</v>
      </c>
      <c r="W24" s="167"/>
      <c r="X24" s="175">
        <v>3254.819735</v>
      </c>
      <c r="Y24" s="166">
        <v>621.01326796704598</v>
      </c>
      <c r="Z24" s="177">
        <v>573</v>
      </c>
      <c r="AA24" s="182">
        <v>1.0837927887732099</v>
      </c>
      <c r="AB24" s="183">
        <v>-132.76200489685399</v>
      </c>
      <c r="AC24" s="168">
        <v>1.4999999999999999E-2</v>
      </c>
      <c r="AD24" s="168">
        <v>8.0000000000000002E-3</v>
      </c>
      <c r="AE24" s="176">
        <v>0</v>
      </c>
      <c r="AF24" s="176">
        <v>349</v>
      </c>
      <c r="AG24" s="167"/>
      <c r="AH24" s="180">
        <v>254.3</v>
      </c>
      <c r="AI24" s="166">
        <v>48.519944851575602</v>
      </c>
      <c r="AJ24" s="181" t="s">
        <v>53</v>
      </c>
      <c r="AK24" s="188">
        <v>0.77015785478691401</v>
      </c>
      <c r="AL24" s="171">
        <v>-118.156631088136</v>
      </c>
      <c r="AM24" s="168"/>
      <c r="AN24" s="168"/>
      <c r="AO24" s="176">
        <v>76</v>
      </c>
      <c r="AP24" s="176">
        <v>142</v>
      </c>
      <c r="AQ24" s="167"/>
      <c r="AR24" s="180">
        <v>49.1</v>
      </c>
      <c r="AS24" s="166">
        <v>9.3681843972173109</v>
      </c>
      <c r="AT24" s="181" t="s">
        <v>54</v>
      </c>
      <c r="AU24" s="173">
        <v>0.58551152482608204</v>
      </c>
      <c r="AV24" s="174">
        <v>-45.492160276351903</v>
      </c>
      <c r="AW24" s="168"/>
      <c r="AX24" s="168"/>
      <c r="AY24" s="176">
        <v>35</v>
      </c>
      <c r="AZ24" s="176">
        <v>52</v>
      </c>
      <c r="BA24" s="167"/>
      <c r="BB24" s="184">
        <v>178.6</v>
      </c>
      <c r="BC24" s="180">
        <v>34.076532247311903</v>
      </c>
      <c r="BD24" s="181" t="s">
        <v>55</v>
      </c>
      <c r="BE24" s="182">
        <v>1.0648916327285001</v>
      </c>
      <c r="BF24" s="183">
        <v>-10.5843205527039</v>
      </c>
      <c r="BG24" s="168">
        <v>1.2999999999999999E-2</v>
      </c>
      <c r="BH24" s="168">
        <v>6.0000000000000001E-3</v>
      </c>
      <c r="BI24" s="176">
        <v>0</v>
      </c>
      <c r="BJ24" s="176">
        <v>23</v>
      </c>
      <c r="BK24" s="169"/>
      <c r="BL24" s="185">
        <v>0.8</v>
      </c>
      <c r="BM24" s="182">
        <v>0.84</v>
      </c>
      <c r="BN24" s="186">
        <v>1.5E-3</v>
      </c>
      <c r="BO24" s="187">
        <v>0.95</v>
      </c>
      <c r="BP24" s="178">
        <v>1</v>
      </c>
      <c r="BQ24" s="186">
        <v>2.5000000000000001E-3</v>
      </c>
    </row>
    <row r="25" spans="1:69" s="156" customFormat="1" ht="22.35" customHeight="1" x14ac:dyDescent="0.2">
      <c r="A25" s="165" t="s">
        <v>4</v>
      </c>
      <c r="B25" s="165" t="s">
        <v>64</v>
      </c>
      <c r="C25" s="165" t="s">
        <v>75</v>
      </c>
      <c r="D25" s="166">
        <v>4.2224398655555602</v>
      </c>
      <c r="E25" s="167"/>
      <c r="F25" s="168">
        <v>0.03</v>
      </c>
      <c r="G25" s="168">
        <v>2.9000000000000001E-2</v>
      </c>
      <c r="H25" s="169"/>
      <c r="I25" s="170">
        <v>4</v>
      </c>
      <c r="J25" s="170">
        <v>4</v>
      </c>
      <c r="K25" s="167"/>
      <c r="L25" s="171">
        <v>1461.43552</v>
      </c>
      <c r="M25" s="171">
        <v>650.64859999999999</v>
      </c>
      <c r="N25" s="171">
        <v>2112.08412</v>
      </c>
      <c r="O25" s="166">
        <v>500.20466537114498</v>
      </c>
      <c r="P25" s="172">
        <v>212.5</v>
      </c>
      <c r="Q25" s="178">
        <v>2.3539043076289201</v>
      </c>
      <c r="R25" s="179">
        <v>1099.9652842263299</v>
      </c>
      <c r="S25" s="168">
        <v>0.01</v>
      </c>
      <c r="T25" s="168">
        <v>0.01</v>
      </c>
      <c r="U25" s="175">
        <v>0</v>
      </c>
      <c r="V25" s="176">
        <v>0</v>
      </c>
      <c r="W25" s="167"/>
      <c r="X25" s="175">
        <v>1799.6705300000001</v>
      </c>
      <c r="Y25" s="166">
        <v>426.21578691523001</v>
      </c>
      <c r="Z25" s="177">
        <v>573</v>
      </c>
      <c r="AA25" s="173">
        <v>0.74383208885729502</v>
      </c>
      <c r="AB25" s="174">
        <v>-929.47814246264204</v>
      </c>
      <c r="AC25" s="168"/>
      <c r="AD25" s="168"/>
      <c r="AE25" s="176">
        <v>620</v>
      </c>
      <c r="AF25" s="176">
        <v>1104</v>
      </c>
      <c r="AG25" s="167"/>
      <c r="AH25" s="180">
        <v>133.35</v>
      </c>
      <c r="AI25" s="166">
        <v>31.581266813957299</v>
      </c>
      <c r="AJ25" s="181" t="s">
        <v>53</v>
      </c>
      <c r="AK25" s="173">
        <v>0.50128994942789395</v>
      </c>
      <c r="AL25" s="174">
        <v>-166.71346660584001</v>
      </c>
      <c r="AM25" s="168"/>
      <c r="AN25" s="168"/>
      <c r="AO25" s="176">
        <v>133</v>
      </c>
      <c r="AP25" s="176">
        <v>186</v>
      </c>
      <c r="AQ25" s="167"/>
      <c r="AR25" s="180">
        <v>34.4</v>
      </c>
      <c r="AS25" s="166">
        <v>8.1469484694423002</v>
      </c>
      <c r="AT25" s="181" t="s">
        <v>54</v>
      </c>
      <c r="AU25" s="173">
        <v>0.50918427934014399</v>
      </c>
      <c r="AV25" s="174">
        <v>-41.806594693546799</v>
      </c>
      <c r="AW25" s="168"/>
      <c r="AX25" s="168"/>
      <c r="AY25" s="176">
        <v>34</v>
      </c>
      <c r="AZ25" s="176">
        <v>47</v>
      </c>
      <c r="BA25" s="167"/>
      <c r="BB25" s="184">
        <v>160.4</v>
      </c>
      <c r="BC25" s="180">
        <v>37.987515537748401</v>
      </c>
      <c r="BD25" s="181" t="s">
        <v>55</v>
      </c>
      <c r="BE25" s="178">
        <v>1.18710986055464</v>
      </c>
      <c r="BF25" s="179">
        <v>7.9868106129065097</v>
      </c>
      <c r="BG25" s="168">
        <v>0.02</v>
      </c>
      <c r="BH25" s="168">
        <v>1.9E-2</v>
      </c>
      <c r="BI25" s="176">
        <v>0</v>
      </c>
      <c r="BJ25" s="176">
        <v>2</v>
      </c>
      <c r="BK25" s="169"/>
      <c r="BL25" s="185">
        <v>0.8</v>
      </c>
      <c r="BM25" s="182">
        <v>0.82</v>
      </c>
      <c r="BN25" s="186">
        <v>7.5000000000000002E-4</v>
      </c>
      <c r="BO25" s="187">
        <v>0.95</v>
      </c>
      <c r="BP25" s="178">
        <v>1</v>
      </c>
      <c r="BQ25" s="186">
        <v>2.5000000000000001E-3</v>
      </c>
    </row>
    <row r="26" spans="1:69" s="156" customFormat="1" ht="22.35" customHeight="1" x14ac:dyDescent="0.2">
      <c r="A26" s="165" t="s">
        <v>4</v>
      </c>
      <c r="B26" s="165" t="s">
        <v>64</v>
      </c>
      <c r="C26" s="165" t="s">
        <v>76</v>
      </c>
      <c r="D26" s="166">
        <v>3.2460809161111102</v>
      </c>
      <c r="E26" s="167"/>
      <c r="F26" s="168">
        <v>0.03</v>
      </c>
      <c r="G26" s="168">
        <v>0.03</v>
      </c>
      <c r="H26" s="169"/>
      <c r="I26" s="170">
        <v>3</v>
      </c>
      <c r="J26" s="170">
        <v>3</v>
      </c>
      <c r="K26" s="167"/>
      <c r="L26" s="171">
        <v>2963.51091</v>
      </c>
      <c r="M26" s="171">
        <v>494.51612999999998</v>
      </c>
      <c r="N26" s="171">
        <v>3458.0270399999999</v>
      </c>
      <c r="O26" s="166">
        <v>1065.2929268759001</v>
      </c>
      <c r="P26" s="172">
        <v>231.042</v>
      </c>
      <c r="Q26" s="178">
        <v>4.6108193613105</v>
      </c>
      <c r="R26" s="179">
        <v>2612.04844152128</v>
      </c>
      <c r="S26" s="168">
        <v>0.01</v>
      </c>
      <c r="T26" s="168">
        <v>0.01</v>
      </c>
      <c r="U26" s="175">
        <v>0</v>
      </c>
      <c r="V26" s="176">
        <v>0</v>
      </c>
      <c r="W26" s="167"/>
      <c r="X26" s="175">
        <v>1718.11742</v>
      </c>
      <c r="Y26" s="166">
        <v>529.28976954103405</v>
      </c>
      <c r="Z26" s="177">
        <v>573</v>
      </c>
      <c r="AA26" s="188">
        <v>0.92371687528976298</v>
      </c>
      <c r="AB26" s="171">
        <v>-379.96750364291898</v>
      </c>
      <c r="AC26" s="168"/>
      <c r="AD26" s="168"/>
      <c r="AE26" s="176">
        <v>142</v>
      </c>
      <c r="AF26" s="176">
        <v>514</v>
      </c>
      <c r="AG26" s="167"/>
      <c r="AH26" s="180">
        <v>162.4</v>
      </c>
      <c r="AI26" s="166">
        <v>50.029560013112501</v>
      </c>
      <c r="AJ26" s="181" t="s">
        <v>53</v>
      </c>
      <c r="AK26" s="188">
        <v>0.794120000208135</v>
      </c>
      <c r="AL26" s="171">
        <v>-68.279494222519901</v>
      </c>
      <c r="AM26" s="168"/>
      <c r="AN26" s="168"/>
      <c r="AO26" s="176">
        <v>43</v>
      </c>
      <c r="AP26" s="176">
        <v>84</v>
      </c>
      <c r="AQ26" s="167"/>
      <c r="AR26" s="180">
        <v>36.6</v>
      </c>
      <c r="AS26" s="166">
        <v>11.275134830541401</v>
      </c>
      <c r="AT26" s="181" t="s">
        <v>54</v>
      </c>
      <c r="AU26" s="173">
        <v>0.70469592690883498</v>
      </c>
      <c r="AV26" s="174">
        <v>-21.985268373973302</v>
      </c>
      <c r="AW26" s="168"/>
      <c r="AX26" s="168"/>
      <c r="AY26" s="176">
        <v>16</v>
      </c>
      <c r="AZ26" s="176">
        <v>26</v>
      </c>
      <c r="BA26" s="167"/>
      <c r="BB26" s="184">
        <v>145.6</v>
      </c>
      <c r="BC26" s="180">
        <v>44.854088287618097</v>
      </c>
      <c r="BD26" s="181" t="s">
        <v>55</v>
      </c>
      <c r="BE26" s="178">
        <v>1.40169025898807</v>
      </c>
      <c r="BF26" s="179">
        <v>28.429463252053399</v>
      </c>
      <c r="BG26" s="168">
        <v>0.02</v>
      </c>
      <c r="BH26" s="168">
        <v>0.02</v>
      </c>
      <c r="BI26" s="176">
        <v>0</v>
      </c>
      <c r="BJ26" s="176">
        <v>0</v>
      </c>
      <c r="BK26" s="169"/>
      <c r="BL26" s="185">
        <v>0.8</v>
      </c>
      <c r="BM26" s="188">
        <v>0.78</v>
      </c>
      <c r="BN26" s="186"/>
      <c r="BO26" s="187">
        <v>0.95</v>
      </c>
      <c r="BP26" s="178">
        <v>1</v>
      </c>
      <c r="BQ26" s="186">
        <v>2.5000000000000001E-3</v>
      </c>
    </row>
    <row r="27" spans="1:69" s="156" customFormat="1" ht="22.35" customHeight="1" x14ac:dyDescent="0.2">
      <c r="A27" s="165" t="s">
        <v>4</v>
      </c>
      <c r="B27" s="165" t="s">
        <v>64</v>
      </c>
      <c r="C27" s="165" t="s">
        <v>77</v>
      </c>
      <c r="D27" s="166">
        <v>2.5803141951111099</v>
      </c>
      <c r="E27" s="167"/>
      <c r="F27" s="168">
        <v>2.5000000000000001E-2</v>
      </c>
      <c r="G27" s="168">
        <v>1.7999999999999999E-2</v>
      </c>
      <c r="H27" s="169"/>
      <c r="I27" s="170">
        <v>4</v>
      </c>
      <c r="J27" s="170">
        <v>4</v>
      </c>
      <c r="K27" s="167"/>
      <c r="L27" s="171">
        <v>388.41681999999997</v>
      </c>
      <c r="M27" s="171">
        <v>533.91238999999996</v>
      </c>
      <c r="N27" s="171">
        <v>922.32920999999999</v>
      </c>
      <c r="O27" s="166">
        <v>357.44841141730899</v>
      </c>
      <c r="P27" s="172">
        <v>212.5</v>
      </c>
      <c r="Q27" s="178">
        <v>1.68211017137557</v>
      </c>
      <c r="R27" s="179">
        <v>303.82789743186697</v>
      </c>
      <c r="S27" s="168">
        <v>0.01</v>
      </c>
      <c r="T27" s="168">
        <v>0.01</v>
      </c>
      <c r="U27" s="175">
        <v>0</v>
      </c>
      <c r="V27" s="176">
        <v>0</v>
      </c>
      <c r="W27" s="167"/>
      <c r="X27" s="175">
        <v>1247.413865</v>
      </c>
      <c r="Y27" s="166">
        <v>483.43487291720498</v>
      </c>
      <c r="Z27" s="177">
        <v>573</v>
      </c>
      <c r="AA27" s="188">
        <v>0.84369087769145701</v>
      </c>
      <c r="AB27" s="171">
        <v>-420.35673312489502</v>
      </c>
      <c r="AC27" s="168"/>
      <c r="AD27" s="168"/>
      <c r="AE27" s="176">
        <v>232</v>
      </c>
      <c r="AF27" s="176">
        <v>527</v>
      </c>
      <c r="AG27" s="167"/>
      <c r="AH27" s="180">
        <v>144.55000000000001</v>
      </c>
      <c r="AI27" s="166">
        <v>56.020309570778998</v>
      </c>
      <c r="AJ27" s="181" t="s">
        <v>53</v>
      </c>
      <c r="AK27" s="188">
        <v>0.88921126302823905</v>
      </c>
      <c r="AL27" s="171">
        <v>-38.817447961375898</v>
      </c>
      <c r="AM27" s="168"/>
      <c r="AN27" s="168"/>
      <c r="AO27" s="176">
        <v>19</v>
      </c>
      <c r="AP27" s="176">
        <v>51</v>
      </c>
      <c r="AQ27" s="167"/>
      <c r="AR27" s="180">
        <v>10.3</v>
      </c>
      <c r="AS27" s="166">
        <v>3.9917619410517098</v>
      </c>
      <c r="AT27" s="181" t="s">
        <v>54</v>
      </c>
      <c r="AU27" s="173">
        <v>0.249485121315732</v>
      </c>
      <c r="AV27" s="174">
        <v>-36.269510593365297</v>
      </c>
      <c r="AW27" s="168"/>
      <c r="AX27" s="168"/>
      <c r="AY27" s="176">
        <v>31</v>
      </c>
      <c r="AZ27" s="176">
        <v>40</v>
      </c>
      <c r="BA27" s="167"/>
      <c r="BB27" s="184">
        <v>89.4</v>
      </c>
      <c r="BC27" s="180">
        <v>34.646943449516698</v>
      </c>
      <c r="BD27" s="181" t="s">
        <v>55</v>
      </c>
      <c r="BE27" s="182">
        <v>1.0827169827973999</v>
      </c>
      <c r="BF27" s="183">
        <v>-3.73902118673062</v>
      </c>
      <c r="BG27" s="168">
        <v>1.4999999999999999E-2</v>
      </c>
      <c r="BH27" s="168">
        <v>8.0000000000000002E-3</v>
      </c>
      <c r="BI27" s="176">
        <v>0</v>
      </c>
      <c r="BJ27" s="176">
        <v>10</v>
      </c>
      <c r="BK27" s="169"/>
      <c r="BL27" s="185">
        <v>0.8</v>
      </c>
      <c r="BM27" s="182">
        <v>0.81</v>
      </c>
      <c r="BN27" s="186">
        <v>3.7500000000000001E-4</v>
      </c>
      <c r="BO27" s="187">
        <v>0.95</v>
      </c>
      <c r="BP27" s="178">
        <v>1</v>
      </c>
      <c r="BQ27" s="186">
        <v>2.5000000000000001E-3</v>
      </c>
    </row>
    <row r="28" spans="1:69" s="156" customFormat="1" ht="22.35" customHeight="1" x14ac:dyDescent="0.2">
      <c r="A28" s="165" t="s">
        <v>4</v>
      </c>
      <c r="B28" s="165" t="s">
        <v>64</v>
      </c>
      <c r="C28" s="165" t="s">
        <v>78</v>
      </c>
      <c r="D28" s="166">
        <v>9.6894159421111095</v>
      </c>
      <c r="E28" s="167"/>
      <c r="F28" s="168">
        <v>0.05</v>
      </c>
      <c r="G28" s="168">
        <v>0.05</v>
      </c>
      <c r="H28" s="169"/>
      <c r="I28" s="170">
        <v>4</v>
      </c>
      <c r="J28" s="170">
        <v>4</v>
      </c>
      <c r="K28" s="167"/>
      <c r="L28" s="171">
        <v>9140.7860999999994</v>
      </c>
      <c r="M28" s="171">
        <v>5890.0077899999997</v>
      </c>
      <c r="N28" s="171">
        <v>15030.793890000001</v>
      </c>
      <c r="O28" s="166">
        <v>1551.2590211629499</v>
      </c>
      <c r="P28" s="172">
        <v>268.108</v>
      </c>
      <c r="Q28" s="178">
        <v>5.7859482789135299</v>
      </c>
      <c r="R28" s="179">
        <v>12100.4642896283</v>
      </c>
      <c r="S28" s="168">
        <v>0.01</v>
      </c>
      <c r="T28" s="168">
        <v>0.01</v>
      </c>
      <c r="U28" s="175">
        <v>0</v>
      </c>
      <c r="V28" s="176">
        <v>0</v>
      </c>
      <c r="W28" s="167"/>
      <c r="X28" s="175">
        <v>6889.4085100000002</v>
      </c>
      <c r="Y28" s="166">
        <v>711.024126857635</v>
      </c>
      <c r="Z28" s="177">
        <v>573</v>
      </c>
      <c r="AA28" s="178">
        <v>1.2408798025438701</v>
      </c>
      <c r="AB28" s="179">
        <v>626.71265231213704</v>
      </c>
      <c r="AC28" s="168">
        <v>0.02</v>
      </c>
      <c r="AD28" s="168">
        <v>0.02</v>
      </c>
      <c r="AE28" s="176">
        <v>0</v>
      </c>
      <c r="AF28" s="176">
        <v>0</v>
      </c>
      <c r="AG28" s="167"/>
      <c r="AH28" s="180">
        <v>393.7</v>
      </c>
      <c r="AI28" s="166">
        <v>40.631964026742097</v>
      </c>
      <c r="AJ28" s="181" t="s">
        <v>53</v>
      </c>
      <c r="AK28" s="173">
        <v>0.64495180994828705</v>
      </c>
      <c r="AL28" s="174">
        <v>-294.868654510184</v>
      </c>
      <c r="AM28" s="168"/>
      <c r="AN28" s="168"/>
      <c r="AO28" s="176">
        <v>217</v>
      </c>
      <c r="AP28" s="176">
        <v>339</v>
      </c>
      <c r="AQ28" s="167"/>
      <c r="AR28" s="180">
        <v>92.1</v>
      </c>
      <c r="AS28" s="166">
        <v>9.5052168830656498</v>
      </c>
      <c r="AT28" s="181" t="s">
        <v>54</v>
      </c>
      <c r="AU28" s="173">
        <v>0.594076055191603</v>
      </c>
      <c r="AV28" s="174">
        <v>-82.774578923221299</v>
      </c>
      <c r="AW28" s="168"/>
      <c r="AX28" s="168"/>
      <c r="AY28" s="176">
        <v>63</v>
      </c>
      <c r="AZ28" s="176">
        <v>94</v>
      </c>
      <c r="BA28" s="167"/>
      <c r="BB28" s="184">
        <v>431.8</v>
      </c>
      <c r="BC28" s="180">
        <v>44.564089577717098</v>
      </c>
      <c r="BD28" s="181" t="s">
        <v>55</v>
      </c>
      <c r="BE28" s="178">
        <v>1.39262779930366</v>
      </c>
      <c r="BF28" s="179">
        <v>82.050842153557397</v>
      </c>
      <c r="BG28" s="168">
        <v>0.02</v>
      </c>
      <c r="BH28" s="168">
        <v>0.02</v>
      </c>
      <c r="BI28" s="176">
        <v>0</v>
      </c>
      <c r="BJ28" s="176">
        <v>0</v>
      </c>
      <c r="BK28" s="169"/>
      <c r="BL28" s="185">
        <v>0.8</v>
      </c>
      <c r="BM28" s="188">
        <v>0.73</v>
      </c>
      <c r="BN28" s="186"/>
      <c r="BO28" s="187">
        <v>0.95</v>
      </c>
      <c r="BP28" s="178">
        <v>1</v>
      </c>
      <c r="BQ28" s="186">
        <v>2.5000000000000001E-3</v>
      </c>
    </row>
    <row r="29" spans="1:69" s="156" customFormat="1" ht="22.35" customHeight="1" x14ac:dyDescent="0.2">
      <c r="A29" s="165" t="s">
        <v>4</v>
      </c>
      <c r="B29" s="165" t="s">
        <v>64</v>
      </c>
      <c r="C29" s="165" t="s">
        <v>79</v>
      </c>
      <c r="D29" s="166">
        <v>4.4281860372222202</v>
      </c>
      <c r="E29" s="167"/>
      <c r="F29" s="168">
        <v>2.1999999999999999E-2</v>
      </c>
      <c r="G29" s="168">
        <v>1.0999999999999999E-2</v>
      </c>
      <c r="H29" s="169"/>
      <c r="I29" s="170">
        <v>4</v>
      </c>
      <c r="J29" s="170">
        <v>3</v>
      </c>
      <c r="K29" s="167"/>
      <c r="L29" s="171">
        <v>4031.9843599999999</v>
      </c>
      <c r="M29" s="171">
        <v>20.243980000000001</v>
      </c>
      <c r="N29" s="171">
        <v>4052.2283400000001</v>
      </c>
      <c r="O29" s="166">
        <v>915.09893801614999</v>
      </c>
      <c r="P29" s="172">
        <v>241.767</v>
      </c>
      <c r="Q29" s="178">
        <v>3.7850448490329498</v>
      </c>
      <c r="R29" s="179">
        <v>2844.6036618702701</v>
      </c>
      <c r="S29" s="168">
        <v>0.01</v>
      </c>
      <c r="T29" s="168">
        <v>0.01</v>
      </c>
      <c r="U29" s="175">
        <v>0</v>
      </c>
      <c r="V29" s="176">
        <v>0</v>
      </c>
      <c r="W29" s="167"/>
      <c r="X29" s="175">
        <v>2472.60763</v>
      </c>
      <c r="Y29" s="166">
        <v>558.37934748356997</v>
      </c>
      <c r="Z29" s="177">
        <v>573</v>
      </c>
      <c r="AA29" s="182">
        <v>0.97448402702193704</v>
      </c>
      <c r="AB29" s="183">
        <v>-389.52384604235903</v>
      </c>
      <c r="AC29" s="168">
        <v>4.0000000000000001E-3</v>
      </c>
      <c r="AD29" s="168"/>
      <c r="AE29" s="176">
        <v>65</v>
      </c>
      <c r="AF29" s="176">
        <v>573</v>
      </c>
      <c r="AG29" s="167"/>
      <c r="AH29" s="180">
        <v>175.4</v>
      </c>
      <c r="AI29" s="166">
        <v>39.609898618899798</v>
      </c>
      <c r="AJ29" s="181" t="s">
        <v>53</v>
      </c>
      <c r="AK29" s="173">
        <v>0.62872854950634605</v>
      </c>
      <c r="AL29" s="174">
        <v>-139.28461254915999</v>
      </c>
      <c r="AM29" s="168"/>
      <c r="AN29" s="168"/>
      <c r="AO29" s="176">
        <v>104</v>
      </c>
      <c r="AP29" s="176">
        <v>160</v>
      </c>
      <c r="AQ29" s="167"/>
      <c r="AR29" s="180">
        <v>19.5</v>
      </c>
      <c r="AS29" s="166">
        <v>4.40360902547632</v>
      </c>
      <c r="AT29" s="181" t="s">
        <v>54</v>
      </c>
      <c r="AU29" s="173">
        <v>0.27522556409227</v>
      </c>
      <c r="AV29" s="174">
        <v>-60.419901599786598</v>
      </c>
      <c r="AW29" s="168"/>
      <c r="AX29" s="168"/>
      <c r="AY29" s="176">
        <v>52</v>
      </c>
      <c r="AZ29" s="176">
        <v>66</v>
      </c>
      <c r="BA29" s="167"/>
      <c r="BB29" s="184">
        <v>143.19999999999999</v>
      </c>
      <c r="BC29" s="180">
        <v>32.338298074267101</v>
      </c>
      <c r="BD29" s="181" t="s">
        <v>55</v>
      </c>
      <c r="BE29" s="182">
        <v>1.01057181482085</v>
      </c>
      <c r="BF29" s="183">
        <v>-16.639803199573301</v>
      </c>
      <c r="BG29" s="168">
        <v>8.0000000000000002E-3</v>
      </c>
      <c r="BH29" s="168">
        <v>1E-3</v>
      </c>
      <c r="BI29" s="176">
        <v>0</v>
      </c>
      <c r="BJ29" s="176">
        <v>27</v>
      </c>
      <c r="BK29" s="169"/>
      <c r="BL29" s="185">
        <v>0.8</v>
      </c>
      <c r="BM29" s="188">
        <v>0.78</v>
      </c>
      <c r="BN29" s="186"/>
      <c r="BO29" s="187">
        <v>0.95</v>
      </c>
      <c r="BP29" s="178">
        <v>1</v>
      </c>
      <c r="BQ29" s="186">
        <v>2.5000000000000001E-3</v>
      </c>
    </row>
    <row r="30" spans="1:69" s="156" customFormat="1" ht="22.35" customHeight="1" x14ac:dyDescent="0.2">
      <c r="A30" s="165" t="s">
        <v>80</v>
      </c>
      <c r="B30" s="165" t="s">
        <v>81</v>
      </c>
      <c r="C30" s="165" t="s">
        <v>82</v>
      </c>
      <c r="D30" s="166">
        <v>6.2436248350000003</v>
      </c>
      <c r="E30" s="167"/>
      <c r="F30" s="168">
        <v>0.03</v>
      </c>
      <c r="G30" s="168">
        <v>2.5999999999999999E-2</v>
      </c>
      <c r="H30" s="169"/>
      <c r="I30" s="170">
        <v>3</v>
      </c>
      <c r="J30" s="170">
        <v>3</v>
      </c>
      <c r="K30" s="167"/>
      <c r="L30" s="171">
        <v>3124.12266</v>
      </c>
      <c r="M30" s="171">
        <v>2160.2113199999999</v>
      </c>
      <c r="N30" s="171">
        <v>5284.3339800000003</v>
      </c>
      <c r="O30" s="166">
        <v>846.35674302170003</v>
      </c>
      <c r="P30" s="172">
        <v>244.696</v>
      </c>
      <c r="Q30" s="178">
        <v>3.4588090652143899</v>
      </c>
      <c r="R30" s="179">
        <v>3560.9868344788201</v>
      </c>
      <c r="S30" s="168">
        <v>0.01</v>
      </c>
      <c r="T30" s="168">
        <v>0.01</v>
      </c>
      <c r="U30" s="175">
        <v>0</v>
      </c>
      <c r="V30" s="176">
        <v>0</v>
      </c>
      <c r="W30" s="167"/>
      <c r="X30" s="175">
        <v>2310.72291</v>
      </c>
      <c r="Y30" s="166">
        <v>370.09317040427197</v>
      </c>
      <c r="Z30" s="177">
        <v>573</v>
      </c>
      <c r="AA30" s="173">
        <v>0.64588685934427903</v>
      </c>
      <c r="AB30" s="174">
        <v>-1724.8065403532401</v>
      </c>
      <c r="AC30" s="168"/>
      <c r="AD30" s="168"/>
      <c r="AE30" s="176">
        <v>1267</v>
      </c>
      <c r="AF30" s="176">
        <v>1983</v>
      </c>
      <c r="AG30" s="167"/>
      <c r="AH30" s="180">
        <v>355.9</v>
      </c>
      <c r="AI30" s="166">
        <v>57.0021436914218</v>
      </c>
      <c r="AJ30" s="181" t="s">
        <v>53</v>
      </c>
      <c r="AK30" s="188">
        <v>0.90479593160987004</v>
      </c>
      <c r="AL30" s="171">
        <v>-87.796955274440094</v>
      </c>
      <c r="AM30" s="168"/>
      <c r="AN30" s="168"/>
      <c r="AO30" s="176">
        <v>38</v>
      </c>
      <c r="AP30" s="176">
        <v>117</v>
      </c>
      <c r="AQ30" s="167"/>
      <c r="AR30" s="180">
        <v>37.700000000000003</v>
      </c>
      <c r="AS30" s="166">
        <v>6.0381590816706998</v>
      </c>
      <c r="AT30" s="181" t="s">
        <v>54</v>
      </c>
      <c r="AU30" s="173">
        <v>0.37738494260441902</v>
      </c>
      <c r="AV30" s="174">
        <v>-74.984941022079994</v>
      </c>
      <c r="AW30" s="168"/>
      <c r="AX30" s="168"/>
      <c r="AY30" s="176">
        <v>63</v>
      </c>
      <c r="AZ30" s="176">
        <v>83</v>
      </c>
      <c r="BA30" s="167"/>
      <c r="BB30" s="184">
        <v>231.4</v>
      </c>
      <c r="BC30" s="180">
        <v>37.061804018530502</v>
      </c>
      <c r="BD30" s="181" t="s">
        <v>55</v>
      </c>
      <c r="BE30" s="178">
        <v>1.15818137557908</v>
      </c>
      <c r="BF30" s="179">
        <v>6.0301179558399802</v>
      </c>
      <c r="BG30" s="168">
        <v>0.02</v>
      </c>
      <c r="BH30" s="168">
        <v>1.6E-2</v>
      </c>
      <c r="BI30" s="176">
        <v>0</v>
      </c>
      <c r="BJ30" s="176">
        <v>9</v>
      </c>
      <c r="BK30" s="169"/>
      <c r="BL30" s="185">
        <v>0.8</v>
      </c>
      <c r="BM30" s="188">
        <v>0.74</v>
      </c>
      <c r="BN30" s="186"/>
      <c r="BO30" s="187">
        <v>0.95</v>
      </c>
      <c r="BP30" s="178">
        <v>1</v>
      </c>
      <c r="BQ30" s="186">
        <v>2.5000000000000001E-3</v>
      </c>
    </row>
    <row r="31" spans="1:69" s="156" customFormat="1" ht="22.35" customHeight="1" x14ac:dyDescent="0.2">
      <c r="A31" s="165" t="s">
        <v>80</v>
      </c>
      <c r="B31" s="165" t="s">
        <v>81</v>
      </c>
      <c r="C31" s="165" t="s">
        <v>83</v>
      </c>
      <c r="D31" s="166">
        <v>2.8402116402222202</v>
      </c>
      <c r="E31" s="167"/>
      <c r="F31" s="168">
        <v>4.4999999999999998E-2</v>
      </c>
      <c r="G31" s="168">
        <v>3.3000000000000002E-2</v>
      </c>
      <c r="H31" s="169"/>
      <c r="I31" s="170">
        <v>5</v>
      </c>
      <c r="J31" s="170">
        <v>4</v>
      </c>
      <c r="K31" s="167"/>
      <c r="L31" s="171">
        <v>1112.00881</v>
      </c>
      <c r="M31" s="171">
        <v>852.99284999999998</v>
      </c>
      <c r="N31" s="171">
        <v>1965.0016599999999</v>
      </c>
      <c r="O31" s="166">
        <v>691.85043542961296</v>
      </c>
      <c r="P31" s="172">
        <v>255.976</v>
      </c>
      <c r="Q31" s="178">
        <v>2.7027941503485202</v>
      </c>
      <c r="R31" s="179">
        <v>1144.91631528583</v>
      </c>
      <c r="S31" s="168">
        <v>0.01</v>
      </c>
      <c r="T31" s="168">
        <v>0.01</v>
      </c>
      <c r="U31" s="175">
        <v>0</v>
      </c>
      <c r="V31" s="176">
        <v>0</v>
      </c>
      <c r="W31" s="167"/>
      <c r="X31" s="175">
        <v>1973.1017549999999</v>
      </c>
      <c r="Y31" s="166">
        <v>694.70236902684496</v>
      </c>
      <c r="Z31" s="177">
        <v>573</v>
      </c>
      <c r="AA31" s="178">
        <v>1.2123950593836701</v>
      </c>
      <c r="AB31" s="179">
        <v>137.348002612209</v>
      </c>
      <c r="AC31" s="168">
        <v>0.02</v>
      </c>
      <c r="AD31" s="168">
        <v>0.02</v>
      </c>
      <c r="AE31" s="176">
        <v>0</v>
      </c>
      <c r="AF31" s="176">
        <v>0</v>
      </c>
      <c r="AG31" s="167"/>
      <c r="AH31" s="180">
        <v>176.05</v>
      </c>
      <c r="AI31" s="166">
        <v>61.984817436430802</v>
      </c>
      <c r="AJ31" s="181" t="s">
        <v>53</v>
      </c>
      <c r="AK31" s="182">
        <v>0.98388599105445596</v>
      </c>
      <c r="AL31" s="183">
        <v>-25.786800000751899</v>
      </c>
      <c r="AM31" s="168">
        <v>5.0000000000000001E-3</v>
      </c>
      <c r="AN31" s="168"/>
      <c r="AO31" s="176">
        <v>3</v>
      </c>
      <c r="AP31" s="176">
        <v>39</v>
      </c>
      <c r="AQ31" s="167"/>
      <c r="AR31" s="180">
        <v>22.2</v>
      </c>
      <c r="AS31" s="166">
        <v>7.8163189269455398</v>
      </c>
      <c r="AT31" s="181" t="s">
        <v>54</v>
      </c>
      <c r="AU31" s="173">
        <v>0.48851993293409601</v>
      </c>
      <c r="AV31" s="174">
        <v>-29.0601396827306</v>
      </c>
      <c r="AW31" s="168"/>
      <c r="AX31" s="168"/>
      <c r="AY31" s="176">
        <v>24</v>
      </c>
      <c r="AZ31" s="176">
        <v>33</v>
      </c>
      <c r="BA31" s="167"/>
      <c r="BB31" s="184">
        <v>93.8</v>
      </c>
      <c r="BC31" s="180">
        <v>33.0257078985357</v>
      </c>
      <c r="BD31" s="181" t="s">
        <v>55</v>
      </c>
      <c r="BE31" s="182">
        <v>1.03205337182924</v>
      </c>
      <c r="BF31" s="183">
        <v>-8.7202793654612698</v>
      </c>
      <c r="BG31" s="168">
        <v>0.01</v>
      </c>
      <c r="BH31" s="168">
        <v>3.0000000000000001E-3</v>
      </c>
      <c r="BI31" s="176">
        <v>0</v>
      </c>
      <c r="BJ31" s="176">
        <v>16</v>
      </c>
      <c r="BK31" s="169"/>
      <c r="BL31" s="185">
        <v>0.8</v>
      </c>
      <c r="BM31" s="173">
        <v>0.67</v>
      </c>
      <c r="BN31" s="186"/>
      <c r="BO31" s="187">
        <v>0.95</v>
      </c>
      <c r="BP31" s="178">
        <v>1</v>
      </c>
      <c r="BQ31" s="186">
        <v>2.5000000000000001E-3</v>
      </c>
    </row>
    <row r="32" spans="1:69" s="156" customFormat="1" ht="22.35" customHeight="1" x14ac:dyDescent="0.2">
      <c r="A32" s="165" t="s">
        <v>80</v>
      </c>
      <c r="B32" s="165" t="s">
        <v>81</v>
      </c>
      <c r="C32" s="165" t="s">
        <v>84</v>
      </c>
      <c r="D32" s="166">
        <v>7.4919696311111101</v>
      </c>
      <c r="E32" s="167"/>
      <c r="F32" s="168">
        <v>0.01</v>
      </c>
      <c r="G32" s="168">
        <v>0.01</v>
      </c>
      <c r="H32" s="169"/>
      <c r="I32" s="170">
        <v>2</v>
      </c>
      <c r="J32" s="170">
        <v>2</v>
      </c>
      <c r="K32" s="167"/>
      <c r="L32" s="171">
        <v>5858.8981100000001</v>
      </c>
      <c r="M32" s="171">
        <v>1813.1832099999999</v>
      </c>
      <c r="N32" s="171">
        <v>7672.0813200000002</v>
      </c>
      <c r="O32" s="166">
        <v>1024.0406325382</v>
      </c>
      <c r="P32" s="172">
        <v>282.02199999999999</v>
      </c>
      <c r="Q32" s="178">
        <v>3.6310664860833501</v>
      </c>
      <c r="R32" s="179">
        <v>5288.7298275037201</v>
      </c>
      <c r="S32" s="168">
        <v>0.01</v>
      </c>
      <c r="T32" s="168">
        <v>0.01</v>
      </c>
      <c r="U32" s="175">
        <v>0</v>
      </c>
      <c r="V32" s="176">
        <v>0</v>
      </c>
      <c r="W32" s="167"/>
      <c r="X32" s="175">
        <v>3645.947885</v>
      </c>
      <c r="Y32" s="166">
        <v>486.64744580114899</v>
      </c>
      <c r="Z32" s="177">
        <v>573</v>
      </c>
      <c r="AA32" s="188">
        <v>0.84929746213114998</v>
      </c>
      <c r="AB32" s="171">
        <v>-1196.44173425088</v>
      </c>
      <c r="AC32" s="168"/>
      <c r="AD32" s="168"/>
      <c r="AE32" s="176">
        <v>647</v>
      </c>
      <c r="AF32" s="176">
        <v>1506</v>
      </c>
      <c r="AG32" s="167"/>
      <c r="AH32" s="180">
        <v>235.8</v>
      </c>
      <c r="AI32" s="166">
        <v>31.473699388852101</v>
      </c>
      <c r="AJ32" s="181" t="s">
        <v>53</v>
      </c>
      <c r="AK32" s="173">
        <v>0.49958252998177899</v>
      </c>
      <c r="AL32" s="174">
        <v>-296.60932986528002</v>
      </c>
      <c r="AM32" s="168"/>
      <c r="AN32" s="168"/>
      <c r="AO32" s="176">
        <v>237</v>
      </c>
      <c r="AP32" s="176">
        <v>331</v>
      </c>
      <c r="AQ32" s="167"/>
      <c r="AR32" s="180">
        <v>45.2</v>
      </c>
      <c r="AS32" s="166">
        <v>6.0331264307723202</v>
      </c>
      <c r="AT32" s="181" t="s">
        <v>54</v>
      </c>
      <c r="AU32" s="173">
        <v>0.37707040192327002</v>
      </c>
      <c r="AV32" s="174">
        <v>-90.015067902293296</v>
      </c>
      <c r="AW32" s="168"/>
      <c r="AX32" s="168"/>
      <c r="AY32" s="176">
        <v>75</v>
      </c>
      <c r="AZ32" s="176">
        <v>99</v>
      </c>
      <c r="BA32" s="167"/>
      <c r="BB32" s="184">
        <v>187</v>
      </c>
      <c r="BC32" s="180">
        <v>24.960058463593501</v>
      </c>
      <c r="BD32" s="181" t="s">
        <v>55</v>
      </c>
      <c r="BE32" s="188">
        <v>0.78000182698729503</v>
      </c>
      <c r="BF32" s="171">
        <v>-83.430135804586698</v>
      </c>
      <c r="BG32" s="168"/>
      <c r="BH32" s="168"/>
      <c r="BI32" s="176">
        <v>53</v>
      </c>
      <c r="BJ32" s="176">
        <v>101</v>
      </c>
      <c r="BK32" s="169"/>
      <c r="BL32" s="185">
        <v>0.8</v>
      </c>
      <c r="BM32" s="173">
        <v>0.69</v>
      </c>
      <c r="BN32" s="186"/>
      <c r="BO32" s="187">
        <v>0.95</v>
      </c>
      <c r="BP32" s="178">
        <v>1</v>
      </c>
      <c r="BQ32" s="186">
        <v>2.5000000000000001E-3</v>
      </c>
    </row>
    <row r="33" spans="1:69" s="156" customFormat="1" ht="22.35" customHeight="1" x14ac:dyDescent="0.2">
      <c r="A33" s="165" t="s">
        <v>80</v>
      </c>
      <c r="B33" s="165" t="s">
        <v>81</v>
      </c>
      <c r="C33" s="165" t="s">
        <v>85</v>
      </c>
      <c r="D33" s="166">
        <v>8.0712319791111096</v>
      </c>
      <c r="E33" s="167"/>
      <c r="F33" s="168">
        <v>0.03</v>
      </c>
      <c r="G33" s="168">
        <v>2.5000000000000001E-2</v>
      </c>
      <c r="H33" s="169"/>
      <c r="I33" s="170">
        <v>3</v>
      </c>
      <c r="J33" s="170">
        <v>3</v>
      </c>
      <c r="K33" s="167"/>
      <c r="L33" s="171">
        <v>4696.3698700000004</v>
      </c>
      <c r="M33" s="171">
        <v>4213.0002000000004</v>
      </c>
      <c r="N33" s="171">
        <v>8909.3700700000009</v>
      </c>
      <c r="O33" s="166">
        <v>1103.8426467059901</v>
      </c>
      <c r="P33" s="172">
        <v>276.94400000000002</v>
      </c>
      <c r="Q33" s="178">
        <v>3.98579729730917</v>
      </c>
      <c r="R33" s="179">
        <v>6387.9750543165201</v>
      </c>
      <c r="S33" s="168">
        <v>0.01</v>
      </c>
      <c r="T33" s="168">
        <v>0.01</v>
      </c>
      <c r="U33" s="175">
        <v>0</v>
      </c>
      <c r="V33" s="176">
        <v>0</v>
      </c>
      <c r="W33" s="167"/>
      <c r="X33" s="175">
        <v>3929.96722</v>
      </c>
      <c r="Y33" s="166">
        <v>486.91045309700201</v>
      </c>
      <c r="Z33" s="177">
        <v>573</v>
      </c>
      <c r="AA33" s="188">
        <v>0.84975646264747196</v>
      </c>
      <c r="AB33" s="171">
        <v>-1286.8251423065899</v>
      </c>
      <c r="AC33" s="168"/>
      <c r="AD33" s="168"/>
      <c r="AE33" s="176">
        <v>695</v>
      </c>
      <c r="AF33" s="176">
        <v>1620</v>
      </c>
      <c r="AG33" s="167"/>
      <c r="AH33" s="180">
        <v>355.65</v>
      </c>
      <c r="AI33" s="166">
        <v>44.063905104009599</v>
      </c>
      <c r="AJ33" s="181" t="s">
        <v>53</v>
      </c>
      <c r="AK33" s="173">
        <v>0.69942706514301001</v>
      </c>
      <c r="AL33" s="174">
        <v>-217.92402936355199</v>
      </c>
      <c r="AM33" s="168"/>
      <c r="AN33" s="168"/>
      <c r="AO33" s="176">
        <v>153</v>
      </c>
      <c r="AP33" s="176">
        <v>255</v>
      </c>
      <c r="AQ33" s="167"/>
      <c r="AR33" s="180">
        <v>61.6</v>
      </c>
      <c r="AS33" s="166">
        <v>7.6320442975031497</v>
      </c>
      <c r="AT33" s="181" t="s">
        <v>54</v>
      </c>
      <c r="AU33" s="173">
        <v>0.47700276859394702</v>
      </c>
      <c r="AV33" s="174">
        <v>-84.069594758997297</v>
      </c>
      <c r="AW33" s="168"/>
      <c r="AX33" s="168"/>
      <c r="AY33" s="176">
        <v>68</v>
      </c>
      <c r="AZ33" s="176">
        <v>94</v>
      </c>
      <c r="BA33" s="167"/>
      <c r="BB33" s="184">
        <v>297.8</v>
      </c>
      <c r="BC33" s="180">
        <v>36.8964738927993</v>
      </c>
      <c r="BD33" s="181" t="s">
        <v>55</v>
      </c>
      <c r="BE33" s="178">
        <v>1.1530148091499799</v>
      </c>
      <c r="BF33" s="179">
        <v>6.46081048200534</v>
      </c>
      <c r="BG33" s="168">
        <v>0.02</v>
      </c>
      <c r="BH33" s="168">
        <v>1.4999999999999999E-2</v>
      </c>
      <c r="BI33" s="176">
        <v>0</v>
      </c>
      <c r="BJ33" s="176">
        <v>13</v>
      </c>
      <c r="BK33" s="169"/>
      <c r="BL33" s="185">
        <v>0.8</v>
      </c>
      <c r="BM33" s="173">
        <v>0.65</v>
      </c>
      <c r="BN33" s="186"/>
      <c r="BO33" s="187">
        <v>0.95</v>
      </c>
      <c r="BP33" s="178">
        <v>1</v>
      </c>
      <c r="BQ33" s="186">
        <v>2.5000000000000001E-3</v>
      </c>
    </row>
    <row r="34" spans="1:69" s="156" customFormat="1" ht="22.35" customHeight="1" x14ac:dyDescent="0.2">
      <c r="A34" s="165" t="s">
        <v>80</v>
      </c>
      <c r="B34" s="165" t="s">
        <v>81</v>
      </c>
      <c r="C34" s="165" t="s">
        <v>86</v>
      </c>
      <c r="D34" s="166">
        <v>1.4323658323333299</v>
      </c>
      <c r="E34" s="167"/>
      <c r="F34" s="168">
        <v>0.01</v>
      </c>
      <c r="G34" s="168">
        <v>0.01</v>
      </c>
      <c r="H34" s="169"/>
      <c r="I34" s="170">
        <v>3</v>
      </c>
      <c r="J34" s="170">
        <v>3</v>
      </c>
      <c r="K34" s="167"/>
      <c r="L34" s="171">
        <v>1360.47057</v>
      </c>
      <c r="M34" s="171">
        <v>246.13735</v>
      </c>
      <c r="N34" s="171">
        <v>1606.6079199999999</v>
      </c>
      <c r="O34" s="166">
        <v>1121.64635858622</v>
      </c>
      <c r="P34" s="172">
        <v>276.94400000000002</v>
      </c>
      <c r="Q34" s="178">
        <v>4.0500836219099199</v>
      </c>
      <c r="R34" s="179">
        <v>1159.1471011773499</v>
      </c>
      <c r="S34" s="168">
        <v>0.01</v>
      </c>
      <c r="T34" s="168">
        <v>0.01</v>
      </c>
      <c r="U34" s="175">
        <v>0</v>
      </c>
      <c r="V34" s="176">
        <v>0</v>
      </c>
      <c r="W34" s="167"/>
      <c r="X34" s="175">
        <v>435.30827499999998</v>
      </c>
      <c r="Y34" s="166">
        <v>303.90858618212098</v>
      </c>
      <c r="Z34" s="177">
        <v>573</v>
      </c>
      <c r="AA34" s="173">
        <v>0.53038147675762803</v>
      </c>
      <c r="AB34" s="174">
        <v>-490.492786533654</v>
      </c>
      <c r="AC34" s="168"/>
      <c r="AD34" s="168"/>
      <c r="AE34" s="176">
        <v>386</v>
      </c>
      <c r="AF34" s="176">
        <v>550</v>
      </c>
      <c r="AG34" s="167"/>
      <c r="AH34" s="180">
        <v>31.3</v>
      </c>
      <c r="AI34" s="166">
        <v>21.8519593901595</v>
      </c>
      <c r="AJ34" s="181" t="s">
        <v>53</v>
      </c>
      <c r="AK34" s="173">
        <v>0.3468564982565</v>
      </c>
      <c r="AL34" s="174">
        <v>-70.489645508935794</v>
      </c>
      <c r="AM34" s="168"/>
      <c r="AN34" s="168"/>
      <c r="AO34" s="176">
        <v>59</v>
      </c>
      <c r="AP34" s="176">
        <v>77</v>
      </c>
      <c r="AQ34" s="167"/>
      <c r="AR34" s="180">
        <v>4.8</v>
      </c>
      <c r="AS34" s="166">
        <v>3.3510992036027298</v>
      </c>
      <c r="AT34" s="181" t="s">
        <v>54</v>
      </c>
      <c r="AU34" s="173">
        <v>0.209443700225171</v>
      </c>
      <c r="AV34" s="174">
        <v>-21.0513385419519</v>
      </c>
      <c r="AW34" s="168"/>
      <c r="AX34" s="168"/>
      <c r="AY34" s="176">
        <v>19</v>
      </c>
      <c r="AZ34" s="176">
        <v>23</v>
      </c>
      <c r="BA34" s="167"/>
      <c r="BB34" s="184">
        <v>27.4</v>
      </c>
      <c r="BC34" s="180">
        <v>19.129191287232299</v>
      </c>
      <c r="BD34" s="181" t="s">
        <v>55</v>
      </c>
      <c r="BE34" s="173">
        <v>0.59778722772600801</v>
      </c>
      <c r="BF34" s="174">
        <v>-24.302677083903902</v>
      </c>
      <c r="BG34" s="168"/>
      <c r="BH34" s="168"/>
      <c r="BI34" s="176">
        <v>19</v>
      </c>
      <c r="BJ34" s="176">
        <v>28</v>
      </c>
      <c r="BK34" s="169"/>
      <c r="BL34" s="185">
        <v>0.8</v>
      </c>
      <c r="BM34" s="182">
        <v>0.81</v>
      </c>
      <c r="BN34" s="186">
        <v>3.7500000000000001E-4</v>
      </c>
      <c r="BO34" s="187">
        <v>0.95</v>
      </c>
      <c r="BP34" s="178">
        <v>1</v>
      </c>
      <c r="BQ34" s="186">
        <v>2.5000000000000001E-3</v>
      </c>
    </row>
    <row r="35" spans="1:69" s="156" customFormat="1" ht="22.35" customHeight="1" x14ac:dyDescent="0.2">
      <c r="A35" s="165" t="s">
        <v>80</v>
      </c>
      <c r="B35" s="165" t="s">
        <v>81</v>
      </c>
      <c r="C35" s="165" t="s">
        <v>87</v>
      </c>
      <c r="D35" s="166">
        <v>2.4192814678888901</v>
      </c>
      <c r="E35" s="167"/>
      <c r="F35" s="168">
        <v>4.3999999999999997E-2</v>
      </c>
      <c r="G35" s="168">
        <v>3.3000000000000002E-2</v>
      </c>
      <c r="H35" s="169"/>
      <c r="I35" s="170">
        <v>4</v>
      </c>
      <c r="J35" s="170">
        <v>4</v>
      </c>
      <c r="K35" s="167"/>
      <c r="L35" s="171">
        <v>1715.4240199999999</v>
      </c>
      <c r="M35" s="171">
        <v>684.55891999999994</v>
      </c>
      <c r="N35" s="171">
        <v>2399.9829399999999</v>
      </c>
      <c r="O35" s="166">
        <v>992.02303322493105</v>
      </c>
      <c r="P35" s="172">
        <v>237.21100000000001</v>
      </c>
      <c r="Q35" s="178">
        <v>4.1820279549638597</v>
      </c>
      <c r="R35" s="179">
        <v>1752.6461011568499</v>
      </c>
      <c r="S35" s="168">
        <v>0.01</v>
      </c>
      <c r="T35" s="168">
        <v>0.01</v>
      </c>
      <c r="U35" s="175">
        <v>0</v>
      </c>
      <c r="V35" s="176">
        <v>0</v>
      </c>
      <c r="W35" s="167"/>
      <c r="X35" s="175">
        <v>1602.831635</v>
      </c>
      <c r="Y35" s="166">
        <v>662.52383456591394</v>
      </c>
      <c r="Z35" s="177">
        <v>573</v>
      </c>
      <c r="AA35" s="178">
        <v>1.1562370585792601</v>
      </c>
      <c r="AB35" s="179">
        <v>39.143573918823002</v>
      </c>
      <c r="AC35" s="168">
        <v>0.02</v>
      </c>
      <c r="AD35" s="168">
        <v>1.6E-2</v>
      </c>
      <c r="AE35" s="176">
        <v>0</v>
      </c>
      <c r="AF35" s="176">
        <v>61</v>
      </c>
      <c r="AG35" s="167"/>
      <c r="AH35" s="180">
        <v>162.69999999999999</v>
      </c>
      <c r="AI35" s="166">
        <v>67.251372839215406</v>
      </c>
      <c r="AJ35" s="181" t="s">
        <v>53</v>
      </c>
      <c r="AK35" s="182">
        <v>1.0674821085589701</v>
      </c>
      <c r="AL35" s="183">
        <v>-9.2238182340561004</v>
      </c>
      <c r="AM35" s="168">
        <v>1.4E-2</v>
      </c>
      <c r="AN35" s="168">
        <v>7.0000000000000001E-3</v>
      </c>
      <c r="AO35" s="176">
        <v>0</v>
      </c>
      <c r="AP35" s="176">
        <v>21</v>
      </c>
      <c r="AQ35" s="167"/>
      <c r="AR35" s="180">
        <v>24.4</v>
      </c>
      <c r="AS35" s="166">
        <v>10.0856391965387</v>
      </c>
      <c r="AT35" s="181" t="s">
        <v>54</v>
      </c>
      <c r="AU35" s="173">
        <v>0.630352449783672</v>
      </c>
      <c r="AV35" s="174">
        <v>-19.2631919324587</v>
      </c>
      <c r="AW35" s="168"/>
      <c r="AX35" s="168"/>
      <c r="AY35" s="176">
        <v>15</v>
      </c>
      <c r="AZ35" s="176">
        <v>23</v>
      </c>
      <c r="BA35" s="167"/>
      <c r="BB35" s="184">
        <v>71.2</v>
      </c>
      <c r="BC35" s="180">
        <v>29.4302258521951</v>
      </c>
      <c r="BD35" s="181" t="s">
        <v>55</v>
      </c>
      <c r="BE35" s="188">
        <v>0.919694557881096</v>
      </c>
      <c r="BF35" s="171">
        <v>-16.126383864917401</v>
      </c>
      <c r="BG35" s="168"/>
      <c r="BH35" s="168"/>
      <c r="BI35" s="176">
        <v>7</v>
      </c>
      <c r="BJ35" s="176">
        <v>22</v>
      </c>
      <c r="BK35" s="169"/>
      <c r="BL35" s="185">
        <v>0.8</v>
      </c>
      <c r="BM35" s="173">
        <v>0.64</v>
      </c>
      <c r="BN35" s="186"/>
      <c r="BO35" s="187">
        <v>0.95</v>
      </c>
      <c r="BP35" s="178">
        <v>1</v>
      </c>
      <c r="BQ35" s="186">
        <v>2.5000000000000001E-3</v>
      </c>
    </row>
    <row r="36" spans="1:69" s="156" customFormat="1" ht="22.35" customHeight="1" x14ac:dyDescent="0.2">
      <c r="A36" s="165" t="s">
        <v>80</v>
      </c>
      <c r="B36" s="165" t="s">
        <v>81</v>
      </c>
      <c r="C36" s="165" t="s">
        <v>88</v>
      </c>
      <c r="D36" s="166">
        <v>2.4492784859999999</v>
      </c>
      <c r="E36" s="167"/>
      <c r="F36" s="168">
        <v>0.03</v>
      </c>
      <c r="G36" s="168">
        <v>2.9000000000000001E-2</v>
      </c>
      <c r="H36" s="169"/>
      <c r="I36" s="170">
        <v>3</v>
      </c>
      <c r="J36" s="170">
        <v>3</v>
      </c>
      <c r="K36" s="167"/>
      <c r="L36" s="171">
        <v>1435.16165</v>
      </c>
      <c r="M36" s="171">
        <v>1968.18012</v>
      </c>
      <c r="N36" s="171">
        <v>3403.34177</v>
      </c>
      <c r="O36" s="166">
        <v>1389.5282996414601</v>
      </c>
      <c r="P36" s="172">
        <v>282.02199999999999</v>
      </c>
      <c r="Q36" s="178">
        <v>4.9270209403573499</v>
      </c>
      <c r="R36" s="179">
        <v>2624.1752994224398</v>
      </c>
      <c r="S36" s="168">
        <v>0.01</v>
      </c>
      <c r="T36" s="168">
        <v>0.01</v>
      </c>
      <c r="U36" s="175">
        <v>0</v>
      </c>
      <c r="V36" s="176">
        <v>0</v>
      </c>
      <c r="W36" s="167"/>
      <c r="X36" s="175">
        <v>1183.1834699999999</v>
      </c>
      <c r="Y36" s="166">
        <v>483.07429178145298</v>
      </c>
      <c r="Z36" s="177">
        <v>573</v>
      </c>
      <c r="AA36" s="188">
        <v>0.84306159124162905</v>
      </c>
      <c r="AB36" s="171">
        <v>-399.89298375518399</v>
      </c>
      <c r="AC36" s="168"/>
      <c r="AD36" s="168"/>
      <c r="AE36" s="176">
        <v>221</v>
      </c>
      <c r="AF36" s="176">
        <v>501</v>
      </c>
      <c r="AG36" s="167"/>
      <c r="AH36" s="180">
        <v>139.1</v>
      </c>
      <c r="AI36" s="166">
        <v>56.7922352623808</v>
      </c>
      <c r="AJ36" s="181" t="s">
        <v>53</v>
      </c>
      <c r="AK36" s="188">
        <v>0.90146405178382305</v>
      </c>
      <c r="AL36" s="171">
        <v>-34.955526329104003</v>
      </c>
      <c r="AM36" s="168"/>
      <c r="AN36" s="168"/>
      <c r="AO36" s="176">
        <v>16</v>
      </c>
      <c r="AP36" s="176">
        <v>47</v>
      </c>
      <c r="AQ36" s="167"/>
      <c r="AR36" s="180">
        <v>15.6</v>
      </c>
      <c r="AS36" s="166">
        <v>6.3692226462483204</v>
      </c>
      <c r="AT36" s="181" t="s">
        <v>54</v>
      </c>
      <c r="AU36" s="173">
        <v>0.39807641539052002</v>
      </c>
      <c r="AV36" s="174">
        <v>-28.604578115328</v>
      </c>
      <c r="AW36" s="168"/>
      <c r="AX36" s="168"/>
      <c r="AY36" s="176">
        <v>24</v>
      </c>
      <c r="AZ36" s="176">
        <v>32</v>
      </c>
      <c r="BA36" s="167"/>
      <c r="BB36" s="184">
        <v>93.6</v>
      </c>
      <c r="BC36" s="180">
        <v>38.215335877489899</v>
      </c>
      <c r="BD36" s="181" t="s">
        <v>55</v>
      </c>
      <c r="BE36" s="178">
        <v>1.19422924617156</v>
      </c>
      <c r="BF36" s="179">
        <v>5.1908437693440002</v>
      </c>
      <c r="BG36" s="168">
        <v>0.02</v>
      </c>
      <c r="BH36" s="168">
        <v>1.9E-2</v>
      </c>
      <c r="BI36" s="176">
        <v>0</v>
      </c>
      <c r="BJ36" s="176">
        <v>1</v>
      </c>
      <c r="BK36" s="169"/>
      <c r="BL36" s="185">
        <v>0.8</v>
      </c>
      <c r="BM36" s="188">
        <v>0.76</v>
      </c>
      <c r="BN36" s="186"/>
      <c r="BO36" s="187">
        <v>0.95</v>
      </c>
      <c r="BP36" s="178">
        <v>1</v>
      </c>
      <c r="BQ36" s="186">
        <v>2.5000000000000001E-3</v>
      </c>
    </row>
    <row r="37" spans="1:69" s="156" customFormat="1" ht="22.35" customHeight="1" x14ac:dyDescent="0.2">
      <c r="A37" s="165" t="s">
        <v>80</v>
      </c>
      <c r="B37" s="165" t="s">
        <v>81</v>
      </c>
      <c r="C37" s="165" t="s">
        <v>89</v>
      </c>
      <c r="D37" s="166">
        <v>3.7485407748888901</v>
      </c>
      <c r="E37" s="167"/>
      <c r="F37" s="168">
        <v>2.5999999999999999E-2</v>
      </c>
      <c r="G37" s="168">
        <v>1.9E-2</v>
      </c>
      <c r="H37" s="169"/>
      <c r="I37" s="170">
        <v>2</v>
      </c>
      <c r="J37" s="170">
        <v>2</v>
      </c>
      <c r="K37" s="167"/>
      <c r="L37" s="171">
        <v>1360.42273</v>
      </c>
      <c r="M37" s="171">
        <v>2028.01026</v>
      </c>
      <c r="N37" s="171">
        <v>3388.4329899999998</v>
      </c>
      <c r="O37" s="166">
        <v>903.93387546929796</v>
      </c>
      <c r="P37" s="172">
        <v>231.66</v>
      </c>
      <c r="Q37" s="178">
        <v>3.9019851310942699</v>
      </c>
      <c r="R37" s="179">
        <v>2408.8925037326599</v>
      </c>
      <c r="S37" s="168">
        <v>0.01</v>
      </c>
      <c r="T37" s="168">
        <v>0.01</v>
      </c>
      <c r="U37" s="175">
        <v>0</v>
      </c>
      <c r="V37" s="176">
        <v>0</v>
      </c>
      <c r="W37" s="167"/>
      <c r="X37" s="175">
        <v>2344.2920300000001</v>
      </c>
      <c r="Y37" s="166">
        <v>625.38789645938596</v>
      </c>
      <c r="Z37" s="177">
        <v>573</v>
      </c>
      <c r="AA37" s="182">
        <v>1.0914273934718799</v>
      </c>
      <c r="AB37" s="183">
        <v>-78.554808604785194</v>
      </c>
      <c r="AC37" s="168">
        <v>1.6E-2</v>
      </c>
      <c r="AD37" s="168">
        <v>8.9999999999999993E-3</v>
      </c>
      <c r="AE37" s="176">
        <v>0</v>
      </c>
      <c r="AF37" s="176">
        <v>234</v>
      </c>
      <c r="AG37" s="167"/>
      <c r="AH37" s="180">
        <v>195.2</v>
      </c>
      <c r="AI37" s="166">
        <v>52.073596559926997</v>
      </c>
      <c r="AJ37" s="181" t="s">
        <v>53</v>
      </c>
      <c r="AK37" s="188">
        <v>0.826565024760745</v>
      </c>
      <c r="AL37" s="171">
        <v>-71.186301626704093</v>
      </c>
      <c r="AM37" s="168"/>
      <c r="AN37" s="168"/>
      <c r="AO37" s="176">
        <v>41</v>
      </c>
      <c r="AP37" s="176">
        <v>89</v>
      </c>
      <c r="AQ37" s="167"/>
      <c r="AR37" s="180">
        <v>18.100000000000001</v>
      </c>
      <c r="AS37" s="166">
        <v>4.8285455826571599</v>
      </c>
      <c r="AT37" s="181" t="s">
        <v>54</v>
      </c>
      <c r="AU37" s="173">
        <v>0.301784098916072</v>
      </c>
      <c r="AV37" s="174">
        <v>-49.553663905194703</v>
      </c>
      <c r="AW37" s="168"/>
      <c r="AX37" s="168"/>
      <c r="AY37" s="176">
        <v>42</v>
      </c>
      <c r="AZ37" s="176">
        <v>54</v>
      </c>
      <c r="BA37" s="167"/>
      <c r="BB37" s="184">
        <v>95</v>
      </c>
      <c r="BC37" s="180">
        <v>25.343195047095598</v>
      </c>
      <c r="BD37" s="181" t="s">
        <v>55</v>
      </c>
      <c r="BE37" s="188">
        <v>0.791974845221737</v>
      </c>
      <c r="BF37" s="171">
        <v>-40.307327810389403</v>
      </c>
      <c r="BG37" s="168"/>
      <c r="BH37" s="168"/>
      <c r="BI37" s="176">
        <v>25</v>
      </c>
      <c r="BJ37" s="176">
        <v>49</v>
      </c>
      <c r="BK37" s="169"/>
      <c r="BL37" s="185">
        <v>0.8</v>
      </c>
      <c r="BM37" s="173">
        <v>0.67</v>
      </c>
      <c r="BN37" s="186"/>
      <c r="BO37" s="187">
        <v>0.95</v>
      </c>
      <c r="BP37" s="188">
        <v>0.94</v>
      </c>
      <c r="BQ37" s="186"/>
    </row>
    <row r="38" spans="1:69" s="156" customFormat="1" ht="22.35" customHeight="1" x14ac:dyDescent="0.2">
      <c r="A38" s="165" t="s">
        <v>80</v>
      </c>
      <c r="B38" s="165" t="s">
        <v>81</v>
      </c>
      <c r="C38" s="165" t="s">
        <v>90</v>
      </c>
      <c r="D38" s="166">
        <v>5.80392696766667</v>
      </c>
      <c r="E38" s="167"/>
      <c r="F38" s="168">
        <v>1.9E-2</v>
      </c>
      <c r="G38" s="168">
        <v>1.2E-2</v>
      </c>
      <c r="H38" s="169"/>
      <c r="I38" s="170">
        <v>2</v>
      </c>
      <c r="J38" s="170">
        <v>2</v>
      </c>
      <c r="K38" s="167"/>
      <c r="L38" s="171">
        <v>1767.42786</v>
      </c>
      <c r="M38" s="171">
        <v>1404.62655</v>
      </c>
      <c r="N38" s="171">
        <v>3172.0544100000002</v>
      </c>
      <c r="O38" s="166">
        <v>546.53589331349701</v>
      </c>
      <c r="P38" s="172">
        <v>236.59800000000001</v>
      </c>
      <c r="Q38" s="178">
        <v>2.3099768100892502</v>
      </c>
      <c r="R38" s="179">
        <v>1623.08761567891</v>
      </c>
      <c r="S38" s="168">
        <v>0.01</v>
      </c>
      <c r="T38" s="168">
        <v>0.01</v>
      </c>
      <c r="U38" s="175">
        <v>0</v>
      </c>
      <c r="V38" s="176">
        <v>0</v>
      </c>
      <c r="W38" s="167"/>
      <c r="X38" s="175">
        <v>3398.4081849999998</v>
      </c>
      <c r="Y38" s="166">
        <v>585.53600069958304</v>
      </c>
      <c r="Z38" s="177">
        <v>573</v>
      </c>
      <c r="AA38" s="182">
        <v>1.0218778371720501</v>
      </c>
      <c r="AB38" s="183">
        <v>-352.92518698954598</v>
      </c>
      <c r="AC38" s="168">
        <v>8.9999999999999993E-3</v>
      </c>
      <c r="AD38" s="168">
        <v>2E-3</v>
      </c>
      <c r="AE38" s="176">
        <v>0</v>
      </c>
      <c r="AF38" s="176">
        <v>593</v>
      </c>
      <c r="AG38" s="167"/>
      <c r="AH38" s="180">
        <v>272.75</v>
      </c>
      <c r="AI38" s="166">
        <v>46.994044122104597</v>
      </c>
      <c r="AJ38" s="181" t="s">
        <v>53</v>
      </c>
      <c r="AK38" s="173">
        <v>0.74593720828737398</v>
      </c>
      <c r="AL38" s="174">
        <v>-139.700266030264</v>
      </c>
      <c r="AM38" s="168"/>
      <c r="AN38" s="168"/>
      <c r="AO38" s="176">
        <v>93</v>
      </c>
      <c r="AP38" s="176">
        <v>167</v>
      </c>
      <c r="AQ38" s="167"/>
      <c r="AR38" s="180">
        <v>40.5</v>
      </c>
      <c r="AS38" s="166">
        <v>6.9780340492950899</v>
      </c>
      <c r="AT38" s="181" t="s">
        <v>54</v>
      </c>
      <c r="AU38" s="173">
        <v>0.43612712808094301</v>
      </c>
      <c r="AV38" s="174">
        <v>-64.249273912448103</v>
      </c>
      <c r="AW38" s="168"/>
      <c r="AX38" s="168"/>
      <c r="AY38" s="176">
        <v>53</v>
      </c>
      <c r="AZ38" s="176">
        <v>71</v>
      </c>
      <c r="BA38" s="167"/>
      <c r="BB38" s="184">
        <v>168.2</v>
      </c>
      <c r="BC38" s="180">
        <v>28.980378446702101</v>
      </c>
      <c r="BD38" s="181" t="s">
        <v>55</v>
      </c>
      <c r="BE38" s="188">
        <v>0.90563682645943999</v>
      </c>
      <c r="BF38" s="171">
        <v>-41.298547824896097</v>
      </c>
      <c r="BG38" s="168"/>
      <c r="BH38" s="168"/>
      <c r="BI38" s="176">
        <v>18</v>
      </c>
      <c r="BJ38" s="176">
        <v>55</v>
      </c>
      <c r="BK38" s="169"/>
      <c r="BL38" s="185">
        <v>0.8</v>
      </c>
      <c r="BM38" s="173">
        <v>0.68</v>
      </c>
      <c r="BN38" s="186"/>
      <c r="BO38" s="187">
        <v>0.95</v>
      </c>
      <c r="BP38" s="188">
        <v>0.88</v>
      </c>
      <c r="BQ38" s="186"/>
    </row>
    <row r="39" spans="1:69" s="156" customFormat="1" ht="22.35" customHeight="1" x14ac:dyDescent="0.2">
      <c r="A39" s="165" t="s">
        <v>80</v>
      </c>
      <c r="B39" s="165" t="s">
        <v>81</v>
      </c>
      <c r="C39" s="165" t="s">
        <v>91</v>
      </c>
      <c r="D39" s="166">
        <v>2.9206349206666702</v>
      </c>
      <c r="E39" s="167"/>
      <c r="F39" s="168">
        <v>2.5000000000000001E-2</v>
      </c>
      <c r="G39" s="168">
        <v>1.7999999999999999E-2</v>
      </c>
      <c r="H39" s="169"/>
      <c r="I39" s="170">
        <v>3</v>
      </c>
      <c r="J39" s="170">
        <v>3</v>
      </c>
      <c r="K39" s="167"/>
      <c r="L39" s="171">
        <v>2093.4496899999999</v>
      </c>
      <c r="M39" s="171">
        <v>1826.5608999999999</v>
      </c>
      <c r="N39" s="171">
        <v>3920.0105899999999</v>
      </c>
      <c r="O39" s="166">
        <v>1342.1775389528</v>
      </c>
      <c r="P39" s="172">
        <v>240.53200000000001</v>
      </c>
      <c r="Q39" s="178">
        <v>5.5800373295561503</v>
      </c>
      <c r="R39" s="179">
        <v>3127.58364294377</v>
      </c>
      <c r="S39" s="168">
        <v>0.01</v>
      </c>
      <c r="T39" s="168">
        <v>0.01</v>
      </c>
      <c r="U39" s="175">
        <v>0</v>
      </c>
      <c r="V39" s="176">
        <v>0</v>
      </c>
      <c r="W39" s="167"/>
      <c r="X39" s="175">
        <v>1223.625505</v>
      </c>
      <c r="Y39" s="166">
        <v>418.95873268566299</v>
      </c>
      <c r="Z39" s="177">
        <v>573</v>
      </c>
      <c r="AA39" s="173">
        <v>0.73116707274984905</v>
      </c>
      <c r="AB39" s="174">
        <v>-664.10935216337805</v>
      </c>
      <c r="AC39" s="168"/>
      <c r="AD39" s="168"/>
      <c r="AE39" s="176">
        <v>450</v>
      </c>
      <c r="AF39" s="176">
        <v>785</v>
      </c>
      <c r="AG39" s="167"/>
      <c r="AH39" s="180">
        <v>138.94999999999999</v>
      </c>
      <c r="AI39" s="166">
        <v>47.575271738613303</v>
      </c>
      <c r="AJ39" s="181" t="s">
        <v>53</v>
      </c>
      <c r="AK39" s="188">
        <v>0.75516304347005303</v>
      </c>
      <c r="AL39" s="171">
        <v>-68.602000002256204</v>
      </c>
      <c r="AM39" s="168"/>
      <c r="AN39" s="168"/>
      <c r="AO39" s="176">
        <v>46</v>
      </c>
      <c r="AP39" s="176">
        <v>82</v>
      </c>
      <c r="AQ39" s="167"/>
      <c r="AR39" s="180">
        <v>21.1</v>
      </c>
      <c r="AS39" s="166">
        <v>7.2244565216606</v>
      </c>
      <c r="AT39" s="181" t="s">
        <v>54</v>
      </c>
      <c r="AU39" s="173">
        <v>0.451528532603787</v>
      </c>
      <c r="AV39" s="174">
        <v>-31.6116190481921</v>
      </c>
      <c r="AW39" s="168"/>
      <c r="AX39" s="168"/>
      <c r="AY39" s="176">
        <v>26</v>
      </c>
      <c r="AZ39" s="176">
        <v>35</v>
      </c>
      <c r="BA39" s="167"/>
      <c r="BB39" s="184">
        <v>101.2</v>
      </c>
      <c r="BC39" s="180">
        <v>34.649999999623397</v>
      </c>
      <c r="BD39" s="181" t="s">
        <v>55</v>
      </c>
      <c r="BE39" s="182">
        <v>1.08281249998823</v>
      </c>
      <c r="BF39" s="183">
        <v>-4.2232380963841196</v>
      </c>
      <c r="BG39" s="168">
        <v>1.4999999999999999E-2</v>
      </c>
      <c r="BH39" s="168">
        <v>8.0000000000000002E-3</v>
      </c>
      <c r="BI39" s="176">
        <v>0</v>
      </c>
      <c r="BJ39" s="176">
        <v>11</v>
      </c>
      <c r="BK39" s="169"/>
      <c r="BL39" s="185">
        <v>0.8</v>
      </c>
      <c r="BM39" s="173">
        <v>0.69</v>
      </c>
      <c r="BN39" s="186"/>
      <c r="BO39" s="187">
        <v>0.95</v>
      </c>
      <c r="BP39" s="178">
        <v>1</v>
      </c>
      <c r="BQ39" s="186">
        <v>2.5000000000000001E-3</v>
      </c>
    </row>
    <row r="40" spans="1:69" s="156" customFormat="1" ht="22.35" customHeight="1" x14ac:dyDescent="0.2">
      <c r="A40" s="165" t="s">
        <v>80</v>
      </c>
      <c r="B40" s="165" t="s">
        <v>81</v>
      </c>
      <c r="C40" s="165" t="s">
        <v>92</v>
      </c>
      <c r="D40" s="166">
        <v>4.1371847502222199</v>
      </c>
      <c r="E40" s="167"/>
      <c r="F40" s="168">
        <v>3.5999999999999997E-2</v>
      </c>
      <c r="G40" s="168">
        <v>0.03</v>
      </c>
      <c r="H40" s="169"/>
      <c r="I40" s="170">
        <v>4</v>
      </c>
      <c r="J40" s="170">
        <v>3</v>
      </c>
      <c r="K40" s="167"/>
      <c r="L40" s="171">
        <v>1506.3793700000001</v>
      </c>
      <c r="M40" s="171">
        <v>846.68218999999999</v>
      </c>
      <c r="N40" s="171">
        <v>2353.0615600000001</v>
      </c>
      <c r="O40" s="166">
        <v>568.75912052842398</v>
      </c>
      <c r="P40" s="172">
        <v>228.25</v>
      </c>
      <c r="Q40" s="178">
        <v>2.4918252816141302</v>
      </c>
      <c r="R40" s="179">
        <v>1287.8771510992899</v>
      </c>
      <c r="S40" s="168">
        <v>0.01</v>
      </c>
      <c r="T40" s="168">
        <v>0.01</v>
      </c>
      <c r="U40" s="175">
        <v>0</v>
      </c>
      <c r="V40" s="176">
        <v>0</v>
      </c>
      <c r="W40" s="167"/>
      <c r="X40" s="175">
        <v>2891.8024650000002</v>
      </c>
      <c r="Y40" s="166">
        <v>698.97832453449701</v>
      </c>
      <c r="Z40" s="177">
        <v>573</v>
      </c>
      <c r="AA40" s="178">
        <v>1.21985745992059</v>
      </c>
      <c r="AB40" s="179">
        <v>217.75792480236899</v>
      </c>
      <c r="AC40" s="168">
        <v>0.02</v>
      </c>
      <c r="AD40" s="168">
        <v>0.02</v>
      </c>
      <c r="AE40" s="176">
        <v>0</v>
      </c>
      <c r="AF40" s="176">
        <v>0</v>
      </c>
      <c r="AG40" s="167"/>
      <c r="AH40" s="180">
        <v>184.3</v>
      </c>
      <c r="AI40" s="166">
        <v>44.547200844753299</v>
      </c>
      <c r="AJ40" s="181" t="s">
        <v>53</v>
      </c>
      <c r="AK40" s="173">
        <v>0.70709842610719598</v>
      </c>
      <c r="AL40" s="174">
        <v>-109.704897089792</v>
      </c>
      <c r="AM40" s="168"/>
      <c r="AN40" s="168"/>
      <c r="AO40" s="176">
        <v>77</v>
      </c>
      <c r="AP40" s="176">
        <v>129</v>
      </c>
      <c r="AQ40" s="167"/>
      <c r="AR40" s="180">
        <v>28.8</v>
      </c>
      <c r="AS40" s="166">
        <v>6.96125547655397</v>
      </c>
      <c r="AT40" s="181" t="s">
        <v>54</v>
      </c>
      <c r="AU40" s="173">
        <v>0.43507846728462302</v>
      </c>
      <c r="AV40" s="174">
        <v>-45.867910372010599</v>
      </c>
      <c r="AW40" s="168"/>
      <c r="AX40" s="168"/>
      <c r="AY40" s="176">
        <v>38</v>
      </c>
      <c r="AZ40" s="176">
        <v>51</v>
      </c>
      <c r="BA40" s="167"/>
      <c r="BB40" s="184">
        <v>132</v>
      </c>
      <c r="BC40" s="180">
        <v>31.905754267538999</v>
      </c>
      <c r="BD40" s="181" t="s">
        <v>55</v>
      </c>
      <c r="BE40" s="182">
        <v>0.99705482086059405</v>
      </c>
      <c r="BF40" s="183">
        <v>-17.335820744021301</v>
      </c>
      <c r="BG40" s="168">
        <v>6.0000000000000001E-3</v>
      </c>
      <c r="BH40" s="168">
        <v>0</v>
      </c>
      <c r="BI40" s="176">
        <v>1</v>
      </c>
      <c r="BJ40" s="176">
        <v>27</v>
      </c>
      <c r="BK40" s="169"/>
      <c r="BL40" s="185">
        <v>0.8</v>
      </c>
      <c r="BM40" s="188">
        <v>0.72</v>
      </c>
      <c r="BN40" s="186"/>
      <c r="BO40" s="187">
        <v>0.95</v>
      </c>
      <c r="BP40" s="178">
        <v>1</v>
      </c>
      <c r="BQ40" s="186">
        <v>2.5000000000000001E-3</v>
      </c>
    </row>
    <row r="41" spans="1:69" s="156" customFormat="1" ht="22.35" customHeight="1" x14ac:dyDescent="0.2">
      <c r="A41" s="165" t="s">
        <v>80</v>
      </c>
      <c r="B41" s="165" t="s">
        <v>81</v>
      </c>
      <c r="C41" s="165" t="s">
        <v>93</v>
      </c>
      <c r="D41" s="166">
        <v>7.6785695595555596</v>
      </c>
      <c r="E41" s="167"/>
      <c r="F41" s="168">
        <v>4.1000000000000002E-2</v>
      </c>
      <c r="G41" s="168">
        <v>0.03</v>
      </c>
      <c r="H41" s="169"/>
      <c r="I41" s="170">
        <v>4</v>
      </c>
      <c r="J41" s="170">
        <v>4</v>
      </c>
      <c r="K41" s="167"/>
      <c r="L41" s="171">
        <v>5845.28215</v>
      </c>
      <c r="M41" s="171">
        <v>2210.3549899999998</v>
      </c>
      <c r="N41" s="171">
        <v>8055.6371399999998</v>
      </c>
      <c r="O41" s="166">
        <v>1049.10648754561</v>
      </c>
      <c r="P41" s="172">
        <v>287.5</v>
      </c>
      <c r="Q41" s="178">
        <v>3.6490660436368998</v>
      </c>
      <c r="R41" s="179">
        <v>5565.4770318361298</v>
      </c>
      <c r="S41" s="168">
        <v>0.01</v>
      </c>
      <c r="T41" s="168">
        <v>0.01</v>
      </c>
      <c r="U41" s="175">
        <v>0</v>
      </c>
      <c r="V41" s="176">
        <v>0</v>
      </c>
      <c r="W41" s="167"/>
      <c r="X41" s="175">
        <v>5123.0121550000003</v>
      </c>
      <c r="Y41" s="166">
        <v>667.18314072244004</v>
      </c>
      <c r="Z41" s="177">
        <v>573</v>
      </c>
      <c r="AA41" s="178">
        <v>1.1643684829362</v>
      </c>
      <c r="AB41" s="179">
        <v>160.014791598622</v>
      </c>
      <c r="AC41" s="168">
        <v>0.02</v>
      </c>
      <c r="AD41" s="168">
        <v>1.6E-2</v>
      </c>
      <c r="AE41" s="176">
        <v>0</v>
      </c>
      <c r="AF41" s="176">
        <v>157</v>
      </c>
      <c r="AG41" s="167"/>
      <c r="AH41" s="180">
        <v>331.05</v>
      </c>
      <c r="AI41" s="166">
        <v>43.113498866208303</v>
      </c>
      <c r="AJ41" s="181" t="s">
        <v>53</v>
      </c>
      <c r="AK41" s="173">
        <v>0.68434125184457595</v>
      </c>
      <c r="AL41" s="174">
        <v>-214.61986718025599</v>
      </c>
      <c r="AM41" s="168"/>
      <c r="AN41" s="168"/>
      <c r="AO41" s="176">
        <v>153</v>
      </c>
      <c r="AP41" s="176">
        <v>250</v>
      </c>
      <c r="AQ41" s="167"/>
      <c r="AR41" s="180">
        <v>73.400000000000006</v>
      </c>
      <c r="AS41" s="166">
        <v>9.5590720941842307</v>
      </c>
      <c r="AT41" s="181" t="s">
        <v>54</v>
      </c>
      <c r="AU41" s="173">
        <v>0.59744200588651397</v>
      </c>
      <c r="AV41" s="174">
        <v>-65.182823410858802</v>
      </c>
      <c r="AW41" s="168"/>
      <c r="AX41" s="168"/>
      <c r="AY41" s="176">
        <v>50</v>
      </c>
      <c r="AZ41" s="176">
        <v>75</v>
      </c>
      <c r="BA41" s="167"/>
      <c r="BB41" s="184">
        <v>256</v>
      </c>
      <c r="BC41" s="180">
        <v>33.339542998789703</v>
      </c>
      <c r="BD41" s="181" t="s">
        <v>55</v>
      </c>
      <c r="BE41" s="182">
        <v>1.04186071871218</v>
      </c>
      <c r="BF41" s="183">
        <v>-21.165646821717498</v>
      </c>
      <c r="BG41" s="168">
        <v>1.0999999999999999E-2</v>
      </c>
      <c r="BH41" s="168">
        <v>4.0000000000000001E-3</v>
      </c>
      <c r="BI41" s="176">
        <v>0</v>
      </c>
      <c r="BJ41" s="176">
        <v>39</v>
      </c>
      <c r="BK41" s="169"/>
      <c r="BL41" s="185">
        <v>0.8</v>
      </c>
      <c r="BM41" s="188">
        <v>0.71</v>
      </c>
      <c r="BN41" s="186"/>
      <c r="BO41" s="187">
        <v>0.95</v>
      </c>
      <c r="BP41" s="182">
        <v>0.97</v>
      </c>
      <c r="BQ41" s="186">
        <v>1E-3</v>
      </c>
    </row>
    <row r="42" spans="1:69" s="156" customFormat="1" ht="22.35" customHeight="1" x14ac:dyDescent="0.2">
      <c r="A42" s="165" t="s">
        <v>80</v>
      </c>
      <c r="B42" s="165" t="s">
        <v>81</v>
      </c>
      <c r="C42" s="165" t="s">
        <v>94</v>
      </c>
      <c r="D42" s="166">
        <v>2.4205745912222199</v>
      </c>
      <c r="E42" s="167"/>
      <c r="F42" s="168">
        <v>0.01</v>
      </c>
      <c r="G42" s="168">
        <v>0.01</v>
      </c>
      <c r="H42" s="169"/>
      <c r="I42" s="170">
        <v>2</v>
      </c>
      <c r="J42" s="170">
        <v>2</v>
      </c>
      <c r="K42" s="167"/>
      <c r="L42" s="171">
        <v>1746.08887</v>
      </c>
      <c r="M42" s="171">
        <v>1285.3189400000001</v>
      </c>
      <c r="N42" s="171">
        <v>3031.4078100000002</v>
      </c>
      <c r="O42" s="166">
        <v>1252.3505042946599</v>
      </c>
      <c r="P42" s="172">
        <v>276.94400000000002</v>
      </c>
      <c r="Q42" s="178">
        <v>4.5220351561855798</v>
      </c>
      <c r="R42" s="179">
        <v>2275.23765838085</v>
      </c>
      <c r="S42" s="168">
        <v>0.01</v>
      </c>
      <c r="T42" s="168">
        <v>0.01</v>
      </c>
      <c r="U42" s="175">
        <v>0</v>
      </c>
      <c r="V42" s="176">
        <v>0</v>
      </c>
      <c r="W42" s="167"/>
      <c r="X42" s="175">
        <v>1201.3249599999999</v>
      </c>
      <c r="Y42" s="166">
        <v>496.29743464894199</v>
      </c>
      <c r="Z42" s="177">
        <v>573</v>
      </c>
      <c r="AA42" s="188">
        <v>0.86613862940478503</v>
      </c>
      <c r="AB42" s="171">
        <v>-363.19890358893502</v>
      </c>
      <c r="AC42" s="168"/>
      <c r="AD42" s="168"/>
      <c r="AE42" s="176">
        <v>186</v>
      </c>
      <c r="AF42" s="176">
        <v>464</v>
      </c>
      <c r="AG42" s="167"/>
      <c r="AH42" s="180">
        <v>100.35</v>
      </c>
      <c r="AI42" s="166">
        <v>41.457098807820699</v>
      </c>
      <c r="AJ42" s="181" t="s">
        <v>53</v>
      </c>
      <c r="AK42" s="173">
        <v>0.65804918742572605</v>
      </c>
      <c r="AL42" s="174">
        <v>-71.665712750615796</v>
      </c>
      <c r="AM42" s="168"/>
      <c r="AN42" s="168"/>
      <c r="AO42" s="176">
        <v>53</v>
      </c>
      <c r="AP42" s="176">
        <v>83</v>
      </c>
      <c r="AQ42" s="167"/>
      <c r="AR42" s="180">
        <v>9.6</v>
      </c>
      <c r="AS42" s="166">
        <v>3.96600048385729</v>
      </c>
      <c r="AT42" s="181" t="s">
        <v>54</v>
      </c>
      <c r="AU42" s="173">
        <v>0.24787503024108101</v>
      </c>
      <c r="AV42" s="174">
        <v>-34.086530222378599</v>
      </c>
      <c r="AW42" s="168"/>
      <c r="AX42" s="168"/>
      <c r="AY42" s="176">
        <v>30</v>
      </c>
      <c r="AZ42" s="176">
        <v>37</v>
      </c>
      <c r="BA42" s="167"/>
      <c r="BB42" s="184">
        <v>63.6</v>
      </c>
      <c r="BC42" s="180">
        <v>26.2747532055545</v>
      </c>
      <c r="BD42" s="181" t="s">
        <v>55</v>
      </c>
      <c r="BE42" s="188">
        <v>0.82108603767358002</v>
      </c>
      <c r="BF42" s="171">
        <v>-23.773060444757299</v>
      </c>
      <c r="BG42" s="168"/>
      <c r="BH42" s="168"/>
      <c r="BI42" s="176">
        <v>14</v>
      </c>
      <c r="BJ42" s="176">
        <v>30</v>
      </c>
      <c r="BK42" s="169"/>
      <c r="BL42" s="185">
        <v>0.8</v>
      </c>
      <c r="BM42" s="188">
        <v>0.75</v>
      </c>
      <c r="BN42" s="186"/>
      <c r="BO42" s="187">
        <v>0.95</v>
      </c>
      <c r="BP42" s="178">
        <v>1</v>
      </c>
      <c r="BQ42" s="186">
        <v>2.5000000000000001E-3</v>
      </c>
    </row>
    <row r="43" spans="1:69" s="156" customFormat="1" ht="22.35" customHeight="1" x14ac:dyDescent="0.2">
      <c r="A43" s="165" t="s">
        <v>80</v>
      </c>
      <c r="B43" s="165" t="s">
        <v>81</v>
      </c>
      <c r="C43" s="165" t="s">
        <v>95</v>
      </c>
      <c r="D43" s="166">
        <v>1.61576985288889</v>
      </c>
      <c r="E43" s="167"/>
      <c r="F43" s="168">
        <v>0.01</v>
      </c>
      <c r="G43" s="168">
        <v>0.01</v>
      </c>
      <c r="H43" s="169"/>
      <c r="I43" s="170">
        <v>2</v>
      </c>
      <c r="J43" s="170">
        <v>2</v>
      </c>
      <c r="K43" s="167"/>
      <c r="L43" s="171">
        <v>191.56234000000001</v>
      </c>
      <c r="M43" s="171">
        <v>957.29351999999994</v>
      </c>
      <c r="N43" s="171">
        <v>1148.8558599999999</v>
      </c>
      <c r="O43" s="166">
        <v>711.02691880648899</v>
      </c>
      <c r="P43" s="172">
        <v>244.696</v>
      </c>
      <c r="Q43" s="178">
        <v>2.90575619873839</v>
      </c>
      <c r="R43" s="179">
        <v>702.87577032742001</v>
      </c>
      <c r="S43" s="168">
        <v>0.01</v>
      </c>
      <c r="T43" s="168">
        <v>0.01</v>
      </c>
      <c r="U43" s="175">
        <v>0</v>
      </c>
      <c r="V43" s="176">
        <v>0</v>
      </c>
      <c r="W43" s="167"/>
      <c r="X43" s="175">
        <v>753.19403999999997</v>
      </c>
      <c r="Y43" s="166">
        <v>466.15180909170903</v>
      </c>
      <c r="Z43" s="177">
        <v>573</v>
      </c>
      <c r="AA43" s="188">
        <v>0.81352846263823497</v>
      </c>
      <c r="AB43" s="171">
        <v>-291.14910979561699</v>
      </c>
      <c r="AC43" s="168"/>
      <c r="AD43" s="168"/>
      <c r="AE43" s="176">
        <v>173</v>
      </c>
      <c r="AF43" s="176">
        <v>358</v>
      </c>
      <c r="AG43" s="167"/>
      <c r="AH43" s="180">
        <v>74.099999999999994</v>
      </c>
      <c r="AI43" s="166">
        <v>45.8604917448572</v>
      </c>
      <c r="AJ43" s="181" t="s">
        <v>53</v>
      </c>
      <c r="AK43" s="173">
        <v>0.72794431341043098</v>
      </c>
      <c r="AL43" s="174">
        <v>-40.723068825696103</v>
      </c>
      <c r="AM43" s="168"/>
      <c r="AN43" s="168"/>
      <c r="AO43" s="176">
        <v>28</v>
      </c>
      <c r="AP43" s="176">
        <v>49</v>
      </c>
      <c r="AQ43" s="167"/>
      <c r="AR43" s="180">
        <v>7</v>
      </c>
      <c r="AS43" s="166">
        <v>4.3323001648313104</v>
      </c>
      <c r="AT43" s="181" t="s">
        <v>54</v>
      </c>
      <c r="AU43" s="173">
        <v>0.27076876030195701</v>
      </c>
      <c r="AV43" s="174">
        <v>-22.161414304938699</v>
      </c>
      <c r="AW43" s="168"/>
      <c r="AX43" s="168"/>
      <c r="AY43" s="176">
        <v>19</v>
      </c>
      <c r="AZ43" s="176">
        <v>25</v>
      </c>
      <c r="BA43" s="167"/>
      <c r="BB43" s="184">
        <v>42</v>
      </c>
      <c r="BC43" s="180">
        <v>25.9938009889879</v>
      </c>
      <c r="BD43" s="181" t="s">
        <v>55</v>
      </c>
      <c r="BE43" s="188">
        <v>0.81230628090587098</v>
      </c>
      <c r="BF43" s="171">
        <v>-16.322828609877401</v>
      </c>
      <c r="BG43" s="168"/>
      <c r="BH43" s="168"/>
      <c r="BI43" s="176">
        <v>10</v>
      </c>
      <c r="BJ43" s="176">
        <v>21</v>
      </c>
      <c r="BK43" s="169"/>
      <c r="BL43" s="185">
        <v>0.8</v>
      </c>
      <c r="BM43" s="173">
        <v>0.68</v>
      </c>
      <c r="BN43" s="186"/>
      <c r="BO43" s="187">
        <v>0.95</v>
      </c>
      <c r="BP43" s="178">
        <v>1</v>
      </c>
      <c r="BQ43" s="186">
        <v>2.5000000000000001E-3</v>
      </c>
    </row>
    <row r="44" spans="1:69" s="156" customFormat="1" ht="22.35" customHeight="1" x14ac:dyDescent="0.2">
      <c r="A44" s="165" t="s">
        <v>80</v>
      </c>
      <c r="B44" s="165" t="s">
        <v>81</v>
      </c>
      <c r="C44" s="165" t="s">
        <v>96</v>
      </c>
      <c r="D44" s="166">
        <v>2.3852260407777801</v>
      </c>
      <c r="E44" s="167"/>
      <c r="F44" s="168">
        <v>0.05</v>
      </c>
      <c r="G44" s="168">
        <v>4.9000000000000002E-2</v>
      </c>
      <c r="H44" s="169"/>
      <c r="I44" s="170">
        <v>5</v>
      </c>
      <c r="J44" s="170">
        <v>5</v>
      </c>
      <c r="K44" s="167"/>
      <c r="L44" s="171">
        <v>736.09851000000003</v>
      </c>
      <c r="M44" s="171">
        <v>1357.84575</v>
      </c>
      <c r="N44" s="171">
        <v>2093.9442600000002</v>
      </c>
      <c r="O44" s="166">
        <v>877.88084827264595</v>
      </c>
      <c r="P44" s="172">
        <v>239.304</v>
      </c>
      <c r="Q44" s="178">
        <v>3.66847544659782</v>
      </c>
      <c r="R44" s="179">
        <v>1450.0884785825399</v>
      </c>
      <c r="S44" s="168">
        <v>0.01</v>
      </c>
      <c r="T44" s="168">
        <v>0.01</v>
      </c>
      <c r="U44" s="175">
        <v>0</v>
      </c>
      <c r="V44" s="176">
        <v>0</v>
      </c>
      <c r="W44" s="167"/>
      <c r="X44" s="175">
        <v>1275.37798</v>
      </c>
      <c r="Y44" s="166">
        <v>534.69900051238903</v>
      </c>
      <c r="Z44" s="177">
        <v>573</v>
      </c>
      <c r="AA44" s="188">
        <v>0.93315706895704797</v>
      </c>
      <c r="AB44" s="171">
        <v>-266.29856010047399</v>
      </c>
      <c r="AC44" s="168"/>
      <c r="AD44" s="168"/>
      <c r="AE44" s="176">
        <v>92</v>
      </c>
      <c r="AF44" s="176">
        <v>365</v>
      </c>
      <c r="AG44" s="167"/>
      <c r="AH44" s="180">
        <v>178.1</v>
      </c>
      <c r="AI44" s="166">
        <v>74.667975678282005</v>
      </c>
      <c r="AJ44" s="181" t="s">
        <v>53</v>
      </c>
      <c r="AK44" s="178">
        <v>1.18520596314733</v>
      </c>
      <c r="AL44" s="179">
        <v>8.5962966381678108</v>
      </c>
      <c r="AM44" s="168">
        <v>0.02</v>
      </c>
      <c r="AN44" s="168">
        <v>1.9E-2</v>
      </c>
      <c r="AO44" s="176">
        <v>0</v>
      </c>
      <c r="AP44" s="176">
        <v>3</v>
      </c>
      <c r="AQ44" s="167"/>
      <c r="AR44" s="180">
        <v>31.4</v>
      </c>
      <c r="AS44" s="166">
        <v>13.164370782133901</v>
      </c>
      <c r="AT44" s="181" t="s">
        <v>54</v>
      </c>
      <c r="AU44" s="188">
        <v>0.82277317388337101</v>
      </c>
      <c r="AV44" s="171">
        <v>-11.6485595839574</v>
      </c>
      <c r="AW44" s="168"/>
      <c r="AX44" s="168"/>
      <c r="AY44" s="176">
        <v>7</v>
      </c>
      <c r="AZ44" s="176">
        <v>15</v>
      </c>
      <c r="BA44" s="167"/>
      <c r="BB44" s="184">
        <v>111.6</v>
      </c>
      <c r="BC44" s="180">
        <v>46.788018448603403</v>
      </c>
      <c r="BD44" s="181" t="s">
        <v>55</v>
      </c>
      <c r="BE44" s="178">
        <v>1.4621255765188601</v>
      </c>
      <c r="BF44" s="179">
        <v>25.5028808320853</v>
      </c>
      <c r="BG44" s="168">
        <v>0.02</v>
      </c>
      <c r="BH44" s="168">
        <v>0.02</v>
      </c>
      <c r="BI44" s="176">
        <v>0</v>
      </c>
      <c r="BJ44" s="176">
        <v>0</v>
      </c>
      <c r="BK44" s="169"/>
      <c r="BL44" s="185">
        <v>0.8</v>
      </c>
      <c r="BM44" s="182">
        <v>0.82</v>
      </c>
      <c r="BN44" s="186">
        <v>7.5000000000000002E-4</v>
      </c>
      <c r="BO44" s="187">
        <v>0.95</v>
      </c>
      <c r="BP44" s="178">
        <v>1</v>
      </c>
      <c r="BQ44" s="186">
        <v>2.5000000000000001E-3</v>
      </c>
    </row>
    <row r="45" spans="1:69" s="156" customFormat="1" ht="22.35" customHeight="1" x14ac:dyDescent="0.2">
      <c r="A45" s="165" t="s">
        <v>80</v>
      </c>
      <c r="B45" s="165" t="s">
        <v>81</v>
      </c>
      <c r="C45" s="165" t="s">
        <v>97</v>
      </c>
      <c r="D45" s="166">
        <v>2.94060150377778</v>
      </c>
      <c r="E45" s="167"/>
      <c r="F45" s="168">
        <v>0.05</v>
      </c>
      <c r="G45" s="168">
        <v>4.2999999999999997E-2</v>
      </c>
      <c r="H45" s="169"/>
      <c r="I45" s="170">
        <v>5</v>
      </c>
      <c r="J45" s="170">
        <v>5</v>
      </c>
      <c r="K45" s="167"/>
      <c r="L45" s="171">
        <v>3177.3970899999999</v>
      </c>
      <c r="M45" s="171">
        <v>1915.66651</v>
      </c>
      <c r="N45" s="171">
        <v>5093.0636000000004</v>
      </c>
      <c r="O45" s="166">
        <v>1731.9802065859501</v>
      </c>
      <c r="P45" s="172">
        <v>287.5</v>
      </c>
      <c r="Q45" s="178">
        <v>6.0242789794293898</v>
      </c>
      <c r="R45" s="179">
        <v>4139.4265323248701</v>
      </c>
      <c r="S45" s="168">
        <v>0.01</v>
      </c>
      <c r="T45" s="168">
        <v>0.01</v>
      </c>
      <c r="U45" s="175">
        <v>0</v>
      </c>
      <c r="V45" s="176">
        <v>0</v>
      </c>
      <c r="W45" s="167"/>
      <c r="X45" s="175">
        <v>1903.4792199999999</v>
      </c>
      <c r="Y45" s="166">
        <v>647.30947649812697</v>
      </c>
      <c r="Z45" s="177">
        <v>573</v>
      </c>
      <c r="AA45" s="178">
        <v>1.12968495025851</v>
      </c>
      <c r="AB45" s="179">
        <v>2.8390816422540901</v>
      </c>
      <c r="AC45" s="168">
        <v>0.02</v>
      </c>
      <c r="AD45" s="168">
        <v>1.2999999999999999E-2</v>
      </c>
      <c r="AE45" s="176">
        <v>0</v>
      </c>
      <c r="AF45" s="176">
        <v>119</v>
      </c>
      <c r="AG45" s="167"/>
      <c r="AH45" s="180">
        <v>108.85</v>
      </c>
      <c r="AI45" s="166">
        <v>37.016236256480497</v>
      </c>
      <c r="AJ45" s="181" t="s">
        <v>53</v>
      </c>
      <c r="AK45" s="173">
        <v>0.58755930565841996</v>
      </c>
      <c r="AL45" s="174">
        <v>-100.120905264464</v>
      </c>
      <c r="AM45" s="168"/>
      <c r="AN45" s="168"/>
      <c r="AO45" s="176">
        <v>77</v>
      </c>
      <c r="AP45" s="176">
        <v>114</v>
      </c>
      <c r="AQ45" s="167"/>
      <c r="AR45" s="180">
        <v>17.8</v>
      </c>
      <c r="AS45" s="166">
        <v>6.0531833290340202</v>
      </c>
      <c r="AT45" s="181" t="s">
        <v>54</v>
      </c>
      <c r="AU45" s="173">
        <v>0.37832395806462599</v>
      </c>
      <c r="AV45" s="174">
        <v>-35.271975940181399</v>
      </c>
      <c r="AW45" s="168"/>
      <c r="AX45" s="168"/>
      <c r="AY45" s="176">
        <v>30</v>
      </c>
      <c r="AZ45" s="176">
        <v>39</v>
      </c>
      <c r="BA45" s="167"/>
      <c r="BB45" s="184">
        <v>121</v>
      </c>
      <c r="BC45" s="180">
        <v>41.148043978264901</v>
      </c>
      <c r="BD45" s="181" t="s">
        <v>55</v>
      </c>
      <c r="BE45" s="178">
        <v>1.2858763743207799</v>
      </c>
      <c r="BF45" s="179">
        <v>14.856048119637199</v>
      </c>
      <c r="BG45" s="168">
        <v>0.02</v>
      </c>
      <c r="BH45" s="168">
        <v>0.02</v>
      </c>
      <c r="BI45" s="176">
        <v>0</v>
      </c>
      <c r="BJ45" s="176">
        <v>0</v>
      </c>
      <c r="BK45" s="169"/>
      <c r="BL45" s="185">
        <v>0.8</v>
      </c>
      <c r="BM45" s="182">
        <v>0.81</v>
      </c>
      <c r="BN45" s="186">
        <v>3.7500000000000001E-4</v>
      </c>
      <c r="BO45" s="187">
        <v>0.95</v>
      </c>
      <c r="BP45" s="178">
        <v>1</v>
      </c>
      <c r="BQ45" s="186">
        <v>2.5000000000000001E-3</v>
      </c>
    </row>
    <row r="46" spans="1:69" s="156" customFormat="1" ht="22.35" customHeight="1" x14ac:dyDescent="0.2">
      <c r="A46" s="165" t="s">
        <v>80</v>
      </c>
      <c r="B46" s="165" t="s">
        <v>81</v>
      </c>
      <c r="C46" s="165" t="s">
        <v>98</v>
      </c>
      <c r="D46" s="166">
        <v>8.6630214135555601</v>
      </c>
      <c r="E46" s="167"/>
      <c r="F46" s="168">
        <v>2.1000000000000001E-2</v>
      </c>
      <c r="G46" s="168">
        <v>1.4999999999999999E-2</v>
      </c>
      <c r="H46" s="169"/>
      <c r="I46" s="170">
        <v>3</v>
      </c>
      <c r="J46" s="170">
        <v>3</v>
      </c>
      <c r="K46" s="167"/>
      <c r="L46" s="171">
        <v>3857.9786600000002</v>
      </c>
      <c r="M46" s="171">
        <v>4763.6888300000001</v>
      </c>
      <c r="N46" s="171">
        <v>8621.6674899999998</v>
      </c>
      <c r="O46" s="166">
        <v>995.22638562443694</v>
      </c>
      <c r="P46" s="172">
        <v>276.44</v>
      </c>
      <c r="Q46" s="178">
        <v>3.6001533266692101</v>
      </c>
      <c r="R46" s="179">
        <v>5920.3267285725997</v>
      </c>
      <c r="S46" s="168">
        <v>0.01</v>
      </c>
      <c r="T46" s="168">
        <v>0.01</v>
      </c>
      <c r="U46" s="175">
        <v>0</v>
      </c>
      <c r="V46" s="176">
        <v>0</v>
      </c>
      <c r="W46" s="167"/>
      <c r="X46" s="175">
        <v>4325.3927299999996</v>
      </c>
      <c r="Y46" s="166">
        <v>499.29378256318199</v>
      </c>
      <c r="Z46" s="177">
        <v>573</v>
      </c>
      <c r="AA46" s="188">
        <v>0.87136785787640902</v>
      </c>
      <c r="AB46" s="171">
        <v>-1273.8991825231601</v>
      </c>
      <c r="AC46" s="168"/>
      <c r="AD46" s="168"/>
      <c r="AE46" s="176">
        <v>639</v>
      </c>
      <c r="AF46" s="176">
        <v>1632</v>
      </c>
      <c r="AG46" s="167"/>
      <c r="AH46" s="180">
        <v>496.25</v>
      </c>
      <c r="AI46" s="166">
        <v>57.283709263778</v>
      </c>
      <c r="AJ46" s="181" t="s">
        <v>53</v>
      </c>
      <c r="AK46" s="188">
        <v>0.90926522640917495</v>
      </c>
      <c r="AL46" s="171">
        <v>-119.378953732912</v>
      </c>
      <c r="AM46" s="168"/>
      <c r="AN46" s="168"/>
      <c r="AO46" s="176">
        <v>50</v>
      </c>
      <c r="AP46" s="176">
        <v>159</v>
      </c>
      <c r="AQ46" s="167"/>
      <c r="AR46" s="180">
        <v>22</v>
      </c>
      <c r="AS46" s="166">
        <v>2.53952968020779</v>
      </c>
      <c r="AT46" s="181" t="s">
        <v>54</v>
      </c>
      <c r="AU46" s="173">
        <v>0.15872060501298699</v>
      </c>
      <c r="AV46" s="174">
        <v>-134.350210471851</v>
      </c>
      <c r="AW46" s="168"/>
      <c r="AX46" s="168"/>
      <c r="AY46" s="176">
        <v>117</v>
      </c>
      <c r="AZ46" s="176">
        <v>145</v>
      </c>
      <c r="BA46" s="167"/>
      <c r="BB46" s="184">
        <v>290</v>
      </c>
      <c r="BC46" s="180">
        <v>33.47561851183</v>
      </c>
      <c r="BD46" s="181" t="s">
        <v>55</v>
      </c>
      <c r="BE46" s="182">
        <v>1.0461130784946899</v>
      </c>
      <c r="BF46" s="183">
        <v>-22.700420943701499</v>
      </c>
      <c r="BG46" s="168">
        <v>1.0999999999999999E-2</v>
      </c>
      <c r="BH46" s="168">
        <v>5.0000000000000001E-3</v>
      </c>
      <c r="BI46" s="176">
        <v>0</v>
      </c>
      <c r="BJ46" s="176">
        <v>43</v>
      </c>
      <c r="BK46" s="169"/>
      <c r="BL46" s="185">
        <v>0.8</v>
      </c>
      <c r="BM46" s="188">
        <v>0.7</v>
      </c>
      <c r="BN46" s="186"/>
      <c r="BO46" s="187">
        <v>0.95</v>
      </c>
      <c r="BP46" s="178">
        <v>1</v>
      </c>
      <c r="BQ46" s="186">
        <v>2.5000000000000001E-3</v>
      </c>
    </row>
    <row r="47" spans="1:69" s="156" customFormat="1" ht="22.35" customHeight="1" x14ac:dyDescent="0.2">
      <c r="A47" s="165" t="s">
        <v>80</v>
      </c>
      <c r="B47" s="165" t="s">
        <v>81</v>
      </c>
      <c r="C47" s="165" t="s">
        <v>99</v>
      </c>
      <c r="D47" s="166">
        <v>2.3098195907777801</v>
      </c>
      <c r="E47" s="167"/>
      <c r="F47" s="168">
        <v>0.01</v>
      </c>
      <c r="G47" s="168">
        <v>0.01</v>
      </c>
      <c r="H47" s="169"/>
      <c r="I47" s="170">
        <v>2</v>
      </c>
      <c r="J47" s="170">
        <v>2</v>
      </c>
      <c r="K47" s="167"/>
      <c r="L47" s="171">
        <v>475.94411000000002</v>
      </c>
      <c r="M47" s="171">
        <v>1173.26171</v>
      </c>
      <c r="N47" s="171">
        <v>1649.2058199999999</v>
      </c>
      <c r="O47" s="166">
        <v>713.99767608892296</v>
      </c>
      <c r="P47" s="172">
        <v>236.59800000000001</v>
      </c>
      <c r="Q47" s="178">
        <v>3.0177671666240702</v>
      </c>
      <c r="R47" s="179">
        <v>1032.75529143219</v>
      </c>
      <c r="S47" s="168">
        <v>0.01</v>
      </c>
      <c r="T47" s="168">
        <v>0.01</v>
      </c>
      <c r="U47" s="175">
        <v>0</v>
      </c>
      <c r="V47" s="176">
        <v>0</v>
      </c>
      <c r="W47" s="167"/>
      <c r="X47" s="175">
        <v>1091.13797</v>
      </c>
      <c r="Y47" s="166">
        <v>472.390992940096</v>
      </c>
      <c r="Z47" s="177">
        <v>573</v>
      </c>
      <c r="AA47" s="188">
        <v>0.82441709064589097</v>
      </c>
      <c r="AB47" s="171">
        <v>-401.80006358167401</v>
      </c>
      <c r="AC47" s="168"/>
      <c r="AD47" s="168"/>
      <c r="AE47" s="176">
        <v>233</v>
      </c>
      <c r="AF47" s="176">
        <v>498</v>
      </c>
      <c r="AG47" s="167"/>
      <c r="AH47" s="180">
        <v>99.25</v>
      </c>
      <c r="AI47" s="166">
        <v>42.968723789627198</v>
      </c>
      <c r="AJ47" s="181" t="s">
        <v>53</v>
      </c>
      <c r="AK47" s="173">
        <v>0.68204323475598705</v>
      </c>
      <c r="AL47" s="174">
        <v>-64.895019399032194</v>
      </c>
      <c r="AM47" s="168"/>
      <c r="AN47" s="168"/>
      <c r="AO47" s="176">
        <v>47</v>
      </c>
      <c r="AP47" s="176">
        <v>76</v>
      </c>
      <c r="AQ47" s="167"/>
      <c r="AR47" s="180">
        <v>1</v>
      </c>
      <c r="AS47" s="166">
        <v>0.43293424473176001</v>
      </c>
      <c r="AT47" s="181" t="s">
        <v>54</v>
      </c>
      <c r="AU47" s="173">
        <v>2.7058390295735001E-2</v>
      </c>
      <c r="AV47" s="174">
        <v>-40.6876239743574</v>
      </c>
      <c r="AW47" s="168"/>
      <c r="AX47" s="168"/>
      <c r="AY47" s="176">
        <v>36</v>
      </c>
      <c r="AZ47" s="176">
        <v>44</v>
      </c>
      <c r="BA47" s="167"/>
      <c r="BB47" s="184">
        <v>63.2</v>
      </c>
      <c r="BC47" s="180">
        <v>27.361444267047201</v>
      </c>
      <c r="BD47" s="181" t="s">
        <v>55</v>
      </c>
      <c r="BE47" s="188">
        <v>0.85504513334522603</v>
      </c>
      <c r="BF47" s="171">
        <v>-20.175247948714802</v>
      </c>
      <c r="BG47" s="168"/>
      <c r="BH47" s="168"/>
      <c r="BI47" s="176">
        <v>11</v>
      </c>
      <c r="BJ47" s="176">
        <v>26</v>
      </c>
      <c r="BK47" s="169"/>
      <c r="BL47" s="185">
        <v>0.8</v>
      </c>
      <c r="BM47" s="188">
        <v>0.72</v>
      </c>
      <c r="BN47" s="186"/>
      <c r="BO47" s="187">
        <v>0.95</v>
      </c>
      <c r="BP47" s="178">
        <v>1</v>
      </c>
      <c r="BQ47" s="186">
        <v>2.5000000000000001E-3</v>
      </c>
    </row>
    <row r="48" spans="1:69" s="156" customFormat="1" ht="22.35" customHeight="1" x14ac:dyDescent="0.2">
      <c r="A48" s="165" t="s">
        <v>80</v>
      </c>
      <c r="B48" s="165" t="s">
        <v>100</v>
      </c>
      <c r="C48" s="165" t="s">
        <v>101</v>
      </c>
      <c r="D48" s="166">
        <v>2.9631336405555602</v>
      </c>
      <c r="E48" s="167"/>
      <c r="F48" s="168">
        <v>0.04</v>
      </c>
      <c r="G48" s="168">
        <v>0.04</v>
      </c>
      <c r="H48" s="169"/>
      <c r="I48" s="170">
        <v>4</v>
      </c>
      <c r="J48" s="170">
        <v>4</v>
      </c>
      <c r="K48" s="167"/>
      <c r="L48" s="171">
        <v>1650.86736</v>
      </c>
      <c r="M48" s="171">
        <v>1798.0958700000001</v>
      </c>
      <c r="N48" s="171">
        <v>3448.9632299999998</v>
      </c>
      <c r="O48" s="166">
        <v>1163.9580418496901</v>
      </c>
      <c r="P48" s="172">
        <v>287.5</v>
      </c>
      <c r="Q48" s="178">
        <v>4.04854971078153</v>
      </c>
      <c r="R48" s="179">
        <v>2488.0189903678302</v>
      </c>
      <c r="S48" s="168">
        <v>0.01</v>
      </c>
      <c r="T48" s="168">
        <v>0.01</v>
      </c>
      <c r="U48" s="175">
        <v>0</v>
      </c>
      <c r="V48" s="176">
        <v>0</v>
      </c>
      <c r="W48" s="167"/>
      <c r="X48" s="175">
        <v>1526.6042749999999</v>
      </c>
      <c r="Y48" s="166">
        <v>515.19926543501401</v>
      </c>
      <c r="Z48" s="177">
        <v>573</v>
      </c>
      <c r="AA48" s="188">
        <v>0.89912611768763295</v>
      </c>
      <c r="AB48" s="171">
        <v>-388.59937477124299</v>
      </c>
      <c r="AC48" s="168"/>
      <c r="AD48" s="168"/>
      <c r="AE48" s="176">
        <v>172</v>
      </c>
      <c r="AF48" s="176">
        <v>511</v>
      </c>
      <c r="AG48" s="167"/>
      <c r="AH48" s="180">
        <v>164.5</v>
      </c>
      <c r="AI48" s="166">
        <v>55.515552099485497</v>
      </c>
      <c r="AJ48" s="181" t="s">
        <v>53</v>
      </c>
      <c r="AK48" s="188">
        <v>0.88119923967437297</v>
      </c>
      <c r="AL48" s="171">
        <v>-46.072129032440401</v>
      </c>
      <c r="AM48" s="168"/>
      <c r="AN48" s="168"/>
      <c r="AO48" s="176">
        <v>23</v>
      </c>
      <c r="AP48" s="176">
        <v>60</v>
      </c>
      <c r="AQ48" s="167"/>
      <c r="AR48" s="180">
        <v>57.9</v>
      </c>
      <c r="AS48" s="166">
        <v>19.540124416779399</v>
      </c>
      <c r="AT48" s="181" t="s">
        <v>54</v>
      </c>
      <c r="AU48" s="178">
        <v>1.22125777604871</v>
      </c>
      <c r="AV48" s="179">
        <v>4.4213640552532398</v>
      </c>
      <c r="AW48" s="168">
        <v>0.01</v>
      </c>
      <c r="AX48" s="168">
        <v>0.01</v>
      </c>
      <c r="AY48" s="176">
        <v>0</v>
      </c>
      <c r="AZ48" s="176">
        <v>0</v>
      </c>
      <c r="BA48" s="167"/>
      <c r="BB48" s="184">
        <v>120</v>
      </c>
      <c r="BC48" s="180">
        <v>40.497667185034999</v>
      </c>
      <c r="BD48" s="181" t="s">
        <v>55</v>
      </c>
      <c r="BE48" s="178">
        <v>1.2655520995323399</v>
      </c>
      <c r="BF48" s="179">
        <v>13.0427281105065</v>
      </c>
      <c r="BG48" s="168">
        <v>0.02</v>
      </c>
      <c r="BH48" s="168">
        <v>0.02</v>
      </c>
      <c r="BI48" s="176">
        <v>0</v>
      </c>
      <c r="BJ48" s="176">
        <v>0</v>
      </c>
      <c r="BK48" s="169"/>
      <c r="BL48" s="185">
        <v>0.8</v>
      </c>
      <c r="BM48" s="173">
        <v>0.64</v>
      </c>
      <c r="BN48" s="186"/>
      <c r="BO48" s="187">
        <v>0.95</v>
      </c>
      <c r="BP48" s="178">
        <v>1</v>
      </c>
      <c r="BQ48" s="186">
        <v>2.5000000000000001E-3</v>
      </c>
    </row>
    <row r="49" spans="1:69" s="156" customFormat="1" ht="22.35" customHeight="1" x14ac:dyDescent="0.2">
      <c r="A49" s="165" t="s">
        <v>80</v>
      </c>
      <c r="B49" s="165" t="s">
        <v>100</v>
      </c>
      <c r="C49" s="165" t="s">
        <v>102</v>
      </c>
      <c r="D49" s="166">
        <v>3.6627518924444402</v>
      </c>
      <c r="E49" s="167"/>
      <c r="F49" s="168">
        <v>0.01</v>
      </c>
      <c r="G49" s="168">
        <v>0.01</v>
      </c>
      <c r="H49" s="169"/>
      <c r="I49" s="170">
        <v>2</v>
      </c>
      <c r="J49" s="170">
        <v>2</v>
      </c>
      <c r="K49" s="167"/>
      <c r="L49" s="171">
        <v>3625.0295299999998</v>
      </c>
      <c r="M49" s="171">
        <v>111.16392</v>
      </c>
      <c r="N49" s="171">
        <v>3736.1934500000002</v>
      </c>
      <c r="O49" s="166">
        <v>1020.05092338006</v>
      </c>
      <c r="P49" s="172">
        <v>265.84899999999999</v>
      </c>
      <c r="Q49" s="178">
        <v>3.8369560290994502</v>
      </c>
      <c r="R49" s="179">
        <v>2637.8159393801702</v>
      </c>
      <c r="S49" s="168">
        <v>0.01</v>
      </c>
      <c r="T49" s="168">
        <v>0.01</v>
      </c>
      <c r="U49" s="175">
        <v>0</v>
      </c>
      <c r="V49" s="176">
        <v>0</v>
      </c>
      <c r="W49" s="167"/>
      <c r="X49" s="175">
        <v>1604.648825</v>
      </c>
      <c r="Y49" s="166">
        <v>438.09924125903302</v>
      </c>
      <c r="Z49" s="177">
        <v>573</v>
      </c>
      <c r="AA49" s="188">
        <v>0.76457110167370601</v>
      </c>
      <c r="AB49" s="171">
        <v>-762.74888417010902</v>
      </c>
      <c r="AC49" s="168"/>
      <c r="AD49" s="168"/>
      <c r="AE49" s="176">
        <v>495</v>
      </c>
      <c r="AF49" s="176">
        <v>914</v>
      </c>
      <c r="AG49" s="167"/>
      <c r="AH49" s="180">
        <v>124.6</v>
      </c>
      <c r="AI49" s="166">
        <v>34.018138181028803</v>
      </c>
      <c r="AJ49" s="181" t="s">
        <v>53</v>
      </c>
      <c r="AK49" s="173">
        <v>0.53997044731791799</v>
      </c>
      <c r="AL49" s="174">
        <v>-135.68980048467199</v>
      </c>
      <c r="AM49" s="168"/>
      <c r="AN49" s="168"/>
      <c r="AO49" s="176">
        <v>107</v>
      </c>
      <c r="AP49" s="176">
        <v>153</v>
      </c>
      <c r="AQ49" s="167"/>
      <c r="AR49" s="180">
        <v>4.8</v>
      </c>
      <c r="AS49" s="166">
        <v>1.31049007438955</v>
      </c>
      <c r="AT49" s="181" t="s">
        <v>54</v>
      </c>
      <c r="AU49" s="173">
        <v>8.1905629649346903E-2</v>
      </c>
      <c r="AV49" s="174">
        <v>-61.305346154837302</v>
      </c>
      <c r="AW49" s="168"/>
      <c r="AX49" s="168"/>
      <c r="AY49" s="176">
        <v>54</v>
      </c>
      <c r="AZ49" s="176">
        <v>66</v>
      </c>
      <c r="BA49" s="167"/>
      <c r="BB49" s="184">
        <v>94.6</v>
      </c>
      <c r="BC49" s="180">
        <v>25.8275752160941</v>
      </c>
      <c r="BD49" s="181" t="s">
        <v>55</v>
      </c>
      <c r="BE49" s="188">
        <v>0.80711172550294097</v>
      </c>
      <c r="BF49" s="171">
        <v>-37.610692309674498</v>
      </c>
      <c r="BG49" s="168"/>
      <c r="BH49" s="168"/>
      <c r="BI49" s="176">
        <v>23</v>
      </c>
      <c r="BJ49" s="176">
        <v>47</v>
      </c>
      <c r="BK49" s="169"/>
      <c r="BL49" s="185">
        <v>0.8</v>
      </c>
      <c r="BM49" s="173">
        <v>0.64</v>
      </c>
      <c r="BN49" s="186"/>
      <c r="BO49" s="187">
        <v>0.95</v>
      </c>
      <c r="BP49" s="178">
        <v>1</v>
      </c>
      <c r="BQ49" s="186">
        <v>2.5000000000000001E-3</v>
      </c>
    </row>
    <row r="50" spans="1:69" s="156" customFormat="1" ht="22.35" customHeight="1" x14ac:dyDescent="0.2">
      <c r="A50" s="165" t="s">
        <v>80</v>
      </c>
      <c r="B50" s="165" t="s">
        <v>100</v>
      </c>
      <c r="C50" s="165" t="s">
        <v>103</v>
      </c>
      <c r="D50" s="166">
        <v>4.5139963626666697</v>
      </c>
      <c r="E50" s="167"/>
      <c r="F50" s="168">
        <v>0.01</v>
      </c>
      <c r="G50" s="168">
        <v>0.01</v>
      </c>
      <c r="H50" s="169"/>
      <c r="I50" s="170">
        <v>2</v>
      </c>
      <c r="J50" s="170">
        <v>2</v>
      </c>
      <c r="K50" s="167"/>
      <c r="L50" s="171">
        <v>2450.5290500000001</v>
      </c>
      <c r="M50" s="171">
        <v>2174.1181099999999</v>
      </c>
      <c r="N50" s="171">
        <v>4624.6471600000004</v>
      </c>
      <c r="O50" s="166">
        <v>1024.51282376931</v>
      </c>
      <c r="P50" s="172">
        <v>287.5</v>
      </c>
      <c r="Q50" s="178">
        <v>3.5635228652845599</v>
      </c>
      <c r="R50" s="179">
        <v>3160.7581395871998</v>
      </c>
      <c r="S50" s="168">
        <v>0.01</v>
      </c>
      <c r="T50" s="168">
        <v>0.01</v>
      </c>
      <c r="U50" s="175">
        <v>0</v>
      </c>
      <c r="V50" s="176">
        <v>0</v>
      </c>
      <c r="W50" s="167"/>
      <c r="X50" s="175">
        <v>1456.1579400000001</v>
      </c>
      <c r="Y50" s="166">
        <v>322.58730911776098</v>
      </c>
      <c r="Z50" s="177">
        <v>573</v>
      </c>
      <c r="AA50" s="173">
        <v>0.56297959706415501</v>
      </c>
      <c r="AB50" s="174">
        <v>-1461.4365250314299</v>
      </c>
      <c r="AC50" s="168"/>
      <c r="AD50" s="168"/>
      <c r="AE50" s="176">
        <v>1131</v>
      </c>
      <c r="AF50" s="176">
        <v>1648</v>
      </c>
      <c r="AG50" s="167"/>
      <c r="AH50" s="180">
        <v>147.1</v>
      </c>
      <c r="AI50" s="166">
        <v>32.587531797012801</v>
      </c>
      <c r="AJ50" s="181" t="s">
        <v>53</v>
      </c>
      <c r="AK50" s="173">
        <v>0.51726240947639301</v>
      </c>
      <c r="AL50" s="174">
        <v>-173.68263751654399</v>
      </c>
      <c r="AM50" s="168"/>
      <c r="AN50" s="168"/>
      <c r="AO50" s="176">
        <v>138</v>
      </c>
      <c r="AP50" s="176">
        <v>195</v>
      </c>
      <c r="AQ50" s="167"/>
      <c r="AR50" s="180">
        <v>17.100000000000001</v>
      </c>
      <c r="AS50" s="166">
        <v>3.7882174964576398</v>
      </c>
      <c r="AT50" s="181" t="s">
        <v>54</v>
      </c>
      <c r="AU50" s="173">
        <v>0.23676359352860299</v>
      </c>
      <c r="AV50" s="174">
        <v>-64.368606353408097</v>
      </c>
      <c r="AW50" s="168"/>
      <c r="AX50" s="168"/>
      <c r="AY50" s="176">
        <v>56</v>
      </c>
      <c r="AZ50" s="176">
        <v>70</v>
      </c>
      <c r="BA50" s="167"/>
      <c r="BB50" s="184">
        <v>104.6</v>
      </c>
      <c r="BC50" s="180">
        <v>23.1723713526005</v>
      </c>
      <c r="BD50" s="181" t="s">
        <v>55</v>
      </c>
      <c r="BE50" s="173">
        <v>0.72413660476876596</v>
      </c>
      <c r="BF50" s="174">
        <v>-58.337212706816103</v>
      </c>
      <c r="BG50" s="168"/>
      <c r="BH50" s="168"/>
      <c r="BI50" s="176">
        <v>40</v>
      </c>
      <c r="BJ50" s="176">
        <v>69</v>
      </c>
      <c r="BK50" s="169"/>
      <c r="BL50" s="185">
        <v>0.8</v>
      </c>
      <c r="BM50" s="173">
        <v>0.68</v>
      </c>
      <c r="BN50" s="186"/>
      <c r="BO50" s="187">
        <v>0.95</v>
      </c>
      <c r="BP50" s="178">
        <v>1</v>
      </c>
      <c r="BQ50" s="186">
        <v>2.5000000000000001E-3</v>
      </c>
    </row>
    <row r="51" spans="1:69" s="156" customFormat="1" ht="22.35" customHeight="1" x14ac:dyDescent="0.2">
      <c r="A51" s="165" t="s">
        <v>80</v>
      </c>
      <c r="B51" s="165" t="s">
        <v>100</v>
      </c>
      <c r="C51" s="165" t="s">
        <v>104</v>
      </c>
      <c r="D51" s="166">
        <v>2.2098362645555598</v>
      </c>
      <c r="E51" s="167"/>
      <c r="F51" s="168">
        <v>4.1000000000000002E-2</v>
      </c>
      <c r="G51" s="168">
        <v>3.5000000000000003E-2</v>
      </c>
      <c r="H51" s="169"/>
      <c r="I51" s="170">
        <v>4</v>
      </c>
      <c r="J51" s="170">
        <v>4</v>
      </c>
      <c r="K51" s="167"/>
      <c r="L51" s="171">
        <v>134.19263000000001</v>
      </c>
      <c r="M51" s="171">
        <v>2217.5909999999999</v>
      </c>
      <c r="N51" s="171">
        <v>2351.7836299999999</v>
      </c>
      <c r="O51" s="166">
        <v>1064.2343361457099</v>
      </c>
      <c r="P51" s="172">
        <v>287.5</v>
      </c>
      <c r="Q51" s="178">
        <v>3.70168464746334</v>
      </c>
      <c r="R51" s="179">
        <v>1635.13372940463</v>
      </c>
      <c r="S51" s="168">
        <v>0.01</v>
      </c>
      <c r="T51" s="168">
        <v>0.01</v>
      </c>
      <c r="U51" s="175">
        <v>0</v>
      </c>
      <c r="V51" s="176">
        <v>0</v>
      </c>
      <c r="W51" s="167"/>
      <c r="X51" s="175">
        <v>1123.0632949999999</v>
      </c>
      <c r="Y51" s="166">
        <v>508.21108921654502</v>
      </c>
      <c r="Z51" s="177">
        <v>573</v>
      </c>
      <c r="AA51" s="188">
        <v>0.88693034767285295</v>
      </c>
      <c r="AB51" s="171">
        <v>-305.25111557789899</v>
      </c>
      <c r="AC51" s="168"/>
      <c r="AD51" s="168"/>
      <c r="AE51" s="176">
        <v>144</v>
      </c>
      <c r="AF51" s="176">
        <v>397</v>
      </c>
      <c r="AG51" s="167"/>
      <c r="AH51" s="180">
        <v>145.65</v>
      </c>
      <c r="AI51" s="166">
        <v>65.909860534075904</v>
      </c>
      <c r="AJ51" s="181" t="s">
        <v>53</v>
      </c>
      <c r="AK51" s="182">
        <v>1.04618826244565</v>
      </c>
      <c r="AL51" s="183">
        <v>-11.3898043043763</v>
      </c>
      <c r="AM51" s="168">
        <v>1.0999999999999999E-2</v>
      </c>
      <c r="AN51" s="168">
        <v>5.0000000000000001E-3</v>
      </c>
      <c r="AO51" s="176">
        <v>0</v>
      </c>
      <c r="AP51" s="176">
        <v>22</v>
      </c>
      <c r="AQ51" s="167"/>
      <c r="AR51" s="180">
        <v>9.3000000000000007</v>
      </c>
      <c r="AS51" s="166">
        <v>4.2084565943488199</v>
      </c>
      <c r="AT51" s="181" t="s">
        <v>54</v>
      </c>
      <c r="AU51" s="173">
        <v>0.26302853714680102</v>
      </c>
      <c r="AV51" s="174">
        <v>-30.5831249026987</v>
      </c>
      <c r="AW51" s="168"/>
      <c r="AX51" s="168"/>
      <c r="AY51" s="176">
        <v>27</v>
      </c>
      <c r="AZ51" s="176">
        <v>34</v>
      </c>
      <c r="BA51" s="167"/>
      <c r="BB51" s="184">
        <v>104.6</v>
      </c>
      <c r="BC51" s="180">
        <v>47.333823631063098</v>
      </c>
      <c r="BD51" s="181" t="s">
        <v>55</v>
      </c>
      <c r="BE51" s="178">
        <v>1.47918198847072</v>
      </c>
      <c r="BF51" s="179">
        <v>24.833750194602501</v>
      </c>
      <c r="BG51" s="168">
        <v>0.02</v>
      </c>
      <c r="BH51" s="168">
        <v>0.02</v>
      </c>
      <c r="BI51" s="176">
        <v>0</v>
      </c>
      <c r="BJ51" s="176">
        <v>0</v>
      </c>
      <c r="BK51" s="169"/>
      <c r="BL51" s="185">
        <v>0.8</v>
      </c>
      <c r="BM51" s="188">
        <v>0.73</v>
      </c>
      <c r="BN51" s="186"/>
      <c r="BO51" s="187">
        <v>0.95</v>
      </c>
      <c r="BP51" s="178">
        <v>1</v>
      </c>
      <c r="BQ51" s="186">
        <v>2.5000000000000001E-3</v>
      </c>
    </row>
    <row r="52" spans="1:69" s="156" customFormat="1" ht="22.35" customHeight="1" x14ac:dyDescent="0.2">
      <c r="A52" s="165" t="s">
        <v>80</v>
      </c>
      <c r="B52" s="165" t="s">
        <v>100</v>
      </c>
      <c r="C52" s="165" t="s">
        <v>105</v>
      </c>
      <c r="D52" s="166">
        <v>7.7514398572222198</v>
      </c>
      <c r="E52" s="167"/>
      <c r="F52" s="168">
        <v>3.1E-2</v>
      </c>
      <c r="G52" s="168">
        <v>1.7000000000000001E-2</v>
      </c>
      <c r="H52" s="169"/>
      <c r="I52" s="170">
        <v>4</v>
      </c>
      <c r="J52" s="170">
        <v>4</v>
      </c>
      <c r="K52" s="167"/>
      <c r="L52" s="171">
        <v>5702.8802100000003</v>
      </c>
      <c r="M52" s="171">
        <v>4397.6395700000003</v>
      </c>
      <c r="N52" s="171">
        <v>10100.519780000001</v>
      </c>
      <c r="O52" s="166">
        <v>1303.0507836023601</v>
      </c>
      <c r="P52" s="172">
        <v>287.5</v>
      </c>
      <c r="Q52" s="178">
        <v>4.5323505516603797</v>
      </c>
      <c r="R52" s="179">
        <v>7586.7278343028302</v>
      </c>
      <c r="S52" s="168">
        <v>0.01</v>
      </c>
      <c r="T52" s="168">
        <v>0.01</v>
      </c>
      <c r="U52" s="175">
        <v>0</v>
      </c>
      <c r="V52" s="176">
        <v>0</v>
      </c>
      <c r="W52" s="167"/>
      <c r="X52" s="175">
        <v>4667.7520299999996</v>
      </c>
      <c r="Y52" s="166">
        <v>602.17870692126098</v>
      </c>
      <c r="Z52" s="177">
        <v>573</v>
      </c>
      <c r="AA52" s="182">
        <v>1.0509226996880601</v>
      </c>
      <c r="AB52" s="183">
        <v>-342.34461307643897</v>
      </c>
      <c r="AC52" s="168">
        <v>1.2E-2</v>
      </c>
      <c r="AD52" s="168">
        <v>5.0000000000000001E-3</v>
      </c>
      <c r="AE52" s="176">
        <v>0</v>
      </c>
      <c r="AF52" s="176">
        <v>663</v>
      </c>
      <c r="AG52" s="167"/>
      <c r="AH52" s="180">
        <v>436.2</v>
      </c>
      <c r="AI52" s="166">
        <v>56.273416040709002</v>
      </c>
      <c r="AJ52" s="181" t="s">
        <v>53</v>
      </c>
      <c r="AK52" s="188">
        <v>0.89322882604300002</v>
      </c>
      <c r="AL52" s="171">
        <v>-114.64832201364</v>
      </c>
      <c r="AM52" s="168"/>
      <c r="AN52" s="168"/>
      <c r="AO52" s="176">
        <v>53</v>
      </c>
      <c r="AP52" s="176">
        <v>150</v>
      </c>
      <c r="AQ52" s="167"/>
      <c r="AR52" s="180">
        <v>80.599999999999994</v>
      </c>
      <c r="AS52" s="166">
        <v>10.3980681634139</v>
      </c>
      <c r="AT52" s="181" t="s">
        <v>54</v>
      </c>
      <c r="AU52" s="173">
        <v>0.64987926021336895</v>
      </c>
      <c r="AV52" s="174">
        <v>-59.2979865431466</v>
      </c>
      <c r="AW52" s="168"/>
      <c r="AX52" s="168"/>
      <c r="AY52" s="176">
        <v>44</v>
      </c>
      <c r="AZ52" s="176">
        <v>69</v>
      </c>
      <c r="BA52" s="167"/>
      <c r="BB52" s="184">
        <v>253.6</v>
      </c>
      <c r="BC52" s="180">
        <v>32.716502310691901</v>
      </c>
      <c r="BD52" s="181" t="s">
        <v>55</v>
      </c>
      <c r="BE52" s="182">
        <v>1.0223906972091199</v>
      </c>
      <c r="BF52" s="183">
        <v>-26.1959730862933</v>
      </c>
      <c r="BG52" s="168">
        <v>8.9999999999999993E-3</v>
      </c>
      <c r="BH52" s="168">
        <v>2E-3</v>
      </c>
      <c r="BI52" s="176">
        <v>0</v>
      </c>
      <c r="BJ52" s="176">
        <v>45</v>
      </c>
      <c r="BK52" s="169"/>
      <c r="BL52" s="185">
        <v>0.8</v>
      </c>
      <c r="BM52" s="188">
        <v>0.73</v>
      </c>
      <c r="BN52" s="186"/>
      <c r="BO52" s="187">
        <v>0.95</v>
      </c>
      <c r="BP52" s="178">
        <v>1</v>
      </c>
      <c r="BQ52" s="186">
        <v>2.5000000000000001E-3</v>
      </c>
    </row>
    <row r="53" spans="1:69" s="156" customFormat="1" ht="22.35" customHeight="1" x14ac:dyDescent="0.2">
      <c r="A53" s="165" t="s">
        <v>80</v>
      </c>
      <c r="B53" s="165" t="s">
        <v>100</v>
      </c>
      <c r="C53" s="165" t="s">
        <v>106</v>
      </c>
      <c r="D53" s="166">
        <v>4.7798890690000002</v>
      </c>
      <c r="E53" s="167"/>
      <c r="F53" s="168">
        <v>2.5000000000000001E-2</v>
      </c>
      <c r="G53" s="168">
        <v>1.7999999999999999E-2</v>
      </c>
      <c r="H53" s="169"/>
      <c r="I53" s="170">
        <v>3</v>
      </c>
      <c r="J53" s="170">
        <v>3</v>
      </c>
      <c r="K53" s="167"/>
      <c r="L53" s="171">
        <v>1301.6352300000001</v>
      </c>
      <c r="M53" s="171">
        <v>1527.80872</v>
      </c>
      <c r="N53" s="171">
        <v>2829.4439499999999</v>
      </c>
      <c r="O53" s="166">
        <v>591.94761827222601</v>
      </c>
      <c r="P53" s="172">
        <v>284.87700000000001</v>
      </c>
      <c r="Q53" s="178">
        <v>2.07790596739023</v>
      </c>
      <c r="R53" s="179">
        <v>1293.46839302687</v>
      </c>
      <c r="S53" s="168">
        <v>0.01</v>
      </c>
      <c r="T53" s="168">
        <v>0.01</v>
      </c>
      <c r="U53" s="175">
        <v>0</v>
      </c>
      <c r="V53" s="176">
        <v>0</v>
      </c>
      <c r="W53" s="167"/>
      <c r="X53" s="175">
        <v>2340.4916050000002</v>
      </c>
      <c r="Y53" s="166">
        <v>489.65395874545999</v>
      </c>
      <c r="Z53" s="177">
        <v>573</v>
      </c>
      <c r="AA53" s="188">
        <v>0.85454443062034902</v>
      </c>
      <c r="AB53" s="171">
        <v>-748.96101541373605</v>
      </c>
      <c r="AC53" s="168"/>
      <c r="AD53" s="168"/>
      <c r="AE53" s="176">
        <v>399</v>
      </c>
      <c r="AF53" s="176">
        <v>947</v>
      </c>
      <c r="AG53" s="167"/>
      <c r="AH53" s="180">
        <v>168.75</v>
      </c>
      <c r="AI53" s="166">
        <v>35.304166595502998</v>
      </c>
      <c r="AJ53" s="181" t="s">
        <v>53</v>
      </c>
      <c r="AK53" s="173">
        <v>0.56038359675401705</v>
      </c>
      <c r="AL53" s="174">
        <v>-170.92803679941599</v>
      </c>
      <c r="AM53" s="168"/>
      <c r="AN53" s="168"/>
      <c r="AO53" s="176">
        <v>133</v>
      </c>
      <c r="AP53" s="176">
        <v>193</v>
      </c>
      <c r="AQ53" s="167"/>
      <c r="AR53" s="180">
        <v>24.2</v>
      </c>
      <c r="AS53" s="166">
        <v>5.0628790021402903</v>
      </c>
      <c r="AT53" s="181" t="s">
        <v>54</v>
      </c>
      <c r="AU53" s="173">
        <v>0.31642993763376798</v>
      </c>
      <c r="AV53" s="174">
        <v>-62.067437917311999</v>
      </c>
      <c r="AW53" s="168"/>
      <c r="AX53" s="168"/>
      <c r="AY53" s="176">
        <v>53</v>
      </c>
      <c r="AZ53" s="176">
        <v>68</v>
      </c>
      <c r="BA53" s="167"/>
      <c r="BB53" s="184">
        <v>164.8</v>
      </c>
      <c r="BC53" s="180">
        <v>34.477787584823098</v>
      </c>
      <c r="BD53" s="181" t="s">
        <v>55</v>
      </c>
      <c r="BE53" s="182">
        <v>1.07743086202572</v>
      </c>
      <c r="BF53" s="183">
        <v>-7.7348758346240096</v>
      </c>
      <c r="BG53" s="168">
        <v>1.4999999999999999E-2</v>
      </c>
      <c r="BH53" s="168">
        <v>8.0000000000000002E-3</v>
      </c>
      <c r="BI53" s="176">
        <v>0</v>
      </c>
      <c r="BJ53" s="176">
        <v>19</v>
      </c>
      <c r="BK53" s="169"/>
      <c r="BL53" s="185">
        <v>0.8</v>
      </c>
      <c r="BM53" s="188">
        <v>0.7</v>
      </c>
      <c r="BN53" s="186"/>
      <c r="BO53" s="187">
        <v>0.95</v>
      </c>
      <c r="BP53" s="178">
        <v>1</v>
      </c>
      <c r="BQ53" s="186">
        <v>2.5000000000000001E-3</v>
      </c>
    </row>
    <row r="54" spans="1:69" s="156" customFormat="1" ht="22.35" customHeight="1" x14ac:dyDescent="0.2">
      <c r="A54" s="165" t="s">
        <v>80</v>
      </c>
      <c r="B54" s="165" t="s">
        <v>100</v>
      </c>
      <c r="C54" s="165" t="s">
        <v>107</v>
      </c>
      <c r="D54" s="166">
        <v>2.5187938062222202</v>
      </c>
      <c r="E54" s="167"/>
      <c r="F54" s="168">
        <v>6.3E-2</v>
      </c>
      <c r="G54" s="168">
        <v>5.1999999999999998E-2</v>
      </c>
      <c r="H54" s="169"/>
      <c r="I54" s="170">
        <v>5</v>
      </c>
      <c r="J54" s="170">
        <v>5</v>
      </c>
      <c r="K54" s="167"/>
      <c r="L54" s="171">
        <v>1282.325</v>
      </c>
      <c r="M54" s="171">
        <v>-301.82296000000002</v>
      </c>
      <c r="N54" s="171">
        <v>980.50203999999997</v>
      </c>
      <c r="O54" s="166">
        <v>389.274436667999</v>
      </c>
      <c r="P54" s="172">
        <v>239.02500000000001</v>
      </c>
      <c r="Q54" s="178">
        <v>1.6285929784248501</v>
      </c>
      <c r="R54" s="179">
        <v>301.38435020760397</v>
      </c>
      <c r="S54" s="168">
        <v>0.01</v>
      </c>
      <c r="T54" s="168">
        <v>0.01</v>
      </c>
      <c r="U54" s="175">
        <v>0</v>
      </c>
      <c r="V54" s="176">
        <v>0</v>
      </c>
      <c r="W54" s="167"/>
      <c r="X54" s="175">
        <v>1736.008435</v>
      </c>
      <c r="Y54" s="166">
        <v>689.22213112939505</v>
      </c>
      <c r="Z54" s="177">
        <v>573</v>
      </c>
      <c r="AA54" s="178">
        <v>1.2028309443794001</v>
      </c>
      <c r="AB54" s="179">
        <v>108.00117111110499</v>
      </c>
      <c r="AC54" s="168">
        <v>0.02</v>
      </c>
      <c r="AD54" s="168">
        <v>0.02</v>
      </c>
      <c r="AE54" s="176">
        <v>0</v>
      </c>
      <c r="AF54" s="176">
        <v>0</v>
      </c>
      <c r="AG54" s="167"/>
      <c r="AH54" s="180">
        <v>168.8</v>
      </c>
      <c r="AI54" s="166">
        <v>67.016204177972099</v>
      </c>
      <c r="AJ54" s="181" t="s">
        <v>53</v>
      </c>
      <c r="AK54" s="182">
        <v>1.0637492726662201</v>
      </c>
      <c r="AL54" s="183">
        <v>-10.195563045375801</v>
      </c>
      <c r="AM54" s="168">
        <v>1.2999999999999999E-2</v>
      </c>
      <c r="AN54" s="168">
        <v>6.0000000000000001E-3</v>
      </c>
      <c r="AO54" s="176">
        <v>0</v>
      </c>
      <c r="AP54" s="176">
        <v>22</v>
      </c>
      <c r="AQ54" s="167"/>
      <c r="AR54" s="180">
        <v>15.8</v>
      </c>
      <c r="AS54" s="166">
        <v>6.2728437559950203</v>
      </c>
      <c r="AT54" s="181" t="s">
        <v>54</v>
      </c>
      <c r="AU54" s="173">
        <v>0.39205273474968899</v>
      </c>
      <c r="AV54" s="174">
        <v>-29.659190614698598</v>
      </c>
      <c r="AW54" s="168"/>
      <c r="AX54" s="168"/>
      <c r="AY54" s="176">
        <v>25</v>
      </c>
      <c r="AZ54" s="176">
        <v>33</v>
      </c>
      <c r="BA54" s="167"/>
      <c r="BB54" s="184">
        <v>93.8</v>
      </c>
      <c r="BC54" s="180">
        <v>37.240047108375499</v>
      </c>
      <c r="BD54" s="181" t="s">
        <v>55</v>
      </c>
      <c r="BE54" s="178">
        <v>1.1637514721367299</v>
      </c>
      <c r="BF54" s="179">
        <v>2.8816187706027301</v>
      </c>
      <c r="BG54" s="168">
        <v>0.02</v>
      </c>
      <c r="BH54" s="168">
        <v>1.6E-2</v>
      </c>
      <c r="BI54" s="176">
        <v>0</v>
      </c>
      <c r="BJ54" s="176">
        <v>3</v>
      </c>
      <c r="BK54" s="169"/>
      <c r="BL54" s="185">
        <v>0.8</v>
      </c>
      <c r="BM54" s="188">
        <v>0.7</v>
      </c>
      <c r="BN54" s="186"/>
      <c r="BO54" s="187">
        <v>0.95</v>
      </c>
      <c r="BP54" s="178">
        <v>1</v>
      </c>
      <c r="BQ54" s="186">
        <v>2.5000000000000001E-3</v>
      </c>
    </row>
    <row r="55" spans="1:69" s="156" customFormat="1" ht="22.35" customHeight="1" x14ac:dyDescent="0.2">
      <c r="A55" s="165" t="s">
        <v>80</v>
      </c>
      <c r="B55" s="165" t="s">
        <v>100</v>
      </c>
      <c r="C55" s="165" t="s">
        <v>108</v>
      </c>
      <c r="D55" s="166">
        <v>2.56970437377778</v>
      </c>
      <c r="E55" s="167"/>
      <c r="F55" s="168"/>
      <c r="G55" s="168"/>
      <c r="H55" s="169"/>
      <c r="I55" s="170">
        <v>1</v>
      </c>
      <c r="J55" s="170">
        <v>1</v>
      </c>
      <c r="K55" s="167"/>
      <c r="L55" s="171">
        <v>145.56924000000001</v>
      </c>
      <c r="M55" s="171">
        <v>361.90140000000002</v>
      </c>
      <c r="N55" s="171">
        <v>507.47064</v>
      </c>
      <c r="O55" s="166">
        <v>197.482109295692</v>
      </c>
      <c r="P55" s="172">
        <v>273.43799999999999</v>
      </c>
      <c r="Q55" s="173">
        <v>0.72221896479527903</v>
      </c>
      <c r="R55" s="174">
        <v>-285.12400210035099</v>
      </c>
      <c r="S55" s="168"/>
      <c r="T55" s="168"/>
      <c r="U55" s="175">
        <v>196</v>
      </c>
      <c r="V55" s="176">
        <v>336</v>
      </c>
      <c r="W55" s="167"/>
      <c r="X55" s="175">
        <v>1020.90762</v>
      </c>
      <c r="Y55" s="166">
        <v>397.28601874119198</v>
      </c>
      <c r="Z55" s="177">
        <v>573</v>
      </c>
      <c r="AA55" s="173">
        <v>0.69334383724466198</v>
      </c>
      <c r="AB55" s="174">
        <v>-640.00538376502595</v>
      </c>
      <c r="AC55" s="168"/>
      <c r="AD55" s="168"/>
      <c r="AE55" s="176">
        <v>452</v>
      </c>
      <c r="AF55" s="176">
        <v>747</v>
      </c>
      <c r="AG55" s="167"/>
      <c r="AH55" s="180">
        <v>100.1</v>
      </c>
      <c r="AI55" s="166">
        <v>38.9538971959023</v>
      </c>
      <c r="AJ55" s="181" t="s">
        <v>53</v>
      </c>
      <c r="AK55" s="173">
        <v>0.618315828506385</v>
      </c>
      <c r="AL55" s="174">
        <v>-82.513471618144195</v>
      </c>
      <c r="AM55" s="168"/>
      <c r="AN55" s="168"/>
      <c r="AO55" s="176">
        <v>62</v>
      </c>
      <c r="AP55" s="176">
        <v>95</v>
      </c>
      <c r="AQ55" s="167"/>
      <c r="AR55" s="180">
        <v>7</v>
      </c>
      <c r="AS55" s="166">
        <v>2.7240487549582002</v>
      </c>
      <c r="AT55" s="181" t="s">
        <v>54</v>
      </c>
      <c r="AU55" s="173">
        <v>0.17025304718488701</v>
      </c>
      <c r="AV55" s="174">
        <v>-39.3780245379414</v>
      </c>
      <c r="AW55" s="168"/>
      <c r="AX55" s="168"/>
      <c r="AY55" s="176">
        <v>35</v>
      </c>
      <c r="AZ55" s="176">
        <v>43</v>
      </c>
      <c r="BA55" s="167"/>
      <c r="BB55" s="184">
        <v>59.4</v>
      </c>
      <c r="BC55" s="180">
        <v>23.115499434930999</v>
      </c>
      <c r="BD55" s="181" t="s">
        <v>55</v>
      </c>
      <c r="BE55" s="173">
        <v>0.72235935734159396</v>
      </c>
      <c r="BF55" s="174">
        <v>-33.356049075882801</v>
      </c>
      <c r="BG55" s="168"/>
      <c r="BH55" s="168"/>
      <c r="BI55" s="176">
        <v>23</v>
      </c>
      <c r="BJ55" s="176">
        <v>40</v>
      </c>
      <c r="BK55" s="169"/>
      <c r="BL55" s="185">
        <v>0.8</v>
      </c>
      <c r="BM55" s="188">
        <v>0.74</v>
      </c>
      <c r="BN55" s="186"/>
      <c r="BO55" s="187">
        <v>0.95</v>
      </c>
      <c r="BP55" s="178">
        <v>1</v>
      </c>
      <c r="BQ55" s="186">
        <v>2.5000000000000001E-3</v>
      </c>
    </row>
    <row r="56" spans="1:69" s="156" customFormat="1" ht="22.35" customHeight="1" x14ac:dyDescent="0.2">
      <c r="A56" s="165" t="s">
        <v>80</v>
      </c>
      <c r="B56" s="165" t="s">
        <v>100</v>
      </c>
      <c r="C56" s="165" t="s">
        <v>109</v>
      </c>
      <c r="D56" s="166">
        <v>5.2395012254444397</v>
      </c>
      <c r="E56" s="167"/>
      <c r="F56" s="168">
        <v>2.7E-2</v>
      </c>
      <c r="G56" s="168">
        <v>0.02</v>
      </c>
      <c r="H56" s="169"/>
      <c r="I56" s="170">
        <v>3</v>
      </c>
      <c r="J56" s="170">
        <v>3</v>
      </c>
      <c r="K56" s="167"/>
      <c r="L56" s="171">
        <v>2487.5550800000001</v>
      </c>
      <c r="M56" s="171">
        <v>1153.2183500000001</v>
      </c>
      <c r="N56" s="171">
        <v>3640.7734300000002</v>
      </c>
      <c r="O56" s="166">
        <v>694.87023160132401</v>
      </c>
      <c r="P56" s="172">
        <v>287.5</v>
      </c>
      <c r="Q56" s="178">
        <v>2.4169399360046002</v>
      </c>
      <c r="R56" s="179">
        <v>1941.6031825883699</v>
      </c>
      <c r="S56" s="168">
        <v>0.01</v>
      </c>
      <c r="T56" s="168">
        <v>0.01</v>
      </c>
      <c r="U56" s="175">
        <v>0</v>
      </c>
      <c r="V56" s="176">
        <v>0</v>
      </c>
      <c r="W56" s="167"/>
      <c r="X56" s="175">
        <v>2364.9646400000001</v>
      </c>
      <c r="Y56" s="166">
        <v>451.372094067864</v>
      </c>
      <c r="Z56" s="177">
        <v>573</v>
      </c>
      <c r="AA56" s="188">
        <v>0.78773489366119398</v>
      </c>
      <c r="AB56" s="171">
        <v>-1021.55554005866</v>
      </c>
      <c r="AC56" s="168"/>
      <c r="AD56" s="168"/>
      <c r="AE56" s="176">
        <v>638</v>
      </c>
      <c r="AF56" s="176">
        <v>1238</v>
      </c>
      <c r="AG56" s="167"/>
      <c r="AH56" s="180">
        <v>150.80000000000001</v>
      </c>
      <c r="AI56" s="166">
        <v>28.781365536794599</v>
      </c>
      <c r="AJ56" s="181" t="s">
        <v>53</v>
      </c>
      <c r="AK56" s="173">
        <v>0.45684707201261299</v>
      </c>
      <c r="AL56" s="174">
        <v>-221.53991508498399</v>
      </c>
      <c r="AM56" s="168"/>
      <c r="AN56" s="168"/>
      <c r="AO56" s="176">
        <v>180</v>
      </c>
      <c r="AP56" s="176">
        <v>246</v>
      </c>
      <c r="AQ56" s="167"/>
      <c r="AR56" s="180">
        <v>26.3</v>
      </c>
      <c r="AS56" s="166">
        <v>5.0195617613905803</v>
      </c>
      <c r="AT56" s="181" t="s">
        <v>54</v>
      </c>
      <c r="AU56" s="173">
        <v>0.31372261008691099</v>
      </c>
      <c r="AV56" s="174">
        <v>-68.262518116821298</v>
      </c>
      <c r="AW56" s="168"/>
      <c r="AX56" s="168"/>
      <c r="AY56" s="176">
        <v>58</v>
      </c>
      <c r="AZ56" s="176">
        <v>75</v>
      </c>
      <c r="BA56" s="167"/>
      <c r="BB56" s="184">
        <v>183.8</v>
      </c>
      <c r="BC56" s="180">
        <v>35.079674971239101</v>
      </c>
      <c r="BD56" s="181" t="s">
        <v>55</v>
      </c>
      <c r="BE56" s="182">
        <v>1.0962398428512199</v>
      </c>
      <c r="BF56" s="183">
        <v>-5.3250362336424901</v>
      </c>
      <c r="BG56" s="168">
        <v>1.7000000000000001E-2</v>
      </c>
      <c r="BH56" s="168">
        <v>0.01</v>
      </c>
      <c r="BI56" s="176">
        <v>0</v>
      </c>
      <c r="BJ56" s="176">
        <v>18</v>
      </c>
      <c r="BK56" s="169"/>
      <c r="BL56" s="185">
        <v>0.8</v>
      </c>
      <c r="BM56" s="188">
        <v>0.7</v>
      </c>
      <c r="BN56" s="186"/>
      <c r="BO56" s="187">
        <v>0.95</v>
      </c>
      <c r="BP56" s="178">
        <v>1</v>
      </c>
      <c r="BQ56" s="186">
        <v>2.5000000000000001E-3</v>
      </c>
    </row>
    <row r="57" spans="1:69" s="156" customFormat="1" ht="22.35" customHeight="1" x14ac:dyDescent="0.2">
      <c r="A57" s="165" t="s">
        <v>80</v>
      </c>
      <c r="B57" s="165" t="s">
        <v>100</v>
      </c>
      <c r="C57" s="165" t="s">
        <v>110</v>
      </c>
      <c r="D57" s="166">
        <v>2.6352440239999999</v>
      </c>
      <c r="E57" s="167"/>
      <c r="F57" s="168">
        <v>0.06</v>
      </c>
      <c r="G57" s="168">
        <v>0.06</v>
      </c>
      <c r="H57" s="169"/>
      <c r="I57" s="170">
        <v>5</v>
      </c>
      <c r="J57" s="170">
        <v>5</v>
      </c>
      <c r="K57" s="167"/>
      <c r="L57" s="171">
        <v>306.17003999999997</v>
      </c>
      <c r="M57" s="171">
        <v>2639.6924399999998</v>
      </c>
      <c r="N57" s="171">
        <v>2945.8624799999998</v>
      </c>
      <c r="O57" s="166">
        <v>1117.87085111326</v>
      </c>
      <c r="P57" s="172">
        <v>269.755</v>
      </c>
      <c r="Q57" s="178">
        <v>4.1440227284508504</v>
      </c>
      <c r="R57" s="179">
        <v>2144.0008360890301</v>
      </c>
      <c r="S57" s="168">
        <v>0.01</v>
      </c>
      <c r="T57" s="168">
        <v>0.01</v>
      </c>
      <c r="U57" s="175">
        <v>0</v>
      </c>
      <c r="V57" s="176">
        <v>0</v>
      </c>
      <c r="W57" s="167"/>
      <c r="X57" s="175">
        <v>1870.4784400000001</v>
      </c>
      <c r="Y57" s="166">
        <v>709.79325746115398</v>
      </c>
      <c r="Z57" s="177">
        <v>573</v>
      </c>
      <c r="AA57" s="178">
        <v>1.2387316884138799</v>
      </c>
      <c r="AB57" s="179">
        <v>167.20427655174399</v>
      </c>
      <c r="AC57" s="168">
        <v>0.02</v>
      </c>
      <c r="AD57" s="168">
        <v>0.02</v>
      </c>
      <c r="AE57" s="176">
        <v>0</v>
      </c>
      <c r="AF57" s="176">
        <v>0</v>
      </c>
      <c r="AG57" s="167"/>
      <c r="AH57" s="180">
        <v>146.94999999999999</v>
      </c>
      <c r="AI57" s="166">
        <v>55.763336777042198</v>
      </c>
      <c r="AJ57" s="181" t="s">
        <v>53</v>
      </c>
      <c r="AK57" s="188">
        <v>0.88513232979432099</v>
      </c>
      <c r="AL57" s="171">
        <v>-40.320981321536003</v>
      </c>
      <c r="AM57" s="168"/>
      <c r="AN57" s="168"/>
      <c r="AO57" s="176">
        <v>20</v>
      </c>
      <c r="AP57" s="176">
        <v>53</v>
      </c>
      <c r="AQ57" s="167"/>
      <c r="AR57" s="180">
        <v>63.4</v>
      </c>
      <c r="AS57" s="166">
        <v>24.058493036165199</v>
      </c>
      <c r="AT57" s="181" t="s">
        <v>54</v>
      </c>
      <c r="AU57" s="178">
        <v>1.5036558147603301</v>
      </c>
      <c r="AV57" s="179">
        <v>15.839115854848</v>
      </c>
      <c r="AW57" s="168">
        <v>0.01</v>
      </c>
      <c r="AX57" s="168">
        <v>0.01</v>
      </c>
      <c r="AY57" s="176">
        <v>0</v>
      </c>
      <c r="AZ57" s="176">
        <v>0</v>
      </c>
      <c r="BA57" s="167"/>
      <c r="BB57" s="184">
        <v>137.80000000000001</v>
      </c>
      <c r="BC57" s="180">
        <v>52.291172561255003</v>
      </c>
      <c r="BD57" s="181" t="s">
        <v>55</v>
      </c>
      <c r="BE57" s="178">
        <v>1.63409914253922</v>
      </c>
      <c r="BF57" s="179">
        <v>42.678231709696</v>
      </c>
      <c r="BG57" s="168">
        <v>0.02</v>
      </c>
      <c r="BH57" s="168">
        <v>0.02</v>
      </c>
      <c r="BI57" s="176">
        <v>0</v>
      </c>
      <c r="BJ57" s="176">
        <v>0</v>
      </c>
      <c r="BK57" s="169"/>
      <c r="BL57" s="185">
        <v>0.8</v>
      </c>
      <c r="BM57" s="188">
        <v>0.73</v>
      </c>
      <c r="BN57" s="186"/>
      <c r="BO57" s="187">
        <v>0.95</v>
      </c>
      <c r="BP57" s="178">
        <v>1</v>
      </c>
      <c r="BQ57" s="186">
        <v>2.5000000000000001E-3</v>
      </c>
    </row>
    <row r="58" spans="1:69" s="156" customFormat="1" ht="22.35" customHeight="1" x14ac:dyDescent="0.2">
      <c r="A58" s="165" t="s">
        <v>80</v>
      </c>
      <c r="B58" s="165" t="s">
        <v>100</v>
      </c>
      <c r="C58" s="165" t="s">
        <v>111</v>
      </c>
      <c r="D58" s="166">
        <v>5.3559300766666702</v>
      </c>
      <c r="E58" s="167"/>
      <c r="F58" s="168">
        <v>0.03</v>
      </c>
      <c r="G58" s="168">
        <v>2.7E-2</v>
      </c>
      <c r="H58" s="169"/>
      <c r="I58" s="170">
        <v>3</v>
      </c>
      <c r="J58" s="170">
        <v>3</v>
      </c>
      <c r="K58" s="167"/>
      <c r="L58" s="171">
        <v>4186.8213100000003</v>
      </c>
      <c r="M58" s="171">
        <v>1072.23227</v>
      </c>
      <c r="N58" s="171">
        <v>5259.0535799999998</v>
      </c>
      <c r="O58" s="166">
        <v>981.912292490764</v>
      </c>
      <c r="P58" s="172">
        <v>280.08499999999998</v>
      </c>
      <c r="Q58" s="178">
        <v>3.5057653658381001</v>
      </c>
      <c r="R58" s="179">
        <v>3566.92309800985</v>
      </c>
      <c r="S58" s="168">
        <v>0.01</v>
      </c>
      <c r="T58" s="168">
        <v>0.01</v>
      </c>
      <c r="U58" s="175">
        <v>0</v>
      </c>
      <c r="V58" s="176">
        <v>0</v>
      </c>
      <c r="W58" s="167"/>
      <c r="X58" s="175">
        <v>1937.4232850000001</v>
      </c>
      <c r="Y58" s="166">
        <v>361.73423798799502</v>
      </c>
      <c r="Z58" s="177">
        <v>573</v>
      </c>
      <c r="AA58" s="173">
        <v>0.63129884465618602</v>
      </c>
      <c r="AB58" s="174">
        <v>-1524.34998447304</v>
      </c>
      <c r="AC58" s="168"/>
      <c r="AD58" s="168"/>
      <c r="AE58" s="176">
        <v>1132</v>
      </c>
      <c r="AF58" s="176">
        <v>1746</v>
      </c>
      <c r="AG58" s="167"/>
      <c r="AH58" s="180">
        <v>239.2</v>
      </c>
      <c r="AI58" s="166">
        <v>44.660777227485603</v>
      </c>
      <c r="AJ58" s="181" t="s">
        <v>53</v>
      </c>
      <c r="AK58" s="173">
        <v>0.708901225833105</v>
      </c>
      <c r="AL58" s="174">
        <v>-141.41381496823999</v>
      </c>
      <c r="AM58" s="168"/>
      <c r="AN58" s="168"/>
      <c r="AO58" s="176">
        <v>99</v>
      </c>
      <c r="AP58" s="176">
        <v>166</v>
      </c>
      <c r="AQ58" s="167"/>
      <c r="AR58" s="180">
        <v>26.9</v>
      </c>
      <c r="AS58" s="166">
        <v>5.0224703487431599</v>
      </c>
      <c r="AT58" s="181" t="s">
        <v>54</v>
      </c>
      <c r="AU58" s="173">
        <v>0.31390439679644699</v>
      </c>
      <c r="AV58" s="174">
        <v>-69.763826023680096</v>
      </c>
      <c r="AW58" s="168"/>
      <c r="AX58" s="168"/>
      <c r="AY58" s="176">
        <v>59</v>
      </c>
      <c r="AZ58" s="176">
        <v>76</v>
      </c>
      <c r="BA58" s="167"/>
      <c r="BB58" s="184">
        <v>200.2</v>
      </c>
      <c r="BC58" s="180">
        <v>37.379128766482502</v>
      </c>
      <c r="BD58" s="181" t="s">
        <v>55</v>
      </c>
      <c r="BE58" s="178">
        <v>1.16809777395258</v>
      </c>
      <c r="BF58" s="179">
        <v>6.8723479526398998</v>
      </c>
      <c r="BG58" s="168">
        <v>0.02</v>
      </c>
      <c r="BH58" s="168">
        <v>1.7000000000000001E-2</v>
      </c>
      <c r="BI58" s="176">
        <v>0</v>
      </c>
      <c r="BJ58" s="176">
        <v>6</v>
      </c>
      <c r="BK58" s="169"/>
      <c r="BL58" s="185">
        <v>0.8</v>
      </c>
      <c r="BM58" s="173">
        <v>0.65</v>
      </c>
      <c r="BN58" s="186"/>
      <c r="BO58" s="187">
        <v>0.95</v>
      </c>
      <c r="BP58" s="178">
        <v>1</v>
      </c>
      <c r="BQ58" s="186">
        <v>2.5000000000000001E-3</v>
      </c>
    </row>
    <row r="59" spans="1:69" s="156" customFormat="1" ht="22.35" customHeight="1" x14ac:dyDescent="0.2">
      <c r="A59" s="165" t="s">
        <v>80</v>
      </c>
      <c r="B59" s="165" t="s">
        <v>100</v>
      </c>
      <c r="C59" s="165" t="s">
        <v>112</v>
      </c>
      <c r="D59" s="166">
        <v>1.38279080044444</v>
      </c>
      <c r="E59" s="167"/>
      <c r="F59" s="168">
        <v>0.01</v>
      </c>
      <c r="G59" s="168">
        <v>0.01</v>
      </c>
      <c r="H59" s="169"/>
      <c r="I59" s="170">
        <v>2</v>
      </c>
      <c r="J59" s="170">
        <v>2</v>
      </c>
      <c r="K59" s="167"/>
      <c r="L59" s="171">
        <v>466.33019000000002</v>
      </c>
      <c r="M59" s="171">
        <v>1424.7333699999999</v>
      </c>
      <c r="N59" s="171">
        <v>1891.0635600000001</v>
      </c>
      <c r="O59" s="166">
        <v>1367.5702495216101</v>
      </c>
      <c r="P59" s="172">
        <v>280.08499999999998</v>
      </c>
      <c r="Q59" s="178">
        <v>4.8826972152082799</v>
      </c>
      <c r="R59" s="179">
        <v>1454.1903316056801</v>
      </c>
      <c r="S59" s="168">
        <v>0.01</v>
      </c>
      <c r="T59" s="168">
        <v>0.01</v>
      </c>
      <c r="U59" s="175">
        <v>0</v>
      </c>
      <c r="V59" s="176">
        <v>0</v>
      </c>
      <c r="W59" s="167"/>
      <c r="X59" s="175">
        <v>699.74478999999997</v>
      </c>
      <c r="Y59" s="166">
        <v>506.03807153988402</v>
      </c>
      <c r="Z59" s="177">
        <v>573</v>
      </c>
      <c r="AA59" s="188">
        <v>0.88313799570660501</v>
      </c>
      <c r="AB59" s="171">
        <v>-194.01374712246101</v>
      </c>
      <c r="AC59" s="168"/>
      <c r="AD59" s="168"/>
      <c r="AE59" s="176">
        <v>93</v>
      </c>
      <c r="AF59" s="176">
        <v>252</v>
      </c>
      <c r="AG59" s="167"/>
      <c r="AH59" s="180">
        <v>63.3</v>
      </c>
      <c r="AI59" s="166">
        <v>45.776989534248202</v>
      </c>
      <c r="AJ59" s="181" t="s">
        <v>53</v>
      </c>
      <c r="AK59" s="173">
        <v>0.72661888149600296</v>
      </c>
      <c r="AL59" s="174">
        <v>-34.966645442783701</v>
      </c>
      <c r="AM59" s="168"/>
      <c r="AN59" s="168"/>
      <c r="AO59" s="176">
        <v>24</v>
      </c>
      <c r="AP59" s="176">
        <v>42</v>
      </c>
      <c r="AQ59" s="167"/>
      <c r="AR59" s="180">
        <v>5</v>
      </c>
      <c r="AS59" s="166">
        <v>3.61587595057253</v>
      </c>
      <c r="AT59" s="181" t="s">
        <v>54</v>
      </c>
      <c r="AU59" s="173">
        <v>0.22599224691078301</v>
      </c>
      <c r="AV59" s="174">
        <v>-19.9566083664213</v>
      </c>
      <c r="AW59" s="168"/>
      <c r="AX59" s="168"/>
      <c r="AY59" s="176">
        <v>18</v>
      </c>
      <c r="AZ59" s="176">
        <v>22</v>
      </c>
      <c r="BA59" s="167"/>
      <c r="BB59" s="184">
        <v>34</v>
      </c>
      <c r="BC59" s="180">
        <v>24.5879564638932</v>
      </c>
      <c r="BD59" s="181" t="s">
        <v>55</v>
      </c>
      <c r="BE59" s="188">
        <v>0.76837363949666104</v>
      </c>
      <c r="BF59" s="171">
        <v>-15.9132167328425</v>
      </c>
      <c r="BG59" s="168"/>
      <c r="BH59" s="168"/>
      <c r="BI59" s="176">
        <v>11</v>
      </c>
      <c r="BJ59" s="176">
        <v>20</v>
      </c>
      <c r="BK59" s="169"/>
      <c r="BL59" s="185">
        <v>0.8</v>
      </c>
      <c r="BM59" s="188">
        <v>0.75</v>
      </c>
      <c r="BN59" s="186"/>
      <c r="BO59" s="187">
        <v>0.95</v>
      </c>
      <c r="BP59" s="178">
        <v>1</v>
      </c>
      <c r="BQ59" s="186">
        <v>2.5000000000000001E-3</v>
      </c>
    </row>
    <row r="60" spans="1:69" s="156" customFormat="1" ht="22.35" customHeight="1" x14ac:dyDescent="0.2">
      <c r="A60" s="165" t="s">
        <v>80</v>
      </c>
      <c r="B60" s="165" t="s">
        <v>100</v>
      </c>
      <c r="C60" s="165" t="s">
        <v>113</v>
      </c>
      <c r="D60" s="166">
        <v>3.0026688585555599</v>
      </c>
      <c r="E60" s="167"/>
      <c r="F60" s="168">
        <v>0.05</v>
      </c>
      <c r="G60" s="168">
        <v>4.9000000000000002E-2</v>
      </c>
      <c r="H60" s="169"/>
      <c r="I60" s="170">
        <v>4</v>
      </c>
      <c r="J60" s="170">
        <v>4</v>
      </c>
      <c r="K60" s="167"/>
      <c r="L60" s="171">
        <v>1541.43714</v>
      </c>
      <c r="M60" s="171">
        <v>732.29039</v>
      </c>
      <c r="N60" s="171">
        <v>2273.7275300000001</v>
      </c>
      <c r="O60" s="166">
        <v>757.23552516336599</v>
      </c>
      <c r="P60" s="172">
        <v>239.26400000000001</v>
      </c>
      <c r="Q60" s="178">
        <v>3.1648535724696001</v>
      </c>
      <c r="R60" s="179">
        <v>1463.3378563195599</v>
      </c>
      <c r="S60" s="168">
        <v>0.01</v>
      </c>
      <c r="T60" s="168">
        <v>0.01</v>
      </c>
      <c r="U60" s="175">
        <v>0</v>
      </c>
      <c r="V60" s="176">
        <v>0</v>
      </c>
      <c r="W60" s="167"/>
      <c r="X60" s="175">
        <v>2052.01919</v>
      </c>
      <c r="Y60" s="166">
        <v>683.39843208256104</v>
      </c>
      <c r="Z60" s="177">
        <v>573</v>
      </c>
      <c r="AA60" s="178">
        <v>1.1926674207374499</v>
      </c>
      <c r="AB60" s="179">
        <v>111.262189285765</v>
      </c>
      <c r="AC60" s="168">
        <v>0.02</v>
      </c>
      <c r="AD60" s="168">
        <v>1.9E-2</v>
      </c>
      <c r="AE60" s="176">
        <v>0</v>
      </c>
      <c r="AF60" s="176">
        <v>13</v>
      </c>
      <c r="AG60" s="167"/>
      <c r="AH60" s="180">
        <v>171.8</v>
      </c>
      <c r="AI60" s="166">
        <v>57.215766404106603</v>
      </c>
      <c r="AJ60" s="181" t="s">
        <v>53</v>
      </c>
      <c r="AK60" s="188">
        <v>0.90818676831915202</v>
      </c>
      <c r="AL60" s="171">
        <v>-41.581659764392398</v>
      </c>
      <c r="AM60" s="168"/>
      <c r="AN60" s="168"/>
      <c r="AO60" s="176">
        <v>18</v>
      </c>
      <c r="AP60" s="176">
        <v>56</v>
      </c>
      <c r="AQ60" s="167"/>
      <c r="AR60" s="180">
        <v>31.5</v>
      </c>
      <c r="AS60" s="166">
        <v>10.4906672976098</v>
      </c>
      <c r="AT60" s="181" t="s">
        <v>54</v>
      </c>
      <c r="AU60" s="173">
        <v>0.65566670610060995</v>
      </c>
      <c r="AV60" s="174">
        <v>-22.692167559210802</v>
      </c>
      <c r="AW60" s="168"/>
      <c r="AX60" s="168"/>
      <c r="AY60" s="176">
        <v>17</v>
      </c>
      <c r="AZ60" s="176">
        <v>27</v>
      </c>
      <c r="BA60" s="167"/>
      <c r="BB60" s="184">
        <v>130.80000000000001</v>
      </c>
      <c r="BC60" s="180">
        <v>43.561247064360501</v>
      </c>
      <c r="BD60" s="181" t="s">
        <v>55</v>
      </c>
      <c r="BE60" s="178">
        <v>1.3612889707612701</v>
      </c>
      <c r="BF60" s="179">
        <v>22.4156648815785</v>
      </c>
      <c r="BG60" s="168">
        <v>0.02</v>
      </c>
      <c r="BH60" s="168">
        <v>0.02</v>
      </c>
      <c r="BI60" s="176">
        <v>0</v>
      </c>
      <c r="BJ60" s="176">
        <v>0</v>
      </c>
      <c r="BK60" s="169"/>
      <c r="BL60" s="185">
        <v>0.8</v>
      </c>
      <c r="BM60" s="188">
        <v>0.73</v>
      </c>
      <c r="BN60" s="186"/>
      <c r="BO60" s="187">
        <v>0.95</v>
      </c>
      <c r="BP60" s="178">
        <v>1</v>
      </c>
      <c r="BQ60" s="186">
        <v>2.5000000000000001E-3</v>
      </c>
    </row>
    <row r="61" spans="1:69" s="156" customFormat="1" ht="22.35" customHeight="1" x14ac:dyDescent="0.2">
      <c r="A61" s="165" t="s">
        <v>80</v>
      </c>
      <c r="B61" s="165" t="s">
        <v>100</v>
      </c>
      <c r="C61" s="165" t="s">
        <v>114</v>
      </c>
      <c r="D61" s="166">
        <v>8.0969419465555603</v>
      </c>
      <c r="E61" s="167"/>
      <c r="F61" s="168">
        <v>4.2999999999999997E-2</v>
      </c>
      <c r="G61" s="168">
        <v>3.3000000000000002E-2</v>
      </c>
      <c r="H61" s="169"/>
      <c r="I61" s="170">
        <v>4</v>
      </c>
      <c r="J61" s="170">
        <v>4</v>
      </c>
      <c r="K61" s="167"/>
      <c r="L61" s="171">
        <v>5902.3992399999997</v>
      </c>
      <c r="M61" s="171">
        <v>3730.2176100000001</v>
      </c>
      <c r="N61" s="171">
        <v>9632.6168500000003</v>
      </c>
      <c r="O61" s="166">
        <v>1189.66109842219</v>
      </c>
      <c r="P61" s="172">
        <v>262.83</v>
      </c>
      <c r="Q61" s="178">
        <v>4.5263520086070503</v>
      </c>
      <c r="R61" s="179">
        <v>7232.0983339547101</v>
      </c>
      <c r="S61" s="168">
        <v>0.01</v>
      </c>
      <c r="T61" s="168">
        <v>0.01</v>
      </c>
      <c r="U61" s="175">
        <v>0</v>
      </c>
      <c r="V61" s="176">
        <v>0</v>
      </c>
      <c r="W61" s="167"/>
      <c r="X61" s="175">
        <v>4924.0769899999996</v>
      </c>
      <c r="Y61" s="166">
        <v>608.14033526505705</v>
      </c>
      <c r="Z61" s="177">
        <v>573</v>
      </c>
      <c r="AA61" s="182">
        <v>1.06132693763535</v>
      </c>
      <c r="AB61" s="183">
        <v>-309.33285550450699</v>
      </c>
      <c r="AC61" s="168">
        <v>1.2999999999999999E-2</v>
      </c>
      <c r="AD61" s="168">
        <v>6.0000000000000001E-3</v>
      </c>
      <c r="AE61" s="176">
        <v>0</v>
      </c>
      <c r="AF61" s="176">
        <v>644</v>
      </c>
      <c r="AG61" s="167"/>
      <c r="AH61" s="180">
        <v>425.8</v>
      </c>
      <c r="AI61" s="166">
        <v>52.587755082168499</v>
      </c>
      <c r="AJ61" s="181" t="s">
        <v>53</v>
      </c>
      <c r="AK61" s="188">
        <v>0.834726271145531</v>
      </c>
      <c r="AL61" s="171">
        <v>-149.601082490024</v>
      </c>
      <c r="AM61" s="168"/>
      <c r="AN61" s="168"/>
      <c r="AO61" s="176">
        <v>85</v>
      </c>
      <c r="AP61" s="176">
        <v>187</v>
      </c>
      <c r="AQ61" s="167"/>
      <c r="AR61" s="180">
        <v>35.9</v>
      </c>
      <c r="AS61" s="166">
        <v>4.43377268071829</v>
      </c>
      <c r="AT61" s="181" t="s">
        <v>54</v>
      </c>
      <c r="AU61" s="173">
        <v>0.27711079254489301</v>
      </c>
      <c r="AV61" s="174">
        <v>-110.233608251435</v>
      </c>
      <c r="AW61" s="168"/>
      <c r="AX61" s="168"/>
      <c r="AY61" s="176">
        <v>94</v>
      </c>
      <c r="AZ61" s="176">
        <v>120</v>
      </c>
      <c r="BA61" s="167"/>
      <c r="BB61" s="184">
        <v>302.60000000000002</v>
      </c>
      <c r="BC61" s="180">
        <v>37.372134072015399</v>
      </c>
      <c r="BD61" s="181" t="s">
        <v>55</v>
      </c>
      <c r="BE61" s="178">
        <v>1.1678791897504801</v>
      </c>
      <c r="BF61" s="179">
        <v>10.332783497130499</v>
      </c>
      <c r="BG61" s="168">
        <v>0.02</v>
      </c>
      <c r="BH61" s="168">
        <v>1.7000000000000001E-2</v>
      </c>
      <c r="BI61" s="176">
        <v>0</v>
      </c>
      <c r="BJ61" s="176">
        <v>9</v>
      </c>
      <c r="BK61" s="169"/>
      <c r="BL61" s="185">
        <v>0.8</v>
      </c>
      <c r="BM61" s="173">
        <v>0.68</v>
      </c>
      <c r="BN61" s="186"/>
      <c r="BO61" s="187">
        <v>0.95</v>
      </c>
      <c r="BP61" s="178">
        <v>1</v>
      </c>
      <c r="BQ61" s="186">
        <v>2.5000000000000001E-3</v>
      </c>
    </row>
    <row r="62" spans="1:69" s="156" customFormat="1" ht="22.35" customHeight="1" x14ac:dyDescent="0.2">
      <c r="A62" s="165" t="s">
        <v>80</v>
      </c>
      <c r="B62" s="165" t="s">
        <v>100</v>
      </c>
      <c r="C62" s="165" t="s">
        <v>115</v>
      </c>
      <c r="D62" s="166">
        <v>1.895420369</v>
      </c>
      <c r="E62" s="167"/>
      <c r="F62" s="168">
        <v>5.6000000000000001E-2</v>
      </c>
      <c r="G62" s="168">
        <v>4.4999999999999998E-2</v>
      </c>
      <c r="H62" s="169"/>
      <c r="I62" s="170">
        <v>5</v>
      </c>
      <c r="J62" s="170">
        <v>4</v>
      </c>
      <c r="K62" s="167"/>
      <c r="L62" s="171">
        <v>2344.30879</v>
      </c>
      <c r="M62" s="171">
        <v>435.06283000000002</v>
      </c>
      <c r="N62" s="171">
        <v>2779.3716199999999</v>
      </c>
      <c r="O62" s="166">
        <v>1466.3615868317199</v>
      </c>
      <c r="P62" s="172">
        <v>248.27199999999999</v>
      </c>
      <c r="Q62" s="178">
        <v>5.9062704889464799</v>
      </c>
      <c r="R62" s="179">
        <v>2248.55759899853</v>
      </c>
      <c r="S62" s="168">
        <v>0.01</v>
      </c>
      <c r="T62" s="168">
        <v>0.01</v>
      </c>
      <c r="U62" s="175">
        <v>0</v>
      </c>
      <c r="V62" s="176">
        <v>0</v>
      </c>
      <c r="W62" s="167"/>
      <c r="X62" s="175">
        <v>1085.8598999999999</v>
      </c>
      <c r="Y62" s="166">
        <v>572.88605618018403</v>
      </c>
      <c r="Z62" s="177">
        <v>573</v>
      </c>
      <c r="AA62" s="182">
        <v>0.99980114516611596</v>
      </c>
      <c r="AB62" s="183">
        <v>-139.23368298093601</v>
      </c>
      <c r="AC62" s="168">
        <v>6.0000000000000001E-3</v>
      </c>
      <c r="AD62" s="168">
        <v>0</v>
      </c>
      <c r="AE62" s="176">
        <v>1</v>
      </c>
      <c r="AF62" s="176">
        <v>218</v>
      </c>
      <c r="AG62" s="167"/>
      <c r="AH62" s="180">
        <v>136.9</v>
      </c>
      <c r="AI62" s="166">
        <v>72.226721965759396</v>
      </c>
      <c r="AJ62" s="181" t="s">
        <v>53</v>
      </c>
      <c r="AK62" s="178">
        <v>1.1464559042183999</v>
      </c>
      <c r="AL62" s="179">
        <v>2.20384689738398</v>
      </c>
      <c r="AM62" s="168">
        <v>0.02</v>
      </c>
      <c r="AN62" s="168">
        <v>1.4999999999999999E-2</v>
      </c>
      <c r="AO62" s="176">
        <v>0</v>
      </c>
      <c r="AP62" s="176">
        <v>7</v>
      </c>
      <c r="AQ62" s="167"/>
      <c r="AR62" s="180">
        <v>26.9</v>
      </c>
      <c r="AS62" s="166">
        <v>14.1921024169388</v>
      </c>
      <c r="AT62" s="181" t="s">
        <v>54</v>
      </c>
      <c r="AU62" s="188">
        <v>0.88700640105867701</v>
      </c>
      <c r="AV62" s="171">
        <v>-7.3085468197120003</v>
      </c>
      <c r="AW62" s="168"/>
      <c r="AX62" s="168"/>
      <c r="AY62" s="176">
        <v>4</v>
      </c>
      <c r="AZ62" s="176">
        <v>10</v>
      </c>
      <c r="BA62" s="167"/>
      <c r="BB62" s="184">
        <v>82</v>
      </c>
      <c r="BC62" s="180">
        <v>43.262170936393503</v>
      </c>
      <c r="BD62" s="181" t="s">
        <v>55</v>
      </c>
      <c r="BE62" s="178">
        <v>1.3519428417623001</v>
      </c>
      <c r="BF62" s="179">
        <v>13.582906360576001</v>
      </c>
      <c r="BG62" s="168">
        <v>0.02</v>
      </c>
      <c r="BH62" s="168">
        <v>0.02</v>
      </c>
      <c r="BI62" s="176">
        <v>0</v>
      </c>
      <c r="BJ62" s="176">
        <v>0</v>
      </c>
      <c r="BK62" s="169"/>
      <c r="BL62" s="185">
        <v>0.8</v>
      </c>
      <c r="BM62" s="188">
        <v>0.8</v>
      </c>
      <c r="BN62" s="186">
        <v>0</v>
      </c>
      <c r="BO62" s="187">
        <v>0.95</v>
      </c>
      <c r="BP62" s="178">
        <v>1</v>
      </c>
      <c r="BQ62" s="186">
        <v>2.5000000000000001E-3</v>
      </c>
    </row>
    <row r="63" spans="1:69" s="156" customFormat="1" ht="22.35" customHeight="1" x14ac:dyDescent="0.2">
      <c r="A63" s="165" t="s">
        <v>80</v>
      </c>
      <c r="B63" s="165" t="s">
        <v>100</v>
      </c>
      <c r="C63" s="165" t="s">
        <v>116</v>
      </c>
      <c r="D63" s="166">
        <v>2.1204174575555599</v>
      </c>
      <c r="E63" s="167"/>
      <c r="F63" s="168">
        <v>4.8000000000000001E-2</v>
      </c>
      <c r="G63" s="168">
        <v>3.5999999999999997E-2</v>
      </c>
      <c r="H63" s="169"/>
      <c r="I63" s="170">
        <v>4</v>
      </c>
      <c r="J63" s="170">
        <v>3</v>
      </c>
      <c r="K63" s="167"/>
      <c r="L63" s="171">
        <v>894.07150000000001</v>
      </c>
      <c r="M63" s="171">
        <v>709.01498000000004</v>
      </c>
      <c r="N63" s="171">
        <v>1603.0864799999999</v>
      </c>
      <c r="O63" s="166">
        <v>756.02399625970804</v>
      </c>
      <c r="P63" s="172">
        <v>256.27100000000002</v>
      </c>
      <c r="Q63" s="178">
        <v>2.9500957824323</v>
      </c>
      <c r="R63" s="179">
        <v>990.12958544483104</v>
      </c>
      <c r="S63" s="168">
        <v>0.01</v>
      </c>
      <c r="T63" s="168">
        <v>0.01</v>
      </c>
      <c r="U63" s="175">
        <v>0</v>
      </c>
      <c r="V63" s="176">
        <v>0</v>
      </c>
      <c r="W63" s="167"/>
      <c r="X63" s="175">
        <v>1199.81549</v>
      </c>
      <c r="Y63" s="166">
        <v>565.83928118718802</v>
      </c>
      <c r="Z63" s="177">
        <v>573</v>
      </c>
      <c r="AA63" s="182">
        <v>0.98750310852912404</v>
      </c>
      <c r="AB63" s="183">
        <v>-170.703611186291</v>
      </c>
      <c r="AC63" s="168">
        <v>5.0000000000000001E-3</v>
      </c>
      <c r="AD63" s="168"/>
      <c r="AE63" s="176">
        <v>16</v>
      </c>
      <c r="AF63" s="176">
        <v>259</v>
      </c>
      <c r="AG63" s="167"/>
      <c r="AH63" s="180">
        <v>141.5</v>
      </c>
      <c r="AI63" s="166">
        <v>66.732142529670995</v>
      </c>
      <c r="AJ63" s="181" t="s">
        <v>53</v>
      </c>
      <c r="AK63" s="182">
        <v>1.0592403576138301</v>
      </c>
      <c r="AL63" s="183">
        <v>-9.1853462037283293</v>
      </c>
      <c r="AM63" s="168">
        <v>1.2999999999999999E-2</v>
      </c>
      <c r="AN63" s="168">
        <v>6.0000000000000001E-3</v>
      </c>
      <c r="AO63" s="176">
        <v>0</v>
      </c>
      <c r="AP63" s="176">
        <v>19</v>
      </c>
      <c r="AQ63" s="167"/>
      <c r="AR63" s="180">
        <v>12.8</v>
      </c>
      <c r="AS63" s="166">
        <v>6.0365471687617598</v>
      </c>
      <c r="AT63" s="181" t="s">
        <v>54</v>
      </c>
      <c r="AU63" s="173">
        <v>0.37728419804760999</v>
      </c>
      <c r="AV63" s="174">
        <v>-25.469294273962699</v>
      </c>
      <c r="AW63" s="168"/>
      <c r="AX63" s="168"/>
      <c r="AY63" s="176">
        <v>22</v>
      </c>
      <c r="AZ63" s="176">
        <v>28</v>
      </c>
      <c r="BA63" s="167"/>
      <c r="BB63" s="184">
        <v>89.8</v>
      </c>
      <c r="BC63" s="180">
        <v>42.350151230844197</v>
      </c>
      <c r="BD63" s="181" t="s">
        <v>55</v>
      </c>
      <c r="BE63" s="178">
        <v>1.3234422259638801</v>
      </c>
      <c r="BF63" s="179">
        <v>13.261411452074499</v>
      </c>
      <c r="BG63" s="168">
        <v>0.02</v>
      </c>
      <c r="BH63" s="168">
        <v>0.02</v>
      </c>
      <c r="BI63" s="176">
        <v>0</v>
      </c>
      <c r="BJ63" s="176">
        <v>0</v>
      </c>
      <c r="BK63" s="169"/>
      <c r="BL63" s="185">
        <v>0.8</v>
      </c>
      <c r="BM63" s="188">
        <v>0.73</v>
      </c>
      <c r="BN63" s="186"/>
      <c r="BO63" s="187">
        <v>0.95</v>
      </c>
      <c r="BP63" s="173">
        <v>0.71</v>
      </c>
      <c r="BQ63" s="186"/>
    </row>
    <row r="64" spans="1:69" s="156" customFormat="1" ht="22.35" customHeight="1" x14ac:dyDescent="0.2">
      <c r="A64" s="165" t="s">
        <v>80</v>
      </c>
      <c r="B64" s="165" t="s">
        <v>100</v>
      </c>
      <c r="C64" s="165" t="s">
        <v>117</v>
      </c>
      <c r="D64" s="166">
        <v>2.5505437582222199</v>
      </c>
      <c r="E64" s="167"/>
      <c r="F64" s="168">
        <v>0.05</v>
      </c>
      <c r="G64" s="168">
        <v>0.05</v>
      </c>
      <c r="H64" s="169"/>
      <c r="I64" s="170">
        <v>4</v>
      </c>
      <c r="J64" s="170">
        <v>4</v>
      </c>
      <c r="K64" s="167"/>
      <c r="L64" s="171">
        <v>1615.69109</v>
      </c>
      <c r="M64" s="171">
        <v>2826.6165299999998</v>
      </c>
      <c r="N64" s="171">
        <v>4442.3076199999996</v>
      </c>
      <c r="O64" s="166">
        <v>1741.7100199434999</v>
      </c>
      <c r="P64" s="172">
        <v>273.43799999999999</v>
      </c>
      <c r="Q64" s="178">
        <v>6.3696707112526401</v>
      </c>
      <c r="R64" s="179">
        <v>3655.6228410666499</v>
      </c>
      <c r="S64" s="168">
        <v>0.01</v>
      </c>
      <c r="T64" s="168">
        <v>0.01</v>
      </c>
      <c r="U64" s="175">
        <v>0</v>
      </c>
      <c r="V64" s="176">
        <v>0</v>
      </c>
      <c r="W64" s="167"/>
      <c r="X64" s="175">
        <v>1785.58034</v>
      </c>
      <c r="Y64" s="166">
        <v>700.07830065404698</v>
      </c>
      <c r="Z64" s="177">
        <v>573</v>
      </c>
      <c r="AA64" s="178">
        <v>1.2217771390123</v>
      </c>
      <c r="AB64" s="179">
        <v>137.05168513561699</v>
      </c>
      <c r="AC64" s="168">
        <v>0.02</v>
      </c>
      <c r="AD64" s="168">
        <v>0.02</v>
      </c>
      <c r="AE64" s="176">
        <v>0</v>
      </c>
      <c r="AF64" s="176">
        <v>0</v>
      </c>
      <c r="AG64" s="167"/>
      <c r="AH64" s="180">
        <v>124.45</v>
      </c>
      <c r="AI64" s="166">
        <v>48.793516911368002</v>
      </c>
      <c r="AJ64" s="181" t="s">
        <v>53</v>
      </c>
      <c r="AK64" s="188">
        <v>0.774500268434412</v>
      </c>
      <c r="AL64" s="171">
        <v>-56.801841634303798</v>
      </c>
      <c r="AM64" s="168"/>
      <c r="AN64" s="168"/>
      <c r="AO64" s="176">
        <v>37</v>
      </c>
      <c r="AP64" s="176">
        <v>69</v>
      </c>
      <c r="AQ64" s="167"/>
      <c r="AR64" s="180">
        <v>10.6</v>
      </c>
      <c r="AS64" s="166">
        <v>4.1559765308196104</v>
      </c>
      <c r="AT64" s="181" t="s">
        <v>54</v>
      </c>
      <c r="AU64" s="173">
        <v>0.25974853317622598</v>
      </c>
      <c r="AV64" s="174">
        <v>-35.432213748394602</v>
      </c>
      <c r="AW64" s="168"/>
      <c r="AX64" s="168"/>
      <c r="AY64" s="176">
        <v>31</v>
      </c>
      <c r="AZ64" s="176">
        <v>39</v>
      </c>
      <c r="BA64" s="167"/>
      <c r="BB64" s="184">
        <v>101.8</v>
      </c>
      <c r="BC64" s="180">
        <v>39.913057626173199</v>
      </c>
      <c r="BD64" s="181" t="s">
        <v>55</v>
      </c>
      <c r="BE64" s="178">
        <v>1.24728305081791</v>
      </c>
      <c r="BF64" s="179">
        <v>9.7355725032107294</v>
      </c>
      <c r="BG64" s="168">
        <v>0.02</v>
      </c>
      <c r="BH64" s="168">
        <v>0.02</v>
      </c>
      <c r="BI64" s="176">
        <v>0</v>
      </c>
      <c r="BJ64" s="176">
        <v>0</v>
      </c>
      <c r="BK64" s="169"/>
      <c r="BL64" s="185">
        <v>0.8</v>
      </c>
      <c r="BM64" s="173">
        <v>0.66</v>
      </c>
      <c r="BN64" s="186"/>
      <c r="BO64" s="187">
        <v>0.95</v>
      </c>
      <c r="BP64" s="178">
        <v>1</v>
      </c>
      <c r="BQ64" s="186">
        <v>2.5000000000000001E-3</v>
      </c>
    </row>
    <row r="65" spans="1:69" s="156" customFormat="1" ht="22.35" customHeight="1" x14ac:dyDescent="0.2">
      <c r="A65" s="165" t="s">
        <v>80</v>
      </c>
      <c r="B65" s="165" t="s">
        <v>118</v>
      </c>
      <c r="C65" s="165" t="s">
        <v>119</v>
      </c>
      <c r="D65" s="166">
        <v>2.7952903572222199</v>
      </c>
      <c r="E65" s="167"/>
      <c r="F65" s="168">
        <v>0.03</v>
      </c>
      <c r="G65" s="168">
        <v>0.03</v>
      </c>
      <c r="H65" s="169"/>
      <c r="I65" s="170">
        <v>2</v>
      </c>
      <c r="J65" s="170">
        <v>2</v>
      </c>
      <c r="K65" s="167"/>
      <c r="L65" s="171">
        <v>2852.4804199999999</v>
      </c>
      <c r="M65" s="171">
        <v>865.52130999999997</v>
      </c>
      <c r="N65" s="171">
        <v>3718.00173</v>
      </c>
      <c r="O65" s="166">
        <v>1330.09500082657</v>
      </c>
      <c r="P65" s="172">
        <v>264.72899999999998</v>
      </c>
      <c r="Q65" s="178">
        <v>5.0243645419526004</v>
      </c>
      <c r="R65" s="179">
        <v>2883.2880231378499</v>
      </c>
      <c r="S65" s="168">
        <v>0.01</v>
      </c>
      <c r="T65" s="168">
        <v>0.01</v>
      </c>
      <c r="U65" s="175">
        <v>0</v>
      </c>
      <c r="V65" s="176">
        <v>0</v>
      </c>
      <c r="W65" s="167"/>
      <c r="X65" s="175">
        <v>1409.23856</v>
      </c>
      <c r="Y65" s="166">
        <v>504.14746946017101</v>
      </c>
      <c r="Z65" s="177">
        <v>573</v>
      </c>
      <c r="AA65" s="188">
        <v>0.87983851563729598</v>
      </c>
      <c r="AB65" s="171">
        <v>-397.48059064843898</v>
      </c>
      <c r="AC65" s="168"/>
      <c r="AD65" s="168"/>
      <c r="AE65" s="176">
        <v>193</v>
      </c>
      <c r="AF65" s="176">
        <v>513</v>
      </c>
      <c r="AG65" s="167"/>
      <c r="AH65" s="180">
        <v>155.25</v>
      </c>
      <c r="AI65" s="166">
        <v>55.5398474433537</v>
      </c>
      <c r="AJ65" s="181" t="s">
        <v>53</v>
      </c>
      <c r="AK65" s="188">
        <v>0.88158488005323399</v>
      </c>
      <c r="AL65" s="171">
        <v>-43.3945139456399</v>
      </c>
      <c r="AM65" s="168"/>
      <c r="AN65" s="168"/>
      <c r="AO65" s="176">
        <v>21</v>
      </c>
      <c r="AP65" s="176">
        <v>57</v>
      </c>
      <c r="AQ65" s="167"/>
      <c r="AR65" s="180">
        <v>14</v>
      </c>
      <c r="AS65" s="166">
        <v>5.0084242460995299</v>
      </c>
      <c r="AT65" s="181" t="s">
        <v>54</v>
      </c>
      <c r="AU65" s="173">
        <v>0.313026515381221</v>
      </c>
      <c r="AV65" s="174">
        <v>-36.449400367146602</v>
      </c>
      <c r="AW65" s="168"/>
      <c r="AX65" s="168"/>
      <c r="AY65" s="176">
        <v>31</v>
      </c>
      <c r="AZ65" s="176">
        <v>40</v>
      </c>
      <c r="BA65" s="167"/>
      <c r="BB65" s="184">
        <v>124.2</v>
      </c>
      <c r="BC65" s="180">
        <v>44.431877954683003</v>
      </c>
      <c r="BD65" s="181" t="s">
        <v>55</v>
      </c>
      <c r="BE65" s="178">
        <v>1.3884961860838401</v>
      </c>
      <c r="BF65" s="179">
        <v>23.3011992657067</v>
      </c>
      <c r="BG65" s="168">
        <v>0.02</v>
      </c>
      <c r="BH65" s="168">
        <v>0.02</v>
      </c>
      <c r="BI65" s="176">
        <v>0</v>
      </c>
      <c r="BJ65" s="176">
        <v>0</v>
      </c>
      <c r="BK65" s="169"/>
      <c r="BL65" s="185">
        <v>0.8</v>
      </c>
      <c r="BM65" s="173">
        <v>0.68</v>
      </c>
      <c r="BN65" s="186"/>
      <c r="BO65" s="187">
        <v>0.95</v>
      </c>
      <c r="BP65" s="188">
        <v>0.9</v>
      </c>
      <c r="BQ65" s="186"/>
    </row>
    <row r="66" spans="1:69" s="156" customFormat="1" ht="22.35" customHeight="1" x14ac:dyDescent="0.2">
      <c r="A66" s="165" t="s">
        <v>80</v>
      </c>
      <c r="B66" s="165" t="s">
        <v>118</v>
      </c>
      <c r="C66" s="165" t="s">
        <v>120</v>
      </c>
      <c r="D66" s="166">
        <v>1.42108807377778</v>
      </c>
      <c r="E66" s="167"/>
      <c r="F66" s="168">
        <v>0.03</v>
      </c>
      <c r="G66" s="168">
        <v>0.03</v>
      </c>
      <c r="H66" s="169"/>
      <c r="I66" s="170">
        <v>3</v>
      </c>
      <c r="J66" s="170">
        <v>3</v>
      </c>
      <c r="K66" s="167"/>
      <c r="L66" s="171">
        <v>2197.92515</v>
      </c>
      <c r="M66" s="171">
        <v>1271.4114</v>
      </c>
      <c r="N66" s="171">
        <v>3469.33655</v>
      </c>
      <c r="O66" s="166">
        <v>2441.3240910376699</v>
      </c>
      <c r="P66" s="172">
        <v>287.5</v>
      </c>
      <c r="Q66" s="178">
        <v>8.4915620557832003</v>
      </c>
      <c r="R66" s="179">
        <v>3008.4776876738702</v>
      </c>
      <c r="S66" s="168">
        <v>0.01</v>
      </c>
      <c r="T66" s="168">
        <v>0.01</v>
      </c>
      <c r="U66" s="175">
        <v>0</v>
      </c>
      <c r="V66" s="176">
        <v>0</v>
      </c>
      <c r="W66" s="167"/>
      <c r="X66" s="175">
        <v>982.72622999999999</v>
      </c>
      <c r="Y66" s="166">
        <v>691.53084044083903</v>
      </c>
      <c r="Z66" s="177">
        <v>573</v>
      </c>
      <c r="AA66" s="178">
        <v>1.2068601054813901</v>
      </c>
      <c r="AB66" s="179">
        <v>64.2144800421746</v>
      </c>
      <c r="AC66" s="168">
        <v>0.02</v>
      </c>
      <c r="AD66" s="168">
        <v>0.02</v>
      </c>
      <c r="AE66" s="176">
        <v>0</v>
      </c>
      <c r="AF66" s="176">
        <v>0</v>
      </c>
      <c r="AG66" s="167"/>
      <c r="AH66" s="180">
        <v>63.2</v>
      </c>
      <c r="AI66" s="166">
        <v>44.472964882458697</v>
      </c>
      <c r="AJ66" s="181" t="s">
        <v>53</v>
      </c>
      <c r="AK66" s="173">
        <v>0.70592007749934405</v>
      </c>
      <c r="AL66" s="174">
        <v>-37.788202874944098</v>
      </c>
      <c r="AM66" s="168"/>
      <c r="AN66" s="168"/>
      <c r="AO66" s="176">
        <v>27</v>
      </c>
      <c r="AP66" s="176">
        <v>45</v>
      </c>
      <c r="AQ66" s="167"/>
      <c r="AR66" s="180">
        <v>10.6</v>
      </c>
      <c r="AS66" s="166">
        <v>7.4590732239566799</v>
      </c>
      <c r="AT66" s="181" t="s">
        <v>54</v>
      </c>
      <c r="AU66" s="173">
        <v>0.466192076497292</v>
      </c>
      <c r="AV66" s="174">
        <v>-15.047797555541401</v>
      </c>
      <c r="AW66" s="168"/>
      <c r="AX66" s="168"/>
      <c r="AY66" s="176">
        <v>13</v>
      </c>
      <c r="AZ66" s="176">
        <v>17</v>
      </c>
      <c r="BA66" s="167"/>
      <c r="BB66" s="184">
        <v>42.6</v>
      </c>
      <c r="BC66" s="180">
        <v>29.977030126467401</v>
      </c>
      <c r="BD66" s="181" t="s">
        <v>55</v>
      </c>
      <c r="BE66" s="188">
        <v>0.93678219145210695</v>
      </c>
      <c r="BF66" s="171">
        <v>-8.6955951110827492</v>
      </c>
      <c r="BG66" s="168">
        <v>0</v>
      </c>
      <c r="BH66" s="168"/>
      <c r="BI66" s="176">
        <v>3</v>
      </c>
      <c r="BJ66" s="176">
        <v>12</v>
      </c>
      <c r="BK66" s="169"/>
      <c r="BL66" s="185">
        <v>0.8</v>
      </c>
      <c r="BM66" s="188">
        <v>0.75</v>
      </c>
      <c r="BN66" s="186"/>
      <c r="BO66" s="187">
        <v>0.95</v>
      </c>
      <c r="BP66" s="178">
        <v>1</v>
      </c>
      <c r="BQ66" s="186">
        <v>2.5000000000000001E-3</v>
      </c>
    </row>
    <row r="67" spans="1:69" s="156" customFormat="1" ht="22.35" customHeight="1" x14ac:dyDescent="0.2">
      <c r="A67" s="165" t="s">
        <v>80</v>
      </c>
      <c r="B67" s="165" t="s">
        <v>118</v>
      </c>
      <c r="C67" s="165" t="s">
        <v>121</v>
      </c>
      <c r="D67" s="166">
        <v>4.3565891625555597</v>
      </c>
      <c r="E67" s="167"/>
      <c r="F67" s="168">
        <v>0.03</v>
      </c>
      <c r="G67" s="168">
        <v>0.03</v>
      </c>
      <c r="H67" s="169"/>
      <c r="I67" s="170">
        <v>3</v>
      </c>
      <c r="J67" s="170">
        <v>3</v>
      </c>
      <c r="K67" s="167"/>
      <c r="L67" s="171">
        <v>3553.2466899999999</v>
      </c>
      <c r="M67" s="171">
        <v>1953.23136</v>
      </c>
      <c r="N67" s="171">
        <v>5506.4780499999997</v>
      </c>
      <c r="O67" s="166">
        <v>1263.94246612181</v>
      </c>
      <c r="P67" s="172">
        <v>287.5</v>
      </c>
      <c r="Q67" s="178">
        <v>4.3963216212932501</v>
      </c>
      <c r="R67" s="179">
        <v>4093.6361845832298</v>
      </c>
      <c r="S67" s="168">
        <v>0.01</v>
      </c>
      <c r="T67" s="168">
        <v>0.01</v>
      </c>
      <c r="U67" s="175">
        <v>0</v>
      </c>
      <c r="V67" s="176">
        <v>0</v>
      </c>
      <c r="W67" s="167"/>
      <c r="X67" s="175">
        <v>1969.7687149999999</v>
      </c>
      <c r="Y67" s="166">
        <v>452.13552196520197</v>
      </c>
      <c r="Z67" s="177">
        <v>573</v>
      </c>
      <c r="AA67" s="188">
        <v>0.789067228560562</v>
      </c>
      <c r="AB67" s="171">
        <v>-846.08655068281098</v>
      </c>
      <c r="AC67" s="168"/>
      <c r="AD67" s="168"/>
      <c r="AE67" s="176">
        <v>527</v>
      </c>
      <c r="AF67" s="176">
        <v>1026</v>
      </c>
      <c r="AG67" s="167"/>
      <c r="AH67" s="180">
        <v>160.9</v>
      </c>
      <c r="AI67" s="166">
        <v>36.932562148140903</v>
      </c>
      <c r="AJ67" s="181" t="s">
        <v>53</v>
      </c>
      <c r="AK67" s="173">
        <v>0.58623114520858499</v>
      </c>
      <c r="AL67" s="174">
        <v>-148.69665224784799</v>
      </c>
      <c r="AM67" s="168"/>
      <c r="AN67" s="168"/>
      <c r="AO67" s="176">
        <v>114</v>
      </c>
      <c r="AP67" s="176">
        <v>169</v>
      </c>
      <c r="AQ67" s="167"/>
      <c r="AR67" s="180">
        <v>45.4</v>
      </c>
      <c r="AS67" s="166">
        <v>10.420996404758201</v>
      </c>
      <c r="AT67" s="181" t="s">
        <v>54</v>
      </c>
      <c r="AU67" s="173">
        <v>0.651312275297387</v>
      </c>
      <c r="AV67" s="174">
        <v>-33.227721205802702</v>
      </c>
      <c r="AW67" s="168"/>
      <c r="AX67" s="168"/>
      <c r="AY67" s="176">
        <v>25</v>
      </c>
      <c r="AZ67" s="176">
        <v>39</v>
      </c>
      <c r="BA67" s="167"/>
      <c r="BB67" s="184">
        <v>195.6</v>
      </c>
      <c r="BC67" s="180">
        <v>44.897508739442799</v>
      </c>
      <c r="BD67" s="181" t="s">
        <v>55</v>
      </c>
      <c r="BE67" s="178">
        <v>1.4030471481075899</v>
      </c>
      <c r="BF67" s="179">
        <v>38.344557588394501</v>
      </c>
      <c r="BG67" s="168">
        <v>0.02</v>
      </c>
      <c r="BH67" s="168">
        <v>0.02</v>
      </c>
      <c r="BI67" s="176">
        <v>0</v>
      </c>
      <c r="BJ67" s="176">
        <v>0</v>
      </c>
      <c r="BK67" s="169"/>
      <c r="BL67" s="185">
        <v>0.8</v>
      </c>
      <c r="BM67" s="188">
        <v>0.75</v>
      </c>
      <c r="BN67" s="186"/>
      <c r="BO67" s="187">
        <v>0.95</v>
      </c>
      <c r="BP67" s="178">
        <v>1</v>
      </c>
      <c r="BQ67" s="186">
        <v>2.5000000000000001E-3</v>
      </c>
    </row>
    <row r="68" spans="1:69" s="156" customFormat="1" ht="22.35" customHeight="1" x14ac:dyDescent="0.2">
      <c r="A68" s="165" t="s">
        <v>80</v>
      </c>
      <c r="B68" s="165" t="s">
        <v>118</v>
      </c>
      <c r="C68" s="165" t="s">
        <v>122</v>
      </c>
      <c r="D68" s="166">
        <v>4.5469934366666704</v>
      </c>
      <c r="E68" s="167"/>
      <c r="F68" s="168">
        <v>5.2999999999999999E-2</v>
      </c>
      <c r="G68" s="168">
        <v>3.9E-2</v>
      </c>
      <c r="H68" s="169"/>
      <c r="I68" s="170">
        <v>5</v>
      </c>
      <c r="J68" s="170">
        <v>5</v>
      </c>
      <c r="K68" s="167"/>
      <c r="L68" s="171">
        <v>5184.4554099999996</v>
      </c>
      <c r="M68" s="171">
        <v>1785.4940899999999</v>
      </c>
      <c r="N68" s="171">
        <v>6969.9494999999997</v>
      </c>
      <c r="O68" s="166">
        <v>1532.8699275865999</v>
      </c>
      <c r="P68" s="172">
        <v>287.5</v>
      </c>
      <c r="Q68" s="178">
        <v>5.3317214872577399</v>
      </c>
      <c r="R68" s="179">
        <v>5495.3595284889998</v>
      </c>
      <c r="S68" s="168">
        <v>0.01</v>
      </c>
      <c r="T68" s="168">
        <v>0.01</v>
      </c>
      <c r="U68" s="175">
        <v>0</v>
      </c>
      <c r="V68" s="176">
        <v>0</v>
      </c>
      <c r="W68" s="167"/>
      <c r="X68" s="175">
        <v>2789.6877749999999</v>
      </c>
      <c r="Y68" s="166">
        <v>613.52359836373103</v>
      </c>
      <c r="Z68" s="177">
        <v>573</v>
      </c>
      <c r="AA68" s="182">
        <v>1.0707218121531099</v>
      </c>
      <c r="AB68" s="183">
        <v>-149.23415082888201</v>
      </c>
      <c r="AC68" s="168">
        <v>1.4E-2</v>
      </c>
      <c r="AD68" s="168">
        <v>7.0000000000000001E-3</v>
      </c>
      <c r="AE68" s="176">
        <v>0</v>
      </c>
      <c r="AF68" s="176">
        <v>337</v>
      </c>
      <c r="AG68" s="167"/>
      <c r="AH68" s="180">
        <v>292.55</v>
      </c>
      <c r="AI68" s="166">
        <v>64.3392175675679</v>
      </c>
      <c r="AJ68" s="181" t="s">
        <v>53</v>
      </c>
      <c r="AK68" s="182">
        <v>1.0212574217074299</v>
      </c>
      <c r="AL68" s="183">
        <v>-30.577541583280201</v>
      </c>
      <c r="AM68" s="168">
        <v>8.9999999999999993E-3</v>
      </c>
      <c r="AN68" s="168">
        <v>2E-3</v>
      </c>
      <c r="AO68" s="176">
        <v>0</v>
      </c>
      <c r="AP68" s="176">
        <v>52</v>
      </c>
      <c r="AQ68" s="167"/>
      <c r="AR68" s="180">
        <v>40.200000000000003</v>
      </c>
      <c r="AS68" s="166">
        <v>8.8410068235044594</v>
      </c>
      <c r="AT68" s="181" t="s">
        <v>54</v>
      </c>
      <c r="AU68" s="173">
        <v>0.55256292646902905</v>
      </c>
      <c r="AV68" s="174">
        <v>-41.864137544960101</v>
      </c>
      <c r="AW68" s="168"/>
      <c r="AX68" s="168"/>
      <c r="AY68" s="176">
        <v>33</v>
      </c>
      <c r="AZ68" s="176">
        <v>48</v>
      </c>
      <c r="BA68" s="167"/>
      <c r="BB68" s="184">
        <v>214.8</v>
      </c>
      <c r="BC68" s="180">
        <v>47.240006609173101</v>
      </c>
      <c r="BD68" s="181" t="s">
        <v>55</v>
      </c>
      <c r="BE68" s="178">
        <v>1.4762502065366601</v>
      </c>
      <c r="BF68" s="179">
        <v>50.671724910079902</v>
      </c>
      <c r="BG68" s="168">
        <v>0.02</v>
      </c>
      <c r="BH68" s="168">
        <v>0.02</v>
      </c>
      <c r="BI68" s="176">
        <v>0</v>
      </c>
      <c r="BJ68" s="176">
        <v>0</v>
      </c>
      <c r="BK68" s="169"/>
      <c r="BL68" s="185">
        <v>0.8</v>
      </c>
      <c r="BM68" s="188">
        <v>0.77</v>
      </c>
      <c r="BN68" s="186"/>
      <c r="BO68" s="187">
        <v>0.95</v>
      </c>
      <c r="BP68" s="178">
        <v>1</v>
      </c>
      <c r="BQ68" s="186">
        <v>2.5000000000000001E-3</v>
      </c>
    </row>
    <row r="69" spans="1:69" s="156" customFormat="1" ht="22.35" customHeight="1" x14ac:dyDescent="0.2">
      <c r="A69" s="165" t="s">
        <v>80</v>
      </c>
      <c r="B69" s="165" t="s">
        <v>118</v>
      </c>
      <c r="C69" s="165" t="s">
        <v>123</v>
      </c>
      <c r="D69" s="166">
        <v>1.5103209235555599</v>
      </c>
      <c r="E69" s="167"/>
      <c r="F69" s="168">
        <v>3.3500000000000002E-2</v>
      </c>
      <c r="G69" s="168">
        <v>1.4500000000000001E-2</v>
      </c>
      <c r="H69" s="169"/>
      <c r="I69" s="170">
        <v>5</v>
      </c>
      <c r="J69" s="170">
        <v>4</v>
      </c>
      <c r="K69" s="167"/>
      <c r="L69" s="171">
        <v>703.77817000000005</v>
      </c>
      <c r="M69" s="171">
        <v>-250.92737</v>
      </c>
      <c r="N69" s="171">
        <v>452.85079999999999</v>
      </c>
      <c r="O69" s="166">
        <v>299.83746694968102</v>
      </c>
      <c r="P69" s="172">
        <v>287.5</v>
      </c>
      <c r="Q69" s="182">
        <v>1.04291292852063</v>
      </c>
      <c r="R69" s="183">
        <v>-36.946275509068101</v>
      </c>
      <c r="S69" s="168">
        <v>5.4999999999999997E-3</v>
      </c>
      <c r="T69" s="168">
        <v>2E-3</v>
      </c>
      <c r="U69" s="175">
        <v>0</v>
      </c>
      <c r="V69" s="176">
        <v>69</v>
      </c>
      <c r="W69" s="167"/>
      <c r="X69" s="175">
        <v>621.54995499999995</v>
      </c>
      <c r="Y69" s="166">
        <v>411.53502232940298</v>
      </c>
      <c r="Z69" s="177">
        <v>573</v>
      </c>
      <c r="AA69" s="173">
        <v>0.71821120825375695</v>
      </c>
      <c r="AB69" s="174">
        <v>-354.636912014595</v>
      </c>
      <c r="AC69" s="168"/>
      <c r="AD69" s="168"/>
      <c r="AE69" s="176">
        <v>244</v>
      </c>
      <c r="AF69" s="176">
        <v>417</v>
      </c>
      <c r="AG69" s="167"/>
      <c r="AH69" s="180">
        <v>92.65</v>
      </c>
      <c r="AI69" s="166">
        <v>61.3445781985765</v>
      </c>
      <c r="AJ69" s="181" t="s">
        <v>53</v>
      </c>
      <c r="AK69" s="182">
        <v>0.97372346346946803</v>
      </c>
      <c r="AL69" s="183">
        <v>-14.6794461115523</v>
      </c>
      <c r="AM69" s="168">
        <v>4.0000000000000001E-3</v>
      </c>
      <c r="AN69" s="168"/>
      <c r="AO69" s="176">
        <v>3</v>
      </c>
      <c r="AP69" s="176">
        <v>22</v>
      </c>
      <c r="AQ69" s="167"/>
      <c r="AR69" s="180">
        <v>25.4</v>
      </c>
      <c r="AS69" s="166">
        <v>16.817617768417101</v>
      </c>
      <c r="AT69" s="181" t="s">
        <v>54</v>
      </c>
      <c r="AU69" s="182">
        <v>1.0511011105260699</v>
      </c>
      <c r="AV69" s="183">
        <v>-1.8582720283307499</v>
      </c>
      <c r="AW69" s="168">
        <v>6.0000000000000001E-3</v>
      </c>
      <c r="AX69" s="168">
        <v>2.5000000000000001E-3</v>
      </c>
      <c r="AY69" s="176">
        <v>0</v>
      </c>
      <c r="AZ69" s="176">
        <v>4</v>
      </c>
      <c r="BA69" s="167"/>
      <c r="BB69" s="184">
        <v>53.4</v>
      </c>
      <c r="BC69" s="180">
        <v>35.356723969821701</v>
      </c>
      <c r="BD69" s="181" t="s">
        <v>55</v>
      </c>
      <c r="BE69" s="182">
        <v>1.1048976240569299</v>
      </c>
      <c r="BF69" s="183">
        <v>-1.1165440566614999</v>
      </c>
      <c r="BG69" s="168">
        <v>1.7999999999999999E-2</v>
      </c>
      <c r="BH69" s="168">
        <v>0.01</v>
      </c>
      <c r="BI69" s="176">
        <v>0</v>
      </c>
      <c r="BJ69" s="176">
        <v>5</v>
      </c>
      <c r="BK69" s="169"/>
      <c r="BL69" s="185">
        <v>0.8</v>
      </c>
      <c r="BM69" s="173">
        <v>0.65</v>
      </c>
      <c r="BN69" s="186"/>
      <c r="BO69" s="187">
        <v>0.95</v>
      </c>
      <c r="BP69" s="178">
        <v>1</v>
      </c>
      <c r="BQ69" s="186">
        <v>2.5000000000000001E-3</v>
      </c>
    </row>
    <row r="70" spans="1:69" s="156" customFormat="1" ht="22.35" customHeight="1" x14ac:dyDescent="0.2">
      <c r="A70" s="165" t="s">
        <v>80</v>
      </c>
      <c r="B70" s="165" t="s">
        <v>118</v>
      </c>
      <c r="C70" s="165" t="s">
        <v>124</v>
      </c>
      <c r="D70" s="166">
        <v>3.0536943671111101</v>
      </c>
      <c r="E70" s="167"/>
      <c r="F70" s="168">
        <v>3.3000000000000002E-2</v>
      </c>
      <c r="G70" s="168">
        <v>0.03</v>
      </c>
      <c r="H70" s="169"/>
      <c r="I70" s="170">
        <v>4</v>
      </c>
      <c r="J70" s="170">
        <v>3</v>
      </c>
      <c r="K70" s="167"/>
      <c r="L70" s="171">
        <v>2963.7654200000002</v>
      </c>
      <c r="M70" s="171">
        <v>845.47592999999995</v>
      </c>
      <c r="N70" s="171">
        <v>3809.2413499999998</v>
      </c>
      <c r="O70" s="166">
        <v>1247.42062959092</v>
      </c>
      <c r="P70" s="172">
        <v>253.321</v>
      </c>
      <c r="Q70" s="178">
        <v>4.9242685351428399</v>
      </c>
      <c r="R70" s="179">
        <v>2936.6601306503599</v>
      </c>
      <c r="S70" s="168">
        <v>0.01</v>
      </c>
      <c r="T70" s="168">
        <v>0.01</v>
      </c>
      <c r="U70" s="175">
        <v>0</v>
      </c>
      <c r="V70" s="176">
        <v>0</v>
      </c>
      <c r="W70" s="167"/>
      <c r="X70" s="175">
        <v>1485.2112500000001</v>
      </c>
      <c r="Y70" s="166">
        <v>486.365389410288</v>
      </c>
      <c r="Z70" s="177">
        <v>573</v>
      </c>
      <c r="AA70" s="188">
        <v>0.84880521712092205</v>
      </c>
      <c r="AB70" s="171">
        <v>-488.52578201606298</v>
      </c>
      <c r="AC70" s="168"/>
      <c r="AD70" s="168"/>
      <c r="AE70" s="176">
        <v>265</v>
      </c>
      <c r="AF70" s="176">
        <v>615</v>
      </c>
      <c r="AG70" s="167"/>
      <c r="AH70" s="180">
        <v>121.3</v>
      </c>
      <c r="AI70" s="166">
        <v>39.722377362457998</v>
      </c>
      <c r="AJ70" s="181" t="s">
        <v>53</v>
      </c>
      <c r="AK70" s="173">
        <v>0.63051392638822301</v>
      </c>
      <c r="AL70" s="174">
        <v>-95.707736504383902</v>
      </c>
      <c r="AM70" s="168"/>
      <c r="AN70" s="168"/>
      <c r="AO70" s="176">
        <v>72</v>
      </c>
      <c r="AP70" s="176">
        <v>110</v>
      </c>
      <c r="AQ70" s="167"/>
      <c r="AR70" s="180">
        <v>48.6</v>
      </c>
      <c r="AS70" s="166">
        <v>15.9151487206551</v>
      </c>
      <c r="AT70" s="181" t="s">
        <v>54</v>
      </c>
      <c r="AU70" s="182">
        <v>0.99469679504094199</v>
      </c>
      <c r="AV70" s="183">
        <v>-6.5130759376213101</v>
      </c>
      <c r="AW70" s="168">
        <v>3.0000000000000001E-3</v>
      </c>
      <c r="AX70" s="168"/>
      <c r="AY70" s="176">
        <v>1</v>
      </c>
      <c r="AZ70" s="176">
        <v>11</v>
      </c>
      <c r="BA70" s="167"/>
      <c r="BB70" s="184">
        <v>166</v>
      </c>
      <c r="BC70" s="180">
        <v>54.3603845191099</v>
      </c>
      <c r="BD70" s="181" t="s">
        <v>55</v>
      </c>
      <c r="BE70" s="178">
        <v>1.6987620162221799</v>
      </c>
      <c r="BF70" s="179">
        <v>55.7738481247574</v>
      </c>
      <c r="BG70" s="168">
        <v>0.02</v>
      </c>
      <c r="BH70" s="168">
        <v>0.02</v>
      </c>
      <c r="BI70" s="176">
        <v>0</v>
      </c>
      <c r="BJ70" s="176">
        <v>0</v>
      </c>
      <c r="BK70" s="169"/>
      <c r="BL70" s="185">
        <v>0.8</v>
      </c>
      <c r="BM70" s="173">
        <v>0.62</v>
      </c>
      <c r="BN70" s="186"/>
      <c r="BO70" s="187">
        <v>0.95</v>
      </c>
      <c r="BP70" s="178">
        <v>1</v>
      </c>
      <c r="BQ70" s="186">
        <v>2.5000000000000001E-3</v>
      </c>
    </row>
    <row r="71" spans="1:69" s="156" customFormat="1" ht="22.35" customHeight="1" x14ac:dyDescent="0.2">
      <c r="A71" s="165" t="s">
        <v>80</v>
      </c>
      <c r="B71" s="165" t="s">
        <v>118</v>
      </c>
      <c r="C71" s="165" t="s">
        <v>125</v>
      </c>
      <c r="D71" s="166">
        <v>2.1938047859999998</v>
      </c>
      <c r="E71" s="167"/>
      <c r="F71" s="168">
        <v>4.2000000000000003E-2</v>
      </c>
      <c r="G71" s="168">
        <v>3.5999999999999997E-2</v>
      </c>
      <c r="H71" s="169"/>
      <c r="I71" s="170">
        <v>4</v>
      </c>
      <c r="J71" s="170">
        <v>4</v>
      </c>
      <c r="K71" s="167"/>
      <c r="L71" s="171">
        <v>1936.8040100000001</v>
      </c>
      <c r="M71" s="171">
        <v>252.88798</v>
      </c>
      <c r="N71" s="171">
        <v>2189.6919899999998</v>
      </c>
      <c r="O71" s="166">
        <v>998.12526801552895</v>
      </c>
      <c r="P71" s="172">
        <v>252.24799999999999</v>
      </c>
      <c r="Q71" s="178">
        <v>3.95692044343475</v>
      </c>
      <c r="R71" s="179">
        <v>1565.47611302473</v>
      </c>
      <c r="S71" s="168">
        <v>0.01</v>
      </c>
      <c r="T71" s="168">
        <v>0.01</v>
      </c>
      <c r="U71" s="175">
        <v>0</v>
      </c>
      <c r="V71" s="176">
        <v>0</v>
      </c>
      <c r="W71" s="167"/>
      <c r="X71" s="175">
        <v>1326.4126550000001</v>
      </c>
      <c r="Y71" s="166">
        <v>604.61744976793</v>
      </c>
      <c r="Z71" s="177">
        <v>573</v>
      </c>
      <c r="AA71" s="182">
        <v>1.0551787954065099</v>
      </c>
      <c r="AB71" s="183">
        <v>-91.539905602383897</v>
      </c>
      <c r="AC71" s="168">
        <v>1.2E-2</v>
      </c>
      <c r="AD71" s="168">
        <v>6.0000000000000001E-3</v>
      </c>
      <c r="AE71" s="176">
        <v>0</v>
      </c>
      <c r="AF71" s="176">
        <v>183</v>
      </c>
      <c r="AG71" s="167"/>
      <c r="AH71" s="180">
        <v>116.9</v>
      </c>
      <c r="AI71" s="166">
        <v>53.286418530039597</v>
      </c>
      <c r="AJ71" s="181" t="s">
        <v>53</v>
      </c>
      <c r="AK71" s="188">
        <v>0.84581616714348595</v>
      </c>
      <c r="AL71" s="171">
        <v>-39.000543312304004</v>
      </c>
      <c r="AM71" s="168"/>
      <c r="AN71" s="168"/>
      <c r="AO71" s="176">
        <v>22</v>
      </c>
      <c r="AP71" s="176">
        <v>49</v>
      </c>
      <c r="AQ71" s="167"/>
      <c r="AR71" s="180">
        <v>24.8</v>
      </c>
      <c r="AS71" s="166">
        <v>11.304560988408699</v>
      </c>
      <c r="AT71" s="181" t="s">
        <v>54</v>
      </c>
      <c r="AU71" s="173">
        <v>0.70653506177554604</v>
      </c>
      <c r="AV71" s="174">
        <v>-14.793788777728</v>
      </c>
      <c r="AW71" s="168"/>
      <c r="AX71" s="168"/>
      <c r="AY71" s="176">
        <v>11</v>
      </c>
      <c r="AZ71" s="176">
        <v>18</v>
      </c>
      <c r="BA71" s="167"/>
      <c r="BB71" s="184">
        <v>86.4</v>
      </c>
      <c r="BC71" s="180">
        <v>39.383631830585301</v>
      </c>
      <c r="BD71" s="181" t="s">
        <v>55</v>
      </c>
      <c r="BE71" s="178">
        <v>1.23073849470579</v>
      </c>
      <c r="BF71" s="179">
        <v>7.2124224445439999</v>
      </c>
      <c r="BG71" s="168">
        <v>0.02</v>
      </c>
      <c r="BH71" s="168">
        <v>0.02</v>
      </c>
      <c r="BI71" s="176">
        <v>0</v>
      </c>
      <c r="BJ71" s="176">
        <v>0</v>
      </c>
      <c r="BK71" s="169"/>
      <c r="BL71" s="185">
        <v>0.8</v>
      </c>
      <c r="BM71" s="188">
        <v>0.74</v>
      </c>
      <c r="BN71" s="186"/>
      <c r="BO71" s="187">
        <v>0.95</v>
      </c>
      <c r="BP71" s="178">
        <v>1</v>
      </c>
      <c r="BQ71" s="186">
        <v>2.5000000000000001E-3</v>
      </c>
    </row>
    <row r="72" spans="1:69" s="156" customFormat="1" ht="22.35" customHeight="1" x14ac:dyDescent="0.2">
      <c r="A72" s="165" t="s">
        <v>80</v>
      </c>
      <c r="B72" s="165" t="s">
        <v>118</v>
      </c>
      <c r="C72" s="165" t="s">
        <v>126</v>
      </c>
      <c r="D72" s="166">
        <v>4.5919046557777801</v>
      </c>
      <c r="E72" s="167"/>
      <c r="F72" s="168">
        <v>7.9000000000000001E-2</v>
      </c>
      <c r="G72" s="168">
        <v>7.0499999999999993E-2</v>
      </c>
      <c r="H72" s="169"/>
      <c r="I72" s="170">
        <v>6</v>
      </c>
      <c r="J72" s="170">
        <v>6</v>
      </c>
      <c r="K72" s="167"/>
      <c r="L72" s="171">
        <v>2385.5431899999999</v>
      </c>
      <c r="M72" s="171">
        <v>1417.0139200000001</v>
      </c>
      <c r="N72" s="171">
        <v>3802.5571100000002</v>
      </c>
      <c r="O72" s="166">
        <v>828.10018827708495</v>
      </c>
      <c r="P72" s="172">
        <v>287.5</v>
      </c>
      <c r="Q72" s="178">
        <v>2.8803484809637698</v>
      </c>
      <c r="R72" s="179">
        <v>2313.4024301312702</v>
      </c>
      <c r="S72" s="168">
        <v>0.01</v>
      </c>
      <c r="T72" s="168">
        <v>0.01</v>
      </c>
      <c r="U72" s="175">
        <v>0</v>
      </c>
      <c r="V72" s="176">
        <v>0</v>
      </c>
      <c r="W72" s="167"/>
      <c r="X72" s="175">
        <v>2949.8634649999999</v>
      </c>
      <c r="Y72" s="166">
        <v>642.40520788869696</v>
      </c>
      <c r="Z72" s="177">
        <v>573</v>
      </c>
      <c r="AA72" s="182">
        <v>1.12112601725776</v>
      </c>
      <c r="AB72" s="183">
        <v>-18.086557834033101</v>
      </c>
      <c r="AC72" s="168">
        <v>1.9E-2</v>
      </c>
      <c r="AD72" s="168">
        <v>1.2E-2</v>
      </c>
      <c r="AE72" s="176">
        <v>0</v>
      </c>
      <c r="AF72" s="176">
        <v>208</v>
      </c>
      <c r="AG72" s="167"/>
      <c r="AH72" s="180">
        <v>371.25</v>
      </c>
      <c r="AI72" s="166">
        <v>80.848804108524703</v>
      </c>
      <c r="AJ72" s="181" t="s">
        <v>53</v>
      </c>
      <c r="AK72" s="178">
        <v>1.28331435092896</v>
      </c>
      <c r="AL72" s="179">
        <v>44.930887541807898</v>
      </c>
      <c r="AM72" s="168">
        <v>0.02</v>
      </c>
      <c r="AN72" s="168">
        <v>0.02</v>
      </c>
      <c r="AO72" s="176">
        <v>0</v>
      </c>
      <c r="AP72" s="176">
        <v>0</v>
      </c>
      <c r="AQ72" s="167"/>
      <c r="AR72" s="180">
        <v>86</v>
      </c>
      <c r="AS72" s="166">
        <v>18.728611860829901</v>
      </c>
      <c r="AT72" s="181" t="s">
        <v>54</v>
      </c>
      <c r="AU72" s="178">
        <v>1.1705382413018699</v>
      </c>
      <c r="AV72" s="179">
        <v>3.1253047725226399</v>
      </c>
      <c r="AW72" s="168">
        <v>0.01</v>
      </c>
      <c r="AX72" s="168">
        <v>8.5000000000000006E-3</v>
      </c>
      <c r="AY72" s="176">
        <v>0</v>
      </c>
      <c r="AZ72" s="176">
        <v>3</v>
      </c>
      <c r="BA72" s="167"/>
      <c r="BB72" s="184">
        <v>237.8</v>
      </c>
      <c r="BC72" s="180">
        <v>51.786789540759997</v>
      </c>
      <c r="BD72" s="181" t="s">
        <v>55</v>
      </c>
      <c r="BE72" s="178">
        <v>1.6183371731487499</v>
      </c>
      <c r="BF72" s="179">
        <v>72.050609545045305</v>
      </c>
      <c r="BG72" s="168">
        <v>0.02</v>
      </c>
      <c r="BH72" s="168">
        <v>0.02</v>
      </c>
      <c r="BI72" s="176">
        <v>0</v>
      </c>
      <c r="BJ72" s="176">
        <v>0</v>
      </c>
      <c r="BK72" s="169"/>
      <c r="BL72" s="185">
        <v>0.8</v>
      </c>
      <c r="BM72" s="173">
        <v>0.62</v>
      </c>
      <c r="BN72" s="186"/>
      <c r="BO72" s="187">
        <v>0.95</v>
      </c>
      <c r="BP72" s="182">
        <v>0.96</v>
      </c>
      <c r="BQ72" s="186">
        <v>5.0000000000000001E-4</v>
      </c>
    </row>
    <row r="73" spans="1:69" s="156" customFormat="1" ht="22.35" customHeight="1" x14ac:dyDescent="0.2">
      <c r="A73" s="165" t="s">
        <v>80</v>
      </c>
      <c r="B73" s="165" t="s">
        <v>118</v>
      </c>
      <c r="C73" s="165" t="s">
        <v>127</v>
      </c>
      <c r="D73" s="166">
        <v>2.7606706158888898</v>
      </c>
      <c r="E73" s="167"/>
      <c r="F73" s="168">
        <v>0.05</v>
      </c>
      <c r="G73" s="168">
        <v>4.2999999999999997E-2</v>
      </c>
      <c r="H73" s="169"/>
      <c r="I73" s="170">
        <v>4</v>
      </c>
      <c r="J73" s="170">
        <v>4</v>
      </c>
      <c r="K73" s="167"/>
      <c r="L73" s="171">
        <v>2143.2936599999998</v>
      </c>
      <c r="M73" s="171">
        <v>1010.81622</v>
      </c>
      <c r="N73" s="171">
        <v>3154.10988</v>
      </c>
      <c r="O73" s="166">
        <v>1142.5158299750401</v>
      </c>
      <c r="P73" s="172">
        <v>276.39800000000002</v>
      </c>
      <c r="Q73" s="178">
        <v>4.1335893529440897</v>
      </c>
      <c r="R73" s="179">
        <v>2293.3964319875599</v>
      </c>
      <c r="S73" s="168">
        <v>0.01</v>
      </c>
      <c r="T73" s="168">
        <v>0.01</v>
      </c>
      <c r="U73" s="175">
        <v>0</v>
      </c>
      <c r="V73" s="176">
        <v>0</v>
      </c>
      <c r="W73" s="167"/>
      <c r="X73" s="175">
        <v>1794.743385</v>
      </c>
      <c r="Y73" s="166">
        <v>650.11138042707898</v>
      </c>
      <c r="Z73" s="177">
        <v>573</v>
      </c>
      <c r="AA73" s="178">
        <v>1.1345748349512701</v>
      </c>
      <c r="AB73" s="179">
        <v>10.4004964439112</v>
      </c>
      <c r="AC73" s="168">
        <v>0.02</v>
      </c>
      <c r="AD73" s="168">
        <v>1.2999999999999999E-2</v>
      </c>
      <c r="AE73" s="176">
        <v>0</v>
      </c>
      <c r="AF73" s="176">
        <v>104</v>
      </c>
      <c r="AG73" s="167"/>
      <c r="AH73" s="180">
        <v>161.9</v>
      </c>
      <c r="AI73" s="166">
        <v>58.645170875581201</v>
      </c>
      <c r="AJ73" s="181" t="s">
        <v>53</v>
      </c>
      <c r="AK73" s="188">
        <v>0.93087572818382902</v>
      </c>
      <c r="AL73" s="171">
        <v>-34.284296647528102</v>
      </c>
      <c r="AM73" s="168"/>
      <c r="AN73" s="168"/>
      <c r="AO73" s="176">
        <v>13</v>
      </c>
      <c r="AP73" s="176">
        <v>47</v>
      </c>
      <c r="AQ73" s="167"/>
      <c r="AR73" s="180">
        <v>29.8</v>
      </c>
      <c r="AS73" s="166">
        <v>10.7944786417067</v>
      </c>
      <c r="AT73" s="181" t="s">
        <v>54</v>
      </c>
      <c r="AU73" s="173">
        <v>0.67465491510667097</v>
      </c>
      <c r="AV73" s="174">
        <v>-20.024583275562701</v>
      </c>
      <c r="AW73" s="168"/>
      <c r="AX73" s="168"/>
      <c r="AY73" s="176">
        <v>15</v>
      </c>
      <c r="AZ73" s="176">
        <v>24</v>
      </c>
      <c r="BA73" s="167"/>
      <c r="BB73" s="184">
        <v>108</v>
      </c>
      <c r="BC73" s="180">
        <v>39.120929305514302</v>
      </c>
      <c r="BD73" s="181" t="s">
        <v>55</v>
      </c>
      <c r="BE73" s="178">
        <v>1.2225290407973199</v>
      </c>
      <c r="BF73" s="179">
        <v>8.3508334488746208</v>
      </c>
      <c r="BG73" s="168">
        <v>0.02</v>
      </c>
      <c r="BH73" s="168">
        <v>0.02</v>
      </c>
      <c r="BI73" s="176">
        <v>0</v>
      </c>
      <c r="BJ73" s="176">
        <v>0</v>
      </c>
      <c r="BK73" s="169"/>
      <c r="BL73" s="185">
        <v>0.8</v>
      </c>
      <c r="BM73" s="188">
        <v>0.72</v>
      </c>
      <c r="BN73" s="186"/>
      <c r="BO73" s="187">
        <v>0.95</v>
      </c>
      <c r="BP73" s="178">
        <v>1</v>
      </c>
      <c r="BQ73" s="186">
        <v>2.5000000000000001E-3</v>
      </c>
    </row>
    <row r="74" spans="1:69" s="156" customFormat="1" ht="22.35" customHeight="1" x14ac:dyDescent="0.2">
      <c r="A74" s="165" t="s">
        <v>80</v>
      </c>
      <c r="B74" s="165" t="s">
        <v>118</v>
      </c>
      <c r="C74" s="165" t="s">
        <v>128</v>
      </c>
      <c r="D74" s="166">
        <v>5.5965996495555599</v>
      </c>
      <c r="E74" s="167"/>
      <c r="F74" s="168">
        <v>3.9E-2</v>
      </c>
      <c r="G74" s="168">
        <v>3.5499999999999997E-2</v>
      </c>
      <c r="H74" s="169"/>
      <c r="I74" s="170">
        <v>4</v>
      </c>
      <c r="J74" s="170">
        <v>4</v>
      </c>
      <c r="K74" s="167"/>
      <c r="L74" s="171">
        <v>2681.7170299999998</v>
      </c>
      <c r="M74" s="171">
        <v>1388.78297</v>
      </c>
      <c r="N74" s="171">
        <v>4070.5</v>
      </c>
      <c r="O74" s="166">
        <v>727.31663061217</v>
      </c>
      <c r="P74" s="172">
        <v>242.33799999999999</v>
      </c>
      <c r="Q74" s="178">
        <v>3.00124879553421</v>
      </c>
      <c r="R74" s="179">
        <v>2540.6288320941298</v>
      </c>
      <c r="S74" s="168">
        <v>0.01</v>
      </c>
      <c r="T74" s="168">
        <v>0.01</v>
      </c>
      <c r="U74" s="175">
        <v>0</v>
      </c>
      <c r="V74" s="176">
        <v>0</v>
      </c>
      <c r="W74" s="167"/>
      <c r="X74" s="175">
        <v>2141.6549100000002</v>
      </c>
      <c r="Y74" s="166">
        <v>382.670736537332</v>
      </c>
      <c r="Z74" s="177">
        <v>573</v>
      </c>
      <c r="AA74" s="173">
        <v>0.66783723653984695</v>
      </c>
      <c r="AB74" s="174">
        <v>-1475.67369389234</v>
      </c>
      <c r="AC74" s="168"/>
      <c r="AD74" s="168"/>
      <c r="AE74" s="176">
        <v>1066</v>
      </c>
      <c r="AF74" s="176">
        <v>1707</v>
      </c>
      <c r="AG74" s="167"/>
      <c r="AH74" s="180">
        <v>281.8</v>
      </c>
      <c r="AI74" s="166">
        <v>50.352002581134897</v>
      </c>
      <c r="AJ74" s="181" t="s">
        <v>53</v>
      </c>
      <c r="AK74" s="188">
        <v>0.79923813620849005</v>
      </c>
      <c r="AL74" s="171">
        <v>-115.916757496016</v>
      </c>
      <c r="AM74" s="168"/>
      <c r="AN74" s="168"/>
      <c r="AO74" s="176">
        <v>71</v>
      </c>
      <c r="AP74" s="176">
        <v>142</v>
      </c>
      <c r="AQ74" s="167"/>
      <c r="AR74" s="180">
        <v>99.5</v>
      </c>
      <c r="AS74" s="166">
        <v>17.7786524372708</v>
      </c>
      <c r="AT74" s="181" t="s">
        <v>54</v>
      </c>
      <c r="AU74" s="182">
        <v>1.1111657773294299</v>
      </c>
      <c r="AV74" s="183">
        <v>-1.50743047517874</v>
      </c>
      <c r="AW74" s="168">
        <v>8.9999999999999993E-3</v>
      </c>
      <c r="AX74" s="168">
        <v>5.4999999999999997E-3</v>
      </c>
      <c r="AY74" s="176">
        <v>0</v>
      </c>
      <c r="AZ74" s="176">
        <v>8</v>
      </c>
      <c r="BA74" s="167"/>
      <c r="BB74" s="184">
        <v>265.60000000000002</v>
      </c>
      <c r="BC74" s="180">
        <v>47.457387812453597</v>
      </c>
      <c r="BD74" s="181" t="s">
        <v>55</v>
      </c>
      <c r="BE74" s="178">
        <v>1.48304336913918</v>
      </c>
      <c r="BF74" s="179">
        <v>63.5851390496425</v>
      </c>
      <c r="BG74" s="168">
        <v>0.02</v>
      </c>
      <c r="BH74" s="168">
        <v>0.02</v>
      </c>
      <c r="BI74" s="176">
        <v>0</v>
      </c>
      <c r="BJ74" s="176">
        <v>0</v>
      </c>
      <c r="BK74" s="169"/>
      <c r="BL74" s="185">
        <v>0.8</v>
      </c>
      <c r="BM74" s="173">
        <v>0.69</v>
      </c>
      <c r="BN74" s="186"/>
      <c r="BO74" s="187">
        <v>0.95</v>
      </c>
      <c r="BP74" s="178">
        <v>1</v>
      </c>
      <c r="BQ74" s="186">
        <v>2.5000000000000001E-3</v>
      </c>
    </row>
    <row r="75" spans="1:69" s="156" customFormat="1" ht="22.35" customHeight="1" x14ac:dyDescent="0.2">
      <c r="A75" s="165" t="s">
        <v>80</v>
      </c>
      <c r="B75" s="165" t="s">
        <v>118</v>
      </c>
      <c r="C75" s="165" t="s">
        <v>129</v>
      </c>
      <c r="D75" s="166">
        <v>4.2868855297777797</v>
      </c>
      <c r="E75" s="167"/>
      <c r="F75" s="168">
        <v>1E-3</v>
      </c>
      <c r="G75" s="168"/>
      <c r="H75" s="169"/>
      <c r="I75" s="170">
        <v>1</v>
      </c>
      <c r="J75" s="170">
        <v>0</v>
      </c>
      <c r="K75" s="167"/>
      <c r="L75" s="171">
        <v>2236.3490299999999</v>
      </c>
      <c r="M75" s="171">
        <v>-1323.3025</v>
      </c>
      <c r="N75" s="171">
        <v>913.04652999999996</v>
      </c>
      <c r="O75" s="166">
        <v>212.98598333399599</v>
      </c>
      <c r="P75" s="172">
        <v>275.59500000000003</v>
      </c>
      <c r="Q75" s="188">
        <v>0.77282237825068101</v>
      </c>
      <c r="R75" s="171">
        <v>-419.62254742923301</v>
      </c>
      <c r="S75" s="168"/>
      <c r="T75" s="168"/>
      <c r="U75" s="175">
        <v>269</v>
      </c>
      <c r="V75" s="176">
        <v>505</v>
      </c>
      <c r="W75" s="167"/>
      <c r="X75" s="175">
        <v>2323.22325</v>
      </c>
      <c r="Y75" s="166">
        <v>541.93731879760003</v>
      </c>
      <c r="Z75" s="177">
        <v>573</v>
      </c>
      <c r="AA75" s="182">
        <v>0.94578938708132698</v>
      </c>
      <c r="AB75" s="183">
        <v>-447.57949085868898</v>
      </c>
      <c r="AC75" s="168">
        <v>1E-3</v>
      </c>
      <c r="AD75" s="168"/>
      <c r="AE75" s="176">
        <v>134</v>
      </c>
      <c r="AF75" s="176">
        <v>625</v>
      </c>
      <c r="AG75" s="167"/>
      <c r="AH75" s="180">
        <v>168.9</v>
      </c>
      <c r="AI75" s="166">
        <v>39.399232572640102</v>
      </c>
      <c r="AJ75" s="181" t="s">
        <v>53</v>
      </c>
      <c r="AK75" s="173">
        <v>0.62538464401016003</v>
      </c>
      <c r="AL75" s="174">
        <v>-135.74323328812801</v>
      </c>
      <c r="AM75" s="168"/>
      <c r="AN75" s="168"/>
      <c r="AO75" s="176">
        <v>102</v>
      </c>
      <c r="AP75" s="176">
        <v>156</v>
      </c>
      <c r="AQ75" s="167"/>
      <c r="AR75" s="180">
        <v>9</v>
      </c>
      <c r="AS75" s="166">
        <v>2.0994262472099501</v>
      </c>
      <c r="AT75" s="181" t="s">
        <v>54</v>
      </c>
      <c r="AU75" s="173">
        <v>0.13121414045062199</v>
      </c>
      <c r="AV75" s="174">
        <v>-68.3697100414294</v>
      </c>
      <c r="AW75" s="168"/>
      <c r="AX75" s="168"/>
      <c r="AY75" s="176">
        <v>60</v>
      </c>
      <c r="AZ75" s="176">
        <v>74</v>
      </c>
      <c r="BA75" s="167"/>
      <c r="BB75" s="184">
        <v>125.4</v>
      </c>
      <c r="BC75" s="180">
        <v>29.2520057111253</v>
      </c>
      <c r="BD75" s="181" t="s">
        <v>55</v>
      </c>
      <c r="BE75" s="188">
        <v>0.91412517847266495</v>
      </c>
      <c r="BF75" s="171">
        <v>-29.339420082858702</v>
      </c>
      <c r="BG75" s="168"/>
      <c r="BH75" s="168"/>
      <c r="BI75" s="176">
        <v>12</v>
      </c>
      <c r="BJ75" s="176">
        <v>40</v>
      </c>
      <c r="BK75" s="169"/>
      <c r="BL75" s="185">
        <v>0.8</v>
      </c>
      <c r="BM75" s="188">
        <v>0.72</v>
      </c>
      <c r="BN75" s="186"/>
      <c r="BO75" s="187">
        <v>0.95</v>
      </c>
      <c r="BP75" s="188">
        <v>0.9</v>
      </c>
      <c r="BQ75" s="186"/>
    </row>
    <row r="76" spans="1:69" s="156" customFormat="1" ht="22.35" customHeight="1" x14ac:dyDescent="0.2">
      <c r="A76" s="165" t="s">
        <v>80</v>
      </c>
      <c r="B76" s="165" t="s">
        <v>118</v>
      </c>
      <c r="C76" s="165" t="s">
        <v>130</v>
      </c>
      <c r="D76" s="166">
        <v>5.9599043151111104</v>
      </c>
      <c r="E76" s="167"/>
      <c r="F76" s="168">
        <v>3.4000000000000002E-2</v>
      </c>
      <c r="G76" s="168">
        <v>2.1000000000000001E-2</v>
      </c>
      <c r="H76" s="169"/>
      <c r="I76" s="170">
        <v>4</v>
      </c>
      <c r="J76" s="170">
        <v>3</v>
      </c>
      <c r="K76" s="167"/>
      <c r="L76" s="171">
        <v>5595.1314499999999</v>
      </c>
      <c r="M76" s="171">
        <v>5610.58259</v>
      </c>
      <c r="N76" s="171">
        <v>11205.714040000001</v>
      </c>
      <c r="O76" s="166">
        <v>1880.1835478446101</v>
      </c>
      <c r="P76" s="172">
        <v>283.69400000000002</v>
      </c>
      <c r="Q76" s="178">
        <v>6.62750550890964</v>
      </c>
      <c r="R76" s="179">
        <v>9298.5039410981608</v>
      </c>
      <c r="S76" s="168">
        <v>0.01</v>
      </c>
      <c r="T76" s="168">
        <v>0.01</v>
      </c>
      <c r="U76" s="175">
        <v>0</v>
      </c>
      <c r="V76" s="176">
        <v>0</v>
      </c>
      <c r="W76" s="167"/>
      <c r="X76" s="175">
        <v>3389.68199</v>
      </c>
      <c r="Y76" s="166">
        <v>568.74771989301701</v>
      </c>
      <c r="Z76" s="177">
        <v>573</v>
      </c>
      <c r="AA76" s="182">
        <v>0.99257891778886098</v>
      </c>
      <c r="AB76" s="183">
        <v>-462.46640464617502</v>
      </c>
      <c r="AC76" s="168">
        <v>6.0000000000000001E-3</v>
      </c>
      <c r="AD76" s="168"/>
      <c r="AE76" s="176">
        <v>26</v>
      </c>
      <c r="AF76" s="176">
        <v>709</v>
      </c>
      <c r="AG76" s="167"/>
      <c r="AH76" s="180">
        <v>258</v>
      </c>
      <c r="AI76" s="166">
        <v>43.289285592362702</v>
      </c>
      <c r="AJ76" s="181" t="s">
        <v>53</v>
      </c>
      <c r="AK76" s="173">
        <v>0.68713151733909095</v>
      </c>
      <c r="AL76" s="174">
        <v>-165.534640249056</v>
      </c>
      <c r="AM76" s="168"/>
      <c r="AN76" s="168"/>
      <c r="AO76" s="176">
        <v>118</v>
      </c>
      <c r="AP76" s="176">
        <v>193</v>
      </c>
      <c r="AQ76" s="167"/>
      <c r="AR76" s="180">
        <v>31.8</v>
      </c>
      <c r="AS76" s="166">
        <v>5.3356561311516897</v>
      </c>
      <c r="AT76" s="181" t="s">
        <v>54</v>
      </c>
      <c r="AU76" s="173">
        <v>0.33347850819698099</v>
      </c>
      <c r="AV76" s="174">
        <v>-75.7643530791253</v>
      </c>
      <c r="AW76" s="168"/>
      <c r="AX76" s="168"/>
      <c r="AY76" s="176">
        <v>64</v>
      </c>
      <c r="AZ76" s="176">
        <v>83</v>
      </c>
      <c r="BA76" s="167"/>
      <c r="BB76" s="184">
        <v>212</v>
      </c>
      <c r="BC76" s="180">
        <v>35.571040874344597</v>
      </c>
      <c r="BD76" s="181" t="s">
        <v>55</v>
      </c>
      <c r="BE76" s="182">
        <v>1.11159502732327</v>
      </c>
      <c r="BF76" s="183">
        <v>-3.1287061582506199</v>
      </c>
      <c r="BG76" s="168">
        <v>1.7999999999999999E-2</v>
      </c>
      <c r="BH76" s="168">
        <v>1.0999999999999999E-2</v>
      </c>
      <c r="BI76" s="176">
        <v>0</v>
      </c>
      <c r="BJ76" s="176">
        <v>17</v>
      </c>
      <c r="BK76" s="169"/>
      <c r="BL76" s="185">
        <v>0.8</v>
      </c>
      <c r="BM76" s="173">
        <v>0.62</v>
      </c>
      <c r="BN76" s="186"/>
      <c r="BO76" s="187">
        <v>0.95</v>
      </c>
      <c r="BP76" s="178">
        <v>1</v>
      </c>
      <c r="BQ76" s="186">
        <v>2.5000000000000001E-3</v>
      </c>
    </row>
    <row r="77" spans="1:69" s="156" customFormat="1" ht="22.35" customHeight="1" x14ac:dyDescent="0.2">
      <c r="A77" s="165" t="s">
        <v>80</v>
      </c>
      <c r="B77" s="165" t="s">
        <v>118</v>
      </c>
      <c r="C77" s="165" t="s">
        <v>131</v>
      </c>
      <c r="D77" s="166">
        <v>8.4737407848888893</v>
      </c>
      <c r="E77" s="167"/>
      <c r="F77" s="168">
        <v>3.7499999999999999E-2</v>
      </c>
      <c r="G77" s="168">
        <v>3.0499999999999999E-2</v>
      </c>
      <c r="H77" s="169"/>
      <c r="I77" s="170">
        <v>5</v>
      </c>
      <c r="J77" s="170">
        <v>4</v>
      </c>
      <c r="K77" s="167"/>
      <c r="L77" s="171">
        <v>14439.212750000001</v>
      </c>
      <c r="M77" s="171">
        <v>6545.8753699999997</v>
      </c>
      <c r="N77" s="171">
        <v>20985.08812</v>
      </c>
      <c r="O77" s="166">
        <v>2476.48454829093</v>
      </c>
      <c r="P77" s="172">
        <v>248.64599999999999</v>
      </c>
      <c r="Q77" s="178">
        <v>9.9598809081623294</v>
      </c>
      <c r="R77" s="179">
        <v>18608.435264647</v>
      </c>
      <c r="S77" s="168">
        <v>0.01</v>
      </c>
      <c r="T77" s="168">
        <v>0.01</v>
      </c>
      <c r="U77" s="175">
        <v>0</v>
      </c>
      <c r="V77" s="176">
        <v>0</v>
      </c>
      <c r="W77" s="167"/>
      <c r="X77" s="175">
        <v>3394.5190299999999</v>
      </c>
      <c r="Y77" s="166">
        <v>400.59273892982401</v>
      </c>
      <c r="Z77" s="177">
        <v>573</v>
      </c>
      <c r="AA77" s="173">
        <v>0.69911472762622096</v>
      </c>
      <c r="AB77" s="174">
        <v>-2082.4324838682201</v>
      </c>
      <c r="AC77" s="168"/>
      <c r="AD77" s="168"/>
      <c r="AE77" s="176">
        <v>1461</v>
      </c>
      <c r="AF77" s="176">
        <v>2433</v>
      </c>
      <c r="AG77" s="167"/>
      <c r="AH77" s="180">
        <v>523.6</v>
      </c>
      <c r="AI77" s="166">
        <v>61.790891802322903</v>
      </c>
      <c r="AJ77" s="181" t="s">
        <v>53</v>
      </c>
      <c r="AK77" s="182">
        <v>0.98080780638607701</v>
      </c>
      <c r="AL77" s="183">
        <v>-78.577915137344107</v>
      </c>
      <c r="AM77" s="168">
        <v>4.0000000000000001E-3</v>
      </c>
      <c r="AN77" s="168"/>
      <c r="AO77" s="176">
        <v>11</v>
      </c>
      <c r="AP77" s="176">
        <v>118</v>
      </c>
      <c r="AQ77" s="167"/>
      <c r="AR77" s="180">
        <v>135.80000000000001</v>
      </c>
      <c r="AS77" s="166">
        <v>16.025979959426</v>
      </c>
      <c r="AT77" s="181" t="s">
        <v>54</v>
      </c>
      <c r="AU77" s="182">
        <v>1.0016237474641201</v>
      </c>
      <c r="AV77" s="183">
        <v>-17.1340736856747</v>
      </c>
      <c r="AW77" s="168">
        <v>3.5000000000000001E-3</v>
      </c>
      <c r="AX77" s="168">
        <v>5.0000000000000001E-4</v>
      </c>
      <c r="AY77" s="176">
        <v>0</v>
      </c>
      <c r="AZ77" s="176">
        <v>27</v>
      </c>
      <c r="BA77" s="167"/>
      <c r="BB77" s="184">
        <v>689.8</v>
      </c>
      <c r="BC77" s="180">
        <v>81.404425449278705</v>
      </c>
      <c r="BD77" s="181" t="s">
        <v>55</v>
      </c>
      <c r="BE77" s="178">
        <v>2.54388829528996</v>
      </c>
      <c r="BF77" s="179">
        <v>383.93185262865097</v>
      </c>
      <c r="BG77" s="168">
        <v>0.02</v>
      </c>
      <c r="BH77" s="168">
        <v>0.02</v>
      </c>
      <c r="BI77" s="176">
        <v>0</v>
      </c>
      <c r="BJ77" s="176">
        <v>0</v>
      </c>
      <c r="BK77" s="169"/>
      <c r="BL77" s="185">
        <v>0.8</v>
      </c>
      <c r="BM77" s="173">
        <v>0.57999999999999996</v>
      </c>
      <c r="BN77" s="186"/>
      <c r="BO77" s="187">
        <v>0.95</v>
      </c>
      <c r="BP77" s="178">
        <v>1</v>
      </c>
      <c r="BQ77" s="186">
        <v>2.5000000000000001E-3</v>
      </c>
    </row>
    <row r="78" spans="1:69" s="156" customFormat="1" ht="22.35" customHeight="1" x14ac:dyDescent="0.2">
      <c r="A78" s="165" t="s">
        <v>80</v>
      </c>
      <c r="B78" s="165" t="s">
        <v>118</v>
      </c>
      <c r="C78" s="165" t="s">
        <v>132</v>
      </c>
      <c r="D78" s="166">
        <v>2.7902579681111099</v>
      </c>
      <c r="E78" s="167"/>
      <c r="F78" s="168">
        <v>1.4999999999999999E-2</v>
      </c>
      <c r="G78" s="168">
        <v>8.0000000000000002E-3</v>
      </c>
      <c r="H78" s="169"/>
      <c r="I78" s="170">
        <v>1</v>
      </c>
      <c r="J78" s="170">
        <v>1</v>
      </c>
      <c r="K78" s="167"/>
      <c r="L78" s="171">
        <v>870.17633999999998</v>
      </c>
      <c r="M78" s="171">
        <v>-840.49382000000003</v>
      </c>
      <c r="N78" s="171">
        <v>29.68252</v>
      </c>
      <c r="O78" s="166">
        <v>10.637912457998899</v>
      </c>
      <c r="P78" s="172">
        <v>256.80599999999998</v>
      </c>
      <c r="Q78" s="173">
        <v>4.1423924900504297E-2</v>
      </c>
      <c r="R78" s="174">
        <v>-778.59150619186096</v>
      </c>
      <c r="S78" s="168"/>
      <c r="T78" s="168"/>
      <c r="U78" s="175">
        <v>687</v>
      </c>
      <c r="V78" s="176">
        <v>831</v>
      </c>
      <c r="W78" s="167"/>
      <c r="X78" s="175">
        <v>630.87840500000004</v>
      </c>
      <c r="Y78" s="166">
        <v>226.10038649117399</v>
      </c>
      <c r="Z78" s="177">
        <v>573</v>
      </c>
      <c r="AA78" s="173">
        <v>0.39459055234061802</v>
      </c>
      <c r="AB78" s="174">
        <v>-1172.5880911408101</v>
      </c>
      <c r="AC78" s="168"/>
      <c r="AD78" s="168"/>
      <c r="AE78" s="176">
        <v>968</v>
      </c>
      <c r="AF78" s="176">
        <v>1288</v>
      </c>
      <c r="AG78" s="167"/>
      <c r="AH78" s="180">
        <v>130.44999999999999</v>
      </c>
      <c r="AI78" s="166">
        <v>46.751949637226303</v>
      </c>
      <c r="AJ78" s="181" t="s">
        <v>53</v>
      </c>
      <c r="AK78" s="173">
        <v>0.74209443868613101</v>
      </c>
      <c r="AL78" s="174">
        <v>-67.836892245847906</v>
      </c>
      <c r="AM78" s="168"/>
      <c r="AN78" s="168"/>
      <c r="AO78" s="176">
        <v>46</v>
      </c>
      <c r="AP78" s="176">
        <v>81</v>
      </c>
      <c r="AQ78" s="167"/>
      <c r="AR78" s="180">
        <v>14.3</v>
      </c>
      <c r="AS78" s="166">
        <v>5.1249741649086697</v>
      </c>
      <c r="AT78" s="181" t="s">
        <v>54</v>
      </c>
      <c r="AU78" s="173">
        <v>0.32031088530679203</v>
      </c>
      <c r="AV78" s="174">
        <v>-36.0585758084693</v>
      </c>
      <c r="AW78" s="168"/>
      <c r="AX78" s="168"/>
      <c r="AY78" s="176">
        <v>31</v>
      </c>
      <c r="AZ78" s="176">
        <v>40</v>
      </c>
      <c r="BA78" s="167"/>
      <c r="BB78" s="184">
        <v>96.4</v>
      </c>
      <c r="BC78" s="180">
        <v>34.5487768879158</v>
      </c>
      <c r="BD78" s="181" t="s">
        <v>55</v>
      </c>
      <c r="BE78" s="182">
        <v>1.0796492777473701</v>
      </c>
      <c r="BF78" s="183">
        <v>-4.3171516169386299</v>
      </c>
      <c r="BG78" s="168">
        <v>1.4999999999999999E-2</v>
      </c>
      <c r="BH78" s="168">
        <v>8.0000000000000002E-3</v>
      </c>
      <c r="BI78" s="176">
        <v>0</v>
      </c>
      <c r="BJ78" s="176">
        <v>11</v>
      </c>
      <c r="BK78" s="169"/>
      <c r="BL78" s="185">
        <v>0.8</v>
      </c>
      <c r="BM78" s="188">
        <v>0.73</v>
      </c>
      <c r="BN78" s="186"/>
      <c r="BO78" s="187">
        <v>0.95</v>
      </c>
      <c r="BP78" s="188">
        <v>0.88</v>
      </c>
      <c r="BQ78" s="186"/>
    </row>
    <row r="79" spans="1:69" s="156" customFormat="1" ht="22.35" customHeight="1" x14ac:dyDescent="0.2">
      <c r="A79" s="165" t="s">
        <v>80</v>
      </c>
      <c r="B79" s="165" t="s">
        <v>118</v>
      </c>
      <c r="C79" s="165" t="s">
        <v>133</v>
      </c>
      <c r="D79" s="166">
        <v>2.4499054332222201</v>
      </c>
      <c r="E79" s="167"/>
      <c r="F79" s="168">
        <v>6.8500000000000005E-2</v>
      </c>
      <c r="G79" s="168">
        <v>6.5000000000000002E-2</v>
      </c>
      <c r="H79" s="169"/>
      <c r="I79" s="170">
        <v>5</v>
      </c>
      <c r="J79" s="170">
        <v>5</v>
      </c>
      <c r="K79" s="167"/>
      <c r="L79" s="171">
        <v>1145.66986</v>
      </c>
      <c r="M79" s="171">
        <v>-474.78559999999999</v>
      </c>
      <c r="N79" s="171">
        <v>670.88426000000004</v>
      </c>
      <c r="O79" s="166">
        <v>273.84088010189998</v>
      </c>
      <c r="P79" s="172">
        <v>249.55500000000001</v>
      </c>
      <c r="Q79" s="182">
        <v>1.0973167442123</v>
      </c>
      <c r="R79" s="183">
        <v>-18.7593176374058</v>
      </c>
      <c r="S79" s="168">
        <v>8.5000000000000006E-3</v>
      </c>
      <c r="T79" s="168">
        <v>5.0000000000000001E-3</v>
      </c>
      <c r="U79" s="175">
        <v>0</v>
      </c>
      <c r="V79" s="176">
        <v>63</v>
      </c>
      <c r="W79" s="167"/>
      <c r="X79" s="175">
        <v>1701.0354</v>
      </c>
      <c r="Y79" s="166">
        <v>694.32696337291804</v>
      </c>
      <c r="Z79" s="177">
        <v>573</v>
      </c>
      <c r="AA79" s="178">
        <v>1.2117399011743799</v>
      </c>
      <c r="AB79" s="179">
        <v>117.55372266941799</v>
      </c>
      <c r="AC79" s="168">
        <v>0.02</v>
      </c>
      <c r="AD79" s="168">
        <v>0.02</v>
      </c>
      <c r="AE79" s="176">
        <v>0</v>
      </c>
      <c r="AF79" s="176">
        <v>0</v>
      </c>
      <c r="AG79" s="167"/>
      <c r="AH79" s="180">
        <v>209.4</v>
      </c>
      <c r="AI79" s="166">
        <v>85.472686888402905</v>
      </c>
      <c r="AJ79" s="181" t="s">
        <v>53</v>
      </c>
      <c r="AK79" s="178">
        <v>1.3567093156889301</v>
      </c>
      <c r="AL79" s="179">
        <v>35.2999202934962</v>
      </c>
      <c r="AM79" s="168">
        <v>0.02</v>
      </c>
      <c r="AN79" s="168">
        <v>0.02</v>
      </c>
      <c r="AO79" s="176">
        <v>0</v>
      </c>
      <c r="AP79" s="176">
        <v>0</v>
      </c>
      <c r="AQ79" s="167"/>
      <c r="AR79" s="180">
        <v>17.8</v>
      </c>
      <c r="AS79" s="166">
        <v>7.2655865645347202</v>
      </c>
      <c r="AT79" s="181" t="s">
        <v>54</v>
      </c>
      <c r="AU79" s="173">
        <v>0.45409916028342001</v>
      </c>
      <c r="AV79" s="174">
        <v>-26.4158932587946</v>
      </c>
      <c r="AW79" s="168"/>
      <c r="AX79" s="168"/>
      <c r="AY79" s="176">
        <v>22</v>
      </c>
      <c r="AZ79" s="176">
        <v>30</v>
      </c>
      <c r="BA79" s="167"/>
      <c r="BB79" s="184">
        <v>144</v>
      </c>
      <c r="BC79" s="180">
        <v>58.777778949044901</v>
      </c>
      <c r="BD79" s="181" t="s">
        <v>55</v>
      </c>
      <c r="BE79" s="178">
        <v>1.83680559215765</v>
      </c>
      <c r="BF79" s="179">
        <v>55.568213482410798</v>
      </c>
      <c r="BG79" s="168">
        <v>0.02</v>
      </c>
      <c r="BH79" s="168">
        <v>0.02</v>
      </c>
      <c r="BI79" s="176">
        <v>0</v>
      </c>
      <c r="BJ79" s="176">
        <v>0</v>
      </c>
      <c r="BK79" s="169"/>
      <c r="BL79" s="185">
        <v>0.8</v>
      </c>
      <c r="BM79" s="173">
        <v>0.67</v>
      </c>
      <c r="BN79" s="186"/>
      <c r="BO79" s="187">
        <v>0.95</v>
      </c>
      <c r="BP79" s="178">
        <v>1</v>
      </c>
      <c r="BQ79" s="186">
        <v>2.5000000000000001E-3</v>
      </c>
    </row>
    <row r="80" spans="1:69" s="156" customFormat="1" ht="22.35" customHeight="1" x14ac:dyDescent="0.2">
      <c r="A80" s="165" t="s">
        <v>80</v>
      </c>
      <c r="B80" s="165" t="s">
        <v>118</v>
      </c>
      <c r="C80" s="165" t="s">
        <v>134</v>
      </c>
      <c r="D80" s="166">
        <v>2.67748065066667</v>
      </c>
      <c r="E80" s="167"/>
      <c r="F80" s="168">
        <v>5.0999999999999997E-2</v>
      </c>
      <c r="G80" s="168">
        <v>4.4999999999999998E-2</v>
      </c>
      <c r="H80" s="169"/>
      <c r="I80" s="170">
        <v>5</v>
      </c>
      <c r="J80" s="170">
        <v>4</v>
      </c>
      <c r="K80" s="167"/>
      <c r="L80" s="171">
        <v>1405.8121000000001</v>
      </c>
      <c r="M80" s="171">
        <v>613.11282000000006</v>
      </c>
      <c r="N80" s="171">
        <v>2018.9249199999999</v>
      </c>
      <c r="O80" s="166">
        <v>754.03903273672904</v>
      </c>
      <c r="P80" s="172">
        <v>236.18299999999999</v>
      </c>
      <c r="Q80" s="178">
        <v>3.1926050254960301</v>
      </c>
      <c r="R80" s="179">
        <v>1305.6054546814901</v>
      </c>
      <c r="S80" s="168">
        <v>0.01</v>
      </c>
      <c r="T80" s="168">
        <v>0.01</v>
      </c>
      <c r="U80" s="175">
        <v>0</v>
      </c>
      <c r="V80" s="176">
        <v>0</v>
      </c>
      <c r="W80" s="167"/>
      <c r="X80" s="175">
        <v>1458.6537800000001</v>
      </c>
      <c r="Y80" s="166">
        <v>544.78592763567099</v>
      </c>
      <c r="Z80" s="177">
        <v>573</v>
      </c>
      <c r="AA80" s="182">
        <v>0.95076078121408503</v>
      </c>
      <c r="AB80" s="183">
        <v>-271.919773674498</v>
      </c>
      <c r="AC80" s="168">
        <v>1E-3</v>
      </c>
      <c r="AD80" s="168"/>
      <c r="AE80" s="176">
        <v>76</v>
      </c>
      <c r="AF80" s="176">
        <v>383</v>
      </c>
      <c r="AG80" s="167"/>
      <c r="AH80" s="180">
        <v>194.55</v>
      </c>
      <c r="AI80" s="166">
        <v>72.6615895250481</v>
      </c>
      <c r="AJ80" s="181" t="s">
        <v>53</v>
      </c>
      <c r="AK80" s="178">
        <v>1.15335856388965</v>
      </c>
      <c r="AL80" s="179">
        <v>4.2775150410237197</v>
      </c>
      <c r="AM80" s="168">
        <v>0.02</v>
      </c>
      <c r="AN80" s="168">
        <v>1.4999999999999999E-2</v>
      </c>
      <c r="AO80" s="176">
        <v>0</v>
      </c>
      <c r="AP80" s="176">
        <v>8</v>
      </c>
      <c r="AQ80" s="167"/>
      <c r="AR80" s="180">
        <v>33.200000000000003</v>
      </c>
      <c r="AS80" s="166">
        <v>12.399716125579999</v>
      </c>
      <c r="AT80" s="181" t="s">
        <v>54</v>
      </c>
      <c r="AU80" s="188">
        <v>0.77498225784875197</v>
      </c>
      <c r="AV80" s="171">
        <v>-15.1231707832321</v>
      </c>
      <c r="AW80" s="168"/>
      <c r="AX80" s="168"/>
      <c r="AY80" s="176">
        <v>10</v>
      </c>
      <c r="AZ80" s="176">
        <v>19</v>
      </c>
      <c r="BA80" s="167"/>
      <c r="BB80" s="184">
        <v>137.6</v>
      </c>
      <c r="BC80" s="180">
        <v>51.391594544572698</v>
      </c>
      <c r="BD80" s="181" t="s">
        <v>55</v>
      </c>
      <c r="BE80" s="178">
        <v>1.6059873295178999</v>
      </c>
      <c r="BF80" s="179">
        <v>40.9536584335358</v>
      </c>
      <c r="BG80" s="168">
        <v>0.02</v>
      </c>
      <c r="BH80" s="168">
        <v>0.02</v>
      </c>
      <c r="BI80" s="176">
        <v>0</v>
      </c>
      <c r="BJ80" s="176">
        <v>0</v>
      </c>
      <c r="BK80" s="169"/>
      <c r="BL80" s="185">
        <v>0.8</v>
      </c>
      <c r="BM80" s="173">
        <v>0.68</v>
      </c>
      <c r="BN80" s="186"/>
      <c r="BO80" s="187">
        <v>0.95</v>
      </c>
      <c r="BP80" s="178">
        <v>1</v>
      </c>
      <c r="BQ80" s="186">
        <v>2.5000000000000001E-3</v>
      </c>
    </row>
    <row r="81" spans="1:69" s="156" customFormat="1" ht="22.35" customHeight="1" x14ac:dyDescent="0.2">
      <c r="A81" s="165" t="s">
        <v>80</v>
      </c>
      <c r="B81" s="165" t="s">
        <v>118</v>
      </c>
      <c r="C81" s="165" t="s">
        <v>135</v>
      </c>
      <c r="D81" s="166">
        <v>5.56134457377778</v>
      </c>
      <c r="E81" s="167"/>
      <c r="F81" s="168">
        <v>0.03</v>
      </c>
      <c r="G81" s="168">
        <v>0.03</v>
      </c>
      <c r="H81" s="169"/>
      <c r="I81" s="170">
        <v>3</v>
      </c>
      <c r="J81" s="170">
        <v>3</v>
      </c>
      <c r="K81" s="167"/>
      <c r="L81" s="171">
        <v>3461.32053</v>
      </c>
      <c r="M81" s="171">
        <v>407.30072000000001</v>
      </c>
      <c r="N81" s="171">
        <v>3868.6212500000001</v>
      </c>
      <c r="O81" s="166">
        <v>695.62696550774501</v>
      </c>
      <c r="P81" s="172">
        <v>255.63</v>
      </c>
      <c r="Q81" s="178">
        <v>2.7212258557592799</v>
      </c>
      <c r="R81" s="179">
        <v>2265.0039828906501</v>
      </c>
      <c r="S81" s="168">
        <v>0.01</v>
      </c>
      <c r="T81" s="168">
        <v>0.01</v>
      </c>
      <c r="U81" s="175">
        <v>0</v>
      </c>
      <c r="V81" s="176">
        <v>0</v>
      </c>
      <c r="W81" s="167"/>
      <c r="X81" s="175">
        <v>2332.4125949999998</v>
      </c>
      <c r="Y81" s="166">
        <v>419.39724540671801</v>
      </c>
      <c r="Z81" s="177">
        <v>573</v>
      </c>
      <c r="AA81" s="173">
        <v>0.731932365456751</v>
      </c>
      <c r="AB81" s="174">
        <v>-1262.12910219383</v>
      </c>
      <c r="AC81" s="168"/>
      <c r="AD81" s="168"/>
      <c r="AE81" s="176">
        <v>855</v>
      </c>
      <c r="AF81" s="176">
        <v>1492</v>
      </c>
      <c r="AG81" s="167"/>
      <c r="AH81" s="180">
        <v>254</v>
      </c>
      <c r="AI81" s="166">
        <v>45.672408287310901</v>
      </c>
      <c r="AJ81" s="181" t="s">
        <v>53</v>
      </c>
      <c r="AK81" s="173">
        <v>0.724958861703348</v>
      </c>
      <c r="AL81" s="174">
        <v>-141.21139079094399</v>
      </c>
      <c r="AM81" s="168"/>
      <c r="AN81" s="168"/>
      <c r="AO81" s="176">
        <v>97</v>
      </c>
      <c r="AP81" s="176">
        <v>167</v>
      </c>
      <c r="AQ81" s="167"/>
      <c r="AR81" s="180">
        <v>42.8</v>
      </c>
      <c r="AS81" s="166">
        <v>7.6959806090429499</v>
      </c>
      <c r="AT81" s="181" t="s">
        <v>54</v>
      </c>
      <c r="AU81" s="173">
        <v>0.48099878806518398</v>
      </c>
      <c r="AV81" s="174">
        <v>-57.571146867541401</v>
      </c>
      <c r="AW81" s="168"/>
      <c r="AX81" s="168"/>
      <c r="AY81" s="176">
        <v>47</v>
      </c>
      <c r="AZ81" s="176">
        <v>64</v>
      </c>
      <c r="BA81" s="167"/>
      <c r="BB81" s="184">
        <v>220.2</v>
      </c>
      <c r="BC81" s="180">
        <v>39.5947413577397</v>
      </c>
      <c r="BD81" s="181" t="s">
        <v>55</v>
      </c>
      <c r="BE81" s="178">
        <v>1.2373356674293601</v>
      </c>
      <c r="BF81" s="179">
        <v>19.457706264917199</v>
      </c>
      <c r="BG81" s="168">
        <v>0.02</v>
      </c>
      <c r="BH81" s="168">
        <v>0.02</v>
      </c>
      <c r="BI81" s="176">
        <v>0</v>
      </c>
      <c r="BJ81" s="176">
        <v>0</v>
      </c>
      <c r="BK81" s="169"/>
      <c r="BL81" s="185">
        <v>0.8</v>
      </c>
      <c r="BM81" s="173">
        <v>0.62</v>
      </c>
      <c r="BN81" s="186"/>
      <c r="BO81" s="187">
        <v>0.95</v>
      </c>
      <c r="BP81" s="178">
        <v>1</v>
      </c>
      <c r="BQ81" s="186">
        <v>2.5000000000000001E-3</v>
      </c>
    </row>
    <row r="82" spans="1:69" s="156" customFormat="1" ht="22.35" customHeight="1" x14ac:dyDescent="0.2">
      <c r="A82" s="165" t="s">
        <v>80</v>
      </c>
      <c r="B82" s="165" t="s">
        <v>118</v>
      </c>
      <c r="C82" s="165" t="s">
        <v>136</v>
      </c>
      <c r="D82" s="166">
        <v>4.6816910714444404</v>
      </c>
      <c r="E82" s="167"/>
      <c r="F82" s="168">
        <v>0.03</v>
      </c>
      <c r="G82" s="168">
        <v>0.03</v>
      </c>
      <c r="H82" s="169"/>
      <c r="I82" s="170">
        <v>3</v>
      </c>
      <c r="J82" s="170">
        <v>3</v>
      </c>
      <c r="K82" s="167"/>
      <c r="L82" s="171">
        <v>3842.0020500000001</v>
      </c>
      <c r="M82" s="171">
        <v>1574.6749</v>
      </c>
      <c r="N82" s="171">
        <v>5416.67695</v>
      </c>
      <c r="O82" s="166">
        <v>1156.9915373183301</v>
      </c>
      <c r="P82" s="172">
        <v>287.5</v>
      </c>
      <c r="Q82" s="178">
        <v>4.02431839067245</v>
      </c>
      <c r="R82" s="179">
        <v>3898.4045355305698</v>
      </c>
      <c r="S82" s="168">
        <v>0.01</v>
      </c>
      <c r="T82" s="168">
        <v>0.01</v>
      </c>
      <c r="U82" s="175">
        <v>0</v>
      </c>
      <c r="V82" s="176">
        <v>0</v>
      </c>
      <c r="W82" s="167"/>
      <c r="X82" s="175">
        <v>2299.1474400000002</v>
      </c>
      <c r="Y82" s="166">
        <v>491.09336880928402</v>
      </c>
      <c r="Z82" s="177">
        <v>573</v>
      </c>
      <c r="AA82" s="188">
        <v>0.857056490068559</v>
      </c>
      <c r="AB82" s="171">
        <v>-726.83549388168501</v>
      </c>
      <c r="AC82" s="168"/>
      <c r="AD82" s="168"/>
      <c r="AE82" s="176">
        <v>384</v>
      </c>
      <c r="AF82" s="176">
        <v>920</v>
      </c>
      <c r="AG82" s="167"/>
      <c r="AH82" s="180">
        <v>190.7</v>
      </c>
      <c r="AI82" s="166">
        <v>40.733144731218502</v>
      </c>
      <c r="AJ82" s="181" t="s">
        <v>53</v>
      </c>
      <c r="AK82" s="173">
        <v>0.64655785287648404</v>
      </c>
      <c r="AL82" s="174">
        <v>-141.99969430112799</v>
      </c>
      <c r="AM82" s="168"/>
      <c r="AN82" s="168"/>
      <c r="AO82" s="176">
        <v>105</v>
      </c>
      <c r="AP82" s="176">
        <v>164</v>
      </c>
      <c r="AQ82" s="167"/>
      <c r="AR82" s="180">
        <v>58</v>
      </c>
      <c r="AS82" s="166">
        <v>12.3886858647649</v>
      </c>
      <c r="AT82" s="181" t="s">
        <v>54</v>
      </c>
      <c r="AU82" s="188">
        <v>0.77429286654780805</v>
      </c>
      <c r="AV82" s="171">
        <v>-26.4951604574293</v>
      </c>
      <c r="AW82" s="168"/>
      <c r="AX82" s="168"/>
      <c r="AY82" s="176">
        <v>17</v>
      </c>
      <c r="AZ82" s="176">
        <v>32</v>
      </c>
      <c r="BA82" s="167"/>
      <c r="BB82" s="184">
        <v>212.2</v>
      </c>
      <c r="BC82" s="180">
        <v>45.325502422467601</v>
      </c>
      <c r="BD82" s="181" t="s">
        <v>55</v>
      </c>
      <c r="BE82" s="178">
        <v>1.4164219507021101</v>
      </c>
      <c r="BF82" s="179">
        <v>43.209679085141502</v>
      </c>
      <c r="BG82" s="168">
        <v>0.02</v>
      </c>
      <c r="BH82" s="168">
        <v>0.02</v>
      </c>
      <c r="BI82" s="176">
        <v>0</v>
      </c>
      <c r="BJ82" s="176">
        <v>0</v>
      </c>
      <c r="BK82" s="169"/>
      <c r="BL82" s="185">
        <v>0.8</v>
      </c>
      <c r="BM82" s="173">
        <v>0.65</v>
      </c>
      <c r="BN82" s="186"/>
      <c r="BO82" s="187">
        <v>0.95</v>
      </c>
      <c r="BP82" s="178">
        <v>1</v>
      </c>
      <c r="BQ82" s="186">
        <v>2.5000000000000001E-3</v>
      </c>
    </row>
    <row r="83" spans="1:69" s="156" customFormat="1" ht="22.35" customHeight="1" x14ac:dyDescent="0.2">
      <c r="A83" s="165" t="s">
        <v>80</v>
      </c>
      <c r="B83" s="165" t="s">
        <v>118</v>
      </c>
      <c r="C83" s="165" t="s">
        <v>137</v>
      </c>
      <c r="D83" s="166">
        <v>2.8572871573333298</v>
      </c>
      <c r="E83" s="167"/>
      <c r="F83" s="168">
        <v>0.03</v>
      </c>
      <c r="G83" s="168">
        <v>0.03</v>
      </c>
      <c r="H83" s="169"/>
      <c r="I83" s="170">
        <v>3</v>
      </c>
      <c r="J83" s="170">
        <v>3</v>
      </c>
      <c r="K83" s="167"/>
      <c r="L83" s="171">
        <v>740.01553000000001</v>
      </c>
      <c r="M83" s="171">
        <v>699.89427000000001</v>
      </c>
      <c r="N83" s="171">
        <v>1439.9097999999999</v>
      </c>
      <c r="O83" s="166">
        <v>503.94297832628399</v>
      </c>
      <c r="P83" s="172">
        <v>255.63</v>
      </c>
      <c r="Q83" s="178">
        <v>1.97137651420523</v>
      </c>
      <c r="R83" s="179">
        <v>616.00921951915404</v>
      </c>
      <c r="S83" s="168">
        <v>0.01</v>
      </c>
      <c r="T83" s="168">
        <v>0.01</v>
      </c>
      <c r="U83" s="175">
        <v>0</v>
      </c>
      <c r="V83" s="176">
        <v>0</v>
      </c>
      <c r="W83" s="167"/>
      <c r="X83" s="175">
        <v>607.12163999999996</v>
      </c>
      <c r="Y83" s="166">
        <v>212.48184259037399</v>
      </c>
      <c r="Z83" s="177">
        <v>573</v>
      </c>
      <c r="AA83" s="173">
        <v>0.37082346001810601</v>
      </c>
      <c r="AB83" s="174">
        <v>-1239.6687704194501</v>
      </c>
      <c r="AC83" s="168"/>
      <c r="AD83" s="168"/>
      <c r="AE83" s="176">
        <v>1031</v>
      </c>
      <c r="AF83" s="176">
        <v>1358</v>
      </c>
      <c r="AG83" s="167"/>
      <c r="AH83" s="180">
        <v>145.1</v>
      </c>
      <c r="AI83" s="166">
        <v>50.782435229723198</v>
      </c>
      <c r="AJ83" s="181" t="s">
        <v>53</v>
      </c>
      <c r="AK83" s="188">
        <v>0.80607040047179701</v>
      </c>
      <c r="AL83" s="171">
        <v>-57.950254548735799</v>
      </c>
      <c r="AM83" s="168"/>
      <c r="AN83" s="168"/>
      <c r="AO83" s="176">
        <v>35</v>
      </c>
      <c r="AP83" s="176">
        <v>71</v>
      </c>
      <c r="AQ83" s="167"/>
      <c r="AR83" s="180">
        <v>15.6</v>
      </c>
      <c r="AS83" s="166">
        <v>5.4597242562624597</v>
      </c>
      <c r="AT83" s="181" t="s">
        <v>54</v>
      </c>
      <c r="AU83" s="173">
        <v>0.34123276601640401</v>
      </c>
      <c r="AV83" s="174">
        <v>-35.968318615551901</v>
      </c>
      <c r="AW83" s="168"/>
      <c r="AX83" s="168"/>
      <c r="AY83" s="176">
        <v>31</v>
      </c>
      <c r="AZ83" s="176">
        <v>40</v>
      </c>
      <c r="BA83" s="167"/>
      <c r="BB83" s="184">
        <v>121.4</v>
      </c>
      <c r="BC83" s="180">
        <v>42.487854148093703</v>
      </c>
      <c r="BD83" s="181" t="s">
        <v>55</v>
      </c>
      <c r="BE83" s="178">
        <v>1.32774544212793</v>
      </c>
      <c r="BF83" s="179">
        <v>18.263362768896101</v>
      </c>
      <c r="BG83" s="168">
        <v>0.02</v>
      </c>
      <c r="BH83" s="168">
        <v>0.02</v>
      </c>
      <c r="BI83" s="176">
        <v>0</v>
      </c>
      <c r="BJ83" s="176">
        <v>0</v>
      </c>
      <c r="BK83" s="169"/>
      <c r="BL83" s="185">
        <v>0.8</v>
      </c>
      <c r="BM83" s="173">
        <v>0.66</v>
      </c>
      <c r="BN83" s="186"/>
      <c r="BO83" s="187">
        <v>0.95</v>
      </c>
      <c r="BP83" s="178">
        <v>1</v>
      </c>
      <c r="BQ83" s="186">
        <v>2.5000000000000001E-3</v>
      </c>
    </row>
    <row r="84" spans="1:69" s="156" customFormat="1" ht="22.35" customHeight="1" x14ac:dyDescent="0.2">
      <c r="A84" s="165" t="s">
        <v>80</v>
      </c>
      <c r="B84" s="165" t="s">
        <v>118</v>
      </c>
      <c r="C84" s="165" t="s">
        <v>138</v>
      </c>
      <c r="D84" s="166">
        <v>3.2583336913333301</v>
      </c>
      <c r="E84" s="167"/>
      <c r="F84" s="168">
        <v>0.01</v>
      </c>
      <c r="G84" s="168">
        <v>0.01</v>
      </c>
      <c r="H84" s="169"/>
      <c r="I84" s="170">
        <v>1</v>
      </c>
      <c r="J84" s="170">
        <v>1</v>
      </c>
      <c r="K84" s="167"/>
      <c r="L84" s="171">
        <v>3406.3163100000002</v>
      </c>
      <c r="M84" s="171">
        <v>1283.838</v>
      </c>
      <c r="N84" s="171">
        <v>4690.1543099999999</v>
      </c>
      <c r="O84" s="166">
        <v>1439.43338967248</v>
      </c>
      <c r="P84" s="172">
        <v>287.5</v>
      </c>
      <c r="Q84" s="178">
        <v>5.0067248336434096</v>
      </c>
      <c r="R84" s="179">
        <v>3633.4766939005999</v>
      </c>
      <c r="S84" s="168">
        <v>0.01</v>
      </c>
      <c r="T84" s="168">
        <v>0.01</v>
      </c>
      <c r="U84" s="175">
        <v>0</v>
      </c>
      <c r="V84" s="176">
        <v>0</v>
      </c>
      <c r="W84" s="167"/>
      <c r="X84" s="175">
        <v>1253.2079900000001</v>
      </c>
      <c r="Y84" s="166">
        <v>384.61622065699999</v>
      </c>
      <c r="Z84" s="177">
        <v>573</v>
      </c>
      <c r="AA84" s="173">
        <v>0.67123249678359598</v>
      </c>
      <c r="AB84" s="174">
        <v>-852.79644139114998</v>
      </c>
      <c r="AC84" s="168"/>
      <c r="AD84" s="168"/>
      <c r="AE84" s="176">
        <v>614</v>
      </c>
      <c r="AF84" s="176">
        <v>988</v>
      </c>
      <c r="AG84" s="167"/>
      <c r="AH84" s="180">
        <v>63.05</v>
      </c>
      <c r="AI84" s="166">
        <v>19.350381505646101</v>
      </c>
      <c r="AJ84" s="181" t="s">
        <v>53</v>
      </c>
      <c r="AK84" s="173">
        <v>0.30714891278803302</v>
      </c>
      <c r="AL84" s="174">
        <v>-168.500225440912</v>
      </c>
      <c r="AM84" s="168"/>
      <c r="AN84" s="168"/>
      <c r="AO84" s="176">
        <v>143</v>
      </c>
      <c r="AP84" s="176">
        <v>184</v>
      </c>
      <c r="AQ84" s="167"/>
      <c r="AR84" s="180">
        <v>14.6</v>
      </c>
      <c r="AS84" s="166">
        <v>4.4808179220052704</v>
      </c>
      <c r="AT84" s="181" t="s">
        <v>54</v>
      </c>
      <c r="AU84" s="173">
        <v>0.28005112012532901</v>
      </c>
      <c r="AV84" s="174">
        <v>-44.206406461183903</v>
      </c>
      <c r="AW84" s="168"/>
      <c r="AX84" s="168"/>
      <c r="AY84" s="176">
        <v>38</v>
      </c>
      <c r="AZ84" s="176">
        <v>48</v>
      </c>
      <c r="BA84" s="167"/>
      <c r="BB84" s="184">
        <v>82.2</v>
      </c>
      <c r="BC84" s="180">
        <v>25.227618711563899</v>
      </c>
      <c r="BD84" s="181" t="s">
        <v>55</v>
      </c>
      <c r="BE84" s="188">
        <v>0.78836308473637295</v>
      </c>
      <c r="BF84" s="171">
        <v>-35.412812922367898</v>
      </c>
      <c r="BG84" s="168"/>
      <c r="BH84" s="168"/>
      <c r="BI84" s="176">
        <v>23</v>
      </c>
      <c r="BJ84" s="176">
        <v>43</v>
      </c>
      <c r="BK84" s="169"/>
      <c r="BL84" s="185">
        <v>0.8</v>
      </c>
      <c r="BM84" s="173">
        <v>0.64</v>
      </c>
      <c r="BN84" s="186"/>
      <c r="BO84" s="187">
        <v>0.95</v>
      </c>
      <c r="BP84" s="173">
        <v>0.8</v>
      </c>
      <c r="BQ84" s="186"/>
    </row>
    <row r="85" spans="1:69" s="156" customFormat="1" ht="22.35" customHeight="1" x14ac:dyDescent="0.2">
      <c r="A85" s="165" t="s">
        <v>139</v>
      </c>
      <c r="B85" s="165" t="s">
        <v>140</v>
      </c>
      <c r="C85" s="165" t="s">
        <v>141</v>
      </c>
      <c r="D85" s="166">
        <v>3.7189131554444401</v>
      </c>
      <c r="E85" s="167"/>
      <c r="F85" s="168">
        <v>2.9000000000000001E-2</v>
      </c>
      <c r="G85" s="168">
        <v>1.9E-2</v>
      </c>
      <c r="H85" s="169"/>
      <c r="I85" s="170">
        <v>4</v>
      </c>
      <c r="J85" s="170">
        <v>3</v>
      </c>
      <c r="K85" s="167"/>
      <c r="L85" s="171">
        <v>9285.7829000000002</v>
      </c>
      <c r="M85" s="171">
        <v>2723.20723</v>
      </c>
      <c r="N85" s="171">
        <v>12008.99013</v>
      </c>
      <c r="O85" s="166">
        <v>3229.1665946592402</v>
      </c>
      <c r="P85" s="172">
        <v>287.5</v>
      </c>
      <c r="Q85" s="178">
        <v>11.2318838075104</v>
      </c>
      <c r="R85" s="179">
        <v>10802.946593689399</v>
      </c>
      <c r="S85" s="168">
        <v>0.01</v>
      </c>
      <c r="T85" s="168">
        <v>0.01</v>
      </c>
      <c r="U85" s="175">
        <v>0</v>
      </c>
      <c r="V85" s="176">
        <v>0</v>
      </c>
      <c r="W85" s="167"/>
      <c r="X85" s="175">
        <v>2319.1927150000001</v>
      </c>
      <c r="Y85" s="166">
        <v>623.621100590835</v>
      </c>
      <c r="Z85" s="177">
        <v>573</v>
      </c>
      <c r="AA85" s="182">
        <v>1.08834398008872</v>
      </c>
      <c r="AB85" s="183">
        <v>-84.504489542581297</v>
      </c>
      <c r="AC85" s="168">
        <v>1.6E-2</v>
      </c>
      <c r="AD85" s="168">
        <v>8.9999999999999993E-3</v>
      </c>
      <c r="AE85" s="176">
        <v>0</v>
      </c>
      <c r="AF85" s="176">
        <v>238</v>
      </c>
      <c r="AG85" s="167"/>
      <c r="AH85" s="180">
        <v>162.4</v>
      </c>
      <c r="AI85" s="166">
        <v>43.6686723276257</v>
      </c>
      <c r="AJ85" s="181" t="s">
        <v>53</v>
      </c>
      <c r="AK85" s="173">
        <v>0.69315352900993199</v>
      </c>
      <c r="AL85" s="174">
        <v>-101.880844478504</v>
      </c>
      <c r="AM85" s="168"/>
      <c r="AN85" s="168"/>
      <c r="AO85" s="176">
        <v>72</v>
      </c>
      <c r="AP85" s="176">
        <v>119</v>
      </c>
      <c r="AQ85" s="167"/>
      <c r="AR85" s="180">
        <v>20.2</v>
      </c>
      <c r="AS85" s="166">
        <v>5.4316944643967897</v>
      </c>
      <c r="AT85" s="181" t="s">
        <v>54</v>
      </c>
      <c r="AU85" s="173">
        <v>0.33948090402479902</v>
      </c>
      <c r="AV85" s="174">
        <v>-46.918944629461301</v>
      </c>
      <c r="AW85" s="168"/>
      <c r="AX85" s="168"/>
      <c r="AY85" s="176">
        <v>40</v>
      </c>
      <c r="AZ85" s="176">
        <v>52</v>
      </c>
      <c r="BA85" s="167"/>
      <c r="BB85" s="184">
        <v>115.4</v>
      </c>
      <c r="BC85" s="180">
        <v>31.030571346108399</v>
      </c>
      <c r="BD85" s="181" t="s">
        <v>55</v>
      </c>
      <c r="BE85" s="182">
        <v>0.96970535456588802</v>
      </c>
      <c r="BF85" s="183">
        <v>-18.837889258922502</v>
      </c>
      <c r="BG85" s="168">
        <v>3.0000000000000001E-3</v>
      </c>
      <c r="BH85" s="168"/>
      <c r="BI85" s="176">
        <v>4</v>
      </c>
      <c r="BJ85" s="176">
        <v>28</v>
      </c>
      <c r="BK85" s="169"/>
      <c r="BL85" s="185">
        <v>0.8</v>
      </c>
      <c r="BM85" s="188">
        <v>0.73</v>
      </c>
      <c r="BN85" s="186"/>
      <c r="BO85" s="187">
        <v>0.95</v>
      </c>
      <c r="BP85" s="178">
        <v>1</v>
      </c>
      <c r="BQ85" s="186">
        <v>2.5000000000000001E-3</v>
      </c>
    </row>
    <row r="86" spans="1:69" s="156" customFormat="1" ht="22.35" customHeight="1" x14ac:dyDescent="0.2">
      <c r="A86" s="165" t="s">
        <v>139</v>
      </c>
      <c r="B86" s="165" t="s">
        <v>140</v>
      </c>
      <c r="C86" s="165" t="s">
        <v>142</v>
      </c>
      <c r="D86" s="166">
        <v>8.0608712013333292</v>
      </c>
      <c r="E86" s="167"/>
      <c r="F86" s="168">
        <v>0.03</v>
      </c>
      <c r="G86" s="168">
        <v>2.5000000000000001E-2</v>
      </c>
      <c r="H86" s="169"/>
      <c r="I86" s="170">
        <v>3</v>
      </c>
      <c r="J86" s="170">
        <v>3</v>
      </c>
      <c r="K86" s="167"/>
      <c r="L86" s="171">
        <v>4597.7225200000003</v>
      </c>
      <c r="M86" s="171">
        <v>4416.2170800000004</v>
      </c>
      <c r="N86" s="171">
        <v>9013.9395999999997</v>
      </c>
      <c r="O86" s="166">
        <v>1118.23391974171</v>
      </c>
      <c r="P86" s="172">
        <v>287.5</v>
      </c>
      <c r="Q86" s="178">
        <v>3.8895092860581202</v>
      </c>
      <c r="R86" s="179">
        <v>6399.7990694075997</v>
      </c>
      <c r="S86" s="168">
        <v>0.01</v>
      </c>
      <c r="T86" s="168">
        <v>0.01</v>
      </c>
      <c r="U86" s="175">
        <v>0</v>
      </c>
      <c r="V86" s="176">
        <v>0</v>
      </c>
      <c r="W86" s="167"/>
      <c r="X86" s="175">
        <v>2746.0294199999998</v>
      </c>
      <c r="Y86" s="166">
        <v>340.661617263626</v>
      </c>
      <c r="Z86" s="177">
        <v>573</v>
      </c>
      <c r="AA86" s="173">
        <v>0.59452289225763699</v>
      </c>
      <c r="AB86" s="174">
        <v>-2464.0663157545901</v>
      </c>
      <c r="AC86" s="168"/>
      <c r="AD86" s="168"/>
      <c r="AE86" s="176">
        <v>1873</v>
      </c>
      <c r="AF86" s="176">
        <v>2797</v>
      </c>
      <c r="AG86" s="167"/>
      <c r="AH86" s="180">
        <v>298.39999999999998</v>
      </c>
      <c r="AI86" s="166">
        <v>37.018331213460201</v>
      </c>
      <c r="AJ86" s="181" t="s">
        <v>53</v>
      </c>
      <c r="AK86" s="173">
        <v>0.58759255894381202</v>
      </c>
      <c r="AL86" s="174">
        <v>-274.43775105155203</v>
      </c>
      <c r="AM86" s="168"/>
      <c r="AN86" s="168"/>
      <c r="AO86" s="176">
        <v>210</v>
      </c>
      <c r="AP86" s="176">
        <v>312</v>
      </c>
      <c r="AQ86" s="167"/>
      <c r="AR86" s="180">
        <v>52.6</v>
      </c>
      <c r="AS86" s="166">
        <v>6.5253492688606096</v>
      </c>
      <c r="AT86" s="181" t="s">
        <v>54</v>
      </c>
      <c r="AU86" s="173">
        <v>0.40783432930378799</v>
      </c>
      <c r="AV86" s="174">
        <v>-92.882603441663903</v>
      </c>
      <c r="AW86" s="168"/>
      <c r="AX86" s="168"/>
      <c r="AY86" s="176">
        <v>77</v>
      </c>
      <c r="AZ86" s="176">
        <v>103</v>
      </c>
      <c r="BA86" s="167"/>
      <c r="BB86" s="184">
        <v>296.39999999999998</v>
      </c>
      <c r="BC86" s="180">
        <v>36.770219073959801</v>
      </c>
      <c r="BD86" s="181" t="s">
        <v>55</v>
      </c>
      <c r="BE86" s="178">
        <v>1.14906934606124</v>
      </c>
      <c r="BF86" s="179">
        <v>5.4347931166721501</v>
      </c>
      <c r="BG86" s="168">
        <v>0.02</v>
      </c>
      <c r="BH86" s="168">
        <v>1.4999999999999999E-2</v>
      </c>
      <c r="BI86" s="176">
        <v>0</v>
      </c>
      <c r="BJ86" s="176">
        <v>14</v>
      </c>
      <c r="BK86" s="169"/>
      <c r="BL86" s="185">
        <v>0.8</v>
      </c>
      <c r="BM86" s="173">
        <v>0.6</v>
      </c>
      <c r="BN86" s="186"/>
      <c r="BO86" s="187">
        <v>0.95</v>
      </c>
      <c r="BP86" s="178">
        <v>1</v>
      </c>
      <c r="BQ86" s="186">
        <v>2.5000000000000001E-3</v>
      </c>
    </row>
    <row r="87" spans="1:69" s="156" customFormat="1" ht="22.35" customHeight="1" x14ac:dyDescent="0.2">
      <c r="A87" s="165" t="s">
        <v>139</v>
      </c>
      <c r="B87" s="165" t="s">
        <v>140</v>
      </c>
      <c r="C87" s="165" t="s">
        <v>143</v>
      </c>
      <c r="D87" s="166">
        <v>6.5973797197777797</v>
      </c>
      <c r="E87" s="167"/>
      <c r="F87" s="168">
        <v>0.03</v>
      </c>
      <c r="G87" s="168">
        <v>0.03</v>
      </c>
      <c r="H87" s="169"/>
      <c r="I87" s="170">
        <v>3</v>
      </c>
      <c r="J87" s="170">
        <v>3</v>
      </c>
      <c r="K87" s="167"/>
      <c r="L87" s="171">
        <v>12823.08959</v>
      </c>
      <c r="M87" s="171">
        <v>1985.5936200000001</v>
      </c>
      <c r="N87" s="171">
        <v>14808.683209999999</v>
      </c>
      <c r="O87" s="166">
        <v>2244.6310261036201</v>
      </c>
      <c r="P87" s="172">
        <v>271.31</v>
      </c>
      <c r="Q87" s="178">
        <v>8.2733073830806791</v>
      </c>
      <c r="R87" s="179">
        <v>12789.6364264802</v>
      </c>
      <c r="S87" s="168">
        <v>0.01</v>
      </c>
      <c r="T87" s="168">
        <v>0.01</v>
      </c>
      <c r="U87" s="175">
        <v>0</v>
      </c>
      <c r="V87" s="176">
        <v>0</v>
      </c>
      <c r="W87" s="167"/>
      <c r="X87" s="175">
        <v>3101.2228799999998</v>
      </c>
      <c r="Y87" s="166">
        <v>470.06887760349503</v>
      </c>
      <c r="Z87" s="177">
        <v>573</v>
      </c>
      <c r="AA87" s="188">
        <v>0.82036453333943304</v>
      </c>
      <c r="AB87" s="171">
        <v>-1162.9539176000501</v>
      </c>
      <c r="AC87" s="168"/>
      <c r="AD87" s="168"/>
      <c r="AE87" s="176">
        <v>680</v>
      </c>
      <c r="AF87" s="176">
        <v>1436</v>
      </c>
      <c r="AG87" s="167"/>
      <c r="AH87" s="180">
        <v>311.3</v>
      </c>
      <c r="AI87" s="166">
        <v>47.185399843937702</v>
      </c>
      <c r="AJ87" s="181" t="s">
        <v>53</v>
      </c>
      <c r="AK87" s="188">
        <v>0.74897460069742305</v>
      </c>
      <c r="AL87" s="171">
        <v>-157.536192406288</v>
      </c>
      <c r="AM87" s="168"/>
      <c r="AN87" s="168"/>
      <c r="AO87" s="176">
        <v>105</v>
      </c>
      <c r="AP87" s="176">
        <v>188</v>
      </c>
      <c r="AQ87" s="167"/>
      <c r="AR87" s="180">
        <v>49.4</v>
      </c>
      <c r="AS87" s="166">
        <v>7.4878212408947</v>
      </c>
      <c r="AT87" s="181" t="s">
        <v>54</v>
      </c>
      <c r="AU87" s="173">
        <v>0.46798882755591897</v>
      </c>
      <c r="AV87" s="174">
        <v>-69.669509182549405</v>
      </c>
      <c r="AW87" s="168"/>
      <c r="AX87" s="168"/>
      <c r="AY87" s="176">
        <v>57</v>
      </c>
      <c r="AZ87" s="176">
        <v>78</v>
      </c>
      <c r="BA87" s="167"/>
      <c r="BB87" s="184">
        <v>255.4</v>
      </c>
      <c r="BC87" s="180">
        <v>38.712338966083102</v>
      </c>
      <c r="BD87" s="181" t="s">
        <v>55</v>
      </c>
      <c r="BE87" s="178">
        <v>1.2097605926901001</v>
      </c>
      <c r="BF87" s="179">
        <v>17.260981634901199</v>
      </c>
      <c r="BG87" s="168">
        <v>0.02</v>
      </c>
      <c r="BH87" s="168">
        <v>0.02</v>
      </c>
      <c r="BI87" s="176">
        <v>0</v>
      </c>
      <c r="BJ87" s="176">
        <v>0</v>
      </c>
      <c r="BK87" s="169"/>
      <c r="BL87" s="185">
        <v>0.8</v>
      </c>
      <c r="BM87" s="188">
        <v>0.74</v>
      </c>
      <c r="BN87" s="186"/>
      <c r="BO87" s="187">
        <v>0.95</v>
      </c>
      <c r="BP87" s="178">
        <v>1</v>
      </c>
      <c r="BQ87" s="186">
        <v>2.5000000000000001E-3</v>
      </c>
    </row>
    <row r="88" spans="1:69" s="156" customFormat="1" ht="22.35" customHeight="1" x14ac:dyDescent="0.2">
      <c r="A88" s="165" t="s">
        <v>139</v>
      </c>
      <c r="B88" s="165" t="s">
        <v>140</v>
      </c>
      <c r="C88" s="165" t="s">
        <v>144</v>
      </c>
      <c r="D88" s="166">
        <v>1.00891054722222</v>
      </c>
      <c r="E88" s="167"/>
      <c r="F88" s="168">
        <v>0.02</v>
      </c>
      <c r="G88" s="168">
        <v>0.02</v>
      </c>
      <c r="H88" s="169"/>
      <c r="I88" s="170">
        <v>2</v>
      </c>
      <c r="J88" s="170">
        <v>2</v>
      </c>
      <c r="K88" s="167"/>
      <c r="L88" s="171">
        <v>-8753.2823599999992</v>
      </c>
      <c r="M88" s="171">
        <v>-1747.70876</v>
      </c>
      <c r="N88" s="171">
        <v>-10500.991120000001</v>
      </c>
      <c r="O88" s="166">
        <v>-10408.2479352722</v>
      </c>
      <c r="P88" s="172">
        <v>287.5</v>
      </c>
      <c r="Q88" s="173">
        <v>-36.202601513990103</v>
      </c>
      <c r="R88" s="174">
        <v>-10828.1808104642</v>
      </c>
      <c r="S88" s="168"/>
      <c r="T88" s="168"/>
      <c r="U88" s="175">
        <v>10792</v>
      </c>
      <c r="V88" s="176">
        <v>10850</v>
      </c>
      <c r="W88" s="167"/>
      <c r="X88" s="175">
        <v>354.96262000000002</v>
      </c>
      <c r="Y88" s="166">
        <v>351.82764317143801</v>
      </c>
      <c r="Z88" s="177">
        <v>573</v>
      </c>
      <c r="AA88" s="173">
        <v>0.61400984846673201</v>
      </c>
      <c r="AB88" s="174">
        <v>-297.140658733799</v>
      </c>
      <c r="AC88" s="168"/>
      <c r="AD88" s="168"/>
      <c r="AE88" s="176">
        <v>224</v>
      </c>
      <c r="AF88" s="176">
        <v>339</v>
      </c>
      <c r="AG88" s="167"/>
      <c r="AH88" s="180">
        <v>23.6</v>
      </c>
      <c r="AI88" s="166">
        <v>23.3915683258308</v>
      </c>
      <c r="AJ88" s="181" t="s">
        <v>53</v>
      </c>
      <c r="AK88" s="173">
        <v>0.371294735330648</v>
      </c>
      <c r="AL88" s="174">
        <v>-48.097219127799796</v>
      </c>
      <c r="AM88" s="168"/>
      <c r="AN88" s="168"/>
      <c r="AO88" s="176">
        <v>40</v>
      </c>
      <c r="AP88" s="176">
        <v>53</v>
      </c>
      <c r="AQ88" s="167"/>
      <c r="AR88" s="180"/>
      <c r="AS88" s="166" t="s">
        <v>145</v>
      </c>
      <c r="AT88" s="181" t="s">
        <v>54</v>
      </c>
      <c r="AU88" s="173"/>
      <c r="AV88" s="174"/>
      <c r="AW88" s="168"/>
      <c r="AX88" s="168"/>
      <c r="AY88" s="176">
        <v>17</v>
      </c>
      <c r="AZ88" s="176">
        <v>20</v>
      </c>
      <c r="BA88" s="167"/>
      <c r="BB88" s="184">
        <v>60.4</v>
      </c>
      <c r="BC88" s="180">
        <v>59.866556223736602</v>
      </c>
      <c r="BD88" s="181" t="s">
        <v>55</v>
      </c>
      <c r="BE88" s="178">
        <v>1.8708298819917699</v>
      </c>
      <c r="BF88" s="179">
        <v>23.982364887466701</v>
      </c>
      <c r="BG88" s="168">
        <v>0.02</v>
      </c>
      <c r="BH88" s="168">
        <v>0.02</v>
      </c>
      <c r="BI88" s="176">
        <v>0</v>
      </c>
      <c r="BJ88" s="176">
        <v>0</v>
      </c>
      <c r="BK88" s="169"/>
      <c r="BL88" s="185">
        <v>0.8</v>
      </c>
      <c r="BM88" s="173"/>
      <c r="BN88" s="186"/>
      <c r="BO88" s="187">
        <v>0.95</v>
      </c>
      <c r="BP88" s="178">
        <v>1</v>
      </c>
      <c r="BQ88" s="186">
        <v>2.5000000000000001E-3</v>
      </c>
    </row>
    <row r="89" spans="1:69" s="156" customFormat="1" ht="22.35" customHeight="1" x14ac:dyDescent="0.2">
      <c r="A89" s="165" t="s">
        <v>139</v>
      </c>
      <c r="B89" s="165" t="s">
        <v>140</v>
      </c>
      <c r="C89" s="165" t="s">
        <v>146</v>
      </c>
      <c r="D89" s="166">
        <v>1.63022700111111</v>
      </c>
      <c r="E89" s="167"/>
      <c r="F89" s="168"/>
      <c r="G89" s="168"/>
      <c r="H89" s="169"/>
      <c r="I89" s="170">
        <v>2</v>
      </c>
      <c r="J89" s="170">
        <v>2</v>
      </c>
      <c r="K89" s="167"/>
      <c r="L89" s="171">
        <v>-7896.3955299999998</v>
      </c>
      <c r="M89" s="171">
        <v>-1205.3251499999999</v>
      </c>
      <c r="N89" s="171">
        <v>-9101.7206800000004</v>
      </c>
      <c r="O89" s="166">
        <v>-5583.1001902168</v>
      </c>
      <c r="P89" s="172">
        <v>264.70999999999998</v>
      </c>
      <c r="Q89" s="173">
        <v>-21.091383741516399</v>
      </c>
      <c r="R89" s="174">
        <v>-9588.49485531553</v>
      </c>
      <c r="S89" s="168"/>
      <c r="T89" s="168"/>
      <c r="U89" s="175">
        <v>9534</v>
      </c>
      <c r="V89" s="176">
        <v>9620</v>
      </c>
      <c r="W89" s="167"/>
      <c r="X89" s="175">
        <v>368.50261</v>
      </c>
      <c r="Y89" s="166">
        <v>226.04374099364099</v>
      </c>
      <c r="Z89" s="177">
        <v>573</v>
      </c>
      <c r="AA89" s="173">
        <v>0.39449169457877997</v>
      </c>
      <c r="AB89" s="174">
        <v>-685.18483080615897</v>
      </c>
      <c r="AC89" s="168"/>
      <c r="AD89" s="168"/>
      <c r="AE89" s="176">
        <v>566</v>
      </c>
      <c r="AF89" s="176">
        <v>753</v>
      </c>
      <c r="AG89" s="167"/>
      <c r="AH89" s="180">
        <v>65.2</v>
      </c>
      <c r="AI89" s="166">
        <v>39.994430196262101</v>
      </c>
      <c r="AJ89" s="181" t="s">
        <v>53</v>
      </c>
      <c r="AK89" s="173">
        <v>0.63483222533749295</v>
      </c>
      <c r="AL89" s="174">
        <v>-50.650451606959898</v>
      </c>
      <c r="AM89" s="168"/>
      <c r="AN89" s="168"/>
      <c r="AO89" s="176">
        <v>38</v>
      </c>
      <c r="AP89" s="176">
        <v>59</v>
      </c>
      <c r="AQ89" s="167"/>
      <c r="AR89" s="180">
        <v>1.8</v>
      </c>
      <c r="AS89" s="166">
        <v>1.1041407109397501</v>
      </c>
      <c r="AT89" s="181" t="s">
        <v>54</v>
      </c>
      <c r="AU89" s="173">
        <v>6.9008794433734394E-2</v>
      </c>
      <c r="AV89" s="174">
        <v>-27.6223369160533</v>
      </c>
      <c r="AW89" s="168"/>
      <c r="AX89" s="168"/>
      <c r="AY89" s="176">
        <v>25</v>
      </c>
      <c r="AZ89" s="176">
        <v>30</v>
      </c>
      <c r="BA89" s="167"/>
      <c r="BB89" s="184">
        <v>26</v>
      </c>
      <c r="BC89" s="180">
        <v>15.9486991580186</v>
      </c>
      <c r="BD89" s="181" t="s">
        <v>55</v>
      </c>
      <c r="BE89" s="173">
        <v>0.49839684868808198</v>
      </c>
      <c r="BF89" s="174">
        <v>-32.844673832106601</v>
      </c>
      <c r="BG89" s="168"/>
      <c r="BH89" s="168"/>
      <c r="BI89" s="176">
        <v>27</v>
      </c>
      <c r="BJ89" s="176">
        <v>37</v>
      </c>
      <c r="BK89" s="169"/>
      <c r="BL89" s="185">
        <v>0.8</v>
      </c>
      <c r="BM89" s="178">
        <v>1</v>
      </c>
      <c r="BN89" s="186">
        <v>7.4999999999999997E-3</v>
      </c>
      <c r="BO89" s="187">
        <v>0.95</v>
      </c>
      <c r="BP89" s="178">
        <v>1</v>
      </c>
      <c r="BQ89" s="186">
        <v>2.5000000000000001E-3</v>
      </c>
    </row>
    <row r="90" spans="1:69" s="156" customFormat="1" ht="22.35" customHeight="1" x14ac:dyDescent="0.2">
      <c r="A90" s="165" t="s">
        <v>139</v>
      </c>
      <c r="B90" s="165" t="s">
        <v>140</v>
      </c>
      <c r="C90" s="165" t="s">
        <v>147</v>
      </c>
      <c r="D90" s="166">
        <v>4.5991464215555604</v>
      </c>
      <c r="E90" s="167"/>
      <c r="F90" s="168">
        <v>0.03</v>
      </c>
      <c r="G90" s="168">
        <v>2.5000000000000001E-2</v>
      </c>
      <c r="H90" s="169"/>
      <c r="I90" s="170">
        <v>3</v>
      </c>
      <c r="J90" s="170">
        <v>3</v>
      </c>
      <c r="K90" s="167"/>
      <c r="L90" s="171">
        <v>1660.2193</v>
      </c>
      <c r="M90" s="171">
        <v>3917.81178</v>
      </c>
      <c r="N90" s="171">
        <v>5578.0310799999997</v>
      </c>
      <c r="O90" s="166">
        <v>1212.84050750299</v>
      </c>
      <c r="P90" s="172">
        <v>265.83499999999998</v>
      </c>
      <c r="Q90" s="178">
        <v>4.5623808283446099</v>
      </c>
      <c r="R90" s="179">
        <v>4198.9223876370797</v>
      </c>
      <c r="S90" s="168">
        <v>0.01</v>
      </c>
      <c r="T90" s="168">
        <v>0.01</v>
      </c>
      <c r="U90" s="175">
        <v>0</v>
      </c>
      <c r="V90" s="176">
        <v>0</v>
      </c>
      <c r="W90" s="167"/>
      <c r="X90" s="175">
        <v>2341.4848050000001</v>
      </c>
      <c r="Y90" s="166">
        <v>509.11290713115602</v>
      </c>
      <c r="Z90" s="177">
        <v>573</v>
      </c>
      <c r="AA90" s="188">
        <v>0.88850420092697302</v>
      </c>
      <c r="AB90" s="171">
        <v>-631.14588969390695</v>
      </c>
      <c r="AC90" s="168"/>
      <c r="AD90" s="168"/>
      <c r="AE90" s="176">
        <v>294</v>
      </c>
      <c r="AF90" s="176">
        <v>821</v>
      </c>
      <c r="AG90" s="167"/>
      <c r="AH90" s="180">
        <v>263.89999999999998</v>
      </c>
      <c r="AI90" s="166">
        <v>57.380212720155598</v>
      </c>
      <c r="AJ90" s="181" t="s">
        <v>53</v>
      </c>
      <c r="AK90" s="188">
        <v>0.91079702730405598</v>
      </c>
      <c r="AL90" s="171">
        <v>-62.933741301424298</v>
      </c>
      <c r="AM90" s="168"/>
      <c r="AN90" s="168"/>
      <c r="AO90" s="176">
        <v>26</v>
      </c>
      <c r="AP90" s="176">
        <v>84</v>
      </c>
      <c r="AQ90" s="167"/>
      <c r="AR90" s="180">
        <v>57</v>
      </c>
      <c r="AS90" s="166">
        <v>12.393604111590999</v>
      </c>
      <c r="AT90" s="181" t="s">
        <v>54</v>
      </c>
      <c r="AU90" s="188">
        <v>0.77460025697443702</v>
      </c>
      <c r="AV90" s="171">
        <v>-26.005394616234799</v>
      </c>
      <c r="AW90" s="168"/>
      <c r="AX90" s="168"/>
      <c r="AY90" s="176">
        <v>17</v>
      </c>
      <c r="AZ90" s="176">
        <v>32</v>
      </c>
      <c r="BA90" s="167"/>
      <c r="BB90" s="184">
        <v>169.4</v>
      </c>
      <c r="BC90" s="180">
        <v>36.832921693044099</v>
      </c>
      <c r="BD90" s="181" t="s">
        <v>55</v>
      </c>
      <c r="BE90" s="178">
        <v>1.1510288029076301</v>
      </c>
      <c r="BF90" s="179">
        <v>3.3892107675304999</v>
      </c>
      <c r="BG90" s="168">
        <v>0.02</v>
      </c>
      <c r="BH90" s="168">
        <v>1.4999999999999999E-2</v>
      </c>
      <c r="BI90" s="176">
        <v>0</v>
      </c>
      <c r="BJ90" s="176">
        <v>8</v>
      </c>
      <c r="BK90" s="169"/>
      <c r="BL90" s="185">
        <v>0.8</v>
      </c>
      <c r="BM90" s="188">
        <v>0.74</v>
      </c>
      <c r="BN90" s="186"/>
      <c r="BO90" s="187">
        <v>0.95</v>
      </c>
      <c r="BP90" s="178">
        <v>1</v>
      </c>
      <c r="BQ90" s="186">
        <v>2.5000000000000001E-3</v>
      </c>
    </row>
    <row r="91" spans="1:69" s="156" customFormat="1" ht="22.35" customHeight="1" x14ac:dyDescent="0.2">
      <c r="A91" s="165" t="s">
        <v>139</v>
      </c>
      <c r="B91" s="165" t="s">
        <v>140</v>
      </c>
      <c r="C91" s="165" t="s">
        <v>148</v>
      </c>
      <c r="D91" s="166">
        <v>5.8587699798888897</v>
      </c>
      <c r="E91" s="167"/>
      <c r="F91" s="168">
        <v>0.03</v>
      </c>
      <c r="G91" s="168">
        <v>0.03</v>
      </c>
      <c r="H91" s="169"/>
      <c r="I91" s="170">
        <v>3</v>
      </c>
      <c r="J91" s="170">
        <v>3</v>
      </c>
      <c r="K91" s="167"/>
      <c r="L91" s="171">
        <v>5422.3206300000002</v>
      </c>
      <c r="M91" s="171">
        <v>3253.1267699999999</v>
      </c>
      <c r="N91" s="171">
        <v>8675.4473999999991</v>
      </c>
      <c r="O91" s="166">
        <v>1480.7625883555399</v>
      </c>
      <c r="P91" s="172">
        <v>266.37799999999999</v>
      </c>
      <c r="Q91" s="178">
        <v>5.5588771908924199</v>
      </c>
      <c r="R91" s="179">
        <v>6915.0370992951903</v>
      </c>
      <c r="S91" s="168">
        <v>0.01</v>
      </c>
      <c r="T91" s="168">
        <v>0.01</v>
      </c>
      <c r="U91" s="175">
        <v>0</v>
      </c>
      <c r="V91" s="176">
        <v>0</v>
      </c>
      <c r="W91" s="167"/>
      <c r="X91" s="175">
        <v>2507.2538450000002</v>
      </c>
      <c r="Y91" s="166">
        <v>427.94884482690497</v>
      </c>
      <c r="Z91" s="177">
        <v>573</v>
      </c>
      <c r="AA91" s="173">
        <v>0.74685662273456399</v>
      </c>
      <c r="AB91" s="174">
        <v>-1279.5269788813</v>
      </c>
      <c r="AC91" s="168"/>
      <c r="AD91" s="168"/>
      <c r="AE91" s="176">
        <v>850</v>
      </c>
      <c r="AF91" s="176">
        <v>1522</v>
      </c>
      <c r="AG91" s="167"/>
      <c r="AH91" s="180">
        <v>291.7</v>
      </c>
      <c r="AI91" s="166">
        <v>49.7886076772606</v>
      </c>
      <c r="AJ91" s="181" t="s">
        <v>53</v>
      </c>
      <c r="AK91" s="188">
        <v>0.79029535995651801</v>
      </c>
      <c r="AL91" s="171">
        <v>-124.647629850824</v>
      </c>
      <c r="AM91" s="168"/>
      <c r="AN91" s="168"/>
      <c r="AO91" s="176">
        <v>78</v>
      </c>
      <c r="AP91" s="176">
        <v>152</v>
      </c>
      <c r="AQ91" s="167"/>
      <c r="AR91" s="180">
        <v>22.4</v>
      </c>
      <c r="AS91" s="166">
        <v>3.8233281178287202</v>
      </c>
      <c r="AT91" s="181" t="s">
        <v>54</v>
      </c>
      <c r="AU91" s="173">
        <v>0.23895800736429501</v>
      </c>
      <c r="AV91" s="174">
        <v>-83.339080597034695</v>
      </c>
      <c r="AW91" s="168"/>
      <c r="AX91" s="168"/>
      <c r="AY91" s="176">
        <v>72</v>
      </c>
      <c r="AZ91" s="176">
        <v>91</v>
      </c>
      <c r="BA91" s="167"/>
      <c r="BB91" s="184">
        <v>233</v>
      </c>
      <c r="BC91" s="180">
        <v>39.7694397970577</v>
      </c>
      <c r="BD91" s="181" t="s">
        <v>55</v>
      </c>
      <c r="BE91" s="178">
        <v>1.24279499365805</v>
      </c>
      <c r="BF91" s="179">
        <v>21.521838805930599</v>
      </c>
      <c r="BG91" s="168">
        <v>0.02</v>
      </c>
      <c r="BH91" s="168">
        <v>0.02</v>
      </c>
      <c r="BI91" s="176">
        <v>0</v>
      </c>
      <c r="BJ91" s="176">
        <v>0</v>
      </c>
      <c r="BK91" s="169"/>
      <c r="BL91" s="185">
        <v>0.8</v>
      </c>
      <c r="BM91" s="188">
        <v>0.72</v>
      </c>
      <c r="BN91" s="186"/>
      <c r="BO91" s="187">
        <v>0.95</v>
      </c>
      <c r="BP91" s="178">
        <v>1</v>
      </c>
      <c r="BQ91" s="186">
        <v>2.5000000000000001E-3</v>
      </c>
    </row>
    <row r="92" spans="1:69" s="156" customFormat="1" ht="22.35" customHeight="1" x14ac:dyDescent="0.2">
      <c r="A92" s="165" t="s">
        <v>139</v>
      </c>
      <c r="B92" s="165" t="s">
        <v>140</v>
      </c>
      <c r="C92" s="165" t="s">
        <v>149</v>
      </c>
      <c r="D92" s="166">
        <v>3.2458373859999998</v>
      </c>
      <c r="E92" s="167"/>
      <c r="F92" s="168">
        <v>3.7999999999999999E-2</v>
      </c>
      <c r="G92" s="168">
        <v>0.03</v>
      </c>
      <c r="H92" s="169"/>
      <c r="I92" s="170">
        <v>5</v>
      </c>
      <c r="J92" s="170">
        <v>3</v>
      </c>
      <c r="K92" s="167"/>
      <c r="L92" s="171">
        <v>2339.5276899999999</v>
      </c>
      <c r="M92" s="171">
        <v>2273.0611600000002</v>
      </c>
      <c r="N92" s="171">
        <v>4612.5888500000001</v>
      </c>
      <c r="O92" s="166">
        <v>1421.0782308119001</v>
      </c>
      <c r="P92" s="172">
        <v>247.02500000000001</v>
      </c>
      <c r="Q92" s="178">
        <v>5.7527708969209597</v>
      </c>
      <c r="R92" s="179">
        <v>3708.1550882479401</v>
      </c>
      <c r="S92" s="168">
        <v>0.01</v>
      </c>
      <c r="T92" s="168">
        <v>0.01</v>
      </c>
      <c r="U92" s="175">
        <v>0</v>
      </c>
      <c r="V92" s="176">
        <v>0</v>
      </c>
      <c r="W92" s="167"/>
      <c r="X92" s="175">
        <v>1856.69579</v>
      </c>
      <c r="Y92" s="166">
        <v>572.02366267895297</v>
      </c>
      <c r="Z92" s="177">
        <v>573</v>
      </c>
      <c r="AA92" s="182">
        <v>0.99829609542574804</v>
      </c>
      <c r="AB92" s="183">
        <v>-241.23172941678399</v>
      </c>
      <c r="AC92" s="168">
        <v>6.0000000000000001E-3</v>
      </c>
      <c r="AD92" s="168">
        <v>0</v>
      </c>
      <c r="AE92" s="176">
        <v>4</v>
      </c>
      <c r="AF92" s="176">
        <v>376</v>
      </c>
      <c r="AG92" s="167"/>
      <c r="AH92" s="180">
        <v>196.8</v>
      </c>
      <c r="AI92" s="166">
        <v>60.631503244383403</v>
      </c>
      <c r="AJ92" s="181" t="s">
        <v>53</v>
      </c>
      <c r="AK92" s="182">
        <v>0.96240481340291095</v>
      </c>
      <c r="AL92" s="183">
        <v>-33.862187998704002</v>
      </c>
      <c r="AM92" s="168">
        <v>2E-3</v>
      </c>
      <c r="AN92" s="168"/>
      <c r="AO92" s="176">
        <v>8</v>
      </c>
      <c r="AP92" s="176">
        <v>49</v>
      </c>
      <c r="AQ92" s="167"/>
      <c r="AR92" s="180">
        <v>26.6</v>
      </c>
      <c r="AS92" s="166">
        <v>8.1951117190071106</v>
      </c>
      <c r="AT92" s="181" t="s">
        <v>54</v>
      </c>
      <c r="AU92" s="173">
        <v>0.51219448243794397</v>
      </c>
      <c r="AV92" s="174">
        <v>-31.980873142528001</v>
      </c>
      <c r="AW92" s="168"/>
      <c r="AX92" s="168"/>
      <c r="AY92" s="176">
        <v>26</v>
      </c>
      <c r="AZ92" s="176">
        <v>36</v>
      </c>
      <c r="BA92" s="167"/>
      <c r="BB92" s="184">
        <v>144.6</v>
      </c>
      <c r="BC92" s="180">
        <v>44.549366713098799</v>
      </c>
      <c r="BD92" s="181" t="s">
        <v>55</v>
      </c>
      <c r="BE92" s="178">
        <v>1.3921677097843399</v>
      </c>
      <c r="BF92" s="179">
        <v>27.438253714944</v>
      </c>
      <c r="BG92" s="168">
        <v>0.02</v>
      </c>
      <c r="BH92" s="168">
        <v>0.02</v>
      </c>
      <c r="BI92" s="176">
        <v>0</v>
      </c>
      <c r="BJ92" s="176">
        <v>0</v>
      </c>
      <c r="BK92" s="169"/>
      <c r="BL92" s="185">
        <v>0.8</v>
      </c>
      <c r="BM92" s="188">
        <v>0.72</v>
      </c>
      <c r="BN92" s="186"/>
      <c r="BO92" s="187">
        <v>0.95</v>
      </c>
      <c r="BP92" s="178">
        <v>1</v>
      </c>
      <c r="BQ92" s="186">
        <v>2.5000000000000001E-3</v>
      </c>
    </row>
    <row r="93" spans="1:69" s="156" customFormat="1" ht="22.35" customHeight="1" x14ac:dyDescent="0.2">
      <c r="A93" s="165" t="s">
        <v>139</v>
      </c>
      <c r="B93" s="165" t="s">
        <v>140</v>
      </c>
      <c r="C93" s="165" t="s">
        <v>150</v>
      </c>
      <c r="D93" s="166">
        <v>5.9735728475555598</v>
      </c>
      <c r="E93" s="167"/>
      <c r="F93" s="168">
        <v>0.01</v>
      </c>
      <c r="G93" s="168">
        <v>0.01</v>
      </c>
      <c r="H93" s="169"/>
      <c r="I93" s="170">
        <v>2</v>
      </c>
      <c r="J93" s="170">
        <v>2</v>
      </c>
      <c r="K93" s="167"/>
      <c r="L93" s="171">
        <v>3053.6942600000002</v>
      </c>
      <c r="M93" s="171">
        <v>3142.92614</v>
      </c>
      <c r="N93" s="171">
        <v>6196.6203999999998</v>
      </c>
      <c r="O93" s="166">
        <v>1037.3390528811799</v>
      </c>
      <c r="P93" s="172">
        <v>287.5</v>
      </c>
      <c r="Q93" s="178">
        <v>3.6081358361084499</v>
      </c>
      <c r="R93" s="179">
        <v>4259.3907255377298</v>
      </c>
      <c r="S93" s="168">
        <v>0.01</v>
      </c>
      <c r="T93" s="168">
        <v>0.01</v>
      </c>
      <c r="U93" s="175">
        <v>0</v>
      </c>
      <c r="V93" s="176">
        <v>0</v>
      </c>
      <c r="W93" s="167"/>
      <c r="X93" s="175">
        <v>2280.0541149999999</v>
      </c>
      <c r="Y93" s="166">
        <v>381.69018327666703</v>
      </c>
      <c r="Z93" s="177">
        <v>573</v>
      </c>
      <c r="AA93" s="173">
        <v>0.66612597430482801</v>
      </c>
      <c r="AB93" s="174">
        <v>-1580.9288535804501</v>
      </c>
      <c r="AC93" s="168"/>
      <c r="AD93" s="168"/>
      <c r="AE93" s="176">
        <v>1143</v>
      </c>
      <c r="AF93" s="176">
        <v>1828</v>
      </c>
      <c r="AG93" s="167"/>
      <c r="AH93" s="180">
        <v>326.60000000000002</v>
      </c>
      <c r="AI93" s="166">
        <v>54.674147002936103</v>
      </c>
      <c r="AJ93" s="181" t="s">
        <v>53</v>
      </c>
      <c r="AK93" s="188">
        <v>0.86784360322120802</v>
      </c>
      <c r="AL93" s="171">
        <v>-97.905980838688293</v>
      </c>
      <c r="AM93" s="168"/>
      <c r="AN93" s="168"/>
      <c r="AO93" s="176">
        <v>50</v>
      </c>
      <c r="AP93" s="176">
        <v>126</v>
      </c>
      <c r="AQ93" s="167"/>
      <c r="AR93" s="180">
        <v>32.4</v>
      </c>
      <c r="AS93" s="166">
        <v>5.4238896598136197</v>
      </c>
      <c r="AT93" s="181" t="s">
        <v>54</v>
      </c>
      <c r="AU93" s="173">
        <v>0.33899310373835101</v>
      </c>
      <c r="AV93" s="174">
        <v>-75.411042752682803</v>
      </c>
      <c r="AW93" s="168"/>
      <c r="AX93" s="168"/>
      <c r="AY93" s="176">
        <v>64</v>
      </c>
      <c r="AZ93" s="176">
        <v>83</v>
      </c>
      <c r="BA93" s="167"/>
      <c r="BB93" s="184">
        <v>146.19999999999999</v>
      </c>
      <c r="BC93" s="180">
        <v>24.474465069899701</v>
      </c>
      <c r="BD93" s="181" t="s">
        <v>55</v>
      </c>
      <c r="BE93" s="188">
        <v>0.76482703343436698</v>
      </c>
      <c r="BF93" s="171">
        <v>-69.422085505365501</v>
      </c>
      <c r="BG93" s="168"/>
      <c r="BH93" s="168"/>
      <c r="BI93" s="176">
        <v>45</v>
      </c>
      <c r="BJ93" s="176">
        <v>84</v>
      </c>
      <c r="BK93" s="169"/>
      <c r="BL93" s="185">
        <v>0.8</v>
      </c>
      <c r="BM93" s="188">
        <v>0.76</v>
      </c>
      <c r="BN93" s="186"/>
      <c r="BO93" s="187">
        <v>0.95</v>
      </c>
      <c r="BP93" s="178">
        <v>1</v>
      </c>
      <c r="BQ93" s="186">
        <v>2.5000000000000001E-3</v>
      </c>
    </row>
    <row r="94" spans="1:69" s="156" customFormat="1" ht="22.35" customHeight="1" x14ac:dyDescent="0.2">
      <c r="A94" s="165" t="s">
        <v>139</v>
      </c>
      <c r="B94" s="165" t="s">
        <v>140</v>
      </c>
      <c r="C94" s="165" t="s">
        <v>151</v>
      </c>
      <c r="D94" s="166">
        <v>5.3472902687777797</v>
      </c>
      <c r="E94" s="167"/>
      <c r="F94" s="168"/>
      <c r="G94" s="168"/>
      <c r="H94" s="169"/>
      <c r="I94" s="170">
        <v>1</v>
      </c>
      <c r="J94" s="170">
        <v>1</v>
      </c>
      <c r="K94" s="167"/>
      <c r="L94" s="171">
        <v>2396.19931</v>
      </c>
      <c r="M94" s="171">
        <v>-1112.0032200000001</v>
      </c>
      <c r="N94" s="171">
        <v>1284.1960899999999</v>
      </c>
      <c r="O94" s="166">
        <v>240.15829054545199</v>
      </c>
      <c r="P94" s="172">
        <v>287.5</v>
      </c>
      <c r="Q94" s="188">
        <v>0.83533318450591898</v>
      </c>
      <c r="R94" s="171">
        <v>-449.93014416463399</v>
      </c>
      <c r="S94" s="168"/>
      <c r="T94" s="168"/>
      <c r="U94" s="175">
        <v>254</v>
      </c>
      <c r="V94" s="176">
        <v>561</v>
      </c>
      <c r="W94" s="167"/>
      <c r="X94" s="175">
        <v>2527.419985</v>
      </c>
      <c r="Y94" s="166">
        <v>472.65434602593399</v>
      </c>
      <c r="Z94" s="177">
        <v>573</v>
      </c>
      <c r="AA94" s="188">
        <v>0.82487669463513702</v>
      </c>
      <c r="AB94" s="171">
        <v>-928.76899648290498</v>
      </c>
      <c r="AC94" s="168"/>
      <c r="AD94" s="168"/>
      <c r="AE94" s="176">
        <v>537</v>
      </c>
      <c r="AF94" s="176">
        <v>1150</v>
      </c>
      <c r="AG94" s="167"/>
      <c r="AH94" s="180">
        <v>307.95</v>
      </c>
      <c r="AI94" s="166">
        <v>57.589916485006498</v>
      </c>
      <c r="AJ94" s="181" t="s">
        <v>53</v>
      </c>
      <c r="AK94" s="188">
        <v>0.91412565849216598</v>
      </c>
      <c r="AL94" s="171">
        <v>-72.049835660424193</v>
      </c>
      <c r="AM94" s="168"/>
      <c r="AN94" s="168"/>
      <c r="AO94" s="176">
        <v>29</v>
      </c>
      <c r="AP94" s="176">
        <v>97</v>
      </c>
      <c r="AQ94" s="167"/>
      <c r="AR94" s="180">
        <v>18.100000000000001</v>
      </c>
      <c r="AS94" s="166">
        <v>3.38489199018872</v>
      </c>
      <c r="AT94" s="181" t="s">
        <v>54</v>
      </c>
      <c r="AU94" s="173">
        <v>0.211555749386795</v>
      </c>
      <c r="AV94" s="174">
        <v>-78.407894770901393</v>
      </c>
      <c r="AW94" s="168"/>
      <c r="AX94" s="168"/>
      <c r="AY94" s="176">
        <v>68</v>
      </c>
      <c r="AZ94" s="176">
        <v>85</v>
      </c>
      <c r="BA94" s="167"/>
      <c r="BB94" s="184">
        <v>154</v>
      </c>
      <c r="BC94" s="180">
        <v>28.799633507683101</v>
      </c>
      <c r="BD94" s="181" t="s">
        <v>55</v>
      </c>
      <c r="BE94" s="188">
        <v>0.89998854711509502</v>
      </c>
      <c r="BF94" s="171">
        <v>-39.015789541802803</v>
      </c>
      <c r="BG94" s="168"/>
      <c r="BH94" s="168"/>
      <c r="BI94" s="176">
        <v>18</v>
      </c>
      <c r="BJ94" s="176">
        <v>52</v>
      </c>
      <c r="BK94" s="169"/>
      <c r="BL94" s="185">
        <v>0.8</v>
      </c>
      <c r="BM94" s="188">
        <v>0.7</v>
      </c>
      <c r="BN94" s="186"/>
      <c r="BO94" s="187">
        <v>0.95</v>
      </c>
      <c r="BP94" s="178">
        <v>1</v>
      </c>
      <c r="BQ94" s="186">
        <v>2.5000000000000001E-3</v>
      </c>
    </row>
    <row r="95" spans="1:69" s="156" customFormat="1" ht="22.35" customHeight="1" x14ac:dyDescent="0.2">
      <c r="A95" s="165" t="s">
        <v>139</v>
      </c>
      <c r="B95" s="165" t="s">
        <v>140</v>
      </c>
      <c r="C95" s="165" t="s">
        <v>152</v>
      </c>
      <c r="D95" s="166">
        <v>1.85767322355556</v>
      </c>
      <c r="E95" s="167"/>
      <c r="F95" s="168">
        <v>3.6999999999999998E-2</v>
      </c>
      <c r="G95" s="168">
        <v>3.1E-2</v>
      </c>
      <c r="H95" s="169"/>
      <c r="I95" s="170">
        <v>4</v>
      </c>
      <c r="J95" s="170">
        <v>4</v>
      </c>
      <c r="K95" s="167"/>
      <c r="L95" s="171">
        <v>2061.8902699999999</v>
      </c>
      <c r="M95" s="171">
        <v>716.85189000000003</v>
      </c>
      <c r="N95" s="171">
        <v>2778.7421599999998</v>
      </c>
      <c r="O95" s="166">
        <v>1495.8185997220401</v>
      </c>
      <c r="P95" s="172">
        <v>247.02500000000001</v>
      </c>
      <c r="Q95" s="178">
        <v>6.0553328599212204</v>
      </c>
      <c r="R95" s="179">
        <v>2261.1122907609401</v>
      </c>
      <c r="S95" s="168">
        <v>0.01</v>
      </c>
      <c r="T95" s="168">
        <v>0.01</v>
      </c>
      <c r="U95" s="175">
        <v>0</v>
      </c>
      <c r="V95" s="176">
        <v>0</v>
      </c>
      <c r="W95" s="167"/>
      <c r="X95" s="175">
        <v>1068.4842799999999</v>
      </c>
      <c r="Y95" s="166">
        <v>575.17343010141406</v>
      </c>
      <c r="Z95" s="177">
        <v>573</v>
      </c>
      <c r="AA95" s="182">
        <v>1.0037930717302199</v>
      </c>
      <c r="AB95" s="183">
        <v>-132.21166200579501</v>
      </c>
      <c r="AC95" s="168">
        <v>7.0000000000000001E-3</v>
      </c>
      <c r="AD95" s="168">
        <v>1E-3</v>
      </c>
      <c r="AE95" s="176">
        <v>0</v>
      </c>
      <c r="AF95" s="176">
        <v>209</v>
      </c>
      <c r="AG95" s="167"/>
      <c r="AH95" s="180">
        <v>101.7</v>
      </c>
      <c r="AI95" s="166">
        <v>54.745904021455303</v>
      </c>
      <c r="AJ95" s="181" t="s">
        <v>53</v>
      </c>
      <c r="AK95" s="188">
        <v>0.86898260351516399</v>
      </c>
      <c r="AL95" s="171">
        <v>-30.313689958752299</v>
      </c>
      <c r="AM95" s="168"/>
      <c r="AN95" s="168"/>
      <c r="AO95" s="176">
        <v>16</v>
      </c>
      <c r="AP95" s="176">
        <v>39</v>
      </c>
      <c r="AQ95" s="167"/>
      <c r="AR95" s="180">
        <v>25.9</v>
      </c>
      <c r="AS95" s="166">
        <v>13.942172213920299</v>
      </c>
      <c r="AT95" s="181" t="s">
        <v>54</v>
      </c>
      <c r="AU95" s="188">
        <v>0.87138576337001705</v>
      </c>
      <c r="AV95" s="171">
        <v>-7.6272863387307401</v>
      </c>
      <c r="AW95" s="168"/>
      <c r="AX95" s="168"/>
      <c r="AY95" s="176">
        <v>4</v>
      </c>
      <c r="AZ95" s="176">
        <v>10</v>
      </c>
      <c r="BA95" s="167"/>
      <c r="BB95" s="184">
        <v>93</v>
      </c>
      <c r="BC95" s="180">
        <v>50.062626096316102</v>
      </c>
      <c r="BD95" s="181" t="s">
        <v>55</v>
      </c>
      <c r="BE95" s="178">
        <v>1.56445706550988</v>
      </c>
      <c r="BF95" s="179">
        <v>25.945427322538499</v>
      </c>
      <c r="BG95" s="168">
        <v>0.02</v>
      </c>
      <c r="BH95" s="168">
        <v>0.02</v>
      </c>
      <c r="BI95" s="176">
        <v>0</v>
      </c>
      <c r="BJ95" s="176">
        <v>0</v>
      </c>
      <c r="BK95" s="169"/>
      <c r="BL95" s="185">
        <v>0.8</v>
      </c>
      <c r="BM95" s="188">
        <v>0.77</v>
      </c>
      <c r="BN95" s="186"/>
      <c r="BO95" s="187">
        <v>0.95</v>
      </c>
      <c r="BP95" s="178">
        <v>1</v>
      </c>
      <c r="BQ95" s="186">
        <v>2.5000000000000001E-3</v>
      </c>
    </row>
    <row r="96" spans="1:69" s="156" customFormat="1" ht="22.35" customHeight="1" x14ac:dyDescent="0.2">
      <c r="A96" s="165" t="s">
        <v>139</v>
      </c>
      <c r="B96" s="165" t="s">
        <v>140</v>
      </c>
      <c r="C96" s="165" t="s">
        <v>153</v>
      </c>
      <c r="D96" s="166">
        <v>3.3075077187777802</v>
      </c>
      <c r="E96" s="167"/>
      <c r="F96" s="168">
        <v>5.6000000000000001E-2</v>
      </c>
      <c r="G96" s="168">
        <v>4.2999999999999997E-2</v>
      </c>
      <c r="H96" s="169"/>
      <c r="I96" s="170">
        <v>5</v>
      </c>
      <c r="J96" s="170">
        <v>5</v>
      </c>
      <c r="K96" s="167"/>
      <c r="L96" s="171">
        <v>1923.9039399999999</v>
      </c>
      <c r="M96" s="171">
        <v>1129.7471</v>
      </c>
      <c r="N96" s="171">
        <v>3053.6510400000002</v>
      </c>
      <c r="O96" s="166">
        <v>923.24834879853699</v>
      </c>
      <c r="P96" s="172">
        <v>248.167</v>
      </c>
      <c r="Q96" s="178">
        <v>3.7202704178981798</v>
      </c>
      <c r="R96" s="179">
        <v>2127.7725456441999</v>
      </c>
      <c r="S96" s="168">
        <v>0.01</v>
      </c>
      <c r="T96" s="168">
        <v>0.01</v>
      </c>
      <c r="U96" s="175">
        <v>0</v>
      </c>
      <c r="V96" s="176">
        <v>0</v>
      </c>
      <c r="W96" s="167"/>
      <c r="X96" s="175">
        <v>2063.0792299999998</v>
      </c>
      <c r="Y96" s="166">
        <v>623.75643699551802</v>
      </c>
      <c r="Z96" s="177">
        <v>573</v>
      </c>
      <c r="AA96" s="182">
        <v>1.0885801692766499</v>
      </c>
      <c r="AB96" s="183">
        <v>-74.708538985705701</v>
      </c>
      <c r="AC96" s="168">
        <v>1.6E-2</v>
      </c>
      <c r="AD96" s="168">
        <v>8.9999999999999993E-3</v>
      </c>
      <c r="AE96" s="176">
        <v>0</v>
      </c>
      <c r="AF96" s="176">
        <v>212</v>
      </c>
      <c r="AG96" s="167"/>
      <c r="AH96" s="180">
        <v>216.25</v>
      </c>
      <c r="AI96" s="166">
        <v>65.381555656629203</v>
      </c>
      <c r="AJ96" s="181" t="s">
        <v>53</v>
      </c>
      <c r="AK96" s="182">
        <v>1.0378024707401501</v>
      </c>
      <c r="AL96" s="183">
        <v>-18.794728527224201</v>
      </c>
      <c r="AM96" s="168">
        <v>0.01</v>
      </c>
      <c r="AN96" s="168">
        <v>4.0000000000000001E-3</v>
      </c>
      <c r="AO96" s="176">
        <v>0</v>
      </c>
      <c r="AP96" s="176">
        <v>34</v>
      </c>
      <c r="AQ96" s="167"/>
      <c r="AR96" s="180">
        <v>14.6</v>
      </c>
      <c r="AS96" s="166">
        <v>4.4141998269909202</v>
      </c>
      <c r="AT96" s="181" t="s">
        <v>54</v>
      </c>
      <c r="AU96" s="173">
        <v>0.27588748918693301</v>
      </c>
      <c r="AV96" s="174">
        <v>-45.093899308501399</v>
      </c>
      <c r="AW96" s="168"/>
      <c r="AX96" s="168"/>
      <c r="AY96" s="176">
        <v>39</v>
      </c>
      <c r="AZ96" s="176">
        <v>49</v>
      </c>
      <c r="BA96" s="167"/>
      <c r="BB96" s="184">
        <v>132.6</v>
      </c>
      <c r="BC96" s="180">
        <v>40.090609387602498</v>
      </c>
      <c r="BD96" s="181" t="s">
        <v>55</v>
      </c>
      <c r="BE96" s="178">
        <v>1.2528315433625801</v>
      </c>
      <c r="BF96" s="179">
        <v>13.2122013829972</v>
      </c>
      <c r="BG96" s="168">
        <v>0.02</v>
      </c>
      <c r="BH96" s="168">
        <v>0.02</v>
      </c>
      <c r="BI96" s="176">
        <v>0</v>
      </c>
      <c r="BJ96" s="176">
        <v>0</v>
      </c>
      <c r="BK96" s="169"/>
      <c r="BL96" s="185">
        <v>0.8</v>
      </c>
      <c r="BM96" s="188">
        <v>0.71</v>
      </c>
      <c r="BN96" s="186"/>
      <c r="BO96" s="187">
        <v>0.95</v>
      </c>
      <c r="BP96" s="178">
        <v>1</v>
      </c>
      <c r="BQ96" s="186">
        <v>2.5000000000000001E-3</v>
      </c>
    </row>
    <row r="97" spans="1:69" s="156" customFormat="1" ht="22.35" customHeight="1" x14ac:dyDescent="0.2">
      <c r="A97" s="165" t="s">
        <v>139</v>
      </c>
      <c r="B97" s="165" t="s">
        <v>140</v>
      </c>
      <c r="C97" s="165" t="s">
        <v>154</v>
      </c>
      <c r="D97" s="166">
        <v>3.0547893162222199</v>
      </c>
      <c r="E97" s="167"/>
      <c r="F97" s="168">
        <v>1.2999999999999999E-2</v>
      </c>
      <c r="G97" s="168">
        <v>0.01</v>
      </c>
      <c r="H97" s="169"/>
      <c r="I97" s="170">
        <v>3</v>
      </c>
      <c r="J97" s="170">
        <v>2</v>
      </c>
      <c r="K97" s="167"/>
      <c r="L97" s="171">
        <v>1526.53475</v>
      </c>
      <c r="M97" s="171">
        <v>1613.0152499999999</v>
      </c>
      <c r="N97" s="171">
        <v>3139.55</v>
      </c>
      <c r="O97" s="166">
        <v>1027.74681819386</v>
      </c>
      <c r="P97" s="172">
        <v>285.53899999999999</v>
      </c>
      <c r="Q97" s="178">
        <v>3.5993220477548098</v>
      </c>
      <c r="R97" s="179">
        <v>2155.6390431549298</v>
      </c>
      <c r="S97" s="168">
        <v>0.01</v>
      </c>
      <c r="T97" s="168">
        <v>0.01</v>
      </c>
      <c r="U97" s="175">
        <v>0</v>
      </c>
      <c r="V97" s="176">
        <v>0</v>
      </c>
      <c r="W97" s="167"/>
      <c r="X97" s="175">
        <v>1068.9033300000001</v>
      </c>
      <c r="Y97" s="166">
        <v>349.91065482770699</v>
      </c>
      <c r="Z97" s="177">
        <v>573</v>
      </c>
      <c r="AA97" s="173">
        <v>0.61066431907104102</v>
      </c>
      <c r="AB97" s="174">
        <v>-905.54141580433497</v>
      </c>
      <c r="AC97" s="168"/>
      <c r="AD97" s="168"/>
      <c r="AE97" s="176">
        <v>682</v>
      </c>
      <c r="AF97" s="176">
        <v>1032</v>
      </c>
      <c r="AG97" s="167"/>
      <c r="AH97" s="180">
        <v>142.5</v>
      </c>
      <c r="AI97" s="166">
        <v>46.648061535132598</v>
      </c>
      <c r="AJ97" s="181" t="s">
        <v>53</v>
      </c>
      <c r="AK97" s="173">
        <v>0.74044542119258205</v>
      </c>
      <c r="AL97" s="174">
        <v>-74.585547968015902</v>
      </c>
      <c r="AM97" s="168"/>
      <c r="AN97" s="168"/>
      <c r="AO97" s="176">
        <v>50</v>
      </c>
      <c r="AP97" s="176">
        <v>89</v>
      </c>
      <c r="AQ97" s="167"/>
      <c r="AR97" s="180">
        <v>17.399999999999999</v>
      </c>
      <c r="AS97" s="166">
        <v>5.69597382955304</v>
      </c>
      <c r="AT97" s="181" t="s">
        <v>54</v>
      </c>
      <c r="AU97" s="173">
        <v>0.355998364347065</v>
      </c>
      <c r="AV97" s="174">
        <v>-37.7328375791786</v>
      </c>
      <c r="AW97" s="168"/>
      <c r="AX97" s="168"/>
      <c r="AY97" s="176">
        <v>32</v>
      </c>
      <c r="AZ97" s="176">
        <v>42</v>
      </c>
      <c r="BA97" s="167"/>
      <c r="BB97" s="184">
        <v>94.6</v>
      </c>
      <c r="BC97" s="180">
        <v>30.967765762972299</v>
      </c>
      <c r="BD97" s="181" t="s">
        <v>55</v>
      </c>
      <c r="BE97" s="182">
        <v>0.967742680092883</v>
      </c>
      <c r="BF97" s="183">
        <v>-15.665675158357301</v>
      </c>
      <c r="BG97" s="168">
        <v>3.0000000000000001E-3</v>
      </c>
      <c r="BH97" s="168"/>
      <c r="BI97" s="176">
        <v>4</v>
      </c>
      <c r="BJ97" s="176">
        <v>23</v>
      </c>
      <c r="BK97" s="169"/>
      <c r="BL97" s="185">
        <v>0.8</v>
      </c>
      <c r="BM97" s="188">
        <v>0.78</v>
      </c>
      <c r="BN97" s="186"/>
      <c r="BO97" s="187">
        <v>0.95</v>
      </c>
      <c r="BP97" s="178">
        <v>1</v>
      </c>
      <c r="BQ97" s="186">
        <v>2.5000000000000001E-3</v>
      </c>
    </row>
    <row r="98" spans="1:69" s="156" customFormat="1" ht="22.35" customHeight="1" x14ac:dyDescent="0.2">
      <c r="A98" s="165" t="s">
        <v>139</v>
      </c>
      <c r="B98" s="165" t="s">
        <v>140</v>
      </c>
      <c r="C98" s="165" t="s">
        <v>155</v>
      </c>
      <c r="D98" s="166">
        <v>2.7451908808888899</v>
      </c>
      <c r="E98" s="167"/>
      <c r="F98" s="168">
        <v>3.4000000000000002E-2</v>
      </c>
      <c r="G98" s="168">
        <v>0.03</v>
      </c>
      <c r="H98" s="169"/>
      <c r="I98" s="170">
        <v>4</v>
      </c>
      <c r="J98" s="170">
        <v>3</v>
      </c>
      <c r="K98" s="167"/>
      <c r="L98" s="171">
        <v>479.52219000000002</v>
      </c>
      <c r="M98" s="171">
        <v>612.05877999999996</v>
      </c>
      <c r="N98" s="171">
        <v>1091.58097</v>
      </c>
      <c r="O98" s="166">
        <v>397.63390502249803</v>
      </c>
      <c r="P98" s="172">
        <v>287.5</v>
      </c>
      <c r="Q98" s="178">
        <v>1.3830744522521701</v>
      </c>
      <c r="R98" s="179">
        <v>201.31556732773299</v>
      </c>
      <c r="S98" s="168">
        <v>0.01</v>
      </c>
      <c r="T98" s="168">
        <v>0.01</v>
      </c>
      <c r="U98" s="175">
        <v>0</v>
      </c>
      <c r="V98" s="176">
        <v>0</v>
      </c>
      <c r="W98" s="167"/>
      <c r="X98" s="175">
        <v>703.70078000000001</v>
      </c>
      <c r="Y98" s="166">
        <v>256.33947165529798</v>
      </c>
      <c r="Z98" s="177">
        <v>573</v>
      </c>
      <c r="AA98" s="173">
        <v>0.44736382487835602</v>
      </c>
      <c r="AB98" s="174">
        <v>-1070.6368747172501</v>
      </c>
      <c r="AC98" s="168"/>
      <c r="AD98" s="168"/>
      <c r="AE98" s="176">
        <v>870</v>
      </c>
      <c r="AF98" s="176">
        <v>1184</v>
      </c>
      <c r="AG98" s="167"/>
      <c r="AH98" s="180">
        <v>169.4</v>
      </c>
      <c r="AI98" s="166">
        <v>61.7079129831396</v>
      </c>
      <c r="AJ98" s="181" t="s">
        <v>53</v>
      </c>
      <c r="AK98" s="182">
        <v>0.97949068227205804</v>
      </c>
      <c r="AL98" s="183">
        <v>-25.684244759488099</v>
      </c>
      <c r="AM98" s="168">
        <v>4.0000000000000001E-3</v>
      </c>
      <c r="AN98" s="168"/>
      <c r="AO98" s="176">
        <v>4</v>
      </c>
      <c r="AP98" s="176">
        <v>39</v>
      </c>
      <c r="AQ98" s="167"/>
      <c r="AR98" s="180">
        <v>23.6</v>
      </c>
      <c r="AS98" s="166">
        <v>8.5968521039084695</v>
      </c>
      <c r="AT98" s="181" t="s">
        <v>54</v>
      </c>
      <c r="AU98" s="173">
        <v>0.53730325649427901</v>
      </c>
      <c r="AV98" s="174">
        <v>-25.945205018282699</v>
      </c>
      <c r="AW98" s="168"/>
      <c r="AX98" s="168"/>
      <c r="AY98" s="176">
        <v>21</v>
      </c>
      <c r="AZ98" s="176">
        <v>30</v>
      </c>
      <c r="BA98" s="167"/>
      <c r="BB98" s="184">
        <v>106.4</v>
      </c>
      <c r="BC98" s="180">
        <v>38.758689146434797</v>
      </c>
      <c r="BD98" s="181" t="s">
        <v>55</v>
      </c>
      <c r="BE98" s="178">
        <v>1.2112090358260901</v>
      </c>
      <c r="BF98" s="179">
        <v>7.30958996343462</v>
      </c>
      <c r="BG98" s="168">
        <v>0.02</v>
      </c>
      <c r="BH98" s="168">
        <v>0.02</v>
      </c>
      <c r="BI98" s="176">
        <v>0</v>
      </c>
      <c r="BJ98" s="176">
        <v>0</v>
      </c>
      <c r="BK98" s="169"/>
      <c r="BL98" s="185">
        <v>0.8</v>
      </c>
      <c r="BM98" s="188">
        <v>0.7</v>
      </c>
      <c r="BN98" s="186"/>
      <c r="BO98" s="187">
        <v>0.95</v>
      </c>
      <c r="BP98" s="178">
        <v>1</v>
      </c>
      <c r="BQ98" s="186">
        <v>2.5000000000000001E-3</v>
      </c>
    </row>
    <row r="99" spans="1:69" s="156" customFormat="1" ht="22.35" customHeight="1" x14ac:dyDescent="0.2">
      <c r="A99" s="165" t="s">
        <v>139</v>
      </c>
      <c r="B99" s="165" t="s">
        <v>140</v>
      </c>
      <c r="C99" s="165" t="s">
        <v>156</v>
      </c>
      <c r="D99" s="166">
        <v>3.756503602</v>
      </c>
      <c r="E99" s="167"/>
      <c r="F99" s="168">
        <v>3.9E-2</v>
      </c>
      <c r="G99" s="168">
        <v>3.3000000000000002E-2</v>
      </c>
      <c r="H99" s="169"/>
      <c r="I99" s="170">
        <v>4</v>
      </c>
      <c r="J99" s="170">
        <v>4</v>
      </c>
      <c r="K99" s="167"/>
      <c r="L99" s="171">
        <v>2429.1472800000001</v>
      </c>
      <c r="M99" s="171">
        <v>91.629339999999999</v>
      </c>
      <c r="N99" s="171">
        <v>2520.7766200000001</v>
      </c>
      <c r="O99" s="166">
        <v>671.04331236576297</v>
      </c>
      <c r="P99" s="172">
        <v>261.89100000000002</v>
      </c>
      <c r="Q99" s="178">
        <v>2.56230001170626</v>
      </c>
      <c r="R99" s="179">
        <v>1411.0564411102</v>
      </c>
      <c r="S99" s="168">
        <v>0.01</v>
      </c>
      <c r="T99" s="168">
        <v>0.01</v>
      </c>
      <c r="U99" s="175">
        <v>0</v>
      </c>
      <c r="V99" s="176">
        <v>0</v>
      </c>
      <c r="W99" s="167"/>
      <c r="X99" s="175">
        <v>2213.3880549999999</v>
      </c>
      <c r="Y99" s="166">
        <v>589.21494280521097</v>
      </c>
      <c r="Z99" s="177">
        <v>573</v>
      </c>
      <c r="AA99" s="182">
        <v>1.0282983295029899</v>
      </c>
      <c r="AB99" s="183">
        <v>-214.60550913108801</v>
      </c>
      <c r="AC99" s="168">
        <v>8.9999999999999993E-3</v>
      </c>
      <c r="AD99" s="168">
        <v>3.0000000000000001E-3</v>
      </c>
      <c r="AE99" s="176">
        <v>0</v>
      </c>
      <c r="AF99" s="176">
        <v>370</v>
      </c>
      <c r="AG99" s="167"/>
      <c r="AH99" s="180">
        <v>220.85</v>
      </c>
      <c r="AI99" s="166">
        <v>58.791371817776799</v>
      </c>
      <c r="AJ99" s="181" t="s">
        <v>53</v>
      </c>
      <c r="AK99" s="188">
        <v>0.93319637805995004</v>
      </c>
      <c r="AL99" s="171">
        <v>-46.102171972528097</v>
      </c>
      <c r="AM99" s="168"/>
      <c r="AN99" s="168"/>
      <c r="AO99" s="176">
        <v>16</v>
      </c>
      <c r="AP99" s="176">
        <v>64</v>
      </c>
      <c r="AQ99" s="167"/>
      <c r="AR99" s="180">
        <v>24</v>
      </c>
      <c r="AS99" s="166">
        <v>6.3889197356877698</v>
      </c>
      <c r="AT99" s="181" t="s">
        <v>54</v>
      </c>
      <c r="AU99" s="173">
        <v>0.399307483480486</v>
      </c>
      <c r="AV99" s="174">
        <v>-43.797377008895999</v>
      </c>
      <c r="AW99" s="168"/>
      <c r="AX99" s="168"/>
      <c r="AY99" s="176">
        <v>37</v>
      </c>
      <c r="AZ99" s="176">
        <v>49</v>
      </c>
      <c r="BA99" s="167"/>
      <c r="BB99" s="184">
        <v>155</v>
      </c>
      <c r="BC99" s="180">
        <v>41.261773292983499</v>
      </c>
      <c r="BD99" s="181" t="s">
        <v>55</v>
      </c>
      <c r="BE99" s="178">
        <v>1.2894304154057299</v>
      </c>
      <c r="BF99" s="179">
        <v>19.405245982208001</v>
      </c>
      <c r="BG99" s="168">
        <v>0.02</v>
      </c>
      <c r="BH99" s="168">
        <v>0.02</v>
      </c>
      <c r="BI99" s="176">
        <v>0</v>
      </c>
      <c r="BJ99" s="176">
        <v>0</v>
      </c>
      <c r="BK99" s="169"/>
      <c r="BL99" s="185">
        <v>0.8</v>
      </c>
      <c r="BM99" s="188">
        <v>0.71</v>
      </c>
      <c r="BN99" s="186"/>
      <c r="BO99" s="187">
        <v>0.95</v>
      </c>
      <c r="BP99" s="178">
        <v>1</v>
      </c>
      <c r="BQ99" s="186">
        <v>2.5000000000000001E-3</v>
      </c>
    </row>
    <row r="100" spans="1:69" s="156" customFormat="1" ht="22.35" customHeight="1" x14ac:dyDescent="0.2">
      <c r="A100" s="165" t="s">
        <v>139</v>
      </c>
      <c r="B100" s="165" t="s">
        <v>140</v>
      </c>
      <c r="C100" s="165" t="s">
        <v>157</v>
      </c>
      <c r="D100" s="166">
        <v>2.8448773448888902</v>
      </c>
      <c r="E100" s="167"/>
      <c r="F100" s="168">
        <v>0.01</v>
      </c>
      <c r="G100" s="168">
        <v>0.01</v>
      </c>
      <c r="H100" s="169"/>
      <c r="I100" s="170">
        <v>2</v>
      </c>
      <c r="J100" s="170">
        <v>2</v>
      </c>
      <c r="K100" s="167"/>
      <c r="L100" s="171">
        <v>1193.30927</v>
      </c>
      <c r="M100" s="171">
        <v>-103.78203999999999</v>
      </c>
      <c r="N100" s="171">
        <v>1089.5272299999999</v>
      </c>
      <c r="O100" s="166">
        <v>382.978630680668</v>
      </c>
      <c r="P100" s="172">
        <v>228.56200000000001</v>
      </c>
      <c r="Q100" s="178">
        <v>1.67560062775382</v>
      </c>
      <c r="R100" s="179">
        <v>356.06682476758601</v>
      </c>
      <c r="S100" s="168">
        <v>0.01</v>
      </c>
      <c r="T100" s="168">
        <v>0.01</v>
      </c>
      <c r="U100" s="175">
        <v>0</v>
      </c>
      <c r="V100" s="176">
        <v>0</v>
      </c>
      <c r="W100" s="167"/>
      <c r="X100" s="175">
        <v>959.79402500000003</v>
      </c>
      <c r="Y100" s="166">
        <v>337.37624109678001</v>
      </c>
      <c r="Z100" s="177">
        <v>573</v>
      </c>
      <c r="AA100" s="173">
        <v>0.58878925147780004</v>
      </c>
      <c r="AB100" s="174">
        <v>-878.975377604865</v>
      </c>
      <c r="AC100" s="168"/>
      <c r="AD100" s="168"/>
      <c r="AE100" s="176">
        <v>671</v>
      </c>
      <c r="AF100" s="176">
        <v>997</v>
      </c>
      <c r="AG100" s="167"/>
      <c r="AH100" s="180">
        <v>105</v>
      </c>
      <c r="AI100" s="166">
        <v>36.908445346033297</v>
      </c>
      <c r="AJ100" s="181" t="s">
        <v>53</v>
      </c>
      <c r="AK100" s="173">
        <v>0.58584833882592602</v>
      </c>
      <c r="AL100" s="174">
        <v>-97.1683636371841</v>
      </c>
      <c r="AM100" s="168"/>
      <c r="AN100" s="168"/>
      <c r="AO100" s="176">
        <v>75</v>
      </c>
      <c r="AP100" s="176">
        <v>111</v>
      </c>
      <c r="AQ100" s="167"/>
      <c r="AR100" s="180">
        <v>1</v>
      </c>
      <c r="AS100" s="166">
        <v>0.35150900329555601</v>
      </c>
      <c r="AT100" s="181" t="s">
        <v>54</v>
      </c>
      <c r="AU100" s="173">
        <v>2.1969312705972199E-2</v>
      </c>
      <c r="AV100" s="174">
        <v>-50.344346320554699</v>
      </c>
      <c r="AW100" s="168"/>
      <c r="AX100" s="168"/>
      <c r="AY100" s="176">
        <v>45</v>
      </c>
      <c r="AZ100" s="176">
        <v>54</v>
      </c>
      <c r="BA100" s="167"/>
      <c r="BB100" s="184">
        <v>49.4</v>
      </c>
      <c r="BC100" s="180">
        <v>17.364544762800399</v>
      </c>
      <c r="BD100" s="181" t="s">
        <v>55</v>
      </c>
      <c r="BE100" s="173">
        <v>0.54264202383751403</v>
      </c>
      <c r="BF100" s="174">
        <v>-53.2886926411094</v>
      </c>
      <c r="BG100" s="168"/>
      <c r="BH100" s="168"/>
      <c r="BI100" s="176">
        <v>42</v>
      </c>
      <c r="BJ100" s="176">
        <v>60</v>
      </c>
      <c r="BK100" s="169"/>
      <c r="BL100" s="185">
        <v>0.8</v>
      </c>
      <c r="BM100" s="188">
        <v>0.75</v>
      </c>
      <c r="BN100" s="186"/>
      <c r="BO100" s="187">
        <v>0.95</v>
      </c>
      <c r="BP100" s="178">
        <v>1</v>
      </c>
      <c r="BQ100" s="186">
        <v>2.5000000000000001E-3</v>
      </c>
    </row>
    <row r="101" spans="1:69" s="156" customFormat="1" ht="22.35" customHeight="1" x14ac:dyDescent="0.2">
      <c r="A101" s="165" t="s">
        <v>139</v>
      </c>
      <c r="B101" s="165" t="s">
        <v>140</v>
      </c>
      <c r="C101" s="165" t="s">
        <v>158</v>
      </c>
      <c r="D101" s="166">
        <v>2.4566604814444402</v>
      </c>
      <c r="E101" s="167"/>
      <c r="F101" s="168">
        <v>0.01</v>
      </c>
      <c r="G101" s="168">
        <v>0.01</v>
      </c>
      <c r="H101" s="169"/>
      <c r="I101" s="170">
        <v>2</v>
      </c>
      <c r="J101" s="170">
        <v>2</v>
      </c>
      <c r="K101" s="167"/>
      <c r="L101" s="171">
        <v>806.66012000000001</v>
      </c>
      <c r="M101" s="171">
        <v>147.40975</v>
      </c>
      <c r="N101" s="171">
        <v>954.06987000000004</v>
      </c>
      <c r="O101" s="166">
        <v>388.36049067677197</v>
      </c>
      <c r="P101" s="172">
        <v>287.5</v>
      </c>
      <c r="Q101" s="178">
        <v>1.3508190980061601</v>
      </c>
      <c r="R101" s="179">
        <v>157.37487586756799</v>
      </c>
      <c r="S101" s="168">
        <v>0.01</v>
      </c>
      <c r="T101" s="168">
        <v>0.01</v>
      </c>
      <c r="U101" s="175">
        <v>0</v>
      </c>
      <c r="V101" s="176">
        <v>0</v>
      </c>
      <c r="W101" s="167"/>
      <c r="X101" s="175">
        <v>741.32358499999998</v>
      </c>
      <c r="Y101" s="166">
        <v>301.76069937190601</v>
      </c>
      <c r="Z101" s="177">
        <v>573</v>
      </c>
      <c r="AA101" s="173">
        <v>0.52663298319704399</v>
      </c>
      <c r="AB101" s="174">
        <v>-846.52417721872496</v>
      </c>
      <c r="AC101" s="168"/>
      <c r="AD101" s="168"/>
      <c r="AE101" s="176">
        <v>667</v>
      </c>
      <c r="AF101" s="176">
        <v>948</v>
      </c>
      <c r="AG101" s="167"/>
      <c r="AH101" s="180">
        <v>89.8</v>
      </c>
      <c r="AI101" s="166">
        <v>36.553687690372399</v>
      </c>
      <c r="AJ101" s="181" t="s">
        <v>53</v>
      </c>
      <c r="AK101" s="173">
        <v>0.58021726492654502</v>
      </c>
      <c r="AL101" s="174">
        <v>-84.780120453367701</v>
      </c>
      <c r="AM101" s="168"/>
      <c r="AN101" s="168"/>
      <c r="AO101" s="176">
        <v>65</v>
      </c>
      <c r="AP101" s="176">
        <v>96</v>
      </c>
      <c r="AQ101" s="167"/>
      <c r="AR101" s="180">
        <v>1.5</v>
      </c>
      <c r="AS101" s="166">
        <v>0.61058498369218805</v>
      </c>
      <c r="AT101" s="181" t="s">
        <v>54</v>
      </c>
      <c r="AU101" s="173">
        <v>3.8161561480761802E-2</v>
      </c>
      <c r="AV101" s="174">
        <v>-42.837808369109297</v>
      </c>
      <c r="AW101" s="168"/>
      <c r="AX101" s="168"/>
      <c r="AY101" s="176">
        <v>38</v>
      </c>
      <c r="AZ101" s="176">
        <v>46</v>
      </c>
      <c r="BA101" s="167"/>
      <c r="BB101" s="184">
        <v>72.400000000000006</v>
      </c>
      <c r="BC101" s="180">
        <v>29.470901879543</v>
      </c>
      <c r="BD101" s="181" t="s">
        <v>55</v>
      </c>
      <c r="BE101" s="188">
        <v>0.92096568373571697</v>
      </c>
      <c r="BF101" s="171">
        <v>-16.275616738218499</v>
      </c>
      <c r="BG101" s="168"/>
      <c r="BH101" s="168"/>
      <c r="BI101" s="176">
        <v>7</v>
      </c>
      <c r="BJ101" s="176">
        <v>22</v>
      </c>
      <c r="BK101" s="169"/>
      <c r="BL101" s="185">
        <v>0.8</v>
      </c>
      <c r="BM101" s="188">
        <v>0.77</v>
      </c>
      <c r="BN101" s="186"/>
      <c r="BO101" s="187">
        <v>0.95</v>
      </c>
      <c r="BP101" s="178">
        <v>1</v>
      </c>
      <c r="BQ101" s="186">
        <v>2.5000000000000001E-3</v>
      </c>
    </row>
    <row r="102" spans="1:69" s="156" customFormat="1" ht="22.35" customHeight="1" x14ac:dyDescent="0.2">
      <c r="A102" s="165" t="s">
        <v>139</v>
      </c>
      <c r="B102" s="165" t="s">
        <v>159</v>
      </c>
      <c r="C102" s="165" t="s">
        <v>160</v>
      </c>
      <c r="D102" s="166">
        <v>3.9968760643333301</v>
      </c>
      <c r="E102" s="167"/>
      <c r="F102" s="168">
        <v>0.01</v>
      </c>
      <c r="G102" s="168">
        <v>0.01</v>
      </c>
      <c r="H102" s="169"/>
      <c r="I102" s="170">
        <v>2</v>
      </c>
      <c r="J102" s="170">
        <v>2</v>
      </c>
      <c r="K102" s="167"/>
      <c r="L102" s="171">
        <v>3825.2139900000002</v>
      </c>
      <c r="M102" s="171">
        <v>-388.41144000000003</v>
      </c>
      <c r="N102" s="171">
        <v>3436.8025499999999</v>
      </c>
      <c r="O102" s="166">
        <v>859.87218384597304</v>
      </c>
      <c r="P102" s="172">
        <v>274.60399999999998</v>
      </c>
      <c r="Q102" s="178">
        <v>3.1313170377924999</v>
      </c>
      <c r="R102" s="179">
        <v>2198.7569514192301</v>
      </c>
      <c r="S102" s="168">
        <v>0.01</v>
      </c>
      <c r="T102" s="168">
        <v>0.01</v>
      </c>
      <c r="U102" s="175">
        <v>0</v>
      </c>
      <c r="V102" s="176">
        <v>0</v>
      </c>
      <c r="W102" s="167"/>
      <c r="X102" s="175">
        <v>1701.3504350000001</v>
      </c>
      <c r="Y102" s="166">
        <v>425.67005021302299</v>
      </c>
      <c r="Z102" s="177">
        <v>573</v>
      </c>
      <c r="AA102" s="173">
        <v>0.74287966878363498</v>
      </c>
      <c r="AB102" s="174">
        <v>-882.00642792546205</v>
      </c>
      <c r="AC102" s="168"/>
      <c r="AD102" s="168"/>
      <c r="AE102" s="176">
        <v>589</v>
      </c>
      <c r="AF102" s="176">
        <v>1047</v>
      </c>
      <c r="AG102" s="167"/>
      <c r="AH102" s="180">
        <v>129.5</v>
      </c>
      <c r="AI102" s="166">
        <v>32.400304116409998</v>
      </c>
      <c r="AJ102" s="181" t="s">
        <v>53</v>
      </c>
      <c r="AK102" s="173">
        <v>0.51429054153031795</v>
      </c>
      <c r="AL102" s="174">
        <v>-154.534000635784</v>
      </c>
      <c r="AM102" s="168"/>
      <c r="AN102" s="168"/>
      <c r="AO102" s="176">
        <v>123</v>
      </c>
      <c r="AP102" s="176">
        <v>173</v>
      </c>
      <c r="AQ102" s="167"/>
      <c r="AR102" s="180">
        <v>8</v>
      </c>
      <c r="AS102" s="166">
        <v>2.0015631886585301</v>
      </c>
      <c r="AT102" s="181" t="s">
        <v>54</v>
      </c>
      <c r="AU102" s="173">
        <v>0.12509769929115799</v>
      </c>
      <c r="AV102" s="174">
        <v>-64.135619209088006</v>
      </c>
      <c r="AW102" s="168"/>
      <c r="AX102" s="168"/>
      <c r="AY102" s="176">
        <v>56</v>
      </c>
      <c r="AZ102" s="176">
        <v>69</v>
      </c>
      <c r="BA102" s="167"/>
      <c r="BB102" s="184">
        <v>97.2</v>
      </c>
      <c r="BC102" s="180">
        <v>24.3189927422012</v>
      </c>
      <c r="BD102" s="181" t="s">
        <v>55</v>
      </c>
      <c r="BE102" s="188">
        <v>0.75996852319378705</v>
      </c>
      <c r="BF102" s="171">
        <v>-47.071238418175902</v>
      </c>
      <c r="BG102" s="168"/>
      <c r="BH102" s="168"/>
      <c r="BI102" s="176">
        <v>31</v>
      </c>
      <c r="BJ102" s="176">
        <v>57</v>
      </c>
      <c r="BK102" s="169"/>
      <c r="BL102" s="185">
        <v>0.8</v>
      </c>
      <c r="BM102" s="188">
        <v>0.71</v>
      </c>
      <c r="BN102" s="186"/>
      <c r="BO102" s="187">
        <v>0.95</v>
      </c>
      <c r="BP102" s="178">
        <v>1</v>
      </c>
      <c r="BQ102" s="186">
        <v>2.5000000000000001E-3</v>
      </c>
    </row>
    <row r="103" spans="1:69" s="156" customFormat="1" ht="22.35" customHeight="1" x14ac:dyDescent="0.2">
      <c r="A103" s="165" t="s">
        <v>139</v>
      </c>
      <c r="B103" s="165" t="s">
        <v>159</v>
      </c>
      <c r="C103" s="165" t="s">
        <v>161</v>
      </c>
      <c r="D103" s="166">
        <v>3.1170158208888901</v>
      </c>
      <c r="E103" s="167"/>
      <c r="F103" s="168">
        <v>2.1000000000000001E-2</v>
      </c>
      <c r="G103" s="168">
        <v>1.4E-2</v>
      </c>
      <c r="H103" s="169"/>
      <c r="I103" s="170">
        <v>3</v>
      </c>
      <c r="J103" s="170">
        <v>3</v>
      </c>
      <c r="K103" s="167"/>
      <c r="L103" s="171">
        <v>3081.0904700000001</v>
      </c>
      <c r="M103" s="171">
        <v>1723.0278800000001</v>
      </c>
      <c r="N103" s="171">
        <v>4804.1183499999997</v>
      </c>
      <c r="O103" s="166">
        <v>1541.2556836589899</v>
      </c>
      <c r="P103" s="172">
        <v>254.25200000000001</v>
      </c>
      <c r="Q103" s="178">
        <v>6.0619215725303599</v>
      </c>
      <c r="R103" s="179">
        <v>3910.1698826762999</v>
      </c>
      <c r="S103" s="168">
        <v>0.01</v>
      </c>
      <c r="T103" s="168">
        <v>0.01</v>
      </c>
      <c r="U103" s="175">
        <v>0</v>
      </c>
      <c r="V103" s="176">
        <v>0</v>
      </c>
      <c r="W103" s="167"/>
      <c r="X103" s="175">
        <v>1398.2472150000001</v>
      </c>
      <c r="Y103" s="166">
        <v>448.58521590732801</v>
      </c>
      <c r="Z103" s="177">
        <v>573</v>
      </c>
      <c r="AA103" s="188">
        <v>0.782871231949962</v>
      </c>
      <c r="AB103" s="171">
        <v>-616.41725873660903</v>
      </c>
      <c r="AC103" s="168"/>
      <c r="AD103" s="168"/>
      <c r="AE103" s="176">
        <v>388</v>
      </c>
      <c r="AF103" s="176">
        <v>746</v>
      </c>
      <c r="AG103" s="167"/>
      <c r="AH103" s="180">
        <v>100.8</v>
      </c>
      <c r="AI103" s="166">
        <v>32.338623155032501</v>
      </c>
      <c r="AJ103" s="181" t="s">
        <v>53</v>
      </c>
      <c r="AK103" s="173">
        <v>0.51331147865130899</v>
      </c>
      <c r="AL103" s="174">
        <v>-120.707612295648</v>
      </c>
      <c r="AM103" s="168"/>
      <c r="AN103" s="168"/>
      <c r="AO103" s="176">
        <v>96</v>
      </c>
      <c r="AP103" s="176">
        <v>135</v>
      </c>
      <c r="AQ103" s="167"/>
      <c r="AR103" s="180">
        <v>32.4</v>
      </c>
      <c r="AS103" s="166">
        <v>10.394557442689001</v>
      </c>
      <c r="AT103" s="181" t="s">
        <v>54</v>
      </c>
      <c r="AU103" s="173">
        <v>0.649659840168063</v>
      </c>
      <c r="AV103" s="174">
        <v>-23.855901535402701</v>
      </c>
      <c r="AW103" s="168"/>
      <c r="AX103" s="168"/>
      <c r="AY103" s="176">
        <v>18</v>
      </c>
      <c r="AZ103" s="176">
        <v>28</v>
      </c>
      <c r="BA103" s="167"/>
      <c r="BB103" s="184">
        <v>103.8</v>
      </c>
      <c r="BC103" s="180">
        <v>33.301082177503702</v>
      </c>
      <c r="BD103" s="181" t="s">
        <v>55</v>
      </c>
      <c r="BE103" s="182">
        <v>1.04065881804699</v>
      </c>
      <c r="BF103" s="183">
        <v>-8.7118030708053897</v>
      </c>
      <c r="BG103" s="168">
        <v>1.0999999999999999E-2</v>
      </c>
      <c r="BH103" s="168">
        <v>4.0000000000000001E-3</v>
      </c>
      <c r="BI103" s="176">
        <v>0</v>
      </c>
      <c r="BJ103" s="176">
        <v>16</v>
      </c>
      <c r="BK103" s="169"/>
      <c r="BL103" s="185">
        <v>0.8</v>
      </c>
      <c r="BM103" s="188">
        <v>0.74</v>
      </c>
      <c r="BN103" s="186"/>
      <c r="BO103" s="187">
        <v>0.95</v>
      </c>
      <c r="BP103" s="178">
        <v>1</v>
      </c>
      <c r="BQ103" s="186">
        <v>2.5000000000000001E-3</v>
      </c>
    </row>
    <row r="104" spans="1:69" s="156" customFormat="1" ht="22.35" customHeight="1" x14ac:dyDescent="0.2">
      <c r="A104" s="165" t="s">
        <v>139</v>
      </c>
      <c r="B104" s="165" t="s">
        <v>159</v>
      </c>
      <c r="C104" s="165" t="s">
        <v>162</v>
      </c>
      <c r="D104" s="166">
        <v>3.5189073529999999</v>
      </c>
      <c r="E104" s="167"/>
      <c r="F104" s="168">
        <v>4.5999999999999999E-2</v>
      </c>
      <c r="G104" s="168">
        <v>3.5999999999999997E-2</v>
      </c>
      <c r="H104" s="169"/>
      <c r="I104" s="170">
        <v>4</v>
      </c>
      <c r="J104" s="170">
        <v>4</v>
      </c>
      <c r="K104" s="167"/>
      <c r="L104" s="171">
        <v>1401.4790599999999</v>
      </c>
      <c r="M104" s="171">
        <v>1438.8262299999999</v>
      </c>
      <c r="N104" s="171">
        <v>2840.3052899999998</v>
      </c>
      <c r="O104" s="166">
        <v>807.15546193011699</v>
      </c>
      <c r="P104" s="172">
        <v>274.60399999999998</v>
      </c>
      <c r="Q104" s="178">
        <v>2.9393434251872401</v>
      </c>
      <c r="R104" s="179">
        <v>1750.3120827871001</v>
      </c>
      <c r="S104" s="168">
        <v>0.01</v>
      </c>
      <c r="T104" s="168">
        <v>0.01</v>
      </c>
      <c r="U104" s="175">
        <v>0</v>
      </c>
      <c r="V104" s="176">
        <v>0</v>
      </c>
      <c r="W104" s="167"/>
      <c r="X104" s="175">
        <v>2357.4813349999999</v>
      </c>
      <c r="Y104" s="166">
        <v>669.94697458862004</v>
      </c>
      <c r="Z104" s="177">
        <v>573</v>
      </c>
      <c r="AA104" s="178">
        <v>1.1691919277288301</v>
      </c>
      <c r="AB104" s="179">
        <v>83.056680832567494</v>
      </c>
      <c r="AC104" s="168">
        <v>0.02</v>
      </c>
      <c r="AD104" s="168">
        <v>1.7000000000000001E-2</v>
      </c>
      <c r="AE104" s="176">
        <v>0</v>
      </c>
      <c r="AF104" s="176">
        <v>63</v>
      </c>
      <c r="AG104" s="167"/>
      <c r="AH104" s="180">
        <v>206</v>
      </c>
      <c r="AI104" s="166">
        <v>58.540899016388501</v>
      </c>
      <c r="AJ104" s="181" t="s">
        <v>53</v>
      </c>
      <c r="AK104" s="188">
        <v>0.92922061930775401</v>
      </c>
      <c r="AL104" s="171">
        <v>-44.067632133591999</v>
      </c>
      <c r="AM104" s="168"/>
      <c r="AN104" s="168"/>
      <c r="AO104" s="176">
        <v>16</v>
      </c>
      <c r="AP104" s="176">
        <v>61</v>
      </c>
      <c r="AQ104" s="167"/>
      <c r="AR104" s="180">
        <v>23.5</v>
      </c>
      <c r="AS104" s="166">
        <v>6.6782093538113099</v>
      </c>
      <c r="AT104" s="181" t="s">
        <v>54</v>
      </c>
      <c r="AU104" s="173">
        <v>0.41738808461320698</v>
      </c>
      <c r="AV104" s="174">
        <v>-40.009239906944003</v>
      </c>
      <c r="AW104" s="168"/>
      <c r="AX104" s="168"/>
      <c r="AY104" s="176">
        <v>33</v>
      </c>
      <c r="AZ104" s="176">
        <v>45</v>
      </c>
      <c r="BA104" s="167"/>
      <c r="BB104" s="184">
        <v>122.4</v>
      </c>
      <c r="BC104" s="180">
        <v>34.783524464106598</v>
      </c>
      <c r="BD104" s="181" t="s">
        <v>55</v>
      </c>
      <c r="BE104" s="182">
        <v>1.0869851395033301</v>
      </c>
      <c r="BF104" s="183">
        <v>-4.6184798138880199</v>
      </c>
      <c r="BG104" s="168">
        <v>1.6E-2</v>
      </c>
      <c r="BH104" s="168">
        <v>8.9999999999999993E-3</v>
      </c>
      <c r="BI104" s="176">
        <v>0</v>
      </c>
      <c r="BJ104" s="176">
        <v>13</v>
      </c>
      <c r="BK104" s="169"/>
      <c r="BL104" s="185">
        <v>0.8</v>
      </c>
      <c r="BM104" s="173">
        <v>0.68</v>
      </c>
      <c r="BN104" s="186"/>
      <c r="BO104" s="187">
        <v>0.95</v>
      </c>
      <c r="BP104" s="178">
        <v>1</v>
      </c>
      <c r="BQ104" s="186">
        <v>2.5000000000000001E-3</v>
      </c>
    </row>
    <row r="105" spans="1:69" s="156" customFormat="1" ht="22.35" customHeight="1" x14ac:dyDescent="0.2">
      <c r="A105" s="165" t="s">
        <v>139</v>
      </c>
      <c r="B105" s="165" t="s">
        <v>159</v>
      </c>
      <c r="C105" s="165" t="s">
        <v>163</v>
      </c>
      <c r="D105" s="166">
        <v>3.27682426844444</v>
      </c>
      <c r="E105" s="167"/>
      <c r="F105" s="168">
        <v>3.2000000000000001E-2</v>
      </c>
      <c r="G105" s="168">
        <v>1.7999999999999999E-2</v>
      </c>
      <c r="H105" s="169"/>
      <c r="I105" s="170">
        <v>4</v>
      </c>
      <c r="J105" s="170">
        <v>4</v>
      </c>
      <c r="K105" s="167"/>
      <c r="L105" s="171">
        <v>3432.7529199999999</v>
      </c>
      <c r="M105" s="171">
        <v>2463.7404999999999</v>
      </c>
      <c r="N105" s="171">
        <v>5896.4934199999998</v>
      </c>
      <c r="O105" s="166">
        <v>1799.4536590755799</v>
      </c>
      <c r="P105" s="172">
        <v>246.58500000000001</v>
      </c>
      <c r="Q105" s="178">
        <v>7.2974984653388502</v>
      </c>
      <c r="R105" s="179">
        <v>4985.0516965996303</v>
      </c>
      <c r="S105" s="168">
        <v>0.01</v>
      </c>
      <c r="T105" s="168">
        <v>0.01</v>
      </c>
      <c r="U105" s="175">
        <v>0</v>
      </c>
      <c r="V105" s="176">
        <v>0</v>
      </c>
      <c r="W105" s="167"/>
      <c r="X105" s="175">
        <v>1903.7592500000001</v>
      </c>
      <c r="Y105" s="166">
        <v>580.97691363343699</v>
      </c>
      <c r="Z105" s="177">
        <v>573</v>
      </c>
      <c r="AA105" s="182">
        <v>1.0139213152416</v>
      </c>
      <c r="AB105" s="183">
        <v>-214.19645496345299</v>
      </c>
      <c r="AC105" s="168">
        <v>8.0000000000000002E-3</v>
      </c>
      <c r="AD105" s="168">
        <v>1E-3</v>
      </c>
      <c r="AE105" s="176">
        <v>0</v>
      </c>
      <c r="AF105" s="176">
        <v>350</v>
      </c>
      <c r="AG105" s="167"/>
      <c r="AH105" s="180">
        <v>122.9</v>
      </c>
      <c r="AI105" s="166">
        <v>37.505825742172703</v>
      </c>
      <c r="AJ105" s="181" t="s">
        <v>53</v>
      </c>
      <c r="AK105" s="173">
        <v>0.59533056733607503</v>
      </c>
      <c r="AL105" s="174">
        <v>-109.964239812736</v>
      </c>
      <c r="AM105" s="168"/>
      <c r="AN105" s="168"/>
      <c r="AO105" s="176">
        <v>84</v>
      </c>
      <c r="AP105" s="176">
        <v>125</v>
      </c>
      <c r="AQ105" s="167"/>
      <c r="AR105" s="180">
        <v>12.8</v>
      </c>
      <c r="AS105" s="166">
        <v>3.9062210699740501</v>
      </c>
      <c r="AT105" s="181" t="s">
        <v>54</v>
      </c>
      <c r="AU105" s="173">
        <v>0.24413881687337799</v>
      </c>
      <c r="AV105" s="174">
        <v>-46.340124396885301</v>
      </c>
      <c r="AW105" s="168"/>
      <c r="AX105" s="168"/>
      <c r="AY105" s="176">
        <v>40</v>
      </c>
      <c r="AZ105" s="176">
        <v>51</v>
      </c>
      <c r="BA105" s="167"/>
      <c r="BB105" s="184">
        <v>112</v>
      </c>
      <c r="BC105" s="180">
        <v>34.179434362273</v>
      </c>
      <c r="BD105" s="181" t="s">
        <v>55</v>
      </c>
      <c r="BE105" s="182">
        <v>1.0681073238210299</v>
      </c>
      <c r="BF105" s="183">
        <v>-6.28024879377051</v>
      </c>
      <c r="BG105" s="168">
        <v>1.4E-2</v>
      </c>
      <c r="BH105" s="168">
        <v>7.0000000000000001E-3</v>
      </c>
      <c r="BI105" s="176">
        <v>0</v>
      </c>
      <c r="BJ105" s="176">
        <v>14</v>
      </c>
      <c r="BK105" s="169"/>
      <c r="BL105" s="185">
        <v>0.8</v>
      </c>
      <c r="BM105" s="188">
        <v>0.75</v>
      </c>
      <c r="BN105" s="186"/>
      <c r="BO105" s="187">
        <v>0.95</v>
      </c>
      <c r="BP105" s="178">
        <v>1</v>
      </c>
      <c r="BQ105" s="186">
        <v>2.5000000000000001E-3</v>
      </c>
    </row>
    <row r="106" spans="1:69" s="156" customFormat="1" ht="22.35" customHeight="1" x14ac:dyDescent="0.2">
      <c r="A106" s="165" t="s">
        <v>139</v>
      </c>
      <c r="B106" s="165" t="s">
        <v>159</v>
      </c>
      <c r="C106" s="165" t="s">
        <v>164</v>
      </c>
      <c r="D106" s="166">
        <v>2.5224867724444402</v>
      </c>
      <c r="E106" s="167"/>
      <c r="F106" s="168">
        <v>0.01</v>
      </c>
      <c r="G106" s="168">
        <v>0.01</v>
      </c>
      <c r="H106" s="169"/>
      <c r="I106" s="170">
        <v>2</v>
      </c>
      <c r="J106" s="170">
        <v>2</v>
      </c>
      <c r="K106" s="167"/>
      <c r="L106" s="171">
        <v>737.25931000000003</v>
      </c>
      <c r="M106" s="171">
        <v>401.06256999999999</v>
      </c>
      <c r="N106" s="171">
        <v>1138.32188</v>
      </c>
      <c r="O106" s="166">
        <v>451.26971226766699</v>
      </c>
      <c r="P106" s="172">
        <v>260.82400000000001</v>
      </c>
      <c r="Q106" s="178">
        <v>1.7301694332870701</v>
      </c>
      <c r="R106" s="179">
        <v>396.18237855213698</v>
      </c>
      <c r="S106" s="168">
        <v>0.01</v>
      </c>
      <c r="T106" s="168">
        <v>0.01</v>
      </c>
      <c r="U106" s="175">
        <v>0</v>
      </c>
      <c r="V106" s="176">
        <v>0</v>
      </c>
      <c r="W106" s="167"/>
      <c r="X106" s="175">
        <v>1271.2191</v>
      </c>
      <c r="Y106" s="166">
        <v>503.95471400950498</v>
      </c>
      <c r="Z106" s="177">
        <v>573</v>
      </c>
      <c r="AA106" s="188">
        <v>0.87950211869023598</v>
      </c>
      <c r="AB106" s="171">
        <v>-359.175090448829</v>
      </c>
      <c r="AC106" s="168"/>
      <c r="AD106" s="168"/>
      <c r="AE106" s="176">
        <v>175</v>
      </c>
      <c r="AF106" s="176">
        <v>464</v>
      </c>
      <c r="AG106" s="167"/>
      <c r="AH106" s="180">
        <v>110.2</v>
      </c>
      <c r="AI106" s="166">
        <v>43.687047719663298</v>
      </c>
      <c r="AJ106" s="181" t="s">
        <v>53</v>
      </c>
      <c r="AK106" s="173">
        <v>0.69344520189941805</v>
      </c>
      <c r="AL106" s="174">
        <v>-69.057999996991697</v>
      </c>
      <c r="AM106" s="168"/>
      <c r="AN106" s="168"/>
      <c r="AO106" s="176">
        <v>49</v>
      </c>
      <c r="AP106" s="176">
        <v>81</v>
      </c>
      <c r="AQ106" s="167"/>
      <c r="AR106" s="180">
        <v>5</v>
      </c>
      <c r="AS106" s="166">
        <v>1.9821709491680299</v>
      </c>
      <c r="AT106" s="181" t="s">
        <v>54</v>
      </c>
      <c r="AU106" s="173">
        <v>0.123885684323002</v>
      </c>
      <c r="AV106" s="174">
        <v>-40.525841269077297</v>
      </c>
      <c r="AW106" s="168"/>
      <c r="AX106" s="168"/>
      <c r="AY106" s="176">
        <v>36</v>
      </c>
      <c r="AZ106" s="176">
        <v>44</v>
      </c>
      <c r="BA106" s="167"/>
      <c r="BB106" s="184">
        <v>37.6</v>
      </c>
      <c r="BC106" s="180">
        <v>14.905925537743601</v>
      </c>
      <c r="BD106" s="181" t="s">
        <v>55</v>
      </c>
      <c r="BE106" s="173">
        <v>0.46581017305448702</v>
      </c>
      <c r="BF106" s="174">
        <v>-53.4516825381545</v>
      </c>
      <c r="BG106" s="168"/>
      <c r="BH106" s="168"/>
      <c r="BI106" s="176">
        <v>44</v>
      </c>
      <c r="BJ106" s="176">
        <v>60</v>
      </c>
      <c r="BK106" s="169"/>
      <c r="BL106" s="185">
        <v>0.8</v>
      </c>
      <c r="BM106" s="188">
        <v>0.77</v>
      </c>
      <c r="BN106" s="186"/>
      <c r="BO106" s="187">
        <v>0.95</v>
      </c>
      <c r="BP106" s="178">
        <v>1</v>
      </c>
      <c r="BQ106" s="186">
        <v>2.5000000000000001E-3</v>
      </c>
    </row>
    <row r="107" spans="1:69" s="156" customFormat="1" ht="22.35" customHeight="1" x14ac:dyDescent="0.2">
      <c r="A107" s="165" t="s">
        <v>139</v>
      </c>
      <c r="B107" s="165" t="s">
        <v>159</v>
      </c>
      <c r="C107" s="165" t="s">
        <v>165</v>
      </c>
      <c r="D107" s="166">
        <v>5.5385385716666704</v>
      </c>
      <c r="E107" s="167"/>
      <c r="F107" s="168">
        <v>2.5000000000000001E-2</v>
      </c>
      <c r="G107" s="168">
        <v>1.7999999999999999E-2</v>
      </c>
      <c r="H107" s="169"/>
      <c r="I107" s="170">
        <v>3</v>
      </c>
      <c r="J107" s="170">
        <v>3</v>
      </c>
      <c r="K107" s="167"/>
      <c r="L107" s="171">
        <v>4912.6676299999999</v>
      </c>
      <c r="M107" s="171">
        <v>-1890.25668</v>
      </c>
      <c r="N107" s="171">
        <v>3022.41095</v>
      </c>
      <c r="O107" s="166">
        <v>545.705498100466</v>
      </c>
      <c r="P107" s="172">
        <v>236.32499999999999</v>
      </c>
      <c r="Q107" s="178">
        <v>2.3091314846100301</v>
      </c>
      <c r="R107" s="179">
        <v>1545.9772456733899</v>
      </c>
      <c r="S107" s="168">
        <v>0.01</v>
      </c>
      <c r="T107" s="168">
        <v>0.01</v>
      </c>
      <c r="U107" s="175">
        <v>0</v>
      </c>
      <c r="V107" s="176">
        <v>0</v>
      </c>
      <c r="W107" s="167"/>
      <c r="X107" s="175">
        <v>2141.8910900000001</v>
      </c>
      <c r="Y107" s="166">
        <v>386.72495682474897</v>
      </c>
      <c r="Z107" s="177">
        <v>573</v>
      </c>
      <c r="AA107" s="173">
        <v>0.67491266461561805</v>
      </c>
      <c r="AB107" s="174">
        <v>-1437.9100845653199</v>
      </c>
      <c r="AC107" s="168"/>
      <c r="AD107" s="168"/>
      <c r="AE107" s="176">
        <v>1032</v>
      </c>
      <c r="AF107" s="176">
        <v>1667</v>
      </c>
      <c r="AG107" s="167"/>
      <c r="AH107" s="180">
        <v>197.1</v>
      </c>
      <c r="AI107" s="166">
        <v>35.587005028420002</v>
      </c>
      <c r="AJ107" s="181" t="s">
        <v>53</v>
      </c>
      <c r="AK107" s="173">
        <v>0.56487309568920696</v>
      </c>
      <c r="AL107" s="174">
        <v>-196.49070505692001</v>
      </c>
      <c r="AM107" s="168"/>
      <c r="AN107" s="168"/>
      <c r="AO107" s="176">
        <v>152</v>
      </c>
      <c r="AP107" s="176">
        <v>222</v>
      </c>
      <c r="AQ107" s="167"/>
      <c r="AR107" s="180">
        <v>37.6</v>
      </c>
      <c r="AS107" s="166">
        <v>6.7887944650867196</v>
      </c>
      <c r="AT107" s="181" t="s">
        <v>54</v>
      </c>
      <c r="AU107" s="173">
        <v>0.42429965406791997</v>
      </c>
      <c r="AV107" s="174">
        <v>-62.359544141440097</v>
      </c>
      <c r="AW107" s="168"/>
      <c r="AX107" s="168"/>
      <c r="AY107" s="176">
        <v>52</v>
      </c>
      <c r="AZ107" s="176">
        <v>69</v>
      </c>
      <c r="BA107" s="167"/>
      <c r="BB107" s="184">
        <v>191.6</v>
      </c>
      <c r="BC107" s="180">
        <v>34.593963284856798</v>
      </c>
      <c r="BD107" s="181" t="s">
        <v>55</v>
      </c>
      <c r="BE107" s="182">
        <v>1.08106135265178</v>
      </c>
      <c r="BF107" s="183">
        <v>-8.3190882828801307</v>
      </c>
      <c r="BG107" s="168">
        <v>1.4999999999999999E-2</v>
      </c>
      <c r="BH107" s="168">
        <v>8.0000000000000002E-3</v>
      </c>
      <c r="BI107" s="176">
        <v>0</v>
      </c>
      <c r="BJ107" s="176">
        <v>22</v>
      </c>
      <c r="BK107" s="169"/>
      <c r="BL107" s="185">
        <v>0.8</v>
      </c>
      <c r="BM107" s="188">
        <v>0.71</v>
      </c>
      <c r="BN107" s="186"/>
      <c r="BO107" s="187">
        <v>0.95</v>
      </c>
      <c r="BP107" s="178">
        <v>1</v>
      </c>
      <c r="BQ107" s="186">
        <v>2.5000000000000001E-3</v>
      </c>
    </row>
    <row r="108" spans="1:69" s="156" customFormat="1" ht="22.35" customHeight="1" x14ac:dyDescent="0.2">
      <c r="A108" s="165" t="s">
        <v>139</v>
      </c>
      <c r="B108" s="165" t="s">
        <v>159</v>
      </c>
      <c r="C108" s="165" t="s">
        <v>166</v>
      </c>
      <c r="D108" s="166">
        <v>4.7470153233333301</v>
      </c>
      <c r="E108" s="167"/>
      <c r="F108" s="168">
        <v>2.9000000000000001E-2</v>
      </c>
      <c r="G108" s="168">
        <v>2.5499999999999998E-2</v>
      </c>
      <c r="H108" s="169"/>
      <c r="I108" s="170">
        <v>3</v>
      </c>
      <c r="J108" s="170">
        <v>3</v>
      </c>
      <c r="K108" s="167"/>
      <c r="L108" s="171">
        <v>4121.0306300000002</v>
      </c>
      <c r="M108" s="171">
        <v>-2600.8228399999998</v>
      </c>
      <c r="N108" s="171">
        <v>1520.2077899999999</v>
      </c>
      <c r="O108" s="166">
        <v>320.24497214652303</v>
      </c>
      <c r="P108" s="172">
        <v>287.5</v>
      </c>
      <c r="Q108" s="182">
        <v>1.11389555529225</v>
      </c>
      <c r="R108" s="183">
        <v>-19.249279356999299</v>
      </c>
      <c r="S108" s="168">
        <v>8.9999999999999993E-3</v>
      </c>
      <c r="T108" s="168">
        <v>5.4999999999999997E-3</v>
      </c>
      <c r="U108" s="175">
        <v>0</v>
      </c>
      <c r="V108" s="176">
        <v>118</v>
      </c>
      <c r="W108" s="167"/>
      <c r="X108" s="175">
        <v>2010.5760299999999</v>
      </c>
      <c r="Y108" s="166">
        <v>423.545300163089</v>
      </c>
      <c r="Z108" s="177">
        <v>573</v>
      </c>
      <c r="AA108" s="173">
        <v>0.73917155351324404</v>
      </c>
      <c r="AB108" s="174">
        <v>-1057.6288421445599</v>
      </c>
      <c r="AC108" s="168"/>
      <c r="AD108" s="168"/>
      <c r="AE108" s="176">
        <v>710</v>
      </c>
      <c r="AF108" s="176">
        <v>1254</v>
      </c>
      <c r="AG108" s="167"/>
      <c r="AH108" s="180">
        <v>208.8</v>
      </c>
      <c r="AI108" s="166">
        <v>43.985533177799297</v>
      </c>
      <c r="AJ108" s="181" t="s">
        <v>53</v>
      </c>
      <c r="AK108" s="173">
        <v>0.69818306631427396</v>
      </c>
      <c r="AL108" s="174">
        <v>-128.54189693736001</v>
      </c>
      <c r="AM108" s="168"/>
      <c r="AN108" s="168"/>
      <c r="AO108" s="176">
        <v>91</v>
      </c>
      <c r="AP108" s="176">
        <v>151</v>
      </c>
      <c r="AQ108" s="167"/>
      <c r="AR108" s="180">
        <v>39.700000000000003</v>
      </c>
      <c r="AS108" s="166">
        <v>8.3631497469283094</v>
      </c>
      <c r="AT108" s="181" t="s">
        <v>54</v>
      </c>
      <c r="AU108" s="173">
        <v>0.522696859183019</v>
      </c>
      <c r="AV108" s="174">
        <v>-45.974132555519901</v>
      </c>
      <c r="AW108" s="168"/>
      <c r="AX108" s="168"/>
      <c r="AY108" s="176">
        <v>37</v>
      </c>
      <c r="AZ108" s="176">
        <v>52</v>
      </c>
      <c r="BA108" s="167"/>
      <c r="BB108" s="184">
        <v>184.8</v>
      </c>
      <c r="BC108" s="180">
        <v>38.929724766558003</v>
      </c>
      <c r="BD108" s="181" t="s">
        <v>55</v>
      </c>
      <c r="BE108" s="178">
        <v>1.21655389895494</v>
      </c>
      <c r="BF108" s="179">
        <v>13.4517348889601</v>
      </c>
      <c r="BG108" s="168">
        <v>0.02</v>
      </c>
      <c r="BH108" s="168">
        <v>0.02</v>
      </c>
      <c r="BI108" s="176">
        <v>0</v>
      </c>
      <c r="BJ108" s="176">
        <v>0</v>
      </c>
      <c r="BK108" s="169"/>
      <c r="BL108" s="185">
        <v>0.8</v>
      </c>
      <c r="BM108" s="173">
        <v>0.64</v>
      </c>
      <c r="BN108" s="186"/>
      <c r="BO108" s="187">
        <v>0.95</v>
      </c>
      <c r="BP108" s="178">
        <v>1</v>
      </c>
      <c r="BQ108" s="186">
        <v>2.5000000000000001E-3</v>
      </c>
    </row>
    <row r="109" spans="1:69" s="156" customFormat="1" ht="22.35" customHeight="1" x14ac:dyDescent="0.2">
      <c r="A109" s="165" t="s">
        <v>139</v>
      </c>
      <c r="B109" s="165" t="s">
        <v>159</v>
      </c>
      <c r="C109" s="165" t="s">
        <v>167</v>
      </c>
      <c r="D109" s="166">
        <v>5.8254724778888898</v>
      </c>
      <c r="E109" s="167"/>
      <c r="F109" s="168">
        <v>2E-3</v>
      </c>
      <c r="G109" s="168"/>
      <c r="H109" s="169"/>
      <c r="I109" s="170">
        <v>2</v>
      </c>
      <c r="J109" s="170">
        <v>1</v>
      </c>
      <c r="K109" s="167"/>
      <c r="L109" s="171">
        <v>1730.2373</v>
      </c>
      <c r="M109" s="171">
        <v>-746.14621999999997</v>
      </c>
      <c r="N109" s="171">
        <v>984.09108000000003</v>
      </c>
      <c r="O109" s="166">
        <v>168.92897249711601</v>
      </c>
      <c r="P109" s="172">
        <v>236.41900000000001</v>
      </c>
      <c r="Q109" s="173">
        <v>0.71453213361496404</v>
      </c>
      <c r="R109" s="174">
        <v>-569.44960210201498</v>
      </c>
      <c r="S109" s="168"/>
      <c r="T109" s="168"/>
      <c r="U109" s="175">
        <v>394</v>
      </c>
      <c r="V109" s="176">
        <v>669</v>
      </c>
      <c r="W109" s="167"/>
      <c r="X109" s="175">
        <v>2786.35826</v>
      </c>
      <c r="Y109" s="166">
        <v>478.30596927131302</v>
      </c>
      <c r="Z109" s="177">
        <v>573</v>
      </c>
      <c r="AA109" s="188">
        <v>0.83473991146825899</v>
      </c>
      <c r="AB109" s="171">
        <v>-978.90092324861598</v>
      </c>
      <c r="AC109" s="168"/>
      <c r="AD109" s="168"/>
      <c r="AE109" s="176">
        <v>552</v>
      </c>
      <c r="AF109" s="176">
        <v>1220</v>
      </c>
      <c r="AG109" s="167"/>
      <c r="AH109" s="180">
        <v>271.10000000000002</v>
      </c>
      <c r="AI109" s="166">
        <v>46.5369978193159</v>
      </c>
      <c r="AJ109" s="181" t="s">
        <v>53</v>
      </c>
      <c r="AK109" s="173">
        <v>0.73868250506850597</v>
      </c>
      <c r="AL109" s="174">
        <v>-142.88137616869599</v>
      </c>
      <c r="AM109" s="168"/>
      <c r="AN109" s="168"/>
      <c r="AO109" s="176">
        <v>96</v>
      </c>
      <c r="AP109" s="176">
        <v>170</v>
      </c>
      <c r="AQ109" s="167"/>
      <c r="AR109" s="180">
        <v>19.399999999999999</v>
      </c>
      <c r="AS109" s="166">
        <v>3.3302019833815102</v>
      </c>
      <c r="AT109" s="181" t="s">
        <v>54</v>
      </c>
      <c r="AU109" s="173">
        <v>0.208137623961344</v>
      </c>
      <c r="AV109" s="174">
        <v>-85.738127280938699</v>
      </c>
      <c r="AW109" s="168"/>
      <c r="AX109" s="168"/>
      <c r="AY109" s="176">
        <v>74</v>
      </c>
      <c r="AZ109" s="176">
        <v>93</v>
      </c>
      <c r="BA109" s="167"/>
      <c r="BB109" s="184">
        <v>179.4</v>
      </c>
      <c r="BC109" s="180">
        <v>30.7957853514765</v>
      </c>
      <c r="BD109" s="181" t="s">
        <v>55</v>
      </c>
      <c r="BE109" s="182">
        <v>0.96236829223363995</v>
      </c>
      <c r="BF109" s="183">
        <v>-30.8762545618773</v>
      </c>
      <c r="BG109" s="168">
        <v>2E-3</v>
      </c>
      <c r="BH109" s="168"/>
      <c r="BI109" s="176">
        <v>8</v>
      </c>
      <c r="BJ109" s="176">
        <v>45</v>
      </c>
      <c r="BK109" s="169"/>
      <c r="BL109" s="185">
        <v>0.8</v>
      </c>
      <c r="BM109" s="173">
        <v>0.63</v>
      </c>
      <c r="BN109" s="186"/>
      <c r="BO109" s="187">
        <v>0.95</v>
      </c>
      <c r="BP109" s="178">
        <v>1</v>
      </c>
      <c r="BQ109" s="186">
        <v>2.5000000000000001E-3</v>
      </c>
    </row>
    <row r="110" spans="1:69" s="156" customFormat="1" ht="22.35" customHeight="1" x14ac:dyDescent="0.2">
      <c r="A110" s="165" t="s">
        <v>139</v>
      </c>
      <c r="B110" s="165" t="s">
        <v>159</v>
      </c>
      <c r="C110" s="165" t="s">
        <v>168</v>
      </c>
      <c r="D110" s="166">
        <v>2.9978898042222202</v>
      </c>
      <c r="E110" s="167"/>
      <c r="F110" s="168">
        <v>0.04</v>
      </c>
      <c r="G110" s="168">
        <v>2.7E-2</v>
      </c>
      <c r="H110" s="169"/>
      <c r="I110" s="170">
        <v>4</v>
      </c>
      <c r="J110" s="170">
        <v>4</v>
      </c>
      <c r="K110" s="167"/>
      <c r="L110" s="171">
        <v>2295.0004300000001</v>
      </c>
      <c r="M110" s="171">
        <v>-480.44076999999999</v>
      </c>
      <c r="N110" s="171">
        <v>1814.5596599999999</v>
      </c>
      <c r="O110" s="166">
        <v>605.27897237729599</v>
      </c>
      <c r="P110" s="172">
        <v>244.03100000000001</v>
      </c>
      <c r="Q110" s="178">
        <v>2.48033640142972</v>
      </c>
      <c r="R110" s="179">
        <v>989.33962319363604</v>
      </c>
      <c r="S110" s="168">
        <v>0.01</v>
      </c>
      <c r="T110" s="168">
        <v>0.01</v>
      </c>
      <c r="U110" s="175">
        <v>0</v>
      </c>
      <c r="V110" s="176">
        <v>0</v>
      </c>
      <c r="W110" s="167"/>
      <c r="X110" s="175">
        <v>1871.5566100000001</v>
      </c>
      <c r="Y110" s="166">
        <v>624.29132897550301</v>
      </c>
      <c r="Z110" s="177">
        <v>573</v>
      </c>
      <c r="AA110" s="182">
        <v>1.0895136631335101</v>
      </c>
      <c r="AB110" s="183">
        <v>-66.111477620206401</v>
      </c>
      <c r="AC110" s="168">
        <v>1.6E-2</v>
      </c>
      <c r="AD110" s="168">
        <v>8.9999999999999993E-3</v>
      </c>
      <c r="AE110" s="176">
        <v>0</v>
      </c>
      <c r="AF110" s="176">
        <v>190</v>
      </c>
      <c r="AG110" s="167"/>
      <c r="AH110" s="180">
        <v>127.85</v>
      </c>
      <c r="AI110" s="166">
        <v>42.646664270293101</v>
      </c>
      <c r="AJ110" s="181" t="s">
        <v>53</v>
      </c>
      <c r="AK110" s="173">
        <v>0.67693117889354204</v>
      </c>
      <c r="AL110" s="174">
        <v>-85.192041047247798</v>
      </c>
      <c r="AM110" s="168"/>
      <c r="AN110" s="168"/>
      <c r="AO110" s="176">
        <v>62</v>
      </c>
      <c r="AP110" s="176">
        <v>99</v>
      </c>
      <c r="AQ110" s="167"/>
      <c r="AR110" s="180">
        <v>6.8</v>
      </c>
      <c r="AS110" s="166">
        <v>2.2682621590769898</v>
      </c>
      <c r="AT110" s="181" t="s">
        <v>54</v>
      </c>
      <c r="AU110" s="173">
        <v>0.141766384942312</v>
      </c>
      <c r="AV110" s="174">
        <v>-47.305915186602597</v>
      </c>
      <c r="AW110" s="168"/>
      <c r="AX110" s="168"/>
      <c r="AY110" s="176">
        <v>42</v>
      </c>
      <c r="AZ110" s="176">
        <v>51</v>
      </c>
      <c r="BA110" s="167"/>
      <c r="BB110" s="184">
        <v>103.2</v>
      </c>
      <c r="BC110" s="180">
        <v>34.424213943639103</v>
      </c>
      <c r="BD110" s="181" t="s">
        <v>55</v>
      </c>
      <c r="BE110" s="182">
        <v>1.07575668573872</v>
      </c>
      <c r="BF110" s="183">
        <v>-5.0118303732052603</v>
      </c>
      <c r="BG110" s="168">
        <v>1.4E-2</v>
      </c>
      <c r="BH110" s="168">
        <v>8.0000000000000002E-3</v>
      </c>
      <c r="BI110" s="176">
        <v>0</v>
      </c>
      <c r="BJ110" s="176">
        <v>12</v>
      </c>
      <c r="BK110" s="169"/>
      <c r="BL110" s="185">
        <v>0.8</v>
      </c>
      <c r="BM110" s="188">
        <v>0.72</v>
      </c>
      <c r="BN110" s="186"/>
      <c r="BO110" s="187">
        <v>0.95</v>
      </c>
      <c r="BP110" s="178">
        <v>1</v>
      </c>
      <c r="BQ110" s="186">
        <v>2.5000000000000001E-3</v>
      </c>
    </row>
    <row r="111" spans="1:69" s="156" customFormat="1" ht="22.35" customHeight="1" x14ac:dyDescent="0.2">
      <c r="A111" s="165" t="s">
        <v>139</v>
      </c>
      <c r="B111" s="165" t="s">
        <v>159</v>
      </c>
      <c r="C111" s="165" t="s">
        <v>169</v>
      </c>
      <c r="D111" s="166">
        <v>3.5180638414444401</v>
      </c>
      <c r="E111" s="167"/>
      <c r="F111" s="168">
        <v>2.4E-2</v>
      </c>
      <c r="G111" s="168">
        <v>1.7000000000000001E-2</v>
      </c>
      <c r="H111" s="169"/>
      <c r="I111" s="170">
        <v>3</v>
      </c>
      <c r="J111" s="170">
        <v>3</v>
      </c>
      <c r="K111" s="167"/>
      <c r="L111" s="171">
        <v>3643.7562200000002</v>
      </c>
      <c r="M111" s="171">
        <v>674.94015000000002</v>
      </c>
      <c r="N111" s="171">
        <v>4318.6963699999997</v>
      </c>
      <c r="O111" s="166">
        <v>1227.5776008165999</v>
      </c>
      <c r="P111" s="172">
        <v>287.5</v>
      </c>
      <c r="Q111" s="178">
        <v>4.2698351332751301</v>
      </c>
      <c r="R111" s="179">
        <v>3177.7882662195698</v>
      </c>
      <c r="S111" s="168">
        <v>0.01</v>
      </c>
      <c r="T111" s="168">
        <v>0.01</v>
      </c>
      <c r="U111" s="175">
        <v>0</v>
      </c>
      <c r="V111" s="176">
        <v>0</v>
      </c>
      <c r="W111" s="167"/>
      <c r="X111" s="175">
        <v>1639.4466299999999</v>
      </c>
      <c r="Y111" s="166">
        <v>466.00820902865598</v>
      </c>
      <c r="Z111" s="177">
        <v>573</v>
      </c>
      <c r="AA111" s="188">
        <v>0.81327785170795097</v>
      </c>
      <c r="AB111" s="171">
        <v>-634.43282553456504</v>
      </c>
      <c r="AC111" s="168"/>
      <c r="AD111" s="168"/>
      <c r="AE111" s="176">
        <v>377</v>
      </c>
      <c r="AF111" s="176">
        <v>780</v>
      </c>
      <c r="AG111" s="167"/>
      <c r="AH111" s="180">
        <v>163</v>
      </c>
      <c r="AI111" s="166">
        <v>46.332303035488799</v>
      </c>
      <c r="AJ111" s="181" t="s">
        <v>53</v>
      </c>
      <c r="AK111" s="173">
        <v>0.73543338151569604</v>
      </c>
      <c r="AL111" s="174">
        <v>-87.007688828407694</v>
      </c>
      <c r="AM111" s="168"/>
      <c r="AN111" s="168"/>
      <c r="AO111" s="176">
        <v>59</v>
      </c>
      <c r="AP111" s="176">
        <v>103</v>
      </c>
      <c r="AQ111" s="167"/>
      <c r="AR111" s="180">
        <v>39.700000000000003</v>
      </c>
      <c r="AS111" s="166">
        <v>11.284616138091399</v>
      </c>
      <c r="AT111" s="181" t="s">
        <v>54</v>
      </c>
      <c r="AU111" s="173">
        <v>0.70528850863071602</v>
      </c>
      <c r="AV111" s="174">
        <v>-23.794016210389302</v>
      </c>
      <c r="AW111" s="168"/>
      <c r="AX111" s="168"/>
      <c r="AY111" s="176">
        <v>17</v>
      </c>
      <c r="AZ111" s="176">
        <v>28</v>
      </c>
      <c r="BA111" s="167"/>
      <c r="BB111" s="184">
        <v>121</v>
      </c>
      <c r="BC111" s="180">
        <v>34.393918204258597</v>
      </c>
      <c r="BD111" s="181" t="s">
        <v>55</v>
      </c>
      <c r="BE111" s="182">
        <v>1.07480994388308</v>
      </c>
      <c r="BF111" s="183">
        <v>-5.9880324207785103</v>
      </c>
      <c r="BG111" s="168">
        <v>1.4E-2</v>
      </c>
      <c r="BH111" s="168">
        <v>7.0000000000000001E-3</v>
      </c>
      <c r="BI111" s="176">
        <v>0</v>
      </c>
      <c r="BJ111" s="176">
        <v>15</v>
      </c>
      <c r="BK111" s="169"/>
      <c r="BL111" s="185">
        <v>0.8</v>
      </c>
      <c r="BM111" s="188">
        <v>0.76</v>
      </c>
      <c r="BN111" s="186"/>
      <c r="BO111" s="187">
        <v>0.95</v>
      </c>
      <c r="BP111" s="178">
        <v>1</v>
      </c>
      <c r="BQ111" s="186">
        <v>2.5000000000000001E-3</v>
      </c>
    </row>
    <row r="112" spans="1:69" s="156" customFormat="1" ht="22.35" customHeight="1" x14ac:dyDescent="0.2">
      <c r="A112" s="165" t="s">
        <v>139</v>
      </c>
      <c r="B112" s="165" t="s">
        <v>159</v>
      </c>
      <c r="C112" s="165" t="s">
        <v>170</v>
      </c>
      <c r="D112" s="166">
        <v>3.33057645111111</v>
      </c>
      <c r="E112" s="167"/>
      <c r="F112" s="168">
        <v>1.0999999999999999E-2</v>
      </c>
      <c r="G112" s="168">
        <v>0.01</v>
      </c>
      <c r="H112" s="169"/>
      <c r="I112" s="170">
        <v>3</v>
      </c>
      <c r="J112" s="170">
        <v>2</v>
      </c>
      <c r="K112" s="167"/>
      <c r="L112" s="171">
        <v>1752.0404799999999</v>
      </c>
      <c r="M112" s="171">
        <v>1327.3822</v>
      </c>
      <c r="N112" s="171">
        <v>3079.4226800000001</v>
      </c>
      <c r="O112" s="166">
        <v>924.59150096154497</v>
      </c>
      <c r="P112" s="172">
        <v>287.5</v>
      </c>
      <c r="Q112" s="178">
        <v>3.2159704381271101</v>
      </c>
      <c r="R112" s="179">
        <v>1999.3167369046701</v>
      </c>
      <c r="S112" s="168">
        <v>0.01</v>
      </c>
      <c r="T112" s="168">
        <v>0.01</v>
      </c>
      <c r="U112" s="175">
        <v>0</v>
      </c>
      <c r="V112" s="176">
        <v>0</v>
      </c>
      <c r="W112" s="167"/>
      <c r="X112" s="175">
        <v>1683.719625</v>
      </c>
      <c r="Y112" s="166">
        <v>505.53399680655701</v>
      </c>
      <c r="Z112" s="177">
        <v>573</v>
      </c>
      <c r="AA112" s="188">
        <v>0.88225828413011798</v>
      </c>
      <c r="AB112" s="171">
        <v>-468.97848071695898</v>
      </c>
      <c r="AC112" s="168"/>
      <c r="AD112" s="168"/>
      <c r="AE112" s="176">
        <v>225</v>
      </c>
      <c r="AF112" s="176">
        <v>607</v>
      </c>
      <c r="AG112" s="167"/>
      <c r="AH112" s="180">
        <v>86</v>
      </c>
      <c r="AI112" s="166">
        <v>25.8213559311361</v>
      </c>
      <c r="AJ112" s="181" t="s">
        <v>53</v>
      </c>
      <c r="AK112" s="173">
        <v>0.40986279255771502</v>
      </c>
      <c r="AL112" s="174">
        <v>-150.68408492175999</v>
      </c>
      <c r="AM112" s="168"/>
      <c r="AN112" s="168"/>
      <c r="AO112" s="176">
        <v>124</v>
      </c>
      <c r="AP112" s="176">
        <v>166</v>
      </c>
      <c r="AQ112" s="167"/>
      <c r="AR112" s="180">
        <v>14.6</v>
      </c>
      <c r="AS112" s="166">
        <v>4.3836255417975201</v>
      </c>
      <c r="AT112" s="181" t="s">
        <v>54</v>
      </c>
      <c r="AU112" s="173">
        <v>0.273976596362345</v>
      </c>
      <c r="AV112" s="174">
        <v>-45.510243789653302</v>
      </c>
      <c r="AW112" s="168"/>
      <c r="AX112" s="168"/>
      <c r="AY112" s="176">
        <v>39</v>
      </c>
      <c r="AZ112" s="176">
        <v>50</v>
      </c>
      <c r="BA112" s="167"/>
      <c r="BB112" s="184">
        <v>100.8</v>
      </c>
      <c r="BC112" s="180">
        <v>30.2650311378897</v>
      </c>
      <c r="BD112" s="181" t="s">
        <v>55</v>
      </c>
      <c r="BE112" s="182">
        <v>0.94578222305905302</v>
      </c>
      <c r="BF112" s="183">
        <v>-19.420487579306599</v>
      </c>
      <c r="BG112" s="168">
        <v>1E-3</v>
      </c>
      <c r="BH112" s="168"/>
      <c r="BI112" s="176">
        <v>6</v>
      </c>
      <c r="BJ112" s="176">
        <v>28</v>
      </c>
      <c r="BK112" s="169"/>
      <c r="BL112" s="185">
        <v>0.8</v>
      </c>
      <c r="BM112" s="188">
        <v>0.74</v>
      </c>
      <c r="BN112" s="186"/>
      <c r="BO112" s="187">
        <v>0.95</v>
      </c>
      <c r="BP112" s="178">
        <v>1</v>
      </c>
      <c r="BQ112" s="186">
        <v>2.5000000000000001E-3</v>
      </c>
    </row>
    <row r="113" spans="1:69" s="156" customFormat="1" ht="22.35" customHeight="1" x14ac:dyDescent="0.2">
      <c r="A113" s="165" t="s">
        <v>139</v>
      </c>
      <c r="B113" s="165" t="s">
        <v>159</v>
      </c>
      <c r="C113" s="165" t="s">
        <v>171</v>
      </c>
      <c r="D113" s="166">
        <v>7.6444229506666703</v>
      </c>
      <c r="E113" s="167"/>
      <c r="F113" s="168">
        <v>0.01</v>
      </c>
      <c r="G113" s="168">
        <v>0.01</v>
      </c>
      <c r="H113" s="169"/>
      <c r="I113" s="170">
        <v>2</v>
      </c>
      <c r="J113" s="170">
        <v>2</v>
      </c>
      <c r="K113" s="167"/>
      <c r="L113" s="171">
        <v>5850.23675</v>
      </c>
      <c r="M113" s="171">
        <v>343.77976000000001</v>
      </c>
      <c r="N113" s="171">
        <v>6194.0165100000004</v>
      </c>
      <c r="O113" s="166">
        <v>810.26606585913999</v>
      </c>
      <c r="P113" s="172">
        <v>287.5</v>
      </c>
      <c r="Q113" s="178">
        <v>2.8183167508143998</v>
      </c>
      <c r="R113" s="179">
        <v>3714.9301470987998</v>
      </c>
      <c r="S113" s="168">
        <v>0.01</v>
      </c>
      <c r="T113" s="168">
        <v>0.01</v>
      </c>
      <c r="U113" s="175">
        <v>0</v>
      </c>
      <c r="V113" s="176">
        <v>0</v>
      </c>
      <c r="W113" s="167"/>
      <c r="X113" s="175">
        <v>4061.49098</v>
      </c>
      <c r="Y113" s="166">
        <v>531.30118600329399</v>
      </c>
      <c r="Z113" s="177">
        <v>573</v>
      </c>
      <c r="AA113" s="188">
        <v>0.92722720070382902</v>
      </c>
      <c r="AB113" s="171">
        <v>-879.43592762569801</v>
      </c>
      <c r="AC113" s="168"/>
      <c r="AD113" s="168"/>
      <c r="AE113" s="176">
        <v>319</v>
      </c>
      <c r="AF113" s="176">
        <v>1195</v>
      </c>
      <c r="AG113" s="167"/>
      <c r="AH113" s="180">
        <v>346.05</v>
      </c>
      <c r="AI113" s="166">
        <v>45.268295884887003</v>
      </c>
      <c r="AJ113" s="181" t="s">
        <v>53</v>
      </c>
      <c r="AK113" s="173">
        <v>0.71854437912519098</v>
      </c>
      <c r="AL113" s="174">
        <v>-197.19327256617601</v>
      </c>
      <c r="AM113" s="168"/>
      <c r="AN113" s="168"/>
      <c r="AO113" s="176">
        <v>136</v>
      </c>
      <c r="AP113" s="176">
        <v>232</v>
      </c>
      <c r="AQ113" s="167"/>
      <c r="AR113" s="180">
        <v>30.8</v>
      </c>
      <c r="AS113" s="166">
        <v>4.0290810959529599</v>
      </c>
      <c r="AT113" s="181" t="s">
        <v>54</v>
      </c>
      <c r="AU113" s="173">
        <v>0.25181756849706</v>
      </c>
      <c r="AV113" s="174">
        <v>-107.16654541363199</v>
      </c>
      <c r="AW113" s="168"/>
      <c r="AX113" s="168"/>
      <c r="AY113" s="176">
        <v>92</v>
      </c>
      <c r="AZ113" s="176">
        <v>116</v>
      </c>
      <c r="BA113" s="167"/>
      <c r="BB113" s="184">
        <v>208.4</v>
      </c>
      <c r="BC113" s="180">
        <v>27.261704558331001</v>
      </c>
      <c r="BD113" s="181" t="s">
        <v>55</v>
      </c>
      <c r="BE113" s="188">
        <v>0.851928267447845</v>
      </c>
      <c r="BF113" s="171">
        <v>-67.533090827264104</v>
      </c>
      <c r="BG113" s="168"/>
      <c r="BH113" s="168"/>
      <c r="BI113" s="176">
        <v>37</v>
      </c>
      <c r="BJ113" s="176">
        <v>86</v>
      </c>
      <c r="BK113" s="169"/>
      <c r="BL113" s="185">
        <v>0.8</v>
      </c>
      <c r="BM113" s="188">
        <v>0.7</v>
      </c>
      <c r="BN113" s="186"/>
      <c r="BO113" s="187">
        <v>0.95</v>
      </c>
      <c r="BP113" s="178">
        <v>1</v>
      </c>
      <c r="BQ113" s="186">
        <v>2.5000000000000001E-3</v>
      </c>
    </row>
    <row r="114" spans="1:69" s="156" customFormat="1" ht="22.35" customHeight="1" x14ac:dyDescent="0.2">
      <c r="A114" s="165" t="s">
        <v>139</v>
      </c>
      <c r="B114" s="165" t="s">
        <v>159</v>
      </c>
      <c r="C114" s="165" t="s">
        <v>172</v>
      </c>
      <c r="D114" s="166">
        <v>6.0447914316666704</v>
      </c>
      <c r="E114" s="167"/>
      <c r="F114" s="168">
        <v>4.2000000000000003E-2</v>
      </c>
      <c r="G114" s="168">
        <v>0.03</v>
      </c>
      <c r="H114" s="169"/>
      <c r="I114" s="170">
        <v>4</v>
      </c>
      <c r="J114" s="170">
        <v>4</v>
      </c>
      <c r="K114" s="167"/>
      <c r="L114" s="171">
        <v>3686.4754699999999</v>
      </c>
      <c r="M114" s="171">
        <v>-287.55923000000001</v>
      </c>
      <c r="N114" s="171">
        <v>3398.91624</v>
      </c>
      <c r="O114" s="166">
        <v>562.28842275586203</v>
      </c>
      <c r="P114" s="172">
        <v>260.82400000000001</v>
      </c>
      <c r="Q114" s="178">
        <v>2.1558155030053299</v>
      </c>
      <c r="R114" s="179">
        <v>1620.4813445392299</v>
      </c>
      <c r="S114" s="168">
        <v>0.01</v>
      </c>
      <c r="T114" s="168">
        <v>0.01</v>
      </c>
      <c r="U114" s="175">
        <v>0</v>
      </c>
      <c r="V114" s="176">
        <v>0</v>
      </c>
      <c r="W114" s="167"/>
      <c r="X114" s="175">
        <v>3999.6817150000002</v>
      </c>
      <c r="Y114" s="166">
        <v>661.67406439318802</v>
      </c>
      <c r="Z114" s="177">
        <v>573</v>
      </c>
      <c r="AA114" s="178">
        <v>1.1547540390806099</v>
      </c>
      <c r="AB114" s="179">
        <v>92.667041890837496</v>
      </c>
      <c r="AC114" s="168">
        <v>0.02</v>
      </c>
      <c r="AD114" s="168">
        <v>1.4999999999999999E-2</v>
      </c>
      <c r="AE114" s="176">
        <v>0</v>
      </c>
      <c r="AF114" s="176">
        <v>157</v>
      </c>
      <c r="AG114" s="167"/>
      <c r="AH114" s="180">
        <v>236.1</v>
      </c>
      <c r="AI114" s="166">
        <v>39.058419578076801</v>
      </c>
      <c r="AJ114" s="181" t="s">
        <v>53</v>
      </c>
      <c r="AK114" s="173">
        <v>0.61997491393772597</v>
      </c>
      <c r="AL114" s="174">
        <v>-193.46705829996</v>
      </c>
      <c r="AM114" s="168"/>
      <c r="AN114" s="168"/>
      <c r="AO114" s="176">
        <v>145</v>
      </c>
      <c r="AP114" s="176">
        <v>221</v>
      </c>
      <c r="AQ114" s="167"/>
      <c r="AR114" s="180">
        <v>35.799999999999997</v>
      </c>
      <c r="AS114" s="166">
        <v>5.9224541333974896</v>
      </c>
      <c r="AT114" s="181" t="s">
        <v>54</v>
      </c>
      <c r="AU114" s="173">
        <v>0.37015338333734299</v>
      </c>
      <c r="AV114" s="174">
        <v>-73.296395758720095</v>
      </c>
      <c r="AW114" s="168"/>
      <c r="AX114" s="168"/>
      <c r="AY114" s="176">
        <v>61</v>
      </c>
      <c r="AZ114" s="176">
        <v>81</v>
      </c>
      <c r="BA114" s="167"/>
      <c r="BB114" s="184">
        <v>203.2</v>
      </c>
      <c r="BC114" s="180">
        <v>33.615717315820397</v>
      </c>
      <c r="BD114" s="181" t="s">
        <v>55</v>
      </c>
      <c r="BE114" s="182">
        <v>1.0504911661193901</v>
      </c>
      <c r="BF114" s="183">
        <v>-14.9927915174401</v>
      </c>
      <c r="BG114" s="168">
        <v>1.2E-2</v>
      </c>
      <c r="BH114" s="168">
        <v>5.0000000000000001E-3</v>
      </c>
      <c r="BI114" s="176">
        <v>0</v>
      </c>
      <c r="BJ114" s="176">
        <v>29</v>
      </c>
      <c r="BK114" s="169"/>
      <c r="BL114" s="185">
        <v>0.8</v>
      </c>
      <c r="BM114" s="188">
        <v>0.72</v>
      </c>
      <c r="BN114" s="186"/>
      <c r="BO114" s="187">
        <v>0.95</v>
      </c>
      <c r="BP114" s="178">
        <v>1</v>
      </c>
      <c r="BQ114" s="186">
        <v>2.5000000000000001E-3</v>
      </c>
    </row>
    <row r="115" spans="1:69" s="156" customFormat="1" ht="22.35" customHeight="1" x14ac:dyDescent="0.2">
      <c r="A115" s="165" t="s">
        <v>139</v>
      </c>
      <c r="B115" s="165" t="s">
        <v>159</v>
      </c>
      <c r="C115" s="165" t="s">
        <v>173</v>
      </c>
      <c r="D115" s="166">
        <v>4.01034421888889</v>
      </c>
      <c r="E115" s="167"/>
      <c r="F115" s="168">
        <v>4.4999999999999998E-2</v>
      </c>
      <c r="G115" s="168">
        <v>3.3000000000000002E-2</v>
      </c>
      <c r="H115" s="169"/>
      <c r="I115" s="170">
        <v>5</v>
      </c>
      <c r="J115" s="170">
        <v>5</v>
      </c>
      <c r="K115" s="167"/>
      <c r="L115" s="171">
        <v>2702.5806200000002</v>
      </c>
      <c r="M115" s="171">
        <v>365.26472999999999</v>
      </c>
      <c r="N115" s="171">
        <v>3067.8453500000001</v>
      </c>
      <c r="O115" s="166">
        <v>764.98304947249198</v>
      </c>
      <c r="P115" s="172">
        <v>234.23500000000001</v>
      </c>
      <c r="Q115" s="178">
        <v>3.2658784958374798</v>
      </c>
      <c r="R115" s="179">
        <v>2008.2439106903</v>
      </c>
      <c r="S115" s="168">
        <v>0.01</v>
      </c>
      <c r="T115" s="168">
        <v>0.01</v>
      </c>
      <c r="U115" s="175">
        <v>0</v>
      </c>
      <c r="V115" s="176">
        <v>0</v>
      </c>
      <c r="W115" s="167"/>
      <c r="X115" s="175">
        <v>3396.7458550000001</v>
      </c>
      <c r="Y115" s="166">
        <v>846.99608552332904</v>
      </c>
      <c r="Z115" s="177">
        <v>573</v>
      </c>
      <c r="AA115" s="178">
        <v>1.47817815972658</v>
      </c>
      <c r="AB115" s="179">
        <v>804.68393118647896</v>
      </c>
      <c r="AC115" s="168">
        <v>0.02</v>
      </c>
      <c r="AD115" s="168">
        <v>0.02</v>
      </c>
      <c r="AE115" s="176">
        <v>0</v>
      </c>
      <c r="AF115" s="176">
        <v>0</v>
      </c>
      <c r="AG115" s="167"/>
      <c r="AH115" s="180">
        <v>258.55</v>
      </c>
      <c r="AI115" s="166">
        <v>64.470775047742407</v>
      </c>
      <c r="AJ115" s="181" t="s">
        <v>53</v>
      </c>
      <c r="AK115" s="182">
        <v>1.02334563567845</v>
      </c>
      <c r="AL115" s="183">
        <v>-26.4411015711201</v>
      </c>
      <c r="AM115" s="168">
        <v>8.9999999999999993E-3</v>
      </c>
      <c r="AN115" s="168">
        <v>2E-3</v>
      </c>
      <c r="AO115" s="176">
        <v>0</v>
      </c>
      <c r="AP115" s="176">
        <v>45</v>
      </c>
      <c r="AQ115" s="167"/>
      <c r="AR115" s="180">
        <v>28.8</v>
      </c>
      <c r="AS115" s="166">
        <v>7.1814284330883096</v>
      </c>
      <c r="AT115" s="181" t="s">
        <v>54</v>
      </c>
      <c r="AU115" s="173">
        <v>0.44883927706801902</v>
      </c>
      <c r="AV115" s="174">
        <v>-43.578692462506702</v>
      </c>
      <c r="AW115" s="168"/>
      <c r="AX115" s="168"/>
      <c r="AY115" s="176">
        <v>36</v>
      </c>
      <c r="AZ115" s="176">
        <v>49</v>
      </c>
      <c r="BA115" s="167"/>
      <c r="BB115" s="184">
        <v>128.4</v>
      </c>
      <c r="BC115" s="180">
        <v>32.017201764185401</v>
      </c>
      <c r="BD115" s="181" t="s">
        <v>55</v>
      </c>
      <c r="BE115" s="182">
        <v>1.00053755513079</v>
      </c>
      <c r="BF115" s="183">
        <v>-16.357384925013399</v>
      </c>
      <c r="BG115" s="168">
        <v>6.0000000000000001E-3</v>
      </c>
      <c r="BH115" s="168">
        <v>1E-3</v>
      </c>
      <c r="BI115" s="176">
        <v>0</v>
      </c>
      <c r="BJ115" s="176">
        <v>26</v>
      </c>
      <c r="BK115" s="169"/>
      <c r="BL115" s="185">
        <v>0.8</v>
      </c>
      <c r="BM115" s="188">
        <v>0.74</v>
      </c>
      <c r="BN115" s="186"/>
      <c r="BO115" s="187">
        <v>0.95</v>
      </c>
      <c r="BP115" s="178">
        <v>1</v>
      </c>
      <c r="BQ115" s="186">
        <v>2.5000000000000001E-3</v>
      </c>
    </row>
    <row r="116" spans="1:69" s="156" customFormat="1" ht="22.35" customHeight="1" x14ac:dyDescent="0.2">
      <c r="A116" s="165" t="s">
        <v>139</v>
      </c>
      <c r="B116" s="165" t="s">
        <v>159</v>
      </c>
      <c r="C116" s="165" t="s">
        <v>174</v>
      </c>
      <c r="D116" s="166">
        <v>2.3561526822222199</v>
      </c>
      <c r="E116" s="167"/>
      <c r="F116" s="168">
        <v>2.1000000000000001E-2</v>
      </c>
      <c r="G116" s="168">
        <v>1.4999999999999999E-2</v>
      </c>
      <c r="H116" s="169"/>
      <c r="I116" s="170">
        <v>3</v>
      </c>
      <c r="J116" s="170">
        <v>3</v>
      </c>
      <c r="K116" s="167"/>
      <c r="L116" s="171">
        <v>2098.7437799999998</v>
      </c>
      <c r="M116" s="171">
        <v>992.23446999999999</v>
      </c>
      <c r="N116" s="171">
        <v>3090.9782500000001</v>
      </c>
      <c r="O116" s="166">
        <v>1311.8751909934499</v>
      </c>
      <c r="P116" s="172">
        <v>258.77999999999997</v>
      </c>
      <c r="Q116" s="178">
        <v>5.0694612836905897</v>
      </c>
      <c r="R116" s="179">
        <v>2403.2082344330302</v>
      </c>
      <c r="S116" s="168">
        <v>0.01</v>
      </c>
      <c r="T116" s="168">
        <v>0.01</v>
      </c>
      <c r="U116" s="175">
        <v>0</v>
      </c>
      <c r="V116" s="176">
        <v>0</v>
      </c>
      <c r="W116" s="167"/>
      <c r="X116" s="175">
        <v>1414.441525</v>
      </c>
      <c r="Y116" s="166">
        <v>600.31827974151497</v>
      </c>
      <c r="Z116" s="177">
        <v>573</v>
      </c>
      <c r="AA116" s="182">
        <v>1.04767588087524</v>
      </c>
      <c r="AB116" s="183">
        <v>-108.443624238239</v>
      </c>
      <c r="AC116" s="168">
        <v>1.0999999999999999E-2</v>
      </c>
      <c r="AD116" s="168">
        <v>5.0000000000000001E-3</v>
      </c>
      <c r="AE116" s="176">
        <v>0</v>
      </c>
      <c r="AF116" s="176">
        <v>206</v>
      </c>
      <c r="AG116" s="167"/>
      <c r="AH116" s="180">
        <v>132.5</v>
      </c>
      <c r="AI116" s="166">
        <v>56.235744397952899</v>
      </c>
      <c r="AJ116" s="181" t="s">
        <v>53</v>
      </c>
      <c r="AK116" s="188">
        <v>0.89263086345956999</v>
      </c>
      <c r="AL116" s="171">
        <v>-34.9376342094398</v>
      </c>
      <c r="AM116" s="168"/>
      <c r="AN116" s="168"/>
      <c r="AO116" s="176">
        <v>16</v>
      </c>
      <c r="AP116" s="176">
        <v>46</v>
      </c>
      <c r="AQ116" s="167"/>
      <c r="AR116" s="180">
        <v>8</v>
      </c>
      <c r="AS116" s="166">
        <v>3.39536569949904</v>
      </c>
      <c r="AT116" s="181" t="s">
        <v>54</v>
      </c>
      <c r="AU116" s="173">
        <v>0.21221035621869</v>
      </c>
      <c r="AV116" s="174">
        <v>-34.523843608746603</v>
      </c>
      <c r="AW116" s="168"/>
      <c r="AX116" s="168"/>
      <c r="AY116" s="176">
        <v>30</v>
      </c>
      <c r="AZ116" s="176">
        <v>38</v>
      </c>
      <c r="BA116" s="167"/>
      <c r="BB116" s="184">
        <v>63.2</v>
      </c>
      <c r="BC116" s="180">
        <v>26.823389026042399</v>
      </c>
      <c r="BD116" s="181" t="s">
        <v>55</v>
      </c>
      <c r="BE116" s="188">
        <v>0.83823090706382597</v>
      </c>
      <c r="BF116" s="171">
        <v>-21.847687217493299</v>
      </c>
      <c r="BG116" s="168"/>
      <c r="BH116" s="168"/>
      <c r="BI116" s="176">
        <v>13</v>
      </c>
      <c r="BJ116" s="176">
        <v>28</v>
      </c>
      <c r="BK116" s="169"/>
      <c r="BL116" s="185">
        <v>0.8</v>
      </c>
      <c r="BM116" s="188">
        <v>0.72</v>
      </c>
      <c r="BN116" s="186"/>
      <c r="BO116" s="187">
        <v>0.95</v>
      </c>
      <c r="BP116" s="178">
        <v>1</v>
      </c>
      <c r="BQ116" s="186">
        <v>2.5000000000000001E-3</v>
      </c>
    </row>
    <row r="117" spans="1:69" s="156" customFormat="1" ht="22.35" customHeight="1" x14ac:dyDescent="0.2">
      <c r="A117" s="165" t="s">
        <v>175</v>
      </c>
      <c r="B117" s="165" t="s">
        <v>176</v>
      </c>
      <c r="C117" s="165" t="s">
        <v>177</v>
      </c>
      <c r="D117" s="166">
        <v>5.36114939544444</v>
      </c>
      <c r="E117" s="167"/>
      <c r="F117" s="168">
        <v>3.5000000000000003E-2</v>
      </c>
      <c r="G117" s="168">
        <v>0.03</v>
      </c>
      <c r="H117" s="169"/>
      <c r="I117" s="170">
        <v>5</v>
      </c>
      <c r="J117" s="170">
        <v>4</v>
      </c>
      <c r="K117" s="167"/>
      <c r="L117" s="171">
        <v>3651.5404899999999</v>
      </c>
      <c r="M117" s="171">
        <v>3039.63085</v>
      </c>
      <c r="N117" s="171">
        <v>6691.1713399999999</v>
      </c>
      <c r="O117" s="166">
        <v>1248.08522323323</v>
      </c>
      <c r="P117" s="172">
        <v>227.6</v>
      </c>
      <c r="Q117" s="178">
        <v>5.48367848520751</v>
      </c>
      <c r="R117" s="179">
        <v>5314.7884444892397</v>
      </c>
      <c r="S117" s="168">
        <v>0.01</v>
      </c>
      <c r="T117" s="168">
        <v>0.01</v>
      </c>
      <c r="U117" s="175">
        <v>0</v>
      </c>
      <c r="V117" s="176">
        <v>0</v>
      </c>
      <c r="W117" s="167"/>
      <c r="X117" s="175">
        <v>2780.1226099999999</v>
      </c>
      <c r="Y117" s="166">
        <v>518.56838989832397</v>
      </c>
      <c r="Z117" s="177">
        <v>573</v>
      </c>
      <c r="AA117" s="188">
        <v>0.90500591605292202</v>
      </c>
      <c r="AB117" s="171">
        <v>-685.02413484914098</v>
      </c>
      <c r="AC117" s="168"/>
      <c r="AD117" s="168"/>
      <c r="AE117" s="176">
        <v>292</v>
      </c>
      <c r="AF117" s="176">
        <v>907</v>
      </c>
      <c r="AG117" s="167"/>
      <c r="AH117" s="180">
        <v>333.35</v>
      </c>
      <c r="AI117" s="166">
        <v>62.178830584959798</v>
      </c>
      <c r="AJ117" s="181" t="s">
        <v>53</v>
      </c>
      <c r="AK117" s="182">
        <v>0.98696556484063203</v>
      </c>
      <c r="AL117" s="183">
        <v>-47.634720637863701</v>
      </c>
      <c r="AM117" s="168">
        <v>5.0000000000000001E-3</v>
      </c>
      <c r="AN117" s="168"/>
      <c r="AO117" s="176">
        <v>5</v>
      </c>
      <c r="AP117" s="176">
        <v>72</v>
      </c>
      <c r="AQ117" s="167"/>
      <c r="AR117" s="180">
        <v>48.6</v>
      </c>
      <c r="AS117" s="166">
        <v>9.0652202382752307</v>
      </c>
      <c r="AT117" s="181" t="s">
        <v>54</v>
      </c>
      <c r="AU117" s="173">
        <v>0.56657626489220203</v>
      </c>
      <c r="AV117" s="174">
        <v>-48.158024288981302</v>
      </c>
      <c r="AW117" s="168"/>
      <c r="AX117" s="168"/>
      <c r="AY117" s="176">
        <v>38</v>
      </c>
      <c r="AZ117" s="176">
        <v>55</v>
      </c>
      <c r="BA117" s="167"/>
      <c r="BB117" s="184">
        <v>213.4</v>
      </c>
      <c r="BC117" s="180">
        <v>39.804897095636498</v>
      </c>
      <c r="BD117" s="181" t="s">
        <v>55</v>
      </c>
      <c r="BE117" s="178">
        <v>1.2439030342386399</v>
      </c>
      <c r="BF117" s="179">
        <v>19.883951422037502</v>
      </c>
      <c r="BG117" s="168">
        <v>0.02</v>
      </c>
      <c r="BH117" s="168">
        <v>0.02</v>
      </c>
      <c r="BI117" s="176">
        <v>0</v>
      </c>
      <c r="BJ117" s="176">
        <v>0</v>
      </c>
      <c r="BK117" s="169"/>
      <c r="BL117" s="185">
        <v>0.8</v>
      </c>
      <c r="BM117" s="182">
        <v>0.83</v>
      </c>
      <c r="BN117" s="186">
        <v>1.1249999999999999E-3</v>
      </c>
      <c r="BO117" s="187">
        <v>0.95</v>
      </c>
      <c r="BP117" s="178">
        <v>1</v>
      </c>
      <c r="BQ117" s="186">
        <v>2.5000000000000001E-3</v>
      </c>
    </row>
    <row r="118" spans="1:69" s="156" customFormat="1" ht="22.35" customHeight="1" x14ac:dyDescent="0.2">
      <c r="A118" s="165" t="s">
        <v>175</v>
      </c>
      <c r="B118" s="165" t="s">
        <v>176</v>
      </c>
      <c r="C118" s="165" t="s">
        <v>178</v>
      </c>
      <c r="D118" s="166">
        <v>9.7145609433333302</v>
      </c>
      <c r="E118" s="167"/>
      <c r="F118" s="168">
        <v>7.6999999999999999E-2</v>
      </c>
      <c r="G118" s="168">
        <v>7.3999999999999996E-2</v>
      </c>
      <c r="H118" s="169"/>
      <c r="I118" s="170">
        <v>6</v>
      </c>
      <c r="J118" s="170">
        <v>6</v>
      </c>
      <c r="K118" s="167"/>
      <c r="L118" s="171">
        <v>5710.6198299999996</v>
      </c>
      <c r="M118" s="171">
        <v>2623.6504399999999</v>
      </c>
      <c r="N118" s="171">
        <v>8334.2702700000009</v>
      </c>
      <c r="O118" s="166">
        <v>857.915279817091</v>
      </c>
      <c r="P118" s="172">
        <v>242.374</v>
      </c>
      <c r="Q118" s="178">
        <v>3.5396341184165401</v>
      </c>
      <c r="R118" s="179">
        <v>5678.3299806783498</v>
      </c>
      <c r="S118" s="168">
        <v>0.01</v>
      </c>
      <c r="T118" s="168">
        <v>0.01</v>
      </c>
      <c r="U118" s="175">
        <v>0</v>
      </c>
      <c r="V118" s="176">
        <v>0</v>
      </c>
      <c r="W118" s="167"/>
      <c r="X118" s="175">
        <v>6763.4544550000001</v>
      </c>
      <c r="Y118" s="166">
        <v>696.21823306810904</v>
      </c>
      <c r="Z118" s="177">
        <v>573</v>
      </c>
      <c r="AA118" s="178">
        <v>1.21504054636668</v>
      </c>
      <c r="AB118" s="179">
        <v>484.50627664216199</v>
      </c>
      <c r="AC118" s="168">
        <v>0.02</v>
      </c>
      <c r="AD118" s="168">
        <v>0.02</v>
      </c>
      <c r="AE118" s="176">
        <v>0</v>
      </c>
      <c r="AF118" s="176">
        <v>0</v>
      </c>
      <c r="AG118" s="167"/>
      <c r="AH118" s="180">
        <v>761.7</v>
      </c>
      <c r="AI118" s="166">
        <v>78.408072628616395</v>
      </c>
      <c r="AJ118" s="181" t="s">
        <v>53</v>
      </c>
      <c r="AK118" s="178">
        <v>1.24457258140661</v>
      </c>
      <c r="AL118" s="179">
        <v>71.344441122960404</v>
      </c>
      <c r="AM118" s="168">
        <v>0.02</v>
      </c>
      <c r="AN118" s="168">
        <v>0.02</v>
      </c>
      <c r="AO118" s="176">
        <v>0</v>
      </c>
      <c r="AP118" s="176">
        <v>0</v>
      </c>
      <c r="AQ118" s="167"/>
      <c r="AR118" s="180">
        <v>167.1</v>
      </c>
      <c r="AS118" s="166">
        <v>17.200983243063899</v>
      </c>
      <c r="AT118" s="181" t="s">
        <v>54</v>
      </c>
      <c r="AU118" s="182">
        <v>1.0750614526915001</v>
      </c>
      <c r="AV118" s="183">
        <v>-8.2283959052799407</v>
      </c>
      <c r="AW118" s="168">
        <v>7.0000000000000001E-3</v>
      </c>
      <c r="AX118" s="168">
        <v>4.0000000000000001E-3</v>
      </c>
      <c r="AY118" s="176">
        <v>0</v>
      </c>
      <c r="AZ118" s="176">
        <v>20</v>
      </c>
      <c r="BA118" s="167"/>
      <c r="BB118" s="184">
        <v>485.2</v>
      </c>
      <c r="BC118" s="180">
        <v>49.945643743474697</v>
      </c>
      <c r="BD118" s="181" t="s">
        <v>55</v>
      </c>
      <c r="BE118" s="178">
        <v>1.5608013669835801</v>
      </c>
      <c r="BF118" s="179">
        <v>134.54320818944001</v>
      </c>
      <c r="BG118" s="168">
        <v>0.02</v>
      </c>
      <c r="BH118" s="168">
        <v>0.02</v>
      </c>
      <c r="BI118" s="176">
        <v>0</v>
      </c>
      <c r="BJ118" s="176">
        <v>0</v>
      </c>
      <c r="BK118" s="169"/>
      <c r="BL118" s="185">
        <v>0.8</v>
      </c>
      <c r="BM118" s="188">
        <v>0.76</v>
      </c>
      <c r="BN118" s="186"/>
      <c r="BO118" s="187">
        <v>0.95</v>
      </c>
      <c r="BP118" s="178">
        <v>1</v>
      </c>
      <c r="BQ118" s="186">
        <v>2.5000000000000001E-3</v>
      </c>
    </row>
    <row r="119" spans="1:69" s="156" customFormat="1" ht="22.35" customHeight="1" x14ac:dyDescent="0.2">
      <c r="A119" s="165" t="s">
        <v>175</v>
      </c>
      <c r="B119" s="165" t="s">
        <v>176</v>
      </c>
      <c r="C119" s="165" t="s">
        <v>179</v>
      </c>
      <c r="D119" s="166">
        <v>2.7303992304444402</v>
      </c>
      <c r="E119" s="167"/>
      <c r="F119" s="168">
        <v>0.08</v>
      </c>
      <c r="G119" s="168">
        <v>0.08</v>
      </c>
      <c r="H119" s="169"/>
      <c r="I119" s="170">
        <v>7</v>
      </c>
      <c r="J119" s="170">
        <v>7</v>
      </c>
      <c r="K119" s="167"/>
      <c r="L119" s="171">
        <v>597.04618000000005</v>
      </c>
      <c r="M119" s="171">
        <v>3098.60185</v>
      </c>
      <c r="N119" s="171">
        <v>3695.6480299999998</v>
      </c>
      <c r="O119" s="166">
        <v>1353.5192908029201</v>
      </c>
      <c r="P119" s="172">
        <v>212.5</v>
      </c>
      <c r="Q119" s="178">
        <v>6.3695025449549201</v>
      </c>
      <c r="R119" s="179">
        <v>3041.17133446247</v>
      </c>
      <c r="S119" s="168">
        <v>0.01</v>
      </c>
      <c r="T119" s="168">
        <v>0.01</v>
      </c>
      <c r="U119" s="175">
        <v>0</v>
      </c>
      <c r="V119" s="176">
        <v>0</v>
      </c>
      <c r="W119" s="167"/>
      <c r="X119" s="175">
        <v>1937.42713</v>
      </c>
      <c r="Y119" s="166">
        <v>709.57650016793798</v>
      </c>
      <c r="Z119" s="177">
        <v>573</v>
      </c>
      <c r="AA119" s="178">
        <v>1.2383534034344501</v>
      </c>
      <c r="AB119" s="179">
        <v>172.64996979761901</v>
      </c>
      <c r="AC119" s="168">
        <v>0.02</v>
      </c>
      <c r="AD119" s="168">
        <v>0.02</v>
      </c>
      <c r="AE119" s="176">
        <v>0</v>
      </c>
      <c r="AF119" s="176">
        <v>0</v>
      </c>
      <c r="AG119" s="167"/>
      <c r="AH119" s="180">
        <v>223.05</v>
      </c>
      <c r="AI119" s="166">
        <v>81.691350302531703</v>
      </c>
      <c r="AJ119" s="181" t="s">
        <v>53</v>
      </c>
      <c r="AK119" s="178">
        <v>1.29668810004019</v>
      </c>
      <c r="AL119" s="179">
        <v>29.016909087696298</v>
      </c>
      <c r="AM119" s="168">
        <v>0.02</v>
      </c>
      <c r="AN119" s="168">
        <v>0.02</v>
      </c>
      <c r="AO119" s="176">
        <v>0</v>
      </c>
      <c r="AP119" s="176">
        <v>0</v>
      </c>
      <c r="AQ119" s="167"/>
      <c r="AR119" s="180">
        <v>59.6</v>
      </c>
      <c r="AS119" s="166">
        <v>21.828309697515699</v>
      </c>
      <c r="AT119" s="181" t="s">
        <v>54</v>
      </c>
      <c r="AU119" s="178">
        <v>1.3642693560947301</v>
      </c>
      <c r="AV119" s="179">
        <v>10.3217546889387</v>
      </c>
      <c r="AW119" s="168">
        <v>0.01</v>
      </c>
      <c r="AX119" s="168">
        <v>0.01</v>
      </c>
      <c r="AY119" s="176">
        <v>0</v>
      </c>
      <c r="AZ119" s="176">
        <v>0</v>
      </c>
      <c r="BA119" s="167"/>
      <c r="BB119" s="184">
        <v>157</v>
      </c>
      <c r="BC119" s="180">
        <v>57.500748699831703</v>
      </c>
      <c r="BD119" s="181" t="s">
        <v>55</v>
      </c>
      <c r="BE119" s="178">
        <v>1.7968983968697401</v>
      </c>
      <c r="BF119" s="179">
        <v>58.443509377877497</v>
      </c>
      <c r="BG119" s="168">
        <v>0.02</v>
      </c>
      <c r="BH119" s="168">
        <v>0.02</v>
      </c>
      <c r="BI119" s="176">
        <v>0</v>
      </c>
      <c r="BJ119" s="176">
        <v>0</v>
      </c>
      <c r="BK119" s="169"/>
      <c r="BL119" s="185">
        <v>0.8</v>
      </c>
      <c r="BM119" s="182">
        <v>0.87</v>
      </c>
      <c r="BN119" s="186">
        <v>2.6250000000000002E-3</v>
      </c>
      <c r="BO119" s="187">
        <v>0.95</v>
      </c>
      <c r="BP119" s="178">
        <v>1</v>
      </c>
      <c r="BQ119" s="186">
        <v>2.5000000000000001E-3</v>
      </c>
    </row>
    <row r="120" spans="1:69" s="156" customFormat="1" ht="22.35" customHeight="1" x14ac:dyDescent="0.2">
      <c r="A120" s="165" t="s">
        <v>175</v>
      </c>
      <c r="B120" s="165" t="s">
        <v>176</v>
      </c>
      <c r="C120" s="165" t="s">
        <v>180</v>
      </c>
      <c r="D120" s="166">
        <v>3.1380264342222199</v>
      </c>
      <c r="E120" s="167"/>
      <c r="F120" s="168">
        <v>2.75E-2</v>
      </c>
      <c r="G120" s="168">
        <v>1.7999999999999999E-2</v>
      </c>
      <c r="H120" s="169"/>
      <c r="I120" s="170">
        <v>5</v>
      </c>
      <c r="J120" s="170">
        <v>5</v>
      </c>
      <c r="K120" s="167"/>
      <c r="L120" s="171">
        <v>1366.1096500000001</v>
      </c>
      <c r="M120" s="171">
        <v>1408.4351200000001</v>
      </c>
      <c r="N120" s="171">
        <v>2774.54477</v>
      </c>
      <c r="O120" s="166">
        <v>884.16870544549295</v>
      </c>
      <c r="P120" s="172">
        <v>212.5</v>
      </c>
      <c r="Q120" s="178">
        <v>4.1607939079787899</v>
      </c>
      <c r="R120" s="179">
        <v>2022.3598337169301</v>
      </c>
      <c r="S120" s="168">
        <v>0.01</v>
      </c>
      <c r="T120" s="168">
        <v>0.01</v>
      </c>
      <c r="U120" s="175">
        <v>0</v>
      </c>
      <c r="V120" s="176">
        <v>0</v>
      </c>
      <c r="W120" s="167"/>
      <c r="X120" s="175">
        <v>1617.2624249999999</v>
      </c>
      <c r="Y120" s="166">
        <v>515.37565374297003</v>
      </c>
      <c r="Z120" s="177">
        <v>573</v>
      </c>
      <c r="AA120" s="188">
        <v>0.899433950685812</v>
      </c>
      <c r="AB120" s="171">
        <v>-410.982132600927</v>
      </c>
      <c r="AC120" s="168"/>
      <c r="AD120" s="168"/>
      <c r="AE120" s="176">
        <v>181</v>
      </c>
      <c r="AF120" s="176">
        <v>541</v>
      </c>
      <c r="AG120" s="167"/>
      <c r="AH120" s="180">
        <v>177.2</v>
      </c>
      <c r="AI120" s="166">
        <v>56.468612905078999</v>
      </c>
      <c r="AJ120" s="181" t="s">
        <v>53</v>
      </c>
      <c r="AK120" s="188">
        <v>0.89632718896950803</v>
      </c>
      <c r="AL120" s="171">
        <v>-45.8007105215679</v>
      </c>
      <c r="AM120" s="168"/>
      <c r="AN120" s="168"/>
      <c r="AO120" s="176">
        <v>21</v>
      </c>
      <c r="AP120" s="176">
        <v>61</v>
      </c>
      <c r="AQ120" s="167"/>
      <c r="AR120" s="180">
        <v>53.1</v>
      </c>
      <c r="AS120" s="166">
        <v>16.921463573700301</v>
      </c>
      <c r="AT120" s="181" t="s">
        <v>54</v>
      </c>
      <c r="AU120" s="182">
        <v>1.0575914733562699</v>
      </c>
      <c r="AV120" s="183">
        <v>-3.5351010848426299</v>
      </c>
      <c r="AW120" s="168">
        <v>6.4999999999999997E-3</v>
      </c>
      <c r="AX120" s="168">
        <v>3.0000000000000001E-3</v>
      </c>
      <c r="AY120" s="176">
        <v>0</v>
      </c>
      <c r="AZ120" s="176">
        <v>8</v>
      </c>
      <c r="BA120" s="167"/>
      <c r="BB120" s="184">
        <v>105.2</v>
      </c>
      <c r="BC120" s="180">
        <v>33.524255517010801</v>
      </c>
      <c r="BD120" s="181" t="s">
        <v>55</v>
      </c>
      <c r="BE120" s="182">
        <v>1.04763298490659</v>
      </c>
      <c r="BF120" s="183">
        <v>-8.0702021696852597</v>
      </c>
      <c r="BG120" s="168">
        <v>1.0999999999999999E-2</v>
      </c>
      <c r="BH120" s="168">
        <v>5.0000000000000001E-3</v>
      </c>
      <c r="BI120" s="176">
        <v>0</v>
      </c>
      <c r="BJ120" s="176">
        <v>16</v>
      </c>
      <c r="BK120" s="169"/>
      <c r="BL120" s="185">
        <v>0.8</v>
      </c>
      <c r="BM120" s="182">
        <v>0.86</v>
      </c>
      <c r="BN120" s="186">
        <v>2.2499999999999998E-3</v>
      </c>
      <c r="BO120" s="187">
        <v>0.95</v>
      </c>
      <c r="BP120" s="178">
        <v>1</v>
      </c>
      <c r="BQ120" s="186">
        <v>2.5000000000000001E-3</v>
      </c>
    </row>
    <row r="121" spans="1:69" s="156" customFormat="1" ht="22.35" customHeight="1" x14ac:dyDescent="0.2">
      <c r="A121" s="165" t="s">
        <v>175</v>
      </c>
      <c r="B121" s="165" t="s">
        <v>176</v>
      </c>
      <c r="C121" s="165" t="s">
        <v>181</v>
      </c>
      <c r="D121" s="166">
        <v>2.9645688838888899</v>
      </c>
      <c r="E121" s="167"/>
      <c r="F121" s="168">
        <v>0.08</v>
      </c>
      <c r="G121" s="168">
        <v>0.08</v>
      </c>
      <c r="H121" s="169"/>
      <c r="I121" s="170">
        <v>7</v>
      </c>
      <c r="J121" s="170">
        <v>7</v>
      </c>
      <c r="K121" s="167"/>
      <c r="L121" s="171">
        <v>1068.9679799999999</v>
      </c>
      <c r="M121" s="171">
        <v>-3.9243000000000001</v>
      </c>
      <c r="N121" s="171">
        <v>1065.04368</v>
      </c>
      <c r="O121" s="166">
        <v>359.25752502768199</v>
      </c>
      <c r="P121" s="172">
        <v>221.85</v>
      </c>
      <c r="Q121" s="178">
        <v>1.6193713095680999</v>
      </c>
      <c r="R121" s="179">
        <v>323.169803427234</v>
      </c>
      <c r="S121" s="168">
        <v>0.01</v>
      </c>
      <c r="T121" s="168">
        <v>0.01</v>
      </c>
      <c r="U121" s="175">
        <v>0</v>
      </c>
      <c r="V121" s="176">
        <v>0</v>
      </c>
      <c r="W121" s="167"/>
      <c r="X121" s="175">
        <v>2293.2113100000001</v>
      </c>
      <c r="Y121" s="166">
        <v>773.53955998883396</v>
      </c>
      <c r="Z121" s="177">
        <v>573</v>
      </c>
      <c r="AA121" s="178">
        <v>1.3499817800852301</v>
      </c>
      <c r="AB121" s="179">
        <v>377.07999931171901</v>
      </c>
      <c r="AC121" s="168">
        <v>0.02</v>
      </c>
      <c r="AD121" s="168">
        <v>0.02</v>
      </c>
      <c r="AE121" s="176">
        <v>0</v>
      </c>
      <c r="AF121" s="176">
        <v>0</v>
      </c>
      <c r="AG121" s="167"/>
      <c r="AH121" s="180">
        <v>266.39999999999998</v>
      </c>
      <c r="AI121" s="166">
        <v>89.8612953295723</v>
      </c>
      <c r="AJ121" s="181" t="s">
        <v>53</v>
      </c>
      <c r="AK121" s="178">
        <v>1.42636976713607</v>
      </c>
      <c r="AL121" s="179">
        <v>55.725876835319902</v>
      </c>
      <c r="AM121" s="168">
        <v>0.02</v>
      </c>
      <c r="AN121" s="168">
        <v>0.02</v>
      </c>
      <c r="AO121" s="176">
        <v>0</v>
      </c>
      <c r="AP121" s="176">
        <v>0</v>
      </c>
      <c r="AQ121" s="167"/>
      <c r="AR121" s="180">
        <v>69.5</v>
      </c>
      <c r="AS121" s="166">
        <v>23.4435436389087</v>
      </c>
      <c r="AT121" s="181" t="s">
        <v>54</v>
      </c>
      <c r="AU121" s="178">
        <v>1.46522147743179</v>
      </c>
      <c r="AV121" s="179">
        <v>15.9954607835733</v>
      </c>
      <c r="AW121" s="168">
        <v>0.01</v>
      </c>
      <c r="AX121" s="168">
        <v>0.01</v>
      </c>
      <c r="AY121" s="176">
        <v>0</v>
      </c>
      <c r="AZ121" s="176">
        <v>0</v>
      </c>
      <c r="BA121" s="167"/>
      <c r="BB121" s="184">
        <v>195</v>
      </c>
      <c r="BC121" s="180">
        <v>65.776849058808594</v>
      </c>
      <c r="BD121" s="181" t="s">
        <v>55</v>
      </c>
      <c r="BE121" s="178">
        <v>2.0555265330877699</v>
      </c>
      <c r="BF121" s="179">
        <v>87.9909215671466</v>
      </c>
      <c r="BG121" s="168">
        <v>0.02</v>
      </c>
      <c r="BH121" s="168">
        <v>0.02</v>
      </c>
      <c r="BI121" s="176">
        <v>0</v>
      </c>
      <c r="BJ121" s="176">
        <v>0</v>
      </c>
      <c r="BK121" s="169"/>
      <c r="BL121" s="185">
        <v>0.8</v>
      </c>
      <c r="BM121" s="182">
        <v>0.86</v>
      </c>
      <c r="BN121" s="186">
        <v>2.2499999999999998E-3</v>
      </c>
      <c r="BO121" s="187">
        <v>0.95</v>
      </c>
      <c r="BP121" s="178">
        <v>1</v>
      </c>
      <c r="BQ121" s="186">
        <v>2.5000000000000001E-3</v>
      </c>
    </row>
    <row r="122" spans="1:69" s="156" customFormat="1" ht="22.35" customHeight="1" x14ac:dyDescent="0.2">
      <c r="A122" s="165" t="s">
        <v>175</v>
      </c>
      <c r="B122" s="165" t="s">
        <v>176</v>
      </c>
      <c r="C122" s="165" t="s">
        <v>182</v>
      </c>
      <c r="D122" s="166">
        <v>3.25939735288889</v>
      </c>
      <c r="E122" s="167"/>
      <c r="F122" s="168">
        <v>0.03</v>
      </c>
      <c r="G122" s="168">
        <v>2.9000000000000001E-2</v>
      </c>
      <c r="H122" s="169"/>
      <c r="I122" s="170">
        <v>3</v>
      </c>
      <c r="J122" s="170">
        <v>3</v>
      </c>
      <c r="K122" s="167"/>
      <c r="L122" s="171">
        <v>1166.70171</v>
      </c>
      <c r="M122" s="171">
        <v>515.49360999999999</v>
      </c>
      <c r="N122" s="171">
        <v>1682.19532</v>
      </c>
      <c r="O122" s="166">
        <v>516.10624231164297</v>
      </c>
      <c r="P122" s="172">
        <v>225.95400000000001</v>
      </c>
      <c r="Q122" s="178">
        <v>2.2841208489853799</v>
      </c>
      <c r="R122" s="179">
        <v>851.45279523258796</v>
      </c>
      <c r="S122" s="168">
        <v>0.01</v>
      </c>
      <c r="T122" s="168">
        <v>0.01</v>
      </c>
      <c r="U122" s="175">
        <v>0</v>
      </c>
      <c r="V122" s="176">
        <v>0</v>
      </c>
      <c r="W122" s="167"/>
      <c r="X122" s="175">
        <v>1706.63851</v>
      </c>
      <c r="Y122" s="166">
        <v>523.60553968277702</v>
      </c>
      <c r="Z122" s="177">
        <v>573</v>
      </c>
      <c r="AA122" s="188">
        <v>0.91379675337308297</v>
      </c>
      <c r="AB122" s="171">
        <v>-400.05341265561702</v>
      </c>
      <c r="AC122" s="168"/>
      <c r="AD122" s="168"/>
      <c r="AE122" s="176">
        <v>161</v>
      </c>
      <c r="AF122" s="176">
        <v>535</v>
      </c>
      <c r="AG122" s="167"/>
      <c r="AH122" s="180">
        <v>171.75</v>
      </c>
      <c r="AI122" s="166">
        <v>52.693790110547098</v>
      </c>
      <c r="AJ122" s="181" t="s">
        <v>53</v>
      </c>
      <c r="AK122" s="188">
        <v>0.83640936683408096</v>
      </c>
      <c r="AL122" s="171">
        <v>-59.875813485696099</v>
      </c>
      <c r="AM122" s="168"/>
      <c r="AN122" s="168"/>
      <c r="AO122" s="176">
        <v>34</v>
      </c>
      <c r="AP122" s="176">
        <v>75</v>
      </c>
      <c r="AQ122" s="167"/>
      <c r="AR122" s="180">
        <v>29.1</v>
      </c>
      <c r="AS122" s="166">
        <v>8.9280308134900803</v>
      </c>
      <c r="AT122" s="181" t="s">
        <v>54</v>
      </c>
      <c r="AU122" s="173">
        <v>0.55800192584313002</v>
      </c>
      <c r="AV122" s="174">
        <v>-29.725603424938701</v>
      </c>
      <c r="AW122" s="168"/>
      <c r="AX122" s="168"/>
      <c r="AY122" s="176">
        <v>24</v>
      </c>
      <c r="AZ122" s="176">
        <v>34</v>
      </c>
      <c r="BA122" s="167"/>
      <c r="BB122" s="184">
        <v>124</v>
      </c>
      <c r="BC122" s="180">
        <v>38.043842641675901</v>
      </c>
      <c r="BD122" s="181" t="s">
        <v>55</v>
      </c>
      <c r="BE122" s="178">
        <v>1.1888700825523699</v>
      </c>
      <c r="BF122" s="179">
        <v>6.3487931501226198</v>
      </c>
      <c r="BG122" s="168">
        <v>0.02</v>
      </c>
      <c r="BH122" s="168">
        <v>1.9E-2</v>
      </c>
      <c r="BI122" s="176">
        <v>0</v>
      </c>
      <c r="BJ122" s="176">
        <v>2</v>
      </c>
      <c r="BK122" s="169"/>
      <c r="BL122" s="185">
        <v>0.8</v>
      </c>
      <c r="BM122" s="188">
        <v>0.78</v>
      </c>
      <c r="BN122" s="186"/>
      <c r="BO122" s="187">
        <v>0.95</v>
      </c>
      <c r="BP122" s="178">
        <v>1</v>
      </c>
      <c r="BQ122" s="186">
        <v>2.5000000000000001E-3</v>
      </c>
    </row>
    <row r="123" spans="1:69" s="156" customFormat="1" ht="22.35" customHeight="1" x14ac:dyDescent="0.2">
      <c r="A123" s="165" t="s">
        <v>175</v>
      </c>
      <c r="B123" s="165" t="s">
        <v>176</v>
      </c>
      <c r="C123" s="165" t="s">
        <v>183</v>
      </c>
      <c r="D123" s="166">
        <v>2.4762819977777801</v>
      </c>
      <c r="E123" s="167"/>
      <c r="F123" s="168">
        <v>2.1999999999999999E-2</v>
      </c>
      <c r="G123" s="168">
        <v>1.4999999999999999E-2</v>
      </c>
      <c r="H123" s="169"/>
      <c r="I123" s="170">
        <v>4</v>
      </c>
      <c r="J123" s="170">
        <v>4</v>
      </c>
      <c r="K123" s="167"/>
      <c r="L123" s="171">
        <v>292.65922999999998</v>
      </c>
      <c r="M123" s="171">
        <v>1846.68723</v>
      </c>
      <c r="N123" s="171">
        <v>2139.3464600000002</v>
      </c>
      <c r="O123" s="166">
        <v>863.93490802737904</v>
      </c>
      <c r="P123" s="172">
        <v>224.404</v>
      </c>
      <c r="Q123" s="178">
        <v>3.84990868267669</v>
      </c>
      <c r="R123" s="179">
        <v>1512.5308636357199</v>
      </c>
      <c r="S123" s="168">
        <v>0.01</v>
      </c>
      <c r="T123" s="168">
        <v>0.01</v>
      </c>
      <c r="U123" s="175">
        <v>0</v>
      </c>
      <c r="V123" s="176">
        <v>0</v>
      </c>
      <c r="W123" s="167"/>
      <c r="X123" s="175">
        <v>1045.0889299999999</v>
      </c>
      <c r="Y123" s="166">
        <v>422.03954595553603</v>
      </c>
      <c r="Z123" s="177">
        <v>573</v>
      </c>
      <c r="AA123" s="173">
        <v>0.73654371021908505</v>
      </c>
      <c r="AB123" s="174">
        <v>-555.44108157168102</v>
      </c>
      <c r="AC123" s="168"/>
      <c r="AD123" s="168"/>
      <c r="AE123" s="176">
        <v>374</v>
      </c>
      <c r="AF123" s="176">
        <v>658</v>
      </c>
      <c r="AG123" s="167"/>
      <c r="AH123" s="180">
        <v>145</v>
      </c>
      <c r="AI123" s="166">
        <v>58.555528057839702</v>
      </c>
      <c r="AJ123" s="181" t="s">
        <v>53</v>
      </c>
      <c r="AK123" s="188">
        <v>0.92945282631491599</v>
      </c>
      <c r="AL123" s="171">
        <v>-30.9745038900802</v>
      </c>
      <c r="AM123" s="168"/>
      <c r="AN123" s="168"/>
      <c r="AO123" s="176">
        <v>12</v>
      </c>
      <c r="AP123" s="176">
        <v>43</v>
      </c>
      <c r="AQ123" s="167"/>
      <c r="AR123" s="180">
        <v>27.9</v>
      </c>
      <c r="AS123" s="166">
        <v>11.2668912607843</v>
      </c>
      <c r="AT123" s="181" t="s">
        <v>54</v>
      </c>
      <c r="AU123" s="173">
        <v>0.70418070379901998</v>
      </c>
      <c r="AV123" s="174">
        <v>-16.7919374958934</v>
      </c>
      <c r="AW123" s="168"/>
      <c r="AX123" s="168"/>
      <c r="AY123" s="176">
        <v>12</v>
      </c>
      <c r="AZ123" s="176">
        <v>20</v>
      </c>
      <c r="BA123" s="167"/>
      <c r="BB123" s="184">
        <v>83.2</v>
      </c>
      <c r="BC123" s="180">
        <v>33.598758168360398</v>
      </c>
      <c r="BD123" s="181" t="s">
        <v>55</v>
      </c>
      <c r="BE123" s="182">
        <v>1.04996119276126</v>
      </c>
      <c r="BF123" s="183">
        <v>-6.1838749917867499</v>
      </c>
      <c r="BG123" s="168">
        <v>1.2E-2</v>
      </c>
      <c r="BH123" s="168">
        <v>5.0000000000000001E-3</v>
      </c>
      <c r="BI123" s="176">
        <v>0</v>
      </c>
      <c r="BJ123" s="176">
        <v>12</v>
      </c>
      <c r="BK123" s="169"/>
      <c r="BL123" s="185">
        <v>0.8</v>
      </c>
      <c r="BM123" s="182">
        <v>0.84</v>
      </c>
      <c r="BN123" s="186">
        <v>1.5E-3</v>
      </c>
      <c r="BO123" s="187">
        <v>0.95</v>
      </c>
      <c r="BP123" s="178">
        <v>1</v>
      </c>
      <c r="BQ123" s="186">
        <v>2.5000000000000001E-3</v>
      </c>
    </row>
    <row r="124" spans="1:69" s="156" customFormat="1" ht="22.35" customHeight="1" x14ac:dyDescent="0.2">
      <c r="A124" s="165" t="s">
        <v>175</v>
      </c>
      <c r="B124" s="165" t="s">
        <v>176</v>
      </c>
      <c r="C124" s="165" t="s">
        <v>184</v>
      </c>
      <c r="D124" s="166">
        <v>6.49187964211111</v>
      </c>
      <c r="E124" s="167"/>
      <c r="F124" s="168">
        <v>1.2999999999999999E-2</v>
      </c>
      <c r="G124" s="168">
        <v>1E-3</v>
      </c>
      <c r="H124" s="169"/>
      <c r="I124" s="170">
        <v>3</v>
      </c>
      <c r="J124" s="170">
        <v>2</v>
      </c>
      <c r="K124" s="167"/>
      <c r="L124" s="171">
        <v>2527.58772</v>
      </c>
      <c r="M124" s="171">
        <v>-1108.96109</v>
      </c>
      <c r="N124" s="171">
        <v>1418.62663</v>
      </c>
      <c r="O124" s="166">
        <v>218.523248767236</v>
      </c>
      <c r="P124" s="172">
        <v>272.23099999999999</v>
      </c>
      <c r="Q124" s="188">
        <v>0.80271258147395297</v>
      </c>
      <c r="R124" s="171">
        <v>-574.87749036854802</v>
      </c>
      <c r="S124" s="168"/>
      <c r="T124" s="168"/>
      <c r="U124" s="175">
        <v>349</v>
      </c>
      <c r="V124" s="176">
        <v>703</v>
      </c>
      <c r="W124" s="167"/>
      <c r="X124" s="175">
        <v>3713.3519449999999</v>
      </c>
      <c r="Y124" s="166">
        <v>571.99950549182495</v>
      </c>
      <c r="Z124" s="177">
        <v>573</v>
      </c>
      <c r="AA124" s="182">
        <v>0.99825393628590697</v>
      </c>
      <c r="AB124" s="183">
        <v>-482.63551040066397</v>
      </c>
      <c r="AC124" s="168">
        <v>6.0000000000000001E-3</v>
      </c>
      <c r="AD124" s="168">
        <v>0</v>
      </c>
      <c r="AE124" s="176">
        <v>7</v>
      </c>
      <c r="AF124" s="176">
        <v>751</v>
      </c>
      <c r="AG124" s="167"/>
      <c r="AH124" s="180">
        <v>225.4</v>
      </c>
      <c r="AI124" s="166">
        <v>34.720298654012197</v>
      </c>
      <c r="AJ124" s="181" t="s">
        <v>53</v>
      </c>
      <c r="AK124" s="173">
        <v>0.55111585165098798</v>
      </c>
      <c r="AL124" s="174">
        <v>-235.93893488698399</v>
      </c>
      <c r="AM124" s="168"/>
      <c r="AN124" s="168"/>
      <c r="AO124" s="176">
        <v>184</v>
      </c>
      <c r="AP124" s="176">
        <v>266</v>
      </c>
      <c r="AQ124" s="167"/>
      <c r="AR124" s="180">
        <v>51.8</v>
      </c>
      <c r="AS124" s="166">
        <v>7.9791990695556096</v>
      </c>
      <c r="AT124" s="181" t="s">
        <v>54</v>
      </c>
      <c r="AU124" s="173">
        <v>0.49869994184722599</v>
      </c>
      <c r="AV124" s="174">
        <v>-65.365443780821295</v>
      </c>
      <c r="AW124" s="168"/>
      <c r="AX124" s="168"/>
      <c r="AY124" s="176">
        <v>53</v>
      </c>
      <c r="AZ124" s="176">
        <v>73</v>
      </c>
      <c r="BA124" s="167"/>
      <c r="BB124" s="184">
        <v>209.6</v>
      </c>
      <c r="BC124" s="180">
        <v>32.2864888992057</v>
      </c>
      <c r="BD124" s="181" t="s">
        <v>55</v>
      </c>
      <c r="BE124" s="182">
        <v>1.0089527781001799</v>
      </c>
      <c r="BF124" s="183">
        <v>-24.7308875616426</v>
      </c>
      <c r="BG124" s="168">
        <v>7.0000000000000001E-3</v>
      </c>
      <c r="BH124" s="168">
        <v>1E-3</v>
      </c>
      <c r="BI124" s="176">
        <v>0</v>
      </c>
      <c r="BJ124" s="176">
        <v>40</v>
      </c>
      <c r="BK124" s="169"/>
      <c r="BL124" s="185">
        <v>0.8</v>
      </c>
      <c r="BM124" s="188">
        <v>0.79</v>
      </c>
      <c r="BN124" s="186"/>
      <c r="BO124" s="187">
        <v>0.95</v>
      </c>
      <c r="BP124" s="178">
        <v>1</v>
      </c>
      <c r="BQ124" s="186">
        <v>2.5000000000000001E-3</v>
      </c>
    </row>
    <row r="125" spans="1:69" s="156" customFormat="1" ht="22.35" customHeight="1" x14ac:dyDescent="0.2">
      <c r="A125" s="165" t="s">
        <v>175</v>
      </c>
      <c r="B125" s="165" t="s">
        <v>176</v>
      </c>
      <c r="C125" s="165" t="s">
        <v>185</v>
      </c>
      <c r="D125" s="166">
        <v>2.7823128829999999</v>
      </c>
      <c r="E125" s="167"/>
      <c r="F125" s="168">
        <v>0.03</v>
      </c>
      <c r="G125" s="168">
        <v>2.5999999999999999E-2</v>
      </c>
      <c r="H125" s="169"/>
      <c r="I125" s="170">
        <v>4</v>
      </c>
      <c r="J125" s="170">
        <v>4</v>
      </c>
      <c r="K125" s="167"/>
      <c r="L125" s="171">
        <v>387.42970000000003</v>
      </c>
      <c r="M125" s="171">
        <v>880.97780999999998</v>
      </c>
      <c r="N125" s="171">
        <v>1268.40751</v>
      </c>
      <c r="O125" s="166">
        <v>455.88241270419297</v>
      </c>
      <c r="P125" s="172">
        <v>278.23599999999999</v>
      </c>
      <c r="Q125" s="178">
        <v>1.6384738592568699</v>
      </c>
      <c r="R125" s="179">
        <v>395.17803294936999</v>
      </c>
      <c r="S125" s="168">
        <v>0.01</v>
      </c>
      <c r="T125" s="168">
        <v>0.01</v>
      </c>
      <c r="U125" s="175">
        <v>0</v>
      </c>
      <c r="V125" s="176">
        <v>0</v>
      </c>
      <c r="W125" s="167"/>
      <c r="X125" s="175">
        <v>1308.5062250000001</v>
      </c>
      <c r="Y125" s="166">
        <v>470.29442051431602</v>
      </c>
      <c r="Z125" s="177">
        <v>573</v>
      </c>
      <c r="AA125" s="188">
        <v>0.82075815098484395</v>
      </c>
      <c r="AB125" s="171">
        <v>-489.82501304975199</v>
      </c>
      <c r="AC125" s="168"/>
      <c r="AD125" s="168"/>
      <c r="AE125" s="176">
        <v>286</v>
      </c>
      <c r="AF125" s="176">
        <v>605</v>
      </c>
      <c r="AG125" s="167"/>
      <c r="AH125" s="180">
        <v>135.35</v>
      </c>
      <c r="AI125" s="166">
        <v>48.646577754425699</v>
      </c>
      <c r="AJ125" s="181" t="s">
        <v>53</v>
      </c>
      <c r="AK125" s="188">
        <v>0.77216790086390097</v>
      </c>
      <c r="AL125" s="171">
        <v>-62.3722827175121</v>
      </c>
      <c r="AM125" s="168"/>
      <c r="AN125" s="168"/>
      <c r="AO125" s="176">
        <v>40</v>
      </c>
      <c r="AP125" s="176">
        <v>75</v>
      </c>
      <c r="AQ125" s="167"/>
      <c r="AR125" s="180">
        <v>19.100000000000001</v>
      </c>
      <c r="AS125" s="166">
        <v>6.8647922800851999</v>
      </c>
      <c r="AT125" s="181" t="s">
        <v>54</v>
      </c>
      <c r="AU125" s="173">
        <v>0.429049517505325</v>
      </c>
      <c r="AV125" s="174">
        <v>-31.115182912384</v>
      </c>
      <c r="AW125" s="168"/>
      <c r="AX125" s="168"/>
      <c r="AY125" s="176">
        <v>26</v>
      </c>
      <c r="AZ125" s="176">
        <v>35</v>
      </c>
      <c r="BA125" s="167"/>
      <c r="BB125" s="184">
        <v>103</v>
      </c>
      <c r="BC125" s="180">
        <v>37.019560463286702</v>
      </c>
      <c r="BD125" s="181" t="s">
        <v>55</v>
      </c>
      <c r="BE125" s="178">
        <v>1.1568612644777101</v>
      </c>
      <c r="BF125" s="179">
        <v>2.5696341752319798</v>
      </c>
      <c r="BG125" s="168">
        <v>0.02</v>
      </c>
      <c r="BH125" s="168">
        <v>1.6E-2</v>
      </c>
      <c r="BI125" s="176">
        <v>0</v>
      </c>
      <c r="BJ125" s="176">
        <v>4</v>
      </c>
      <c r="BK125" s="169"/>
      <c r="BL125" s="185">
        <v>0.8</v>
      </c>
      <c r="BM125" s="182">
        <v>0.84</v>
      </c>
      <c r="BN125" s="186">
        <v>1.5E-3</v>
      </c>
      <c r="BO125" s="187">
        <v>0.95</v>
      </c>
      <c r="BP125" s="178">
        <v>1</v>
      </c>
      <c r="BQ125" s="186">
        <v>2.5000000000000001E-3</v>
      </c>
    </row>
    <row r="126" spans="1:69" s="156" customFormat="1" ht="22.35" customHeight="1" x14ac:dyDescent="0.2">
      <c r="A126" s="165" t="s">
        <v>175</v>
      </c>
      <c r="B126" s="165" t="s">
        <v>176</v>
      </c>
      <c r="C126" s="165" t="s">
        <v>186</v>
      </c>
      <c r="D126" s="166">
        <v>6.3293904736666704</v>
      </c>
      <c r="E126" s="167"/>
      <c r="F126" s="168">
        <v>2.4E-2</v>
      </c>
      <c r="G126" s="168">
        <v>1.7000000000000001E-2</v>
      </c>
      <c r="H126" s="169"/>
      <c r="I126" s="170">
        <v>3</v>
      </c>
      <c r="J126" s="170">
        <v>3</v>
      </c>
      <c r="K126" s="167"/>
      <c r="L126" s="171">
        <v>2434.8150999999998</v>
      </c>
      <c r="M126" s="171">
        <v>1173.2611300000001</v>
      </c>
      <c r="N126" s="171">
        <v>3608.0762300000001</v>
      </c>
      <c r="O126" s="166">
        <v>570.05113604719804</v>
      </c>
      <c r="P126" s="172">
        <v>213.245</v>
      </c>
      <c r="Q126" s="178">
        <v>2.67322158103214</v>
      </c>
      <c r="R126" s="179">
        <v>2085.6023668836501</v>
      </c>
      <c r="S126" s="168">
        <v>0.01</v>
      </c>
      <c r="T126" s="168">
        <v>0.01</v>
      </c>
      <c r="U126" s="175">
        <v>0</v>
      </c>
      <c r="V126" s="176">
        <v>0</v>
      </c>
      <c r="W126" s="167"/>
      <c r="X126" s="175">
        <v>3054.2521449999999</v>
      </c>
      <c r="Y126" s="166">
        <v>482.55075393233699</v>
      </c>
      <c r="Z126" s="177">
        <v>573</v>
      </c>
      <c r="AA126" s="188">
        <v>0.84214791262187905</v>
      </c>
      <c r="AB126" s="171">
        <v>-1036.7114113116099</v>
      </c>
      <c r="AC126" s="168"/>
      <c r="AD126" s="168"/>
      <c r="AE126" s="176">
        <v>573</v>
      </c>
      <c r="AF126" s="176">
        <v>1298</v>
      </c>
      <c r="AG126" s="167"/>
      <c r="AH126" s="180">
        <v>256.5</v>
      </c>
      <c r="AI126" s="166">
        <v>40.525229256618701</v>
      </c>
      <c r="AJ126" s="181" t="s">
        <v>53</v>
      </c>
      <c r="AK126" s="173">
        <v>0.64325760724791603</v>
      </c>
      <c r="AL126" s="174">
        <v>-193.29180462064801</v>
      </c>
      <c r="AM126" s="168"/>
      <c r="AN126" s="168"/>
      <c r="AO126" s="176">
        <v>143</v>
      </c>
      <c r="AP126" s="176">
        <v>223</v>
      </c>
      <c r="AQ126" s="167"/>
      <c r="AR126" s="180">
        <v>83.9</v>
      </c>
      <c r="AS126" s="166">
        <v>13.255620797779001</v>
      </c>
      <c r="AT126" s="181" t="s">
        <v>54</v>
      </c>
      <c r="AU126" s="188">
        <v>0.82847629986118598</v>
      </c>
      <c r="AV126" s="171">
        <v>-30.332839268736102</v>
      </c>
      <c r="AW126" s="168"/>
      <c r="AX126" s="168"/>
      <c r="AY126" s="176">
        <v>18</v>
      </c>
      <c r="AZ126" s="176">
        <v>38</v>
      </c>
      <c r="BA126" s="167"/>
      <c r="BB126" s="184">
        <v>217.6</v>
      </c>
      <c r="BC126" s="180">
        <v>34.379297802106102</v>
      </c>
      <c r="BD126" s="181" t="s">
        <v>55</v>
      </c>
      <c r="BE126" s="182">
        <v>1.0743530563158199</v>
      </c>
      <c r="BF126" s="183">
        <v>-10.8656785374721</v>
      </c>
      <c r="BG126" s="168">
        <v>1.4E-2</v>
      </c>
      <c r="BH126" s="168">
        <v>7.0000000000000001E-3</v>
      </c>
      <c r="BI126" s="176">
        <v>0</v>
      </c>
      <c r="BJ126" s="176">
        <v>26</v>
      </c>
      <c r="BK126" s="169"/>
      <c r="BL126" s="185">
        <v>0.8</v>
      </c>
      <c r="BM126" s="188">
        <v>0.74</v>
      </c>
      <c r="BN126" s="186"/>
      <c r="BO126" s="187">
        <v>0.95</v>
      </c>
      <c r="BP126" s="178">
        <v>1</v>
      </c>
      <c r="BQ126" s="186">
        <v>2.5000000000000001E-3</v>
      </c>
    </row>
    <row r="127" spans="1:69" s="156" customFormat="1" ht="22.35" customHeight="1" x14ac:dyDescent="0.2">
      <c r="A127" s="165" t="s">
        <v>175</v>
      </c>
      <c r="B127" s="165" t="s">
        <v>187</v>
      </c>
      <c r="C127" s="165" t="s">
        <v>188</v>
      </c>
      <c r="D127" s="166">
        <v>2.9213564213333298</v>
      </c>
      <c r="E127" s="167"/>
      <c r="F127" s="168">
        <v>5.8000000000000003E-2</v>
      </c>
      <c r="G127" s="168">
        <v>0.05</v>
      </c>
      <c r="H127" s="169"/>
      <c r="I127" s="170">
        <v>6</v>
      </c>
      <c r="J127" s="170">
        <v>6</v>
      </c>
      <c r="K127" s="167"/>
      <c r="L127" s="171">
        <v>1450.0682099999999</v>
      </c>
      <c r="M127" s="171">
        <v>1122.07206</v>
      </c>
      <c r="N127" s="171">
        <v>2572.1402699999999</v>
      </c>
      <c r="O127" s="166">
        <v>880.46095684074498</v>
      </c>
      <c r="P127" s="172">
        <v>212.5</v>
      </c>
      <c r="Q127" s="178">
        <v>4.1433456792505599</v>
      </c>
      <c r="R127" s="179">
        <v>1871.8911358063999</v>
      </c>
      <c r="S127" s="168">
        <v>0.01</v>
      </c>
      <c r="T127" s="168">
        <v>0.01</v>
      </c>
      <c r="U127" s="175">
        <v>0</v>
      </c>
      <c r="V127" s="176">
        <v>0</v>
      </c>
      <c r="W127" s="167"/>
      <c r="X127" s="175">
        <v>1973.76368</v>
      </c>
      <c r="Y127" s="166">
        <v>675.63261558449506</v>
      </c>
      <c r="Z127" s="177">
        <v>573</v>
      </c>
      <c r="AA127" s="178">
        <v>1.17911451236387</v>
      </c>
      <c r="AB127" s="179">
        <v>85.562485209730099</v>
      </c>
      <c r="AC127" s="168">
        <v>0.02</v>
      </c>
      <c r="AD127" s="168">
        <v>1.7999999999999999E-2</v>
      </c>
      <c r="AE127" s="176">
        <v>0</v>
      </c>
      <c r="AF127" s="176">
        <v>35</v>
      </c>
      <c r="AG127" s="167"/>
      <c r="AH127" s="180">
        <v>187</v>
      </c>
      <c r="AI127" s="166">
        <v>64.011360830340394</v>
      </c>
      <c r="AJ127" s="181" t="s">
        <v>53</v>
      </c>
      <c r="AK127" s="182">
        <v>1.0160533465133399</v>
      </c>
      <c r="AL127" s="183">
        <v>-20.6032727256318</v>
      </c>
      <c r="AM127" s="168">
        <v>8.0000000000000002E-3</v>
      </c>
      <c r="AN127" s="168">
        <v>2E-3</v>
      </c>
      <c r="AO127" s="176">
        <v>0</v>
      </c>
      <c r="AP127" s="176">
        <v>34</v>
      </c>
      <c r="AQ127" s="167"/>
      <c r="AR127" s="180">
        <v>17.399999999999999</v>
      </c>
      <c r="AS127" s="166">
        <v>5.9561373179033303</v>
      </c>
      <c r="AT127" s="181" t="s">
        <v>54</v>
      </c>
      <c r="AU127" s="173">
        <v>0.37225858236895798</v>
      </c>
      <c r="AV127" s="174">
        <v>-35.324640692223902</v>
      </c>
      <c r="AW127" s="168"/>
      <c r="AX127" s="168"/>
      <c r="AY127" s="176">
        <v>30</v>
      </c>
      <c r="AZ127" s="176">
        <v>39</v>
      </c>
      <c r="BA127" s="167"/>
      <c r="BB127" s="184">
        <v>125.4</v>
      </c>
      <c r="BC127" s="180">
        <v>42.925265497993003</v>
      </c>
      <c r="BD127" s="181" t="s">
        <v>55</v>
      </c>
      <c r="BE127" s="178">
        <v>1.34141454681228</v>
      </c>
      <c r="BF127" s="179">
        <v>19.950718615552098</v>
      </c>
      <c r="BG127" s="168">
        <v>0.02</v>
      </c>
      <c r="BH127" s="168">
        <v>0.02</v>
      </c>
      <c r="BI127" s="176">
        <v>0</v>
      </c>
      <c r="BJ127" s="176">
        <v>0</v>
      </c>
      <c r="BK127" s="169"/>
      <c r="BL127" s="185">
        <v>0.8</v>
      </c>
      <c r="BM127" s="182">
        <v>0.85</v>
      </c>
      <c r="BN127" s="186">
        <v>1.8749999999999999E-3</v>
      </c>
      <c r="BO127" s="187">
        <v>0.95</v>
      </c>
      <c r="BP127" s="178">
        <v>1</v>
      </c>
      <c r="BQ127" s="186">
        <v>2.5000000000000001E-3</v>
      </c>
    </row>
    <row r="128" spans="1:69" s="156" customFormat="1" ht="22.35" customHeight="1" x14ac:dyDescent="0.2">
      <c r="A128" s="165" t="s">
        <v>175</v>
      </c>
      <c r="B128" s="165" t="s">
        <v>187</v>
      </c>
      <c r="C128" s="165" t="s">
        <v>189</v>
      </c>
      <c r="D128" s="166">
        <v>8.5281722426666704</v>
      </c>
      <c r="E128" s="167"/>
      <c r="F128" s="168">
        <v>0.04</v>
      </c>
      <c r="G128" s="168">
        <v>0.04</v>
      </c>
      <c r="H128" s="169"/>
      <c r="I128" s="170">
        <v>4</v>
      </c>
      <c r="J128" s="170">
        <v>4</v>
      </c>
      <c r="K128" s="167"/>
      <c r="L128" s="171">
        <v>9000.1027400000003</v>
      </c>
      <c r="M128" s="171">
        <v>2918.71695</v>
      </c>
      <c r="N128" s="171">
        <v>11918.81969</v>
      </c>
      <c r="O128" s="166">
        <v>1397.5819613926001</v>
      </c>
      <c r="P128" s="172">
        <v>246.12100000000001</v>
      </c>
      <c r="Q128" s="178">
        <v>5.6784344342522601</v>
      </c>
      <c r="R128" s="179">
        <v>9551.1902375538502</v>
      </c>
      <c r="S128" s="168">
        <v>0.01</v>
      </c>
      <c r="T128" s="168">
        <v>0.01</v>
      </c>
      <c r="U128" s="175">
        <v>0</v>
      </c>
      <c r="V128" s="176">
        <v>0</v>
      </c>
      <c r="W128" s="167"/>
      <c r="X128" s="175">
        <v>4264.502125</v>
      </c>
      <c r="Y128" s="166">
        <v>500.04877993253803</v>
      </c>
      <c r="Z128" s="177">
        <v>573</v>
      </c>
      <c r="AA128" s="188">
        <v>0.87268547981245703</v>
      </c>
      <c r="AB128" s="171">
        <v>-1247.6308350141501</v>
      </c>
      <c r="AC128" s="168"/>
      <c r="AD128" s="168"/>
      <c r="AE128" s="176">
        <v>623</v>
      </c>
      <c r="AF128" s="176">
        <v>1600</v>
      </c>
      <c r="AG128" s="167"/>
      <c r="AH128" s="180">
        <v>388.05</v>
      </c>
      <c r="AI128" s="166">
        <v>45.502129759830098</v>
      </c>
      <c r="AJ128" s="181" t="s">
        <v>53</v>
      </c>
      <c r="AK128" s="173">
        <v>0.72225602793381105</v>
      </c>
      <c r="AL128" s="174">
        <v>-217.99603225286401</v>
      </c>
      <c r="AM128" s="168"/>
      <c r="AN128" s="168"/>
      <c r="AO128" s="176">
        <v>150</v>
      </c>
      <c r="AP128" s="176">
        <v>257</v>
      </c>
      <c r="AQ128" s="167"/>
      <c r="AR128" s="180">
        <v>188.6</v>
      </c>
      <c r="AS128" s="166">
        <v>22.114937953108999</v>
      </c>
      <c r="AT128" s="181" t="s">
        <v>54</v>
      </c>
      <c r="AU128" s="178">
        <v>1.38218362206931</v>
      </c>
      <c r="AV128" s="179">
        <v>34.683547364351902</v>
      </c>
      <c r="AW128" s="168">
        <v>0.01</v>
      </c>
      <c r="AX128" s="168">
        <v>0.01</v>
      </c>
      <c r="AY128" s="176">
        <v>0</v>
      </c>
      <c r="AZ128" s="176">
        <v>0</v>
      </c>
      <c r="BA128" s="167"/>
      <c r="BB128" s="184">
        <v>416.2</v>
      </c>
      <c r="BC128" s="180">
        <v>48.802954274040196</v>
      </c>
      <c r="BD128" s="181" t="s">
        <v>55</v>
      </c>
      <c r="BE128" s="178">
        <v>1.5250923210637599</v>
      </c>
      <c r="BF128" s="179">
        <v>108.367094728704</v>
      </c>
      <c r="BG128" s="168">
        <v>0.02</v>
      </c>
      <c r="BH128" s="168">
        <v>0.02</v>
      </c>
      <c r="BI128" s="176">
        <v>0</v>
      </c>
      <c r="BJ128" s="176">
        <v>0</v>
      </c>
      <c r="BK128" s="169"/>
      <c r="BL128" s="185">
        <v>0.8</v>
      </c>
      <c r="BM128" s="188">
        <v>0.79</v>
      </c>
      <c r="BN128" s="186"/>
      <c r="BO128" s="187">
        <v>0.95</v>
      </c>
      <c r="BP128" s="178">
        <v>1</v>
      </c>
      <c r="BQ128" s="186">
        <v>2.5000000000000001E-3</v>
      </c>
    </row>
    <row r="129" spans="1:69" s="156" customFormat="1" ht="22.35" customHeight="1" x14ac:dyDescent="0.2">
      <c r="A129" s="165" t="s">
        <v>175</v>
      </c>
      <c r="B129" s="165" t="s">
        <v>187</v>
      </c>
      <c r="C129" s="165" t="s">
        <v>187</v>
      </c>
      <c r="D129" s="166">
        <v>4.1541729739999997</v>
      </c>
      <c r="E129" s="167"/>
      <c r="F129" s="168">
        <v>0.08</v>
      </c>
      <c r="G129" s="168">
        <v>7.1999999999999995E-2</v>
      </c>
      <c r="H129" s="169"/>
      <c r="I129" s="170">
        <v>7</v>
      </c>
      <c r="J129" s="170">
        <v>7</v>
      </c>
      <c r="K129" s="167"/>
      <c r="L129" s="171">
        <v>2166.03784</v>
      </c>
      <c r="M129" s="171">
        <v>2718.1622900000002</v>
      </c>
      <c r="N129" s="171">
        <v>4884.2001300000002</v>
      </c>
      <c r="O129" s="166">
        <v>1175.7334517770601</v>
      </c>
      <c r="P129" s="172">
        <v>212.5</v>
      </c>
      <c r="Q129" s="178">
        <v>5.5328633024802798</v>
      </c>
      <c r="R129" s="179">
        <v>3888.4448681322001</v>
      </c>
      <c r="S129" s="168">
        <v>0.01</v>
      </c>
      <c r="T129" s="168">
        <v>0.01</v>
      </c>
      <c r="U129" s="175">
        <v>0</v>
      </c>
      <c r="V129" s="176">
        <v>0</v>
      </c>
      <c r="W129" s="167"/>
      <c r="X129" s="175">
        <v>2794.2887700000001</v>
      </c>
      <c r="Y129" s="166">
        <v>672.64622525080199</v>
      </c>
      <c r="Z129" s="177">
        <v>573</v>
      </c>
      <c r="AA129" s="178">
        <v>1.17390266186876</v>
      </c>
      <c r="AB129" s="179">
        <v>109.263993292943</v>
      </c>
      <c r="AC129" s="168">
        <v>0.02</v>
      </c>
      <c r="AD129" s="168">
        <v>1.7000000000000001E-2</v>
      </c>
      <c r="AE129" s="176">
        <v>0</v>
      </c>
      <c r="AF129" s="176">
        <v>63</v>
      </c>
      <c r="AG129" s="167"/>
      <c r="AH129" s="180">
        <v>301</v>
      </c>
      <c r="AI129" s="166">
        <v>72.4572621034051</v>
      </c>
      <c r="AJ129" s="181" t="s">
        <v>53</v>
      </c>
      <c r="AK129" s="178">
        <v>1.1501152714826199</v>
      </c>
      <c r="AL129" s="179">
        <v>5.7878517756639098</v>
      </c>
      <c r="AM129" s="168">
        <v>0.02</v>
      </c>
      <c r="AN129" s="168">
        <v>1.4999999999999999E-2</v>
      </c>
      <c r="AO129" s="176">
        <v>0</v>
      </c>
      <c r="AP129" s="176">
        <v>14</v>
      </c>
      <c r="AQ129" s="167"/>
      <c r="AR129" s="180">
        <v>101.8</v>
      </c>
      <c r="AS129" s="166">
        <v>24.505479342613398</v>
      </c>
      <c r="AT129" s="181" t="s">
        <v>54</v>
      </c>
      <c r="AU129" s="178">
        <v>1.5315924589133401</v>
      </c>
      <c r="AV129" s="179">
        <v>26.825486165248002</v>
      </c>
      <c r="AW129" s="168">
        <v>0.01</v>
      </c>
      <c r="AX129" s="168">
        <v>0.01</v>
      </c>
      <c r="AY129" s="176">
        <v>0</v>
      </c>
      <c r="AZ129" s="176">
        <v>0</v>
      </c>
      <c r="BA129" s="167"/>
      <c r="BB129" s="184">
        <v>231.8</v>
      </c>
      <c r="BC129" s="180">
        <v>55.799313473652198</v>
      </c>
      <c r="BD129" s="181" t="s">
        <v>55</v>
      </c>
      <c r="BE129" s="178">
        <v>1.7437285460516301</v>
      </c>
      <c r="BF129" s="179">
        <v>81.850972330496006</v>
      </c>
      <c r="BG129" s="168">
        <v>0.02</v>
      </c>
      <c r="BH129" s="168">
        <v>0.02</v>
      </c>
      <c r="BI129" s="176">
        <v>0</v>
      </c>
      <c r="BJ129" s="176">
        <v>0</v>
      </c>
      <c r="BK129" s="169"/>
      <c r="BL129" s="185">
        <v>0.8</v>
      </c>
      <c r="BM129" s="182">
        <v>0.82</v>
      </c>
      <c r="BN129" s="186">
        <v>7.5000000000000002E-4</v>
      </c>
      <c r="BO129" s="187">
        <v>0.95</v>
      </c>
      <c r="BP129" s="178">
        <v>1</v>
      </c>
      <c r="BQ129" s="186">
        <v>2.5000000000000001E-3</v>
      </c>
    </row>
    <row r="130" spans="1:69" s="156" customFormat="1" ht="22.35" customHeight="1" x14ac:dyDescent="0.2">
      <c r="A130" s="165" t="s">
        <v>175</v>
      </c>
      <c r="B130" s="165" t="s">
        <v>187</v>
      </c>
      <c r="C130" s="165" t="s">
        <v>190</v>
      </c>
      <c r="D130" s="166">
        <v>3.1974210582222198</v>
      </c>
      <c r="E130" s="167"/>
      <c r="F130" s="168">
        <v>0.03</v>
      </c>
      <c r="G130" s="168">
        <v>2.9000000000000001E-2</v>
      </c>
      <c r="H130" s="169"/>
      <c r="I130" s="170">
        <v>4</v>
      </c>
      <c r="J130" s="170">
        <v>4</v>
      </c>
      <c r="K130" s="167"/>
      <c r="L130" s="171">
        <v>1131.03747</v>
      </c>
      <c r="M130" s="171">
        <v>2527.02945</v>
      </c>
      <c r="N130" s="171">
        <v>3658.0669200000002</v>
      </c>
      <c r="O130" s="166">
        <v>1144.0679389388599</v>
      </c>
      <c r="P130" s="172">
        <v>212.5</v>
      </c>
      <c r="Q130" s="178">
        <v>5.3838491244181697</v>
      </c>
      <c r="R130" s="179">
        <v>2891.6450923441298</v>
      </c>
      <c r="S130" s="168">
        <v>0.01</v>
      </c>
      <c r="T130" s="168">
        <v>0.01</v>
      </c>
      <c r="U130" s="175">
        <v>0</v>
      </c>
      <c r="V130" s="176">
        <v>0</v>
      </c>
      <c r="W130" s="167"/>
      <c r="X130" s="175">
        <v>1297.516095</v>
      </c>
      <c r="Y130" s="166">
        <v>405.80082240448598</v>
      </c>
      <c r="Z130" s="177">
        <v>573</v>
      </c>
      <c r="AA130" s="173">
        <v>0.70820387854185995</v>
      </c>
      <c r="AB130" s="174">
        <v>-769.11782145558197</v>
      </c>
      <c r="AC130" s="168"/>
      <c r="AD130" s="168"/>
      <c r="AE130" s="176">
        <v>535</v>
      </c>
      <c r="AF130" s="176">
        <v>902</v>
      </c>
      <c r="AG130" s="167"/>
      <c r="AH130" s="180">
        <v>112.9</v>
      </c>
      <c r="AI130" s="166">
        <v>35.309706774363001</v>
      </c>
      <c r="AJ130" s="181" t="s">
        <v>53</v>
      </c>
      <c r="AK130" s="173">
        <v>0.56047153610099898</v>
      </c>
      <c r="AL130" s="174">
        <v>-114.32153008150399</v>
      </c>
      <c r="AM130" s="168"/>
      <c r="AN130" s="168"/>
      <c r="AO130" s="176">
        <v>89</v>
      </c>
      <c r="AP130" s="176">
        <v>129</v>
      </c>
      <c r="AQ130" s="167"/>
      <c r="AR130" s="180">
        <v>26</v>
      </c>
      <c r="AS130" s="166">
        <v>8.1315533758497498</v>
      </c>
      <c r="AT130" s="181" t="s">
        <v>54</v>
      </c>
      <c r="AU130" s="173">
        <v>0.50822208599060903</v>
      </c>
      <c r="AV130" s="174">
        <v>-31.7070552587946</v>
      </c>
      <c r="AW130" s="168"/>
      <c r="AX130" s="168"/>
      <c r="AY130" s="176">
        <v>26</v>
      </c>
      <c r="AZ130" s="176">
        <v>36</v>
      </c>
      <c r="BA130" s="167"/>
      <c r="BB130" s="184">
        <v>122</v>
      </c>
      <c r="BC130" s="180">
        <v>38.1557504559104</v>
      </c>
      <c r="BD130" s="181" t="s">
        <v>55</v>
      </c>
      <c r="BE130" s="178">
        <v>1.1923672017472</v>
      </c>
      <c r="BF130" s="179">
        <v>6.5858894824107503</v>
      </c>
      <c r="BG130" s="168">
        <v>0.02</v>
      </c>
      <c r="BH130" s="168">
        <v>1.9E-2</v>
      </c>
      <c r="BI130" s="176">
        <v>0</v>
      </c>
      <c r="BJ130" s="176">
        <v>1</v>
      </c>
      <c r="BK130" s="169"/>
      <c r="BL130" s="185">
        <v>0.8</v>
      </c>
      <c r="BM130" s="182">
        <v>0.81</v>
      </c>
      <c r="BN130" s="186">
        <v>3.7500000000000001E-4</v>
      </c>
      <c r="BO130" s="187">
        <v>0.95</v>
      </c>
      <c r="BP130" s="178">
        <v>1</v>
      </c>
      <c r="BQ130" s="186">
        <v>2.5000000000000001E-3</v>
      </c>
    </row>
    <row r="131" spans="1:69" s="156" customFormat="1" ht="22.35" customHeight="1" x14ac:dyDescent="0.2">
      <c r="A131" s="165" t="s">
        <v>175</v>
      </c>
      <c r="B131" s="165" t="s">
        <v>187</v>
      </c>
      <c r="C131" s="165" t="s">
        <v>191</v>
      </c>
      <c r="D131" s="166">
        <v>3.6646238142222201</v>
      </c>
      <c r="E131" s="167"/>
      <c r="F131" s="168">
        <v>4.3999999999999997E-2</v>
      </c>
      <c r="G131" s="168">
        <v>3.1E-2</v>
      </c>
      <c r="H131" s="169"/>
      <c r="I131" s="170">
        <v>6</v>
      </c>
      <c r="J131" s="170">
        <v>5</v>
      </c>
      <c r="K131" s="167"/>
      <c r="L131" s="171">
        <v>568.03377</v>
      </c>
      <c r="M131" s="171">
        <v>1324.10826</v>
      </c>
      <c r="N131" s="171">
        <v>1892.14203</v>
      </c>
      <c r="O131" s="166">
        <v>516.326402359962</v>
      </c>
      <c r="P131" s="172">
        <v>212.5</v>
      </c>
      <c r="Q131" s="178">
        <v>2.4297713052233498</v>
      </c>
      <c r="R131" s="179">
        <v>1013.73170173093</v>
      </c>
      <c r="S131" s="168">
        <v>0.01</v>
      </c>
      <c r="T131" s="168">
        <v>0.01</v>
      </c>
      <c r="U131" s="175">
        <v>0</v>
      </c>
      <c r="V131" s="176">
        <v>0</v>
      </c>
      <c r="W131" s="167"/>
      <c r="X131" s="175">
        <v>1976.73641</v>
      </c>
      <c r="Y131" s="166">
        <v>539.41045799254596</v>
      </c>
      <c r="Z131" s="177">
        <v>573</v>
      </c>
      <c r="AA131" s="182">
        <v>0.94137950784039404</v>
      </c>
      <c r="AB131" s="183">
        <v>-391.87120457964602</v>
      </c>
      <c r="AC131" s="168">
        <v>1E-3</v>
      </c>
      <c r="AD131" s="168"/>
      <c r="AE131" s="176">
        <v>124</v>
      </c>
      <c r="AF131" s="176">
        <v>544</v>
      </c>
      <c r="AG131" s="167"/>
      <c r="AH131" s="180">
        <v>246.1</v>
      </c>
      <c r="AI131" s="166">
        <v>67.155596993311605</v>
      </c>
      <c r="AJ131" s="181" t="s">
        <v>53</v>
      </c>
      <c r="AK131" s="182">
        <v>1.06596185703669</v>
      </c>
      <c r="AL131" s="183">
        <v>-14.322826733887901</v>
      </c>
      <c r="AM131" s="168">
        <v>1.2999999999999999E-2</v>
      </c>
      <c r="AN131" s="168">
        <v>7.0000000000000001E-3</v>
      </c>
      <c r="AO131" s="176">
        <v>0</v>
      </c>
      <c r="AP131" s="176">
        <v>31</v>
      </c>
      <c r="AQ131" s="167"/>
      <c r="AR131" s="180">
        <v>37.9</v>
      </c>
      <c r="AS131" s="166">
        <v>10.3421256645531</v>
      </c>
      <c r="AT131" s="181" t="s">
        <v>54</v>
      </c>
      <c r="AU131" s="173">
        <v>0.64638285403456597</v>
      </c>
      <c r="AV131" s="174">
        <v>-28.2391305990826</v>
      </c>
      <c r="AW131" s="168"/>
      <c r="AX131" s="168"/>
      <c r="AY131" s="176">
        <v>21</v>
      </c>
      <c r="AZ131" s="176">
        <v>33</v>
      </c>
      <c r="BA131" s="167"/>
      <c r="BB131" s="184">
        <v>133.6</v>
      </c>
      <c r="BC131" s="180">
        <v>36.456675165812399</v>
      </c>
      <c r="BD131" s="181" t="s">
        <v>55</v>
      </c>
      <c r="BE131" s="178">
        <v>1.1392710989316399</v>
      </c>
      <c r="BF131" s="179">
        <v>1.32173880183475</v>
      </c>
      <c r="BG131" s="168">
        <v>0.02</v>
      </c>
      <c r="BH131" s="168">
        <v>1.4E-2</v>
      </c>
      <c r="BI131" s="176">
        <v>0</v>
      </c>
      <c r="BJ131" s="176">
        <v>8</v>
      </c>
      <c r="BK131" s="169"/>
      <c r="BL131" s="185">
        <v>0.8</v>
      </c>
      <c r="BM131" s="182">
        <v>0.84</v>
      </c>
      <c r="BN131" s="186">
        <v>1.5E-3</v>
      </c>
      <c r="BO131" s="187">
        <v>0.95</v>
      </c>
      <c r="BP131" s="178">
        <v>1</v>
      </c>
      <c r="BQ131" s="186">
        <v>2.5000000000000001E-3</v>
      </c>
    </row>
    <row r="132" spans="1:69" s="156" customFormat="1" ht="22.35" customHeight="1" x14ac:dyDescent="0.2">
      <c r="A132" s="165" t="s">
        <v>175</v>
      </c>
      <c r="B132" s="165" t="s">
        <v>187</v>
      </c>
      <c r="C132" s="165" t="s">
        <v>192</v>
      </c>
      <c r="D132" s="166">
        <v>2.8205915805555599</v>
      </c>
      <c r="E132" s="167"/>
      <c r="F132" s="168">
        <v>5.1999999999999998E-2</v>
      </c>
      <c r="G132" s="168">
        <v>0.05</v>
      </c>
      <c r="H132" s="169"/>
      <c r="I132" s="170">
        <v>5</v>
      </c>
      <c r="J132" s="170">
        <v>4</v>
      </c>
      <c r="K132" s="167"/>
      <c r="L132" s="171">
        <v>1173.58097</v>
      </c>
      <c r="M132" s="171">
        <v>382.89519999999999</v>
      </c>
      <c r="N132" s="171">
        <v>1556.4761699999999</v>
      </c>
      <c r="O132" s="166">
        <v>551.82614198026897</v>
      </c>
      <c r="P132" s="172">
        <v>212.5</v>
      </c>
      <c r="Q132" s="178">
        <v>2.5968289034365601</v>
      </c>
      <c r="R132" s="179">
        <v>880.38036814083205</v>
      </c>
      <c r="S132" s="168">
        <v>0.01</v>
      </c>
      <c r="T132" s="168">
        <v>0.01</v>
      </c>
      <c r="U132" s="175">
        <v>0</v>
      </c>
      <c r="V132" s="176">
        <v>0</v>
      </c>
      <c r="W132" s="167"/>
      <c r="X132" s="175">
        <v>1442.704305</v>
      </c>
      <c r="Y132" s="166">
        <v>511.48997073721603</v>
      </c>
      <c r="Z132" s="177">
        <v>573</v>
      </c>
      <c r="AA132" s="188">
        <v>0.89265265399165195</v>
      </c>
      <c r="AB132" s="171">
        <v>-380.36813954260299</v>
      </c>
      <c r="AC132" s="168"/>
      <c r="AD132" s="168"/>
      <c r="AE132" s="176">
        <v>174</v>
      </c>
      <c r="AF132" s="176">
        <v>497</v>
      </c>
      <c r="AG132" s="167"/>
      <c r="AH132" s="180">
        <v>226.15</v>
      </c>
      <c r="AI132" s="166">
        <v>80.178215647746001</v>
      </c>
      <c r="AJ132" s="181" t="s">
        <v>53</v>
      </c>
      <c r="AK132" s="178">
        <v>1.27267008964676</v>
      </c>
      <c r="AL132" s="179">
        <v>25.707479919399699</v>
      </c>
      <c r="AM132" s="168">
        <v>0.02</v>
      </c>
      <c r="AN132" s="168">
        <v>0.02</v>
      </c>
      <c r="AO132" s="176">
        <v>0</v>
      </c>
      <c r="AP132" s="176">
        <v>0</v>
      </c>
      <c r="AQ132" s="167"/>
      <c r="AR132" s="180">
        <v>44.2</v>
      </c>
      <c r="AS132" s="166">
        <v>15.6704715084252</v>
      </c>
      <c r="AT132" s="181" t="s">
        <v>54</v>
      </c>
      <c r="AU132" s="182">
        <v>0.97940446927657798</v>
      </c>
      <c r="AV132" s="183">
        <v>-6.7060368458667501</v>
      </c>
      <c r="AW132" s="168">
        <v>2E-3</v>
      </c>
      <c r="AX132" s="168"/>
      <c r="AY132" s="176">
        <v>1</v>
      </c>
      <c r="AZ132" s="176">
        <v>10</v>
      </c>
      <c r="BA132" s="167"/>
      <c r="BB132" s="184">
        <v>138</v>
      </c>
      <c r="BC132" s="180">
        <v>48.925906519517802</v>
      </c>
      <c r="BD132" s="181" t="s">
        <v>55</v>
      </c>
      <c r="BE132" s="178">
        <v>1.52893457873493</v>
      </c>
      <c r="BF132" s="179">
        <v>36.187926308266498</v>
      </c>
      <c r="BG132" s="168">
        <v>0.02</v>
      </c>
      <c r="BH132" s="168">
        <v>0.02</v>
      </c>
      <c r="BI132" s="176">
        <v>0</v>
      </c>
      <c r="BJ132" s="176">
        <v>0</v>
      </c>
      <c r="BK132" s="169"/>
      <c r="BL132" s="185">
        <v>0.8</v>
      </c>
      <c r="BM132" s="188">
        <v>0.79</v>
      </c>
      <c r="BN132" s="186"/>
      <c r="BO132" s="187">
        <v>0.95</v>
      </c>
      <c r="BP132" s="178">
        <v>1</v>
      </c>
      <c r="BQ132" s="186">
        <v>2.5000000000000001E-3</v>
      </c>
    </row>
    <row r="133" spans="1:69" s="156" customFormat="1" ht="22.35" customHeight="1" x14ac:dyDescent="0.2">
      <c r="A133" s="165" t="s">
        <v>175</v>
      </c>
      <c r="B133" s="165" t="s">
        <v>187</v>
      </c>
      <c r="C133" s="165" t="s">
        <v>193</v>
      </c>
      <c r="D133" s="166">
        <v>1.9545245414444401</v>
      </c>
      <c r="E133" s="167"/>
      <c r="F133" s="168">
        <v>6.7000000000000004E-2</v>
      </c>
      <c r="G133" s="168">
        <v>0.06</v>
      </c>
      <c r="H133" s="169"/>
      <c r="I133" s="170">
        <v>6</v>
      </c>
      <c r="J133" s="170">
        <v>6</v>
      </c>
      <c r="K133" s="167"/>
      <c r="L133" s="171">
        <v>910.93538000000001</v>
      </c>
      <c r="M133" s="171">
        <v>690.09900000000005</v>
      </c>
      <c r="N133" s="171">
        <v>1601.0343800000001</v>
      </c>
      <c r="O133" s="166">
        <v>819.14263343902201</v>
      </c>
      <c r="P133" s="172">
        <v>212.5</v>
      </c>
      <c r="Q133" s="178">
        <v>3.8547888632424598</v>
      </c>
      <c r="R133" s="179">
        <v>1132.5348474157699</v>
      </c>
      <c r="S133" s="168">
        <v>0.01</v>
      </c>
      <c r="T133" s="168">
        <v>0.01</v>
      </c>
      <c r="U133" s="175">
        <v>0</v>
      </c>
      <c r="V133" s="176">
        <v>0</v>
      </c>
      <c r="W133" s="167"/>
      <c r="X133" s="175">
        <v>1820.7009499999999</v>
      </c>
      <c r="Y133" s="166">
        <v>931.53138340972396</v>
      </c>
      <c r="Z133" s="177">
        <v>573</v>
      </c>
      <c r="AA133" s="178">
        <v>1.6257092206103401</v>
      </c>
      <c r="AB133" s="179">
        <v>557.40573978463499</v>
      </c>
      <c r="AC133" s="168">
        <v>0.02</v>
      </c>
      <c r="AD133" s="168">
        <v>0.02</v>
      </c>
      <c r="AE133" s="176">
        <v>0</v>
      </c>
      <c r="AF133" s="176">
        <v>0</v>
      </c>
      <c r="AG133" s="167"/>
      <c r="AH133" s="180">
        <v>135.30000000000001</v>
      </c>
      <c r="AI133" s="166">
        <v>69.2239964917554</v>
      </c>
      <c r="AJ133" s="181" t="s">
        <v>53</v>
      </c>
      <c r="AK133" s="182">
        <v>1.0987935951072301</v>
      </c>
      <c r="AL133" s="183">
        <v>-3.5963320132076699</v>
      </c>
      <c r="AM133" s="168">
        <v>1.7000000000000001E-2</v>
      </c>
      <c r="AN133" s="168">
        <v>0.01</v>
      </c>
      <c r="AO133" s="176">
        <v>0</v>
      </c>
      <c r="AP133" s="176">
        <v>13</v>
      </c>
      <c r="AQ133" s="167"/>
      <c r="AR133" s="180">
        <v>23.7</v>
      </c>
      <c r="AS133" s="166">
        <v>12.125711137136699</v>
      </c>
      <c r="AT133" s="181" t="s">
        <v>54</v>
      </c>
      <c r="AU133" s="188">
        <v>0.75785694607104703</v>
      </c>
      <c r="AV133" s="171">
        <v>-11.575258923989299</v>
      </c>
      <c r="AW133" s="168"/>
      <c r="AX133" s="168"/>
      <c r="AY133" s="176">
        <v>8</v>
      </c>
      <c r="AZ133" s="176">
        <v>14</v>
      </c>
      <c r="BA133" s="167"/>
      <c r="BB133" s="184">
        <v>99.6</v>
      </c>
      <c r="BC133" s="180">
        <v>50.958684778853197</v>
      </c>
      <c r="BD133" s="181" t="s">
        <v>55</v>
      </c>
      <c r="BE133" s="178">
        <v>1.59245889933916</v>
      </c>
      <c r="BF133" s="179">
        <v>29.049482152021501</v>
      </c>
      <c r="BG133" s="168">
        <v>0.02</v>
      </c>
      <c r="BH133" s="168">
        <v>0.02</v>
      </c>
      <c r="BI133" s="176">
        <v>0</v>
      </c>
      <c r="BJ133" s="176">
        <v>0</v>
      </c>
      <c r="BK133" s="169"/>
      <c r="BL133" s="185">
        <v>0.8</v>
      </c>
      <c r="BM133" s="182">
        <v>0.89</v>
      </c>
      <c r="BN133" s="186">
        <v>3.375E-3</v>
      </c>
      <c r="BO133" s="187">
        <v>0.95</v>
      </c>
      <c r="BP133" s="178">
        <v>1</v>
      </c>
      <c r="BQ133" s="186">
        <v>2.5000000000000001E-3</v>
      </c>
    </row>
    <row r="134" spans="1:69" s="156" customFormat="1" ht="22.35" customHeight="1" x14ac:dyDescent="0.2">
      <c r="A134" s="165" t="s">
        <v>175</v>
      </c>
      <c r="B134" s="165" t="s">
        <v>187</v>
      </c>
      <c r="C134" s="165" t="s">
        <v>194</v>
      </c>
      <c r="D134" s="166">
        <v>5.99043692788889</v>
      </c>
      <c r="E134" s="167"/>
      <c r="F134" s="168">
        <v>3.6999999999999998E-2</v>
      </c>
      <c r="G134" s="168">
        <v>2.5999999999999999E-2</v>
      </c>
      <c r="H134" s="169"/>
      <c r="I134" s="170">
        <v>5</v>
      </c>
      <c r="J134" s="170">
        <v>5</v>
      </c>
      <c r="K134" s="167"/>
      <c r="L134" s="171">
        <v>3021.2061600000002</v>
      </c>
      <c r="M134" s="171">
        <v>-385.30184000000003</v>
      </c>
      <c r="N134" s="171">
        <v>2635.9043200000001</v>
      </c>
      <c r="O134" s="166">
        <v>440.01870843984102</v>
      </c>
      <c r="P134" s="172">
        <v>212.5</v>
      </c>
      <c r="Q134" s="178">
        <v>2.0706762750110199</v>
      </c>
      <c r="R134" s="179">
        <v>1199.99658838503</v>
      </c>
      <c r="S134" s="168">
        <v>0.01</v>
      </c>
      <c r="T134" s="168">
        <v>0.01</v>
      </c>
      <c r="U134" s="175">
        <v>0</v>
      </c>
      <c r="V134" s="176">
        <v>0</v>
      </c>
      <c r="W134" s="167"/>
      <c r="X134" s="175">
        <v>2441.2841699999999</v>
      </c>
      <c r="Y134" s="166">
        <v>407.53023517106601</v>
      </c>
      <c r="Z134" s="177">
        <v>573</v>
      </c>
      <c r="AA134" s="173">
        <v>0.71122205090936497</v>
      </c>
      <c r="AB134" s="174">
        <v>-1430.59879571942</v>
      </c>
      <c r="AC134" s="168"/>
      <c r="AD134" s="168"/>
      <c r="AE134" s="176">
        <v>992</v>
      </c>
      <c r="AF134" s="176">
        <v>1678</v>
      </c>
      <c r="AG134" s="167"/>
      <c r="AH134" s="180">
        <v>380.9</v>
      </c>
      <c r="AI134" s="166">
        <v>63.584677475977401</v>
      </c>
      <c r="AJ134" s="181" t="s">
        <v>53</v>
      </c>
      <c r="AK134" s="182">
        <v>1.00928059485678</v>
      </c>
      <c r="AL134" s="183">
        <v>-44.804409843496103</v>
      </c>
      <c r="AM134" s="168">
        <v>7.0000000000000001E-3</v>
      </c>
      <c r="AN134" s="168">
        <v>1E-3</v>
      </c>
      <c r="AO134" s="176">
        <v>0</v>
      </c>
      <c r="AP134" s="176">
        <v>72</v>
      </c>
      <c r="AQ134" s="167"/>
      <c r="AR134" s="180">
        <v>61.9</v>
      </c>
      <c r="AS134" s="166">
        <v>10.333136087589899</v>
      </c>
      <c r="AT134" s="181" t="s">
        <v>54</v>
      </c>
      <c r="AU134" s="173">
        <v>0.64582100547437005</v>
      </c>
      <c r="AV134" s="174">
        <v>-46.215405674538701</v>
      </c>
      <c r="AW134" s="168"/>
      <c r="AX134" s="168"/>
      <c r="AY134" s="176">
        <v>34</v>
      </c>
      <c r="AZ134" s="176">
        <v>54</v>
      </c>
      <c r="BA134" s="167"/>
      <c r="BB134" s="184">
        <v>221.2</v>
      </c>
      <c r="BC134" s="180">
        <v>36.925520235458698</v>
      </c>
      <c r="BD134" s="181" t="s">
        <v>55</v>
      </c>
      <c r="BE134" s="178">
        <v>1.1539225073580801</v>
      </c>
      <c r="BF134" s="179">
        <v>4.9691886509226304</v>
      </c>
      <c r="BG134" s="168">
        <v>0.02</v>
      </c>
      <c r="BH134" s="168">
        <v>1.4999999999999999E-2</v>
      </c>
      <c r="BI134" s="176">
        <v>0</v>
      </c>
      <c r="BJ134" s="176">
        <v>9</v>
      </c>
      <c r="BK134" s="169"/>
      <c r="BL134" s="185">
        <v>0.8</v>
      </c>
      <c r="BM134" s="182">
        <v>0.84</v>
      </c>
      <c r="BN134" s="186">
        <v>1.5E-3</v>
      </c>
      <c r="BO134" s="187">
        <v>0.95</v>
      </c>
      <c r="BP134" s="178">
        <v>1</v>
      </c>
      <c r="BQ134" s="186">
        <v>2.5000000000000001E-3</v>
      </c>
    </row>
    <row r="135" spans="1:69" s="156" customFormat="1" ht="22.35" customHeight="1" x14ac:dyDescent="0.2">
      <c r="A135" s="165" t="s">
        <v>175</v>
      </c>
      <c r="B135" s="165" t="s">
        <v>187</v>
      </c>
      <c r="C135" s="165" t="s">
        <v>195</v>
      </c>
      <c r="D135" s="166">
        <v>3.8731675344444398</v>
      </c>
      <c r="E135" s="167"/>
      <c r="F135" s="168">
        <v>6.8000000000000005E-2</v>
      </c>
      <c r="G135" s="168">
        <v>5.8999999999999997E-2</v>
      </c>
      <c r="H135" s="169"/>
      <c r="I135" s="170">
        <v>6</v>
      </c>
      <c r="J135" s="170">
        <v>6</v>
      </c>
      <c r="K135" s="167"/>
      <c r="L135" s="171">
        <v>884.96117000000004</v>
      </c>
      <c r="M135" s="171">
        <v>241.26743999999999</v>
      </c>
      <c r="N135" s="171">
        <v>1126.2286099999999</v>
      </c>
      <c r="O135" s="166">
        <v>290.77714815699102</v>
      </c>
      <c r="P135" s="172">
        <v>212.5</v>
      </c>
      <c r="Q135" s="178">
        <v>1.3683630501505499</v>
      </c>
      <c r="R135" s="179">
        <v>197.83035199366799</v>
      </c>
      <c r="S135" s="168">
        <v>0.01</v>
      </c>
      <c r="T135" s="168">
        <v>0.01</v>
      </c>
      <c r="U135" s="175">
        <v>0</v>
      </c>
      <c r="V135" s="176">
        <v>0</v>
      </c>
      <c r="W135" s="167"/>
      <c r="X135" s="175">
        <v>2617.5759349999998</v>
      </c>
      <c r="Y135" s="166">
        <v>675.82305999460402</v>
      </c>
      <c r="Z135" s="177">
        <v>573</v>
      </c>
      <c r="AA135" s="178">
        <v>1.1794468760813299</v>
      </c>
      <c r="AB135" s="179">
        <v>114.17733811704301</v>
      </c>
      <c r="AC135" s="168">
        <v>0.02</v>
      </c>
      <c r="AD135" s="168">
        <v>1.7999999999999999E-2</v>
      </c>
      <c r="AE135" s="176">
        <v>0</v>
      </c>
      <c r="AF135" s="176">
        <v>46</v>
      </c>
      <c r="AG135" s="167"/>
      <c r="AH135" s="180">
        <v>270.2</v>
      </c>
      <c r="AI135" s="166">
        <v>69.762022323353094</v>
      </c>
      <c r="AJ135" s="181" t="s">
        <v>53</v>
      </c>
      <c r="AK135" s="182">
        <v>1.1073336876722699</v>
      </c>
      <c r="AL135" s="183">
        <v>-5.0427776677597098</v>
      </c>
      <c r="AM135" s="168">
        <v>1.7999999999999999E-2</v>
      </c>
      <c r="AN135" s="168">
        <v>1.0999999999999999E-2</v>
      </c>
      <c r="AO135" s="176">
        <v>0</v>
      </c>
      <c r="AP135" s="176">
        <v>23</v>
      </c>
      <c r="AQ135" s="167"/>
      <c r="AR135" s="180">
        <v>56.8</v>
      </c>
      <c r="AS135" s="166">
        <v>14.6649995113488</v>
      </c>
      <c r="AT135" s="181" t="s">
        <v>54</v>
      </c>
      <c r="AU135" s="188">
        <v>0.91656246945930298</v>
      </c>
      <c r="AV135" s="171">
        <v>-13.102927661653201</v>
      </c>
      <c r="AW135" s="168"/>
      <c r="AX135" s="168"/>
      <c r="AY135" s="176">
        <v>6</v>
      </c>
      <c r="AZ135" s="176">
        <v>18</v>
      </c>
      <c r="BA135" s="167"/>
      <c r="BB135" s="184">
        <v>213.8</v>
      </c>
      <c r="BC135" s="180">
        <v>55.2002974564504</v>
      </c>
      <c r="BD135" s="181" t="s">
        <v>55</v>
      </c>
      <c r="BE135" s="178">
        <v>1.7250092955140801</v>
      </c>
      <c r="BF135" s="179">
        <v>73.994144676693494</v>
      </c>
      <c r="BG135" s="168">
        <v>0.02</v>
      </c>
      <c r="BH135" s="168">
        <v>0.02</v>
      </c>
      <c r="BI135" s="176">
        <v>0</v>
      </c>
      <c r="BJ135" s="176">
        <v>0</v>
      </c>
      <c r="BK135" s="169"/>
      <c r="BL135" s="185">
        <v>0.8</v>
      </c>
      <c r="BM135" s="182">
        <v>0.87</v>
      </c>
      <c r="BN135" s="186">
        <v>2.6250000000000002E-3</v>
      </c>
      <c r="BO135" s="187">
        <v>0.95</v>
      </c>
      <c r="BP135" s="178">
        <v>1</v>
      </c>
      <c r="BQ135" s="186">
        <v>2.5000000000000001E-3</v>
      </c>
    </row>
    <row r="136" spans="1:69" s="156" customFormat="1" ht="22.35" customHeight="1" x14ac:dyDescent="0.2">
      <c r="A136" s="165" t="s">
        <v>175</v>
      </c>
      <c r="B136" s="165" t="s">
        <v>187</v>
      </c>
      <c r="C136" s="165" t="s">
        <v>196</v>
      </c>
      <c r="D136" s="166">
        <v>2.7806430641111102</v>
      </c>
      <c r="E136" s="167"/>
      <c r="F136" s="168">
        <v>3.2000000000000001E-2</v>
      </c>
      <c r="G136" s="168">
        <v>2.4E-2</v>
      </c>
      <c r="H136" s="169"/>
      <c r="I136" s="170">
        <v>4</v>
      </c>
      <c r="J136" s="170">
        <v>4</v>
      </c>
      <c r="K136" s="167"/>
      <c r="L136" s="171">
        <v>965.81035999999995</v>
      </c>
      <c r="M136" s="171">
        <v>-657.65099999999995</v>
      </c>
      <c r="N136" s="171">
        <v>308.15935999999999</v>
      </c>
      <c r="O136" s="166">
        <v>110.82305527714701</v>
      </c>
      <c r="P136" s="172">
        <v>212.5</v>
      </c>
      <c r="Q136" s="173">
        <v>0.52152026012774899</v>
      </c>
      <c r="R136" s="174">
        <v>-358.36078246743301</v>
      </c>
      <c r="S136" s="168"/>
      <c r="T136" s="168"/>
      <c r="U136" s="175">
        <v>283</v>
      </c>
      <c r="V136" s="176">
        <v>401</v>
      </c>
      <c r="W136" s="167"/>
      <c r="X136" s="175">
        <v>1674.7716399999999</v>
      </c>
      <c r="Y136" s="166">
        <v>602.29651968487201</v>
      </c>
      <c r="Z136" s="177">
        <v>573</v>
      </c>
      <c r="AA136" s="182">
        <v>1.0511283066053601</v>
      </c>
      <c r="AB136" s="183">
        <v>-122.480320629831</v>
      </c>
      <c r="AC136" s="168">
        <v>1.2E-2</v>
      </c>
      <c r="AD136" s="168">
        <v>5.0000000000000001E-3</v>
      </c>
      <c r="AE136" s="176">
        <v>0</v>
      </c>
      <c r="AF136" s="176">
        <v>238</v>
      </c>
      <c r="AG136" s="167"/>
      <c r="AH136" s="180">
        <v>149.85</v>
      </c>
      <c r="AI136" s="166">
        <v>53.890411874169303</v>
      </c>
      <c r="AJ136" s="181" t="s">
        <v>53</v>
      </c>
      <c r="AK136" s="188">
        <v>0.855403363082053</v>
      </c>
      <c r="AL136" s="171">
        <v>-47.753618707991997</v>
      </c>
      <c r="AM136" s="168"/>
      <c r="AN136" s="168"/>
      <c r="AO136" s="176">
        <v>26</v>
      </c>
      <c r="AP136" s="176">
        <v>61</v>
      </c>
      <c r="AQ136" s="167"/>
      <c r="AR136" s="180">
        <v>12</v>
      </c>
      <c r="AS136" s="166">
        <v>4.3155484984319799</v>
      </c>
      <c r="AT136" s="181" t="s">
        <v>54</v>
      </c>
      <c r="AU136" s="173">
        <v>0.26972178115199902</v>
      </c>
      <c r="AV136" s="174">
        <v>-38.185046021077298</v>
      </c>
      <c r="AW136" s="168"/>
      <c r="AX136" s="168"/>
      <c r="AY136" s="176">
        <v>33</v>
      </c>
      <c r="AZ136" s="176">
        <v>42</v>
      </c>
      <c r="BA136" s="167"/>
      <c r="BB136" s="184">
        <v>105.6</v>
      </c>
      <c r="BC136" s="180">
        <v>37.9768267862014</v>
      </c>
      <c r="BD136" s="181" t="s">
        <v>55</v>
      </c>
      <c r="BE136" s="178">
        <v>1.18677583706879</v>
      </c>
      <c r="BF136" s="179">
        <v>5.22990795784537</v>
      </c>
      <c r="BG136" s="168">
        <v>0.02</v>
      </c>
      <c r="BH136" s="168">
        <v>1.9E-2</v>
      </c>
      <c r="BI136" s="176">
        <v>0</v>
      </c>
      <c r="BJ136" s="176">
        <v>2</v>
      </c>
      <c r="BK136" s="169"/>
      <c r="BL136" s="185">
        <v>0.8</v>
      </c>
      <c r="BM136" s="182">
        <v>0.81</v>
      </c>
      <c r="BN136" s="186">
        <v>3.7500000000000001E-4</v>
      </c>
      <c r="BO136" s="187">
        <v>0.95</v>
      </c>
      <c r="BP136" s="178">
        <v>1</v>
      </c>
      <c r="BQ136" s="186">
        <v>2.5000000000000001E-3</v>
      </c>
    </row>
    <row r="137" spans="1:69" s="156" customFormat="1" ht="22.35" customHeight="1" x14ac:dyDescent="0.2">
      <c r="A137" s="165" t="s">
        <v>175</v>
      </c>
      <c r="B137" s="165" t="s">
        <v>187</v>
      </c>
      <c r="C137" s="165" t="s">
        <v>197</v>
      </c>
      <c r="D137" s="166">
        <v>8.6991771745555599</v>
      </c>
      <c r="E137" s="167"/>
      <c r="F137" s="168">
        <v>2.4E-2</v>
      </c>
      <c r="G137" s="168">
        <v>1.7000000000000001E-2</v>
      </c>
      <c r="H137" s="169"/>
      <c r="I137" s="170">
        <v>4</v>
      </c>
      <c r="J137" s="170">
        <v>4</v>
      </c>
      <c r="K137" s="167"/>
      <c r="L137" s="171">
        <v>5962.80278</v>
      </c>
      <c r="M137" s="171">
        <v>3400.0075099999999</v>
      </c>
      <c r="N137" s="171">
        <v>9362.8102899999994</v>
      </c>
      <c r="O137" s="166">
        <v>1076.28688347509</v>
      </c>
      <c r="P137" s="172">
        <v>226.98400000000001</v>
      </c>
      <c r="Q137" s="178">
        <v>4.7416861253440299</v>
      </c>
      <c r="R137" s="179">
        <v>7135.49078214165</v>
      </c>
      <c r="S137" s="168">
        <v>0.01</v>
      </c>
      <c r="T137" s="168">
        <v>0.01</v>
      </c>
      <c r="U137" s="175">
        <v>0</v>
      </c>
      <c r="V137" s="176">
        <v>0</v>
      </c>
      <c r="W137" s="167"/>
      <c r="X137" s="175">
        <v>4582.7212849999996</v>
      </c>
      <c r="Y137" s="166">
        <v>526.79939643074704</v>
      </c>
      <c r="Z137" s="177">
        <v>573</v>
      </c>
      <c r="AA137" s="188">
        <v>0.91937067439921005</v>
      </c>
      <c r="AB137" s="171">
        <v>-1039.9396867109399</v>
      </c>
      <c r="AC137" s="168"/>
      <c r="AD137" s="168"/>
      <c r="AE137" s="176">
        <v>402</v>
      </c>
      <c r="AF137" s="176">
        <v>1399</v>
      </c>
      <c r="AG137" s="167"/>
      <c r="AH137" s="180">
        <v>402</v>
      </c>
      <c r="AI137" s="166">
        <v>46.211267104183101</v>
      </c>
      <c r="AJ137" s="181" t="s">
        <v>53</v>
      </c>
      <c r="AK137" s="173">
        <v>0.73351217625687504</v>
      </c>
      <c r="AL137" s="174">
        <v>-216.19832673261601</v>
      </c>
      <c r="AM137" s="168"/>
      <c r="AN137" s="168"/>
      <c r="AO137" s="176">
        <v>147</v>
      </c>
      <c r="AP137" s="176">
        <v>256</v>
      </c>
      <c r="AQ137" s="167"/>
      <c r="AR137" s="180">
        <v>75.400000000000006</v>
      </c>
      <c r="AS137" s="166">
        <v>8.6674864170532597</v>
      </c>
      <c r="AT137" s="181" t="s">
        <v>54</v>
      </c>
      <c r="AU137" s="173">
        <v>0.54171790106582896</v>
      </c>
      <c r="AV137" s="174">
        <v>-81.602749646378797</v>
      </c>
      <c r="AW137" s="168"/>
      <c r="AX137" s="168"/>
      <c r="AY137" s="176">
        <v>64</v>
      </c>
      <c r="AZ137" s="176">
        <v>92</v>
      </c>
      <c r="BA137" s="167"/>
      <c r="BB137" s="184">
        <v>297.8</v>
      </c>
      <c r="BC137" s="180">
        <v>34.233122745337702</v>
      </c>
      <c r="BD137" s="181" t="s">
        <v>55</v>
      </c>
      <c r="BE137" s="182">
        <v>1.0697850857918001</v>
      </c>
      <c r="BF137" s="183">
        <v>-16.205499292757501</v>
      </c>
      <c r="BG137" s="168">
        <v>1.4E-2</v>
      </c>
      <c r="BH137" s="168">
        <v>7.0000000000000001E-3</v>
      </c>
      <c r="BI137" s="176">
        <v>0</v>
      </c>
      <c r="BJ137" s="176">
        <v>37</v>
      </c>
      <c r="BK137" s="169"/>
      <c r="BL137" s="185">
        <v>0.8</v>
      </c>
      <c r="BM137" s="182">
        <v>0.84</v>
      </c>
      <c r="BN137" s="186">
        <v>1.5E-3</v>
      </c>
      <c r="BO137" s="187">
        <v>0.95</v>
      </c>
      <c r="BP137" s="178">
        <v>1</v>
      </c>
      <c r="BQ137" s="186">
        <v>2.5000000000000001E-3</v>
      </c>
    </row>
    <row r="138" spans="1:69" s="156" customFormat="1" ht="22.35" customHeight="1" x14ac:dyDescent="0.2">
      <c r="A138" s="165" t="s">
        <v>175</v>
      </c>
      <c r="B138" s="165" t="s">
        <v>187</v>
      </c>
      <c r="C138" s="165" t="s">
        <v>198</v>
      </c>
      <c r="D138" s="166">
        <v>2.92608844211111</v>
      </c>
      <c r="E138" s="167"/>
      <c r="F138" s="168">
        <v>0.08</v>
      </c>
      <c r="G138" s="168">
        <v>7.85E-2</v>
      </c>
      <c r="H138" s="169"/>
      <c r="I138" s="170">
        <v>6</v>
      </c>
      <c r="J138" s="170">
        <v>6</v>
      </c>
      <c r="K138" s="167"/>
      <c r="L138" s="171">
        <v>5235.9536200000002</v>
      </c>
      <c r="M138" s="171">
        <v>739.82704999999999</v>
      </c>
      <c r="N138" s="171">
        <v>5975.7806700000001</v>
      </c>
      <c r="O138" s="166">
        <v>2042.2419855801099</v>
      </c>
      <c r="P138" s="172">
        <v>212.5</v>
      </c>
      <c r="Q138" s="178">
        <v>9.6105505203769894</v>
      </c>
      <c r="R138" s="179">
        <v>5274.3972704259704</v>
      </c>
      <c r="S138" s="168">
        <v>0.01</v>
      </c>
      <c r="T138" s="168">
        <v>0.01</v>
      </c>
      <c r="U138" s="175">
        <v>0</v>
      </c>
      <c r="V138" s="176">
        <v>0</v>
      </c>
      <c r="W138" s="167"/>
      <c r="X138" s="175">
        <v>2009.7134900000001</v>
      </c>
      <c r="Y138" s="166">
        <v>686.82595545541096</v>
      </c>
      <c r="Z138" s="177">
        <v>573</v>
      </c>
      <c r="AA138" s="178">
        <v>1.19864913692044</v>
      </c>
      <c r="AB138" s="179">
        <v>118.45378197213699</v>
      </c>
      <c r="AC138" s="168">
        <v>0.02</v>
      </c>
      <c r="AD138" s="168">
        <v>0.02</v>
      </c>
      <c r="AE138" s="176">
        <v>0</v>
      </c>
      <c r="AF138" s="176">
        <v>3</v>
      </c>
      <c r="AG138" s="167"/>
      <c r="AH138" s="180">
        <v>260.8</v>
      </c>
      <c r="AI138" s="166">
        <v>89.129226665424497</v>
      </c>
      <c r="AJ138" s="181" t="s">
        <v>53</v>
      </c>
      <c r="AK138" s="178">
        <v>1.41474962960991</v>
      </c>
      <c r="AL138" s="179">
        <v>52.860450949816098</v>
      </c>
      <c r="AM138" s="168">
        <v>0.02</v>
      </c>
      <c r="AN138" s="168">
        <v>0.02</v>
      </c>
      <c r="AO138" s="176">
        <v>0</v>
      </c>
      <c r="AP138" s="176">
        <v>0</v>
      </c>
      <c r="AQ138" s="167"/>
      <c r="AR138" s="180">
        <v>54.9</v>
      </c>
      <c r="AS138" s="166">
        <v>18.7622490181434</v>
      </c>
      <c r="AT138" s="181" t="s">
        <v>54</v>
      </c>
      <c r="AU138" s="178">
        <v>1.1726405636339601</v>
      </c>
      <c r="AV138" s="179">
        <v>2.0899557967786802</v>
      </c>
      <c r="AW138" s="168">
        <v>0.01</v>
      </c>
      <c r="AX138" s="168">
        <v>8.5000000000000006E-3</v>
      </c>
      <c r="AY138" s="176">
        <v>0</v>
      </c>
      <c r="AZ138" s="176">
        <v>2</v>
      </c>
      <c r="BA138" s="167"/>
      <c r="BB138" s="184">
        <v>151.80000000000001</v>
      </c>
      <c r="BC138" s="180">
        <v>51.878131164921101</v>
      </c>
      <c r="BD138" s="181" t="s">
        <v>55</v>
      </c>
      <c r="BE138" s="178">
        <v>1.6211915989037899</v>
      </c>
      <c r="BF138" s="179">
        <v>46.179911593557399</v>
      </c>
      <c r="BG138" s="168">
        <v>0.02</v>
      </c>
      <c r="BH138" s="168">
        <v>0.02</v>
      </c>
      <c r="BI138" s="176">
        <v>0</v>
      </c>
      <c r="BJ138" s="176">
        <v>0</v>
      </c>
      <c r="BK138" s="169"/>
      <c r="BL138" s="185">
        <v>0.8</v>
      </c>
      <c r="BM138" s="188">
        <v>0.79</v>
      </c>
      <c r="BN138" s="186"/>
      <c r="BO138" s="187">
        <v>0.95</v>
      </c>
      <c r="BP138" s="178">
        <v>1</v>
      </c>
      <c r="BQ138" s="186">
        <v>2.5000000000000001E-3</v>
      </c>
    </row>
    <row r="139" spans="1:69" s="156" customFormat="1" ht="22.35" customHeight="1" x14ac:dyDescent="0.2">
      <c r="A139" s="165" t="s">
        <v>175</v>
      </c>
      <c r="B139" s="165" t="s">
        <v>187</v>
      </c>
      <c r="C139" s="165" t="s">
        <v>199</v>
      </c>
      <c r="D139" s="166">
        <v>2.8460876042222201</v>
      </c>
      <c r="E139" s="167"/>
      <c r="F139" s="168">
        <v>7.4499999999999997E-2</v>
      </c>
      <c r="G139" s="168">
        <v>7.0999999999999994E-2</v>
      </c>
      <c r="H139" s="169"/>
      <c r="I139" s="170">
        <v>6</v>
      </c>
      <c r="J139" s="170">
        <v>6</v>
      </c>
      <c r="K139" s="167"/>
      <c r="L139" s="171">
        <v>1658.2786699999999</v>
      </c>
      <c r="M139" s="171">
        <v>156.65046000000001</v>
      </c>
      <c r="N139" s="171">
        <v>1814.92913</v>
      </c>
      <c r="O139" s="166">
        <v>637.69264421359298</v>
      </c>
      <c r="P139" s="172">
        <v>212.5</v>
      </c>
      <c r="Q139" s="178">
        <v>3.00090656100515</v>
      </c>
      <c r="R139" s="179">
        <v>1132.7219312679299</v>
      </c>
      <c r="S139" s="168">
        <v>0.01</v>
      </c>
      <c r="T139" s="168">
        <v>0.01</v>
      </c>
      <c r="U139" s="175">
        <v>0</v>
      </c>
      <c r="V139" s="176">
        <v>0</v>
      </c>
      <c r="W139" s="167"/>
      <c r="X139" s="175">
        <v>2468.7742800000001</v>
      </c>
      <c r="Y139" s="166">
        <v>867.42736813073805</v>
      </c>
      <c r="Z139" s="177">
        <v>573</v>
      </c>
      <c r="AA139" s="178">
        <v>1.5138348483957</v>
      </c>
      <c r="AB139" s="179">
        <v>629.22263353659298</v>
      </c>
      <c r="AC139" s="168">
        <v>0.02</v>
      </c>
      <c r="AD139" s="168">
        <v>0.02</v>
      </c>
      <c r="AE139" s="176">
        <v>0</v>
      </c>
      <c r="AF139" s="176">
        <v>0</v>
      </c>
      <c r="AG139" s="167"/>
      <c r="AH139" s="180">
        <v>280.7</v>
      </c>
      <c r="AI139" s="166">
        <v>98.626619779228307</v>
      </c>
      <c r="AJ139" s="181" t="s">
        <v>53</v>
      </c>
      <c r="AK139" s="178">
        <v>1.5655019012575899</v>
      </c>
      <c r="AL139" s="179">
        <v>78.445630493552201</v>
      </c>
      <c r="AM139" s="168">
        <v>0.02</v>
      </c>
      <c r="AN139" s="168">
        <v>0.02</v>
      </c>
      <c r="AO139" s="176">
        <v>0</v>
      </c>
      <c r="AP139" s="176">
        <v>0</v>
      </c>
      <c r="AQ139" s="167"/>
      <c r="AR139" s="180">
        <v>46.6</v>
      </c>
      <c r="AS139" s="166">
        <v>16.373354049562</v>
      </c>
      <c r="AT139" s="181" t="s">
        <v>54</v>
      </c>
      <c r="AU139" s="182">
        <v>1.0233346280976201</v>
      </c>
      <c r="AV139" s="183">
        <v>-4.7661890810026204</v>
      </c>
      <c r="AW139" s="168">
        <v>4.4999999999999997E-3</v>
      </c>
      <c r="AX139" s="168">
        <v>1E-3</v>
      </c>
      <c r="AY139" s="176">
        <v>0</v>
      </c>
      <c r="AZ139" s="176">
        <v>9</v>
      </c>
      <c r="BA139" s="167"/>
      <c r="BB139" s="184">
        <v>164.4</v>
      </c>
      <c r="BC139" s="180">
        <v>57.763506561115598</v>
      </c>
      <c r="BD139" s="181" t="s">
        <v>55</v>
      </c>
      <c r="BE139" s="178">
        <v>1.80510958003486</v>
      </c>
      <c r="BF139" s="179">
        <v>61.667621837994801</v>
      </c>
      <c r="BG139" s="168">
        <v>0.02</v>
      </c>
      <c r="BH139" s="168">
        <v>0.02</v>
      </c>
      <c r="BI139" s="176">
        <v>0</v>
      </c>
      <c r="BJ139" s="176">
        <v>0</v>
      </c>
      <c r="BK139" s="169"/>
      <c r="BL139" s="185">
        <v>0.8</v>
      </c>
      <c r="BM139" s="188">
        <v>0.76</v>
      </c>
      <c r="BN139" s="186"/>
      <c r="BO139" s="187">
        <v>0.95</v>
      </c>
      <c r="BP139" s="178">
        <v>1</v>
      </c>
      <c r="BQ139" s="186">
        <v>2.5000000000000001E-3</v>
      </c>
    </row>
    <row r="140" spans="1:69" s="156" customFormat="1" ht="22.35" customHeight="1" x14ac:dyDescent="0.2">
      <c r="A140" s="165" t="s">
        <v>175</v>
      </c>
      <c r="B140" s="165" t="s">
        <v>187</v>
      </c>
      <c r="C140" s="165" t="s">
        <v>200</v>
      </c>
      <c r="D140" s="166">
        <v>0.62457229755555599</v>
      </c>
      <c r="E140" s="167"/>
      <c r="F140" s="168">
        <v>6.6000000000000003E-2</v>
      </c>
      <c r="G140" s="168">
        <v>5.8999999999999997E-2</v>
      </c>
      <c r="H140" s="169"/>
      <c r="I140" s="170">
        <v>5</v>
      </c>
      <c r="J140" s="170">
        <v>5</v>
      </c>
      <c r="K140" s="167"/>
      <c r="L140" s="171"/>
      <c r="M140" s="171">
        <v>368.28228000000001</v>
      </c>
      <c r="N140" s="171">
        <v>368.28228000000001</v>
      </c>
      <c r="O140" s="166">
        <v>589.65516312743796</v>
      </c>
      <c r="P140" s="172">
        <v>226.98400000000001</v>
      </c>
      <c r="Q140" s="178">
        <v>2.5977829412092399</v>
      </c>
      <c r="R140" s="179">
        <v>208.368068057941</v>
      </c>
      <c r="S140" s="168">
        <v>0.01</v>
      </c>
      <c r="T140" s="168">
        <v>0.01</v>
      </c>
      <c r="U140" s="175">
        <v>0</v>
      </c>
      <c r="V140" s="176">
        <v>0</v>
      </c>
      <c r="W140" s="167"/>
      <c r="X140" s="175">
        <v>389.79370999999998</v>
      </c>
      <c r="Y140" s="166">
        <v>624.09702051399097</v>
      </c>
      <c r="Z140" s="177">
        <v>573</v>
      </c>
      <c r="AA140" s="182">
        <v>1.0891745558708401</v>
      </c>
      <c r="AB140" s="183">
        <v>-13.894847091248</v>
      </c>
      <c r="AC140" s="168">
        <v>1.6E-2</v>
      </c>
      <c r="AD140" s="168">
        <v>8.9999999999999993E-3</v>
      </c>
      <c r="AE140" s="176">
        <v>0</v>
      </c>
      <c r="AF140" s="176">
        <v>40</v>
      </c>
      <c r="AG140" s="167"/>
      <c r="AH140" s="180">
        <v>51.6</v>
      </c>
      <c r="AI140" s="166">
        <v>82.616536471360504</v>
      </c>
      <c r="AJ140" s="181" t="s">
        <v>53</v>
      </c>
      <c r="AK140" s="178">
        <v>1.3113735947834999</v>
      </c>
      <c r="AL140" s="179">
        <v>7.215394246512</v>
      </c>
      <c r="AM140" s="168">
        <v>0.02</v>
      </c>
      <c r="AN140" s="168">
        <v>0.02</v>
      </c>
      <c r="AO140" s="176">
        <v>0</v>
      </c>
      <c r="AP140" s="176">
        <v>0</v>
      </c>
      <c r="AQ140" s="167"/>
      <c r="AR140" s="180">
        <v>1</v>
      </c>
      <c r="AS140" s="166">
        <v>1.60109566804962</v>
      </c>
      <c r="AT140" s="181" t="s">
        <v>54</v>
      </c>
      <c r="AU140" s="173">
        <v>0.100068479253101</v>
      </c>
      <c r="AV140" s="174">
        <v>-10.272280826282699</v>
      </c>
      <c r="AW140" s="168"/>
      <c r="AX140" s="168"/>
      <c r="AY140" s="176">
        <v>9</v>
      </c>
      <c r="AZ140" s="176">
        <v>11</v>
      </c>
      <c r="BA140" s="167"/>
      <c r="BB140" s="184">
        <v>26.2</v>
      </c>
      <c r="BC140" s="180">
        <v>41.948706502900102</v>
      </c>
      <c r="BD140" s="181" t="s">
        <v>55</v>
      </c>
      <c r="BE140" s="178">
        <v>1.31089707821563</v>
      </c>
      <c r="BF140" s="179">
        <v>3.6554383474346599</v>
      </c>
      <c r="BG140" s="168">
        <v>0.02</v>
      </c>
      <c r="BH140" s="168">
        <v>0.02</v>
      </c>
      <c r="BI140" s="176">
        <v>0</v>
      </c>
      <c r="BJ140" s="176">
        <v>0</v>
      </c>
      <c r="BK140" s="169"/>
      <c r="BL140" s="185">
        <v>0.8</v>
      </c>
      <c r="BM140" s="173"/>
      <c r="BN140" s="186"/>
      <c r="BO140" s="187">
        <v>0.95</v>
      </c>
      <c r="BP140" s="178">
        <v>1</v>
      </c>
      <c r="BQ140" s="186">
        <v>2.5000000000000001E-3</v>
      </c>
    </row>
    <row r="141" spans="1:69" s="156" customFormat="1" ht="22.35" customHeight="1" x14ac:dyDescent="0.2">
      <c r="A141" s="165" t="s">
        <v>175</v>
      </c>
      <c r="B141" s="165" t="s">
        <v>201</v>
      </c>
      <c r="C141" s="165" t="s">
        <v>202</v>
      </c>
      <c r="D141" s="166">
        <v>2.7066750453333301</v>
      </c>
      <c r="E141" s="167"/>
      <c r="F141" s="168">
        <v>7.1999999999999995E-2</v>
      </c>
      <c r="G141" s="168">
        <v>6.4000000000000001E-2</v>
      </c>
      <c r="H141" s="169"/>
      <c r="I141" s="170">
        <v>7</v>
      </c>
      <c r="J141" s="170">
        <v>7</v>
      </c>
      <c r="K141" s="167"/>
      <c r="L141" s="171">
        <v>891.60798</v>
      </c>
      <c r="M141" s="171">
        <v>831.61488999999995</v>
      </c>
      <c r="N141" s="171">
        <v>1723.2228700000001</v>
      </c>
      <c r="O141" s="166">
        <v>636.656724999576</v>
      </c>
      <c r="P141" s="172">
        <v>287.5</v>
      </c>
      <c r="Q141" s="178">
        <v>2.2144581739115701</v>
      </c>
      <c r="R141" s="179">
        <v>845.448152798401</v>
      </c>
      <c r="S141" s="168">
        <v>0.01</v>
      </c>
      <c r="T141" s="168">
        <v>0.01</v>
      </c>
      <c r="U141" s="175">
        <v>0</v>
      </c>
      <c r="V141" s="176">
        <v>0</v>
      </c>
      <c r="W141" s="167"/>
      <c r="X141" s="175">
        <v>1851.3474900000001</v>
      </c>
      <c r="Y141" s="166">
        <v>683.99326073219197</v>
      </c>
      <c r="Z141" s="177">
        <v>573</v>
      </c>
      <c r="AA141" s="178">
        <v>1.19370551611203</v>
      </c>
      <c r="AB141" s="179">
        <v>101.904314499074</v>
      </c>
      <c r="AC141" s="168">
        <v>0.02</v>
      </c>
      <c r="AD141" s="168">
        <v>1.9E-2</v>
      </c>
      <c r="AE141" s="176">
        <v>0</v>
      </c>
      <c r="AF141" s="176">
        <v>10</v>
      </c>
      <c r="AG141" s="167"/>
      <c r="AH141" s="180">
        <v>178.95</v>
      </c>
      <c r="AI141" s="166">
        <v>66.114327358407294</v>
      </c>
      <c r="AJ141" s="181" t="s">
        <v>53</v>
      </c>
      <c r="AK141" s="182">
        <v>1.0494337675937699</v>
      </c>
      <c r="AL141" s="183">
        <v>-13.3971554215677</v>
      </c>
      <c r="AM141" s="168">
        <v>1.2E-2</v>
      </c>
      <c r="AN141" s="168">
        <v>5.0000000000000001E-3</v>
      </c>
      <c r="AO141" s="176">
        <v>0</v>
      </c>
      <c r="AP141" s="176">
        <v>26</v>
      </c>
      <c r="AQ141" s="167"/>
      <c r="AR141" s="180">
        <v>59.1</v>
      </c>
      <c r="AS141" s="166">
        <v>21.834907778049001</v>
      </c>
      <c r="AT141" s="181" t="s">
        <v>54</v>
      </c>
      <c r="AU141" s="178">
        <v>1.3646817361280601</v>
      </c>
      <c r="AV141" s="179">
        <v>10.249928781824099</v>
      </c>
      <c r="AW141" s="168">
        <v>0.01</v>
      </c>
      <c r="AX141" s="168">
        <v>0.01</v>
      </c>
      <c r="AY141" s="176">
        <v>0</v>
      </c>
      <c r="AZ141" s="176">
        <v>0</v>
      </c>
      <c r="BA141" s="167"/>
      <c r="BB141" s="184">
        <v>140.4</v>
      </c>
      <c r="BC141" s="180">
        <v>51.871760609781397</v>
      </c>
      <c r="BD141" s="181" t="s">
        <v>55</v>
      </c>
      <c r="BE141" s="178">
        <v>1.62099251905567</v>
      </c>
      <c r="BF141" s="179">
        <v>42.699857563648102</v>
      </c>
      <c r="BG141" s="168">
        <v>0.02</v>
      </c>
      <c r="BH141" s="168">
        <v>0.02</v>
      </c>
      <c r="BI141" s="176">
        <v>0</v>
      </c>
      <c r="BJ141" s="176">
        <v>0</v>
      </c>
      <c r="BK141" s="169"/>
      <c r="BL141" s="185">
        <v>0.8</v>
      </c>
      <c r="BM141" s="182">
        <v>0.88</v>
      </c>
      <c r="BN141" s="186">
        <v>3.0000000000000001E-3</v>
      </c>
      <c r="BO141" s="187">
        <v>0.95</v>
      </c>
      <c r="BP141" s="178">
        <v>1</v>
      </c>
      <c r="BQ141" s="186">
        <v>2.5000000000000001E-3</v>
      </c>
    </row>
    <row r="142" spans="1:69" s="156" customFormat="1" ht="22.35" customHeight="1" x14ac:dyDescent="0.2">
      <c r="A142" s="165" t="s">
        <v>175</v>
      </c>
      <c r="B142" s="165" t="s">
        <v>201</v>
      </c>
      <c r="C142" s="165" t="s">
        <v>203</v>
      </c>
      <c r="D142" s="166">
        <v>2.9894179894444401</v>
      </c>
      <c r="E142" s="167"/>
      <c r="F142" s="168">
        <v>0.08</v>
      </c>
      <c r="G142" s="168">
        <v>7.1999999999999995E-2</v>
      </c>
      <c r="H142" s="169"/>
      <c r="I142" s="170">
        <v>7</v>
      </c>
      <c r="J142" s="170">
        <v>7</v>
      </c>
      <c r="K142" s="167"/>
      <c r="L142" s="171">
        <v>2045.1310699999999</v>
      </c>
      <c r="M142" s="171">
        <v>2953.8375599999999</v>
      </c>
      <c r="N142" s="171">
        <v>4998.9686300000003</v>
      </c>
      <c r="O142" s="166">
        <v>1672.2213647108699</v>
      </c>
      <c r="P142" s="172">
        <v>273.93400000000003</v>
      </c>
      <c r="Q142" s="178">
        <v>6.1044681007500703</v>
      </c>
      <c r="R142" s="179">
        <v>4075.2457893569099</v>
      </c>
      <c r="S142" s="168">
        <v>0.01</v>
      </c>
      <c r="T142" s="168">
        <v>0.01</v>
      </c>
      <c r="U142" s="175">
        <v>0</v>
      </c>
      <c r="V142" s="176">
        <v>0</v>
      </c>
      <c r="W142" s="167"/>
      <c r="X142" s="175">
        <v>2022.49756</v>
      </c>
      <c r="Y142" s="166">
        <v>676.55228112675604</v>
      </c>
      <c r="Z142" s="177">
        <v>573</v>
      </c>
      <c r="AA142" s="178">
        <v>1.18071951331022</v>
      </c>
      <c r="AB142" s="179">
        <v>90.305179030522595</v>
      </c>
      <c r="AC142" s="168">
        <v>0.02</v>
      </c>
      <c r="AD142" s="168">
        <v>1.7999999999999999E-2</v>
      </c>
      <c r="AE142" s="176">
        <v>0</v>
      </c>
      <c r="AF142" s="176">
        <v>34</v>
      </c>
      <c r="AG142" s="167"/>
      <c r="AH142" s="180">
        <v>214.7</v>
      </c>
      <c r="AI142" s="166">
        <v>71.819999999364398</v>
      </c>
      <c r="AJ142" s="181" t="s">
        <v>53</v>
      </c>
      <c r="AK142" s="178">
        <v>1.13999999998991</v>
      </c>
      <c r="AL142" s="179">
        <v>2.2599999981202901</v>
      </c>
      <c r="AM142" s="168">
        <v>0.02</v>
      </c>
      <c r="AN142" s="168">
        <v>1.4E-2</v>
      </c>
      <c r="AO142" s="176">
        <v>0</v>
      </c>
      <c r="AP142" s="176">
        <v>12</v>
      </c>
      <c r="AQ142" s="167"/>
      <c r="AR142" s="180">
        <v>69.400000000000006</v>
      </c>
      <c r="AS142" s="166">
        <v>23.2152212387326</v>
      </c>
      <c r="AT142" s="181" t="s">
        <v>54</v>
      </c>
      <c r="AU142" s="178">
        <v>1.4509513274207899</v>
      </c>
      <c r="AV142" s="179">
        <v>15.446984126506701</v>
      </c>
      <c r="AW142" s="168">
        <v>0.01</v>
      </c>
      <c r="AX142" s="168">
        <v>0.01</v>
      </c>
      <c r="AY142" s="176">
        <v>0</v>
      </c>
      <c r="AZ142" s="176">
        <v>0</v>
      </c>
      <c r="BA142" s="167"/>
      <c r="BB142" s="184">
        <v>134.80000000000001</v>
      </c>
      <c r="BC142" s="180">
        <v>45.092389380131898</v>
      </c>
      <c r="BD142" s="181" t="s">
        <v>55</v>
      </c>
      <c r="BE142" s="178">
        <v>1.40913716812912</v>
      </c>
      <c r="BF142" s="179">
        <v>26.893968253013501</v>
      </c>
      <c r="BG142" s="168">
        <v>0.02</v>
      </c>
      <c r="BH142" s="168">
        <v>0.02</v>
      </c>
      <c r="BI142" s="176">
        <v>0</v>
      </c>
      <c r="BJ142" s="176">
        <v>0</v>
      </c>
      <c r="BK142" s="169"/>
      <c r="BL142" s="185">
        <v>0.8</v>
      </c>
      <c r="BM142" s="182">
        <v>0.83</v>
      </c>
      <c r="BN142" s="186">
        <v>1.1249999999999999E-3</v>
      </c>
      <c r="BO142" s="187">
        <v>0.95</v>
      </c>
      <c r="BP142" s="178">
        <v>1</v>
      </c>
      <c r="BQ142" s="186">
        <v>2.5000000000000001E-3</v>
      </c>
    </row>
    <row r="143" spans="1:69" s="156" customFormat="1" ht="22.35" customHeight="1" x14ac:dyDescent="0.2">
      <c r="A143" s="165" t="s">
        <v>175</v>
      </c>
      <c r="B143" s="165" t="s">
        <v>201</v>
      </c>
      <c r="C143" s="165" t="s">
        <v>204</v>
      </c>
      <c r="D143" s="166">
        <v>2.92477570733333</v>
      </c>
      <c r="E143" s="167"/>
      <c r="F143" s="168">
        <v>0.06</v>
      </c>
      <c r="G143" s="168">
        <v>0.06</v>
      </c>
      <c r="H143" s="169"/>
      <c r="I143" s="170">
        <v>6</v>
      </c>
      <c r="J143" s="170">
        <v>6</v>
      </c>
      <c r="K143" s="167"/>
      <c r="L143" s="171">
        <v>2288.3770399999999</v>
      </c>
      <c r="M143" s="171">
        <v>-52.06664</v>
      </c>
      <c r="N143" s="171">
        <v>2236.3103999999998</v>
      </c>
      <c r="O143" s="166">
        <v>764.609195294144</v>
      </c>
      <c r="P143" s="172">
        <v>287.5</v>
      </c>
      <c r="Q143" s="178">
        <v>2.6595102445013699</v>
      </c>
      <c r="R143" s="179">
        <v>1287.8056381117999</v>
      </c>
      <c r="S143" s="168">
        <v>0.01</v>
      </c>
      <c r="T143" s="168">
        <v>0.01</v>
      </c>
      <c r="U143" s="175">
        <v>0</v>
      </c>
      <c r="V143" s="176">
        <v>0</v>
      </c>
      <c r="W143" s="167"/>
      <c r="X143" s="175">
        <v>2262.2831000000001</v>
      </c>
      <c r="Y143" s="166">
        <v>773.48943179736602</v>
      </c>
      <c r="Z143" s="177">
        <v>573</v>
      </c>
      <c r="AA143" s="178">
        <v>1.3498942963304801</v>
      </c>
      <c r="AB143" s="179">
        <v>371.87187021934602</v>
      </c>
      <c r="AC143" s="168">
        <v>0.02</v>
      </c>
      <c r="AD143" s="168">
        <v>0.02</v>
      </c>
      <c r="AE143" s="176">
        <v>0</v>
      </c>
      <c r="AF143" s="176">
        <v>0</v>
      </c>
      <c r="AG143" s="167"/>
      <c r="AH143" s="180">
        <v>157.5</v>
      </c>
      <c r="AI143" s="166">
        <v>53.850283153370697</v>
      </c>
      <c r="AJ143" s="181" t="s">
        <v>53</v>
      </c>
      <c r="AK143" s="188">
        <v>0.85476639925985198</v>
      </c>
      <c r="AL143" s="171">
        <v>-50.346260865935797</v>
      </c>
      <c r="AM143" s="168"/>
      <c r="AN143" s="168"/>
      <c r="AO143" s="176">
        <v>27</v>
      </c>
      <c r="AP143" s="176">
        <v>64</v>
      </c>
      <c r="AQ143" s="167"/>
      <c r="AR143" s="180">
        <v>61.7</v>
      </c>
      <c r="AS143" s="166">
        <v>21.0956347337331</v>
      </c>
      <c r="AT143" s="181" t="s">
        <v>54</v>
      </c>
      <c r="AU143" s="178">
        <v>1.3184771708583201</v>
      </c>
      <c r="AV143" s="179">
        <v>8.9136480340480606</v>
      </c>
      <c r="AW143" s="168">
        <v>0.01</v>
      </c>
      <c r="AX143" s="168">
        <v>0.01</v>
      </c>
      <c r="AY143" s="176">
        <v>0</v>
      </c>
      <c r="AZ143" s="176">
        <v>0</v>
      </c>
      <c r="BA143" s="167"/>
      <c r="BB143" s="184">
        <v>155</v>
      </c>
      <c r="BC143" s="180">
        <v>52.995516754110803</v>
      </c>
      <c r="BD143" s="181" t="s">
        <v>55</v>
      </c>
      <c r="BE143" s="178">
        <v>1.6561098985659599</v>
      </c>
      <c r="BF143" s="179">
        <v>49.427296068096098</v>
      </c>
      <c r="BG143" s="168">
        <v>0.02</v>
      </c>
      <c r="BH143" s="168">
        <v>0.02</v>
      </c>
      <c r="BI143" s="176">
        <v>0</v>
      </c>
      <c r="BJ143" s="176">
        <v>0</v>
      </c>
      <c r="BK143" s="169"/>
      <c r="BL143" s="185">
        <v>0.8</v>
      </c>
      <c r="BM143" s="182">
        <v>0.83</v>
      </c>
      <c r="BN143" s="186">
        <v>1.1249999999999999E-3</v>
      </c>
      <c r="BO143" s="187">
        <v>0.95</v>
      </c>
      <c r="BP143" s="178">
        <v>1</v>
      </c>
      <c r="BQ143" s="186">
        <v>2.5000000000000001E-3</v>
      </c>
    </row>
    <row r="144" spans="1:69" s="156" customFormat="1" ht="22.35" customHeight="1" x14ac:dyDescent="0.2">
      <c r="A144" s="165" t="s">
        <v>175</v>
      </c>
      <c r="B144" s="165" t="s">
        <v>201</v>
      </c>
      <c r="C144" s="165" t="s">
        <v>205</v>
      </c>
      <c r="D144" s="166">
        <v>2.6681531807777801</v>
      </c>
      <c r="E144" s="167"/>
      <c r="F144" s="168">
        <v>0.04</v>
      </c>
      <c r="G144" s="168">
        <v>0.04</v>
      </c>
      <c r="H144" s="169"/>
      <c r="I144" s="170">
        <v>4</v>
      </c>
      <c r="J144" s="170">
        <v>4</v>
      </c>
      <c r="K144" s="167"/>
      <c r="L144" s="171">
        <v>1131.4666</v>
      </c>
      <c r="M144" s="171">
        <v>433.88240000000002</v>
      </c>
      <c r="N144" s="171">
        <v>1565.3489999999999</v>
      </c>
      <c r="O144" s="166">
        <v>586.67883511234299</v>
      </c>
      <c r="P144" s="172">
        <v>265.91699999999997</v>
      </c>
      <c r="Q144" s="178">
        <v>2.2062479462100701</v>
      </c>
      <c r="R144" s="179">
        <v>765.02477758738598</v>
      </c>
      <c r="S144" s="168">
        <v>0.01</v>
      </c>
      <c r="T144" s="168">
        <v>0.01</v>
      </c>
      <c r="U144" s="175">
        <v>0</v>
      </c>
      <c r="V144" s="176">
        <v>0</v>
      </c>
      <c r="W144" s="167"/>
      <c r="X144" s="175">
        <v>1096.337685</v>
      </c>
      <c r="Y144" s="166">
        <v>410.89757998092603</v>
      </c>
      <c r="Z144" s="177">
        <v>573</v>
      </c>
      <c r="AA144" s="173">
        <v>0.71709874342221003</v>
      </c>
      <c r="AB144" s="174">
        <v>-628.20711447663405</v>
      </c>
      <c r="AC144" s="168"/>
      <c r="AD144" s="168"/>
      <c r="AE144" s="176">
        <v>433</v>
      </c>
      <c r="AF144" s="176">
        <v>739</v>
      </c>
      <c r="AG144" s="167"/>
      <c r="AH144" s="180">
        <v>117.1</v>
      </c>
      <c r="AI144" s="166">
        <v>43.888034931287102</v>
      </c>
      <c r="AJ144" s="181" t="s">
        <v>53</v>
      </c>
      <c r="AK144" s="173">
        <v>0.69663547509979595</v>
      </c>
      <c r="AL144" s="174">
        <v>-72.509637638792199</v>
      </c>
      <c r="AM144" s="168"/>
      <c r="AN144" s="168"/>
      <c r="AO144" s="176">
        <v>51</v>
      </c>
      <c r="AP144" s="176">
        <v>85</v>
      </c>
      <c r="AQ144" s="167"/>
      <c r="AR144" s="180">
        <v>52</v>
      </c>
      <c r="AS144" s="166">
        <v>19.489135921664602</v>
      </c>
      <c r="AT144" s="181" t="s">
        <v>54</v>
      </c>
      <c r="AU144" s="178">
        <v>1.21807099510404</v>
      </c>
      <c r="AV144" s="179">
        <v>3.8451713933226199</v>
      </c>
      <c r="AW144" s="168">
        <v>0.01</v>
      </c>
      <c r="AX144" s="168">
        <v>0.01</v>
      </c>
      <c r="AY144" s="176">
        <v>0</v>
      </c>
      <c r="AZ144" s="176">
        <v>0</v>
      </c>
      <c r="BA144" s="167"/>
      <c r="BB144" s="184">
        <v>107.8</v>
      </c>
      <c r="BC144" s="180">
        <v>40.4024779299125</v>
      </c>
      <c r="BD144" s="181" t="s">
        <v>55</v>
      </c>
      <c r="BE144" s="178">
        <v>1.2625774353097701</v>
      </c>
      <c r="BF144" s="179">
        <v>11.490342786645201</v>
      </c>
      <c r="BG144" s="168">
        <v>0.02</v>
      </c>
      <c r="BH144" s="168">
        <v>0.02</v>
      </c>
      <c r="BI144" s="176">
        <v>0</v>
      </c>
      <c r="BJ144" s="176">
        <v>0</v>
      </c>
      <c r="BK144" s="169"/>
      <c r="BL144" s="185">
        <v>0.8</v>
      </c>
      <c r="BM144" s="188">
        <v>0.78</v>
      </c>
      <c r="BN144" s="186"/>
      <c r="BO144" s="187">
        <v>0.95</v>
      </c>
      <c r="BP144" s="178">
        <v>1</v>
      </c>
      <c r="BQ144" s="186">
        <v>2.5000000000000001E-3</v>
      </c>
    </row>
    <row r="145" spans="1:69" s="156" customFormat="1" ht="22.35" customHeight="1" x14ac:dyDescent="0.2">
      <c r="A145" s="165" t="s">
        <v>175</v>
      </c>
      <c r="B145" s="165" t="s">
        <v>201</v>
      </c>
      <c r="C145" s="165" t="s">
        <v>206</v>
      </c>
      <c r="D145" s="166">
        <v>10.628939992444399</v>
      </c>
      <c r="E145" s="167"/>
      <c r="F145" s="168">
        <v>5.6000000000000001E-2</v>
      </c>
      <c r="G145" s="168">
        <v>4.0500000000000001E-2</v>
      </c>
      <c r="H145" s="169"/>
      <c r="I145" s="170">
        <v>6</v>
      </c>
      <c r="J145" s="170">
        <v>6</v>
      </c>
      <c r="K145" s="167"/>
      <c r="L145" s="171">
        <v>8197.7455499999996</v>
      </c>
      <c r="M145" s="171">
        <v>3362.2752700000001</v>
      </c>
      <c r="N145" s="171">
        <v>11560.02082</v>
      </c>
      <c r="O145" s="166">
        <v>1087.5986531316801</v>
      </c>
      <c r="P145" s="172">
        <v>287.5</v>
      </c>
      <c r="Q145" s="178">
        <v>3.7829518369797599</v>
      </c>
      <c r="R145" s="179">
        <v>8113.0555804502701</v>
      </c>
      <c r="S145" s="168">
        <v>0.01</v>
      </c>
      <c r="T145" s="168">
        <v>0.01</v>
      </c>
      <c r="U145" s="175">
        <v>0</v>
      </c>
      <c r="V145" s="176">
        <v>0</v>
      </c>
      <c r="W145" s="167"/>
      <c r="X145" s="175">
        <v>6438.8153000000002</v>
      </c>
      <c r="Y145" s="166">
        <v>605.78150827618003</v>
      </c>
      <c r="Z145" s="177">
        <v>573</v>
      </c>
      <c r="AA145" s="182">
        <v>1.05721031112771</v>
      </c>
      <c r="AB145" s="183">
        <v>-431.13629047650801</v>
      </c>
      <c r="AC145" s="168">
        <v>1.2E-2</v>
      </c>
      <c r="AD145" s="168">
        <v>6.0000000000000001E-3</v>
      </c>
      <c r="AE145" s="176">
        <v>0</v>
      </c>
      <c r="AF145" s="176">
        <v>870</v>
      </c>
      <c r="AG145" s="167"/>
      <c r="AH145" s="180">
        <v>696.45</v>
      </c>
      <c r="AI145" s="166">
        <v>65.523937522939207</v>
      </c>
      <c r="AJ145" s="181" t="s">
        <v>53</v>
      </c>
      <c r="AK145" s="182">
        <v>1.04006250036411</v>
      </c>
      <c r="AL145" s="183">
        <v>-58.884991623071599</v>
      </c>
      <c r="AM145" s="168">
        <v>1.0999999999999999E-2</v>
      </c>
      <c r="AN145" s="168">
        <v>4.0000000000000001E-3</v>
      </c>
      <c r="AO145" s="176">
        <v>0</v>
      </c>
      <c r="AP145" s="176">
        <v>108</v>
      </c>
      <c r="AQ145" s="167"/>
      <c r="AR145" s="180">
        <v>170.1</v>
      </c>
      <c r="AS145" s="166">
        <v>16.003477310147101</v>
      </c>
      <c r="AT145" s="181" t="s">
        <v>54</v>
      </c>
      <c r="AU145" s="182">
        <v>1.00021733188419</v>
      </c>
      <c r="AV145" s="183">
        <v>-21.731108983637299</v>
      </c>
      <c r="AW145" s="168">
        <v>3.0000000000000001E-3</v>
      </c>
      <c r="AX145" s="168">
        <v>5.0000000000000001E-4</v>
      </c>
      <c r="AY145" s="176">
        <v>0</v>
      </c>
      <c r="AZ145" s="176">
        <v>34</v>
      </c>
      <c r="BA145" s="167"/>
      <c r="BB145" s="184">
        <v>412.8</v>
      </c>
      <c r="BC145" s="180">
        <v>38.837362925507001</v>
      </c>
      <c r="BD145" s="181" t="s">
        <v>55</v>
      </c>
      <c r="BE145" s="178">
        <v>1.21366759142209</v>
      </c>
      <c r="BF145" s="179">
        <v>29.1377820327255</v>
      </c>
      <c r="BG145" s="168">
        <v>0.02</v>
      </c>
      <c r="BH145" s="168">
        <v>0.02</v>
      </c>
      <c r="BI145" s="176">
        <v>0</v>
      </c>
      <c r="BJ145" s="176">
        <v>0</v>
      </c>
      <c r="BK145" s="169"/>
      <c r="BL145" s="185">
        <v>0.8</v>
      </c>
      <c r="BM145" s="188">
        <v>0.79</v>
      </c>
      <c r="BN145" s="186"/>
      <c r="BO145" s="187">
        <v>0.95</v>
      </c>
      <c r="BP145" s="178">
        <v>1</v>
      </c>
      <c r="BQ145" s="186">
        <v>2.5000000000000001E-3</v>
      </c>
    </row>
    <row r="146" spans="1:69" s="156" customFormat="1" ht="22.35" customHeight="1" x14ac:dyDescent="0.2">
      <c r="A146" s="165" t="s">
        <v>175</v>
      </c>
      <c r="B146" s="165" t="s">
        <v>201</v>
      </c>
      <c r="C146" s="165" t="s">
        <v>207</v>
      </c>
      <c r="D146" s="166">
        <v>2.3655582742222201</v>
      </c>
      <c r="E146" s="167"/>
      <c r="F146" s="168">
        <v>0.06</v>
      </c>
      <c r="G146" s="168">
        <v>5.3999999999999999E-2</v>
      </c>
      <c r="H146" s="169"/>
      <c r="I146" s="170">
        <v>5</v>
      </c>
      <c r="J146" s="170">
        <v>5</v>
      </c>
      <c r="K146" s="167"/>
      <c r="L146" s="171">
        <v>1723.18011</v>
      </c>
      <c r="M146" s="171">
        <v>-18.53708</v>
      </c>
      <c r="N146" s="171">
        <v>1704.64303</v>
      </c>
      <c r="O146" s="166">
        <v>720.60918920311701</v>
      </c>
      <c r="P146" s="172">
        <v>212.5</v>
      </c>
      <c r="Q146" s="178">
        <v>3.3911020668381999</v>
      </c>
      <c r="R146" s="179">
        <v>1137.61871166893</v>
      </c>
      <c r="S146" s="168">
        <v>0.01</v>
      </c>
      <c r="T146" s="168">
        <v>0.01</v>
      </c>
      <c r="U146" s="175">
        <v>0</v>
      </c>
      <c r="V146" s="176">
        <v>0</v>
      </c>
      <c r="W146" s="167"/>
      <c r="X146" s="175">
        <v>1541.7847300000001</v>
      </c>
      <c r="Y146" s="166">
        <v>651.76358020895805</v>
      </c>
      <c r="Z146" s="177">
        <v>573</v>
      </c>
      <c r="AA146" s="178">
        <v>1.13745825516398</v>
      </c>
      <c r="AB146" s="179">
        <v>12.820332806113401</v>
      </c>
      <c r="AC146" s="168">
        <v>0.02</v>
      </c>
      <c r="AD146" s="168">
        <v>1.4E-2</v>
      </c>
      <c r="AE146" s="176">
        <v>0</v>
      </c>
      <c r="AF146" s="176">
        <v>85</v>
      </c>
      <c r="AG146" s="167"/>
      <c r="AH146" s="180">
        <v>139.6</v>
      </c>
      <c r="AI146" s="166">
        <v>59.013553595883998</v>
      </c>
      <c r="AJ146" s="181" t="s">
        <v>53</v>
      </c>
      <c r="AK146" s="188">
        <v>0.93672307295054003</v>
      </c>
      <c r="AL146" s="171">
        <v>-28.506033199327899</v>
      </c>
      <c r="AM146" s="168">
        <v>0</v>
      </c>
      <c r="AN146" s="168"/>
      <c r="AO146" s="176">
        <v>10</v>
      </c>
      <c r="AP146" s="176">
        <v>40</v>
      </c>
      <c r="AQ146" s="167"/>
      <c r="AR146" s="180">
        <v>85.1</v>
      </c>
      <c r="AS146" s="166">
        <v>35.9745946347402</v>
      </c>
      <c r="AT146" s="181" t="s">
        <v>54</v>
      </c>
      <c r="AU146" s="178">
        <v>2.2484121646712598</v>
      </c>
      <c r="AV146" s="179">
        <v>42.406404266837399</v>
      </c>
      <c r="AW146" s="168">
        <v>0.01</v>
      </c>
      <c r="AX146" s="168">
        <v>0.01</v>
      </c>
      <c r="AY146" s="176">
        <v>0</v>
      </c>
      <c r="AZ146" s="176">
        <v>0</v>
      </c>
      <c r="BA146" s="167"/>
      <c r="BB146" s="184">
        <v>158</v>
      </c>
      <c r="BC146" s="180">
        <v>66.791844327719701</v>
      </c>
      <c r="BD146" s="181" t="s">
        <v>55</v>
      </c>
      <c r="BE146" s="178">
        <v>2.0872451352412398</v>
      </c>
      <c r="BF146" s="179">
        <v>72.612808533674695</v>
      </c>
      <c r="BG146" s="168">
        <v>0.02</v>
      </c>
      <c r="BH146" s="168">
        <v>0.02</v>
      </c>
      <c r="BI146" s="176">
        <v>0</v>
      </c>
      <c r="BJ146" s="176">
        <v>0</v>
      </c>
      <c r="BK146" s="169"/>
      <c r="BL146" s="185">
        <v>0.8</v>
      </c>
      <c r="BM146" s="188">
        <v>0.78</v>
      </c>
      <c r="BN146" s="186"/>
      <c r="BO146" s="187">
        <v>0.95</v>
      </c>
      <c r="BP146" s="178">
        <v>1</v>
      </c>
      <c r="BQ146" s="186">
        <v>2.5000000000000001E-3</v>
      </c>
    </row>
    <row r="147" spans="1:69" s="156" customFormat="1" ht="22.35" customHeight="1" x14ac:dyDescent="0.2">
      <c r="A147" s="165" t="s">
        <v>175</v>
      </c>
      <c r="B147" s="165" t="s">
        <v>201</v>
      </c>
      <c r="C147" s="165" t="s">
        <v>208</v>
      </c>
      <c r="D147" s="166">
        <v>1.8899021605555599</v>
      </c>
      <c r="E147" s="167"/>
      <c r="F147" s="168">
        <v>6.4000000000000001E-2</v>
      </c>
      <c r="G147" s="168">
        <v>5.0999999999999997E-2</v>
      </c>
      <c r="H147" s="169"/>
      <c r="I147" s="170">
        <v>7</v>
      </c>
      <c r="J147" s="170">
        <v>6</v>
      </c>
      <c r="K147" s="167"/>
      <c r="L147" s="171">
        <v>320.28152</v>
      </c>
      <c r="M147" s="171">
        <v>1066.1294499999999</v>
      </c>
      <c r="N147" s="171">
        <v>1386.4109699999999</v>
      </c>
      <c r="O147" s="166">
        <v>733.58875339475298</v>
      </c>
      <c r="P147" s="172">
        <v>273.64299999999997</v>
      </c>
      <c r="Q147" s="178">
        <v>2.6808241153428098</v>
      </c>
      <c r="R147" s="179">
        <v>803.05618547321899</v>
      </c>
      <c r="S147" s="168">
        <v>0.01</v>
      </c>
      <c r="T147" s="168">
        <v>0.01</v>
      </c>
      <c r="U147" s="175">
        <v>0</v>
      </c>
      <c r="V147" s="176">
        <v>0</v>
      </c>
      <c r="W147" s="167"/>
      <c r="X147" s="175">
        <v>1204.1726200000001</v>
      </c>
      <c r="Y147" s="166">
        <v>637.16135423963999</v>
      </c>
      <c r="Z147" s="177">
        <v>573</v>
      </c>
      <c r="AA147" s="182">
        <v>1.1119744402088001</v>
      </c>
      <c r="AB147" s="183">
        <v>-17.354302062122802</v>
      </c>
      <c r="AC147" s="168">
        <v>1.7999999999999999E-2</v>
      </c>
      <c r="AD147" s="168">
        <v>1.0999999999999999E-2</v>
      </c>
      <c r="AE147" s="176">
        <v>0</v>
      </c>
      <c r="AF147" s="176">
        <v>96</v>
      </c>
      <c r="AG147" s="167"/>
      <c r="AH147" s="180">
        <v>119</v>
      </c>
      <c r="AI147" s="166">
        <v>62.966222529222797</v>
      </c>
      <c r="AJ147" s="181" t="s">
        <v>53</v>
      </c>
      <c r="AK147" s="182">
        <v>0.99946384967020196</v>
      </c>
      <c r="AL147" s="183">
        <v>-15.3040071377203</v>
      </c>
      <c r="AM147" s="168">
        <v>6.0000000000000001E-3</v>
      </c>
      <c r="AN147" s="168">
        <v>0</v>
      </c>
      <c r="AO147" s="176">
        <v>1</v>
      </c>
      <c r="AP147" s="176">
        <v>24</v>
      </c>
      <c r="AQ147" s="167"/>
      <c r="AR147" s="180">
        <v>59.5</v>
      </c>
      <c r="AS147" s="166">
        <v>31.483111264611399</v>
      </c>
      <c r="AT147" s="181" t="s">
        <v>54</v>
      </c>
      <c r="AU147" s="178">
        <v>1.96769445403821</v>
      </c>
      <c r="AV147" s="179">
        <v>25.391045806293199</v>
      </c>
      <c r="AW147" s="168">
        <v>0.01</v>
      </c>
      <c r="AX147" s="168">
        <v>0.01</v>
      </c>
      <c r="AY147" s="176">
        <v>0</v>
      </c>
      <c r="AZ147" s="176">
        <v>0</v>
      </c>
      <c r="BA147" s="167"/>
      <c r="BB147" s="184">
        <v>85.6</v>
      </c>
      <c r="BC147" s="180">
        <v>45.293349987407296</v>
      </c>
      <c r="BD147" s="181" t="s">
        <v>55</v>
      </c>
      <c r="BE147" s="178">
        <v>1.41541718710648</v>
      </c>
      <c r="BF147" s="179">
        <v>17.3820916125865</v>
      </c>
      <c r="BG147" s="168">
        <v>0.02</v>
      </c>
      <c r="BH147" s="168">
        <v>0.02</v>
      </c>
      <c r="BI147" s="176">
        <v>0</v>
      </c>
      <c r="BJ147" s="176">
        <v>0</v>
      </c>
      <c r="BK147" s="169"/>
      <c r="BL147" s="185">
        <v>0.8</v>
      </c>
      <c r="BM147" s="182">
        <v>0.87</v>
      </c>
      <c r="BN147" s="186">
        <v>2.6250000000000002E-3</v>
      </c>
      <c r="BO147" s="187">
        <v>0.95</v>
      </c>
      <c r="BP147" s="178">
        <v>1</v>
      </c>
      <c r="BQ147" s="186">
        <v>2.5000000000000001E-3</v>
      </c>
    </row>
    <row r="148" spans="1:69" s="156" customFormat="1" ht="22.35" customHeight="1" x14ac:dyDescent="0.2">
      <c r="A148" s="165" t="s">
        <v>175</v>
      </c>
      <c r="B148" s="165" t="s">
        <v>201</v>
      </c>
      <c r="C148" s="165" t="s">
        <v>209</v>
      </c>
      <c r="D148" s="166">
        <v>8.0221390946666702</v>
      </c>
      <c r="E148" s="167"/>
      <c r="F148" s="168">
        <v>3.7499999999999999E-2</v>
      </c>
      <c r="G148" s="168">
        <v>2.9499999999999998E-2</v>
      </c>
      <c r="H148" s="169"/>
      <c r="I148" s="170">
        <v>5</v>
      </c>
      <c r="J148" s="170">
        <v>4</v>
      </c>
      <c r="K148" s="167"/>
      <c r="L148" s="171">
        <v>5249.6984199999997</v>
      </c>
      <c r="M148" s="171">
        <v>-2660.0545299999999</v>
      </c>
      <c r="N148" s="171">
        <v>2589.6438899999998</v>
      </c>
      <c r="O148" s="166">
        <v>322.81214018361601</v>
      </c>
      <c r="P148" s="172">
        <v>287.5</v>
      </c>
      <c r="Q148" s="182">
        <v>1.12282483542127</v>
      </c>
      <c r="R148" s="183">
        <v>-11.935818400401301</v>
      </c>
      <c r="S148" s="168">
        <v>9.4999999999999998E-3</v>
      </c>
      <c r="T148" s="168">
        <v>6.0000000000000001E-3</v>
      </c>
      <c r="U148" s="175">
        <v>0</v>
      </c>
      <c r="V148" s="176">
        <v>178</v>
      </c>
      <c r="W148" s="167"/>
      <c r="X148" s="175">
        <v>4379.0881749999999</v>
      </c>
      <c r="Y148" s="166">
        <v>545.875373553587</v>
      </c>
      <c r="Z148" s="177">
        <v>573</v>
      </c>
      <c r="AA148" s="182">
        <v>0.95266208299055299</v>
      </c>
      <c r="AB148" s="183">
        <v>-805.97329600323496</v>
      </c>
      <c r="AC148" s="168">
        <v>1E-3</v>
      </c>
      <c r="AD148" s="168"/>
      <c r="AE148" s="176">
        <v>218</v>
      </c>
      <c r="AF148" s="176">
        <v>1137</v>
      </c>
      <c r="AG148" s="167"/>
      <c r="AH148" s="180">
        <v>473.85</v>
      </c>
      <c r="AI148" s="166">
        <v>59.0677865851302</v>
      </c>
      <c r="AJ148" s="181" t="s">
        <v>53</v>
      </c>
      <c r="AK148" s="188">
        <v>0.937583914049685</v>
      </c>
      <c r="AL148" s="171">
        <v>-96.235292623392297</v>
      </c>
      <c r="AM148" s="168">
        <v>0</v>
      </c>
      <c r="AN148" s="168"/>
      <c r="AO148" s="176">
        <v>32</v>
      </c>
      <c r="AP148" s="176">
        <v>133</v>
      </c>
      <c r="AQ148" s="167"/>
      <c r="AR148" s="180">
        <v>137.69999999999999</v>
      </c>
      <c r="AS148" s="166">
        <v>17.1649978110635</v>
      </c>
      <c r="AT148" s="181" t="s">
        <v>54</v>
      </c>
      <c r="AU148" s="182">
        <v>1.0728123631914701</v>
      </c>
      <c r="AV148" s="183">
        <v>-7.0835663805440596</v>
      </c>
      <c r="AW148" s="168">
        <v>7.0000000000000001E-3</v>
      </c>
      <c r="AX148" s="168">
        <v>3.5000000000000001E-3</v>
      </c>
      <c r="AY148" s="176">
        <v>0</v>
      </c>
      <c r="AZ148" s="176">
        <v>17</v>
      </c>
      <c r="BA148" s="167"/>
      <c r="BB148" s="184">
        <v>355.6</v>
      </c>
      <c r="BC148" s="180">
        <v>44.327329133000497</v>
      </c>
      <c r="BD148" s="181" t="s">
        <v>55</v>
      </c>
      <c r="BE148" s="178">
        <v>1.38522903540627</v>
      </c>
      <c r="BF148" s="179">
        <v>66.032867238911905</v>
      </c>
      <c r="BG148" s="168">
        <v>0.02</v>
      </c>
      <c r="BH148" s="168">
        <v>0.02</v>
      </c>
      <c r="BI148" s="176">
        <v>0</v>
      </c>
      <c r="BJ148" s="176">
        <v>0</v>
      </c>
      <c r="BK148" s="169"/>
      <c r="BL148" s="185">
        <v>0.8</v>
      </c>
      <c r="BM148" s="188">
        <v>0.76</v>
      </c>
      <c r="BN148" s="186"/>
      <c r="BO148" s="187">
        <v>0.95</v>
      </c>
      <c r="BP148" s="178">
        <v>1</v>
      </c>
      <c r="BQ148" s="186">
        <v>2.5000000000000001E-3</v>
      </c>
    </row>
    <row r="149" spans="1:69" s="156" customFormat="1" ht="22.35" customHeight="1" x14ac:dyDescent="0.2">
      <c r="A149" s="165" t="s">
        <v>175</v>
      </c>
      <c r="B149" s="165" t="s">
        <v>201</v>
      </c>
      <c r="C149" s="165" t="s">
        <v>210</v>
      </c>
      <c r="D149" s="166">
        <v>3.69585255633333</v>
      </c>
      <c r="E149" s="167"/>
      <c r="F149" s="168">
        <v>7.0999999999999994E-2</v>
      </c>
      <c r="G149" s="168">
        <v>6.2E-2</v>
      </c>
      <c r="H149" s="169"/>
      <c r="I149" s="170">
        <v>6</v>
      </c>
      <c r="J149" s="170">
        <v>6</v>
      </c>
      <c r="K149" s="167"/>
      <c r="L149" s="171">
        <v>2364.5979499999999</v>
      </c>
      <c r="M149" s="171">
        <v>-29.05865</v>
      </c>
      <c r="N149" s="171">
        <v>2335.5392999999999</v>
      </c>
      <c r="O149" s="166">
        <v>631.93519340963496</v>
      </c>
      <c r="P149" s="172">
        <v>239.22399999999999</v>
      </c>
      <c r="Q149" s="178">
        <v>2.6416044937365601</v>
      </c>
      <c r="R149" s="179">
        <v>1338.23317917587</v>
      </c>
      <c r="S149" s="168">
        <v>0.01</v>
      </c>
      <c r="T149" s="168">
        <v>0.01</v>
      </c>
      <c r="U149" s="175">
        <v>0</v>
      </c>
      <c r="V149" s="176">
        <v>0</v>
      </c>
      <c r="W149" s="167"/>
      <c r="X149" s="175">
        <v>2503.112725</v>
      </c>
      <c r="Y149" s="166">
        <v>677.27613232583803</v>
      </c>
      <c r="Z149" s="177">
        <v>573</v>
      </c>
      <c r="AA149" s="178">
        <v>1.1819827789281601</v>
      </c>
      <c r="AB149" s="179">
        <v>114.32060032929</v>
      </c>
      <c r="AC149" s="168">
        <v>0.02</v>
      </c>
      <c r="AD149" s="168">
        <v>1.7999999999999999E-2</v>
      </c>
      <c r="AE149" s="176">
        <v>0</v>
      </c>
      <c r="AF149" s="176">
        <v>39</v>
      </c>
      <c r="AG149" s="167"/>
      <c r="AH149" s="180">
        <v>242.4</v>
      </c>
      <c r="AI149" s="166">
        <v>65.587032032599694</v>
      </c>
      <c r="AJ149" s="181" t="s">
        <v>53</v>
      </c>
      <c r="AK149" s="182">
        <v>1.0410640005174601</v>
      </c>
      <c r="AL149" s="183">
        <v>-20.2420660632718</v>
      </c>
      <c r="AM149" s="168">
        <v>1.0999999999999999E-2</v>
      </c>
      <c r="AN149" s="168">
        <v>4.0000000000000001E-3</v>
      </c>
      <c r="AO149" s="176">
        <v>0</v>
      </c>
      <c r="AP149" s="176">
        <v>38</v>
      </c>
      <c r="AQ149" s="167"/>
      <c r="AR149" s="180">
        <v>99.7</v>
      </c>
      <c r="AS149" s="166">
        <v>26.976184379745</v>
      </c>
      <c r="AT149" s="181" t="s">
        <v>54</v>
      </c>
      <c r="AU149" s="178">
        <v>1.68601152373406</v>
      </c>
      <c r="AV149" s="179">
        <v>32.9972530632961</v>
      </c>
      <c r="AW149" s="168">
        <v>0.01</v>
      </c>
      <c r="AX149" s="168">
        <v>0.01</v>
      </c>
      <c r="AY149" s="176">
        <v>0</v>
      </c>
      <c r="AZ149" s="176">
        <v>0</v>
      </c>
      <c r="BA149" s="167"/>
      <c r="BB149" s="184">
        <v>205</v>
      </c>
      <c r="BC149" s="180">
        <v>55.467580720639198</v>
      </c>
      <c r="BD149" s="181" t="s">
        <v>55</v>
      </c>
      <c r="BE149" s="178">
        <v>1.73336189751998</v>
      </c>
      <c r="BF149" s="179">
        <v>71.594506126592094</v>
      </c>
      <c r="BG149" s="168">
        <v>0.02</v>
      </c>
      <c r="BH149" s="168">
        <v>0.02</v>
      </c>
      <c r="BI149" s="176">
        <v>0</v>
      </c>
      <c r="BJ149" s="176">
        <v>0</v>
      </c>
      <c r="BK149" s="169"/>
      <c r="BL149" s="185">
        <v>0.8</v>
      </c>
      <c r="BM149" s="188">
        <v>0.76</v>
      </c>
      <c r="BN149" s="186"/>
      <c r="BO149" s="187">
        <v>0.95</v>
      </c>
      <c r="BP149" s="178">
        <v>1</v>
      </c>
      <c r="BQ149" s="186">
        <v>2.5000000000000001E-3</v>
      </c>
    </row>
    <row r="150" spans="1:69" s="156" customFormat="1" ht="22.35" customHeight="1" x14ac:dyDescent="0.2">
      <c r="A150" s="165" t="s">
        <v>175</v>
      </c>
      <c r="B150" s="165" t="s">
        <v>201</v>
      </c>
      <c r="C150" s="165" t="s">
        <v>211</v>
      </c>
      <c r="D150" s="166">
        <v>2.8061909415555601</v>
      </c>
      <c r="E150" s="167"/>
      <c r="F150" s="168">
        <v>6.4000000000000001E-2</v>
      </c>
      <c r="G150" s="168">
        <v>5.0999999999999997E-2</v>
      </c>
      <c r="H150" s="169"/>
      <c r="I150" s="170">
        <v>7</v>
      </c>
      <c r="J150" s="170">
        <v>7</v>
      </c>
      <c r="K150" s="167"/>
      <c r="L150" s="171">
        <v>2016.1551099999999</v>
      </c>
      <c r="M150" s="171">
        <v>1726.8694700000001</v>
      </c>
      <c r="N150" s="171">
        <v>3743.0245799999998</v>
      </c>
      <c r="O150" s="166">
        <v>1333.84529347997</v>
      </c>
      <c r="P150" s="172">
        <v>229.53</v>
      </c>
      <c r="Q150" s="178">
        <v>5.8112024287891302</v>
      </c>
      <c r="R150" s="179">
        <v>3016.4741323123999</v>
      </c>
      <c r="S150" s="168">
        <v>0.01</v>
      </c>
      <c r="T150" s="168">
        <v>0.01</v>
      </c>
      <c r="U150" s="175">
        <v>0</v>
      </c>
      <c r="V150" s="176">
        <v>0</v>
      </c>
      <c r="W150" s="167"/>
      <c r="X150" s="175">
        <v>1775.2221999999999</v>
      </c>
      <c r="Y150" s="166">
        <v>632.60919765350695</v>
      </c>
      <c r="Z150" s="177">
        <v>573</v>
      </c>
      <c r="AA150" s="182">
        <v>1.1040300133569101</v>
      </c>
      <c r="AB150" s="183">
        <v>-38.5424779287871</v>
      </c>
      <c r="AC150" s="168">
        <v>1.7000000000000001E-2</v>
      </c>
      <c r="AD150" s="168">
        <v>0.01</v>
      </c>
      <c r="AE150" s="176">
        <v>0</v>
      </c>
      <c r="AF150" s="176">
        <v>155</v>
      </c>
      <c r="AG150" s="167"/>
      <c r="AH150" s="180">
        <v>178.15</v>
      </c>
      <c r="AI150" s="166">
        <v>63.484632268553398</v>
      </c>
      <c r="AJ150" s="181" t="s">
        <v>53</v>
      </c>
      <c r="AK150" s="182">
        <v>1.00769257569132</v>
      </c>
      <c r="AL150" s="183">
        <v>-21.269153070704299</v>
      </c>
      <c r="AM150" s="168">
        <v>7.0000000000000001E-3</v>
      </c>
      <c r="AN150" s="168">
        <v>1E-3</v>
      </c>
      <c r="AO150" s="176">
        <v>0</v>
      </c>
      <c r="AP150" s="176">
        <v>34</v>
      </c>
      <c r="AQ150" s="167"/>
      <c r="AR150" s="180">
        <v>61.4</v>
      </c>
      <c r="AS150" s="166">
        <v>21.880193215207299</v>
      </c>
      <c r="AT150" s="181" t="s">
        <v>54</v>
      </c>
      <c r="AU150" s="178">
        <v>1.36751207595045</v>
      </c>
      <c r="AV150" s="179">
        <v>10.753865886805199</v>
      </c>
      <c r="AW150" s="168">
        <v>0.01</v>
      </c>
      <c r="AX150" s="168">
        <v>0.01</v>
      </c>
      <c r="AY150" s="176">
        <v>0</v>
      </c>
      <c r="AZ150" s="176">
        <v>0</v>
      </c>
      <c r="BA150" s="167"/>
      <c r="BB150" s="184">
        <v>163.4</v>
      </c>
      <c r="BC150" s="180">
        <v>58.228396927766603</v>
      </c>
      <c r="BD150" s="181" t="s">
        <v>55</v>
      </c>
      <c r="BE150" s="178">
        <v>1.8196374039927099</v>
      </c>
      <c r="BF150" s="179">
        <v>62.107731773610503</v>
      </c>
      <c r="BG150" s="168">
        <v>0.02</v>
      </c>
      <c r="BH150" s="168">
        <v>0.02</v>
      </c>
      <c r="BI150" s="176">
        <v>0</v>
      </c>
      <c r="BJ150" s="176">
        <v>0</v>
      </c>
      <c r="BK150" s="169"/>
      <c r="BL150" s="185">
        <v>0.8</v>
      </c>
      <c r="BM150" s="182">
        <v>0.83</v>
      </c>
      <c r="BN150" s="186">
        <v>1.1249999999999999E-3</v>
      </c>
      <c r="BO150" s="187">
        <v>0.95</v>
      </c>
      <c r="BP150" s="178">
        <v>1</v>
      </c>
      <c r="BQ150" s="186">
        <v>2.5000000000000001E-3</v>
      </c>
    </row>
    <row r="151" spans="1:69" s="156" customFormat="1" ht="22.35" customHeight="1" x14ac:dyDescent="0.2">
      <c r="A151" s="165" t="s">
        <v>175</v>
      </c>
      <c r="B151" s="165" t="s">
        <v>201</v>
      </c>
      <c r="C151" s="165" t="s">
        <v>212</v>
      </c>
      <c r="D151" s="166">
        <v>3.7250110427777798</v>
      </c>
      <c r="E151" s="167"/>
      <c r="F151" s="168">
        <v>4.1000000000000002E-2</v>
      </c>
      <c r="G151" s="168">
        <v>0.04</v>
      </c>
      <c r="H151" s="169"/>
      <c r="I151" s="170">
        <v>5</v>
      </c>
      <c r="J151" s="170">
        <v>4</v>
      </c>
      <c r="K151" s="167"/>
      <c r="L151" s="171">
        <v>2309.8305599999999</v>
      </c>
      <c r="M151" s="171">
        <v>2799.8779599999998</v>
      </c>
      <c r="N151" s="171">
        <v>5109.7085200000001</v>
      </c>
      <c r="O151" s="166">
        <v>1371.7297643739701</v>
      </c>
      <c r="P151" s="172">
        <v>247.43600000000001</v>
      </c>
      <c r="Q151" s="178">
        <v>5.5437760244021499</v>
      </c>
      <c r="R151" s="179">
        <v>4070.0288530745001</v>
      </c>
      <c r="S151" s="168">
        <v>0.01</v>
      </c>
      <c r="T151" s="168">
        <v>0.01</v>
      </c>
      <c r="U151" s="175">
        <v>0</v>
      </c>
      <c r="V151" s="176">
        <v>0</v>
      </c>
      <c r="W151" s="167"/>
      <c r="X151" s="175">
        <v>1703.938165</v>
      </c>
      <c r="Y151" s="166">
        <v>457.431708371355</v>
      </c>
      <c r="Z151" s="177">
        <v>573</v>
      </c>
      <c r="AA151" s="188">
        <v>0.79831013677374296</v>
      </c>
      <c r="AB151" s="171">
        <v>-703.70037243316199</v>
      </c>
      <c r="AC151" s="168"/>
      <c r="AD151" s="168"/>
      <c r="AE151" s="176">
        <v>431</v>
      </c>
      <c r="AF151" s="176">
        <v>858</v>
      </c>
      <c r="AG151" s="167"/>
      <c r="AH151" s="180">
        <v>221.45</v>
      </c>
      <c r="AI151" s="166">
        <v>59.449488191278597</v>
      </c>
      <c r="AJ151" s="181" t="s">
        <v>53</v>
      </c>
      <c r="AK151" s="182">
        <v>0.94364266970283495</v>
      </c>
      <c r="AL151" s="183">
        <v>-43.2641847439602</v>
      </c>
      <c r="AM151" s="168">
        <v>1E-3</v>
      </c>
      <c r="AN151" s="168"/>
      <c r="AO151" s="176">
        <v>14</v>
      </c>
      <c r="AP151" s="176">
        <v>61</v>
      </c>
      <c r="AQ151" s="167"/>
      <c r="AR151" s="180">
        <v>101.6</v>
      </c>
      <c r="AS151" s="166">
        <v>27.275086928127799</v>
      </c>
      <c r="AT151" s="181" t="s">
        <v>54</v>
      </c>
      <c r="AU151" s="178">
        <v>1.7046929330079901</v>
      </c>
      <c r="AV151" s="179">
        <v>34.371000699946599</v>
      </c>
      <c r="AW151" s="168">
        <v>0.01</v>
      </c>
      <c r="AX151" s="168">
        <v>0.01</v>
      </c>
      <c r="AY151" s="176">
        <v>0</v>
      </c>
      <c r="AZ151" s="176">
        <v>0</v>
      </c>
      <c r="BA151" s="167"/>
      <c r="BB151" s="184">
        <v>196.2</v>
      </c>
      <c r="BC151" s="180">
        <v>52.670984796246898</v>
      </c>
      <c r="BD151" s="181" t="s">
        <v>55</v>
      </c>
      <c r="BE151" s="178">
        <v>1.64596827488271</v>
      </c>
      <c r="BF151" s="179">
        <v>61.742001399893198</v>
      </c>
      <c r="BG151" s="168">
        <v>0.02</v>
      </c>
      <c r="BH151" s="168">
        <v>0.02</v>
      </c>
      <c r="BI151" s="176">
        <v>0</v>
      </c>
      <c r="BJ151" s="176">
        <v>0</v>
      </c>
      <c r="BK151" s="169"/>
      <c r="BL151" s="185">
        <v>0.8</v>
      </c>
      <c r="BM151" s="188">
        <v>0.79</v>
      </c>
      <c r="BN151" s="186"/>
      <c r="BO151" s="187">
        <v>0.95</v>
      </c>
      <c r="BP151" s="178">
        <v>1</v>
      </c>
      <c r="BQ151" s="186">
        <v>2.5000000000000001E-3</v>
      </c>
    </row>
    <row r="152" spans="1:69" s="156" customFormat="1" ht="22.35" customHeight="1" x14ac:dyDescent="0.2">
      <c r="A152" s="165" t="s">
        <v>175</v>
      </c>
      <c r="B152" s="165" t="s">
        <v>201</v>
      </c>
      <c r="C152" s="165" t="s">
        <v>213</v>
      </c>
      <c r="D152" s="166">
        <v>7.9314378249999997</v>
      </c>
      <c r="E152" s="167"/>
      <c r="F152" s="168">
        <v>1.7000000000000001E-2</v>
      </c>
      <c r="G152" s="168">
        <v>1.0999999999999999E-2</v>
      </c>
      <c r="H152" s="169"/>
      <c r="I152" s="170">
        <v>3</v>
      </c>
      <c r="J152" s="170">
        <v>3</v>
      </c>
      <c r="K152" s="167"/>
      <c r="L152" s="171">
        <v>5742.8224600000003</v>
      </c>
      <c r="M152" s="171">
        <v>1487.38489</v>
      </c>
      <c r="N152" s="171">
        <v>7230.2073499999997</v>
      </c>
      <c r="O152" s="166">
        <v>911.58847986052297</v>
      </c>
      <c r="P152" s="172">
        <v>287.5</v>
      </c>
      <c r="Q152" s="178">
        <v>3.1707425386453001</v>
      </c>
      <c r="R152" s="179">
        <v>4658.0420633525</v>
      </c>
      <c r="S152" s="168">
        <v>0.01</v>
      </c>
      <c r="T152" s="168">
        <v>0.01</v>
      </c>
      <c r="U152" s="175">
        <v>0</v>
      </c>
      <c r="V152" s="176">
        <v>0</v>
      </c>
      <c r="W152" s="167"/>
      <c r="X152" s="175">
        <v>3102.303715</v>
      </c>
      <c r="Y152" s="166">
        <v>391.140141730859</v>
      </c>
      <c r="Z152" s="177">
        <v>573</v>
      </c>
      <c r="AA152" s="173">
        <v>0.682618048395915</v>
      </c>
      <c r="AB152" s="174">
        <v>-2024.1335345617999</v>
      </c>
      <c r="AC152" s="168"/>
      <c r="AD152" s="168"/>
      <c r="AE152" s="176">
        <v>1443</v>
      </c>
      <c r="AF152" s="176">
        <v>2352</v>
      </c>
      <c r="AG152" s="167"/>
      <c r="AH152" s="180">
        <v>289</v>
      </c>
      <c r="AI152" s="166">
        <v>36.437277373475503</v>
      </c>
      <c r="AJ152" s="181" t="s">
        <v>53</v>
      </c>
      <c r="AK152" s="173">
        <v>0.57836948211865802</v>
      </c>
      <c r="AL152" s="174">
        <v>-274.63969759579999</v>
      </c>
      <c r="AM152" s="168"/>
      <c r="AN152" s="168"/>
      <c r="AO152" s="176">
        <v>211</v>
      </c>
      <c r="AP152" s="176">
        <v>311</v>
      </c>
      <c r="AQ152" s="167"/>
      <c r="AR152" s="180">
        <v>68.400000000000006</v>
      </c>
      <c r="AS152" s="166">
        <v>8.6239092468710101</v>
      </c>
      <c r="AT152" s="181" t="s">
        <v>54</v>
      </c>
      <c r="AU152" s="173">
        <v>0.53899432792943802</v>
      </c>
      <c r="AV152" s="174">
        <v>-74.746589865600001</v>
      </c>
      <c r="AW152" s="168"/>
      <c r="AX152" s="168"/>
      <c r="AY152" s="176">
        <v>59</v>
      </c>
      <c r="AZ152" s="176">
        <v>84</v>
      </c>
      <c r="BA152" s="167"/>
      <c r="BB152" s="184">
        <v>256.39999999999998</v>
      </c>
      <c r="BC152" s="180">
        <v>32.327051621311803</v>
      </c>
      <c r="BD152" s="181" t="s">
        <v>55</v>
      </c>
      <c r="BE152" s="182">
        <v>1.0102203631659901</v>
      </c>
      <c r="BF152" s="183">
        <v>-29.8931797312001</v>
      </c>
      <c r="BG152" s="168">
        <v>7.0000000000000001E-3</v>
      </c>
      <c r="BH152" s="168">
        <v>1E-3</v>
      </c>
      <c r="BI152" s="176">
        <v>0</v>
      </c>
      <c r="BJ152" s="176">
        <v>49</v>
      </c>
      <c r="BK152" s="169"/>
      <c r="BL152" s="185">
        <v>0.8</v>
      </c>
      <c r="BM152" s="188">
        <v>0.76</v>
      </c>
      <c r="BN152" s="186"/>
      <c r="BO152" s="187">
        <v>0.95</v>
      </c>
      <c r="BP152" s="178">
        <v>1</v>
      </c>
      <c r="BQ152" s="186">
        <v>2.5000000000000001E-3</v>
      </c>
    </row>
    <row r="153" spans="1:69" s="156" customFormat="1" ht="22.35" customHeight="1" x14ac:dyDescent="0.2">
      <c r="A153" s="165" t="s">
        <v>175</v>
      </c>
      <c r="B153" s="165" t="s">
        <v>201</v>
      </c>
      <c r="C153" s="165" t="s">
        <v>214</v>
      </c>
      <c r="D153" s="166">
        <v>4.0442520443333301</v>
      </c>
      <c r="E153" s="167"/>
      <c r="F153" s="168">
        <v>5.8000000000000003E-2</v>
      </c>
      <c r="G153" s="168">
        <v>4.5999999999999999E-2</v>
      </c>
      <c r="H153" s="169"/>
      <c r="I153" s="170">
        <v>7</v>
      </c>
      <c r="J153" s="170">
        <v>7</v>
      </c>
      <c r="K153" s="167"/>
      <c r="L153" s="171">
        <v>975.77193</v>
      </c>
      <c r="M153" s="171">
        <v>1889.0911900000001</v>
      </c>
      <c r="N153" s="171">
        <v>2864.86312</v>
      </c>
      <c r="O153" s="166">
        <v>708.37897554237395</v>
      </c>
      <c r="P153" s="172">
        <v>232.012</v>
      </c>
      <c r="Q153" s="178">
        <v>3.05319972907597</v>
      </c>
      <c r="R153" s="179">
        <v>1806.4437940104699</v>
      </c>
      <c r="S153" s="168">
        <v>0.01</v>
      </c>
      <c r="T153" s="168">
        <v>0.01</v>
      </c>
      <c r="U153" s="175">
        <v>0</v>
      </c>
      <c r="V153" s="176">
        <v>0</v>
      </c>
      <c r="W153" s="167"/>
      <c r="X153" s="175">
        <v>2405.323355</v>
      </c>
      <c r="Y153" s="166">
        <v>594.75110073079099</v>
      </c>
      <c r="Z153" s="177">
        <v>573</v>
      </c>
      <c r="AA153" s="182">
        <v>1.0379600361793899</v>
      </c>
      <c r="AB153" s="183">
        <v>-208.65468834258201</v>
      </c>
      <c r="AC153" s="168">
        <v>0.01</v>
      </c>
      <c r="AD153" s="168">
        <v>4.0000000000000001E-3</v>
      </c>
      <c r="AE153" s="176">
        <v>0</v>
      </c>
      <c r="AF153" s="176">
        <v>376</v>
      </c>
      <c r="AG153" s="167"/>
      <c r="AH153" s="180">
        <v>258.7</v>
      </c>
      <c r="AI153" s="166">
        <v>63.967328733252799</v>
      </c>
      <c r="AJ153" s="181" t="s">
        <v>53</v>
      </c>
      <c r="AK153" s="182">
        <v>1.01535442433735</v>
      </c>
      <c r="AL153" s="183">
        <v>-28.700727278503798</v>
      </c>
      <c r="AM153" s="168">
        <v>8.0000000000000002E-3</v>
      </c>
      <c r="AN153" s="168">
        <v>2E-3</v>
      </c>
      <c r="AO153" s="176">
        <v>0</v>
      </c>
      <c r="AP153" s="176">
        <v>48</v>
      </c>
      <c r="AQ153" s="167"/>
      <c r="AR153" s="180">
        <v>81.099999999999994</v>
      </c>
      <c r="AS153" s="166">
        <v>20.053151759825301</v>
      </c>
      <c r="AT153" s="181" t="s">
        <v>54</v>
      </c>
      <c r="AU153" s="178">
        <v>1.25332198498908</v>
      </c>
      <c r="AV153" s="179">
        <v>8.1093391038720597</v>
      </c>
      <c r="AW153" s="168">
        <v>0.01</v>
      </c>
      <c r="AX153" s="168">
        <v>0.01</v>
      </c>
      <c r="AY153" s="176">
        <v>0</v>
      </c>
      <c r="AZ153" s="176">
        <v>0</v>
      </c>
      <c r="BA153" s="167"/>
      <c r="BB153" s="184">
        <v>198.4</v>
      </c>
      <c r="BC153" s="180">
        <v>49.0572787811262</v>
      </c>
      <c r="BD153" s="181" t="s">
        <v>55</v>
      </c>
      <c r="BE153" s="178">
        <v>1.53303996191019</v>
      </c>
      <c r="BF153" s="179">
        <v>52.418678207744101</v>
      </c>
      <c r="BG153" s="168">
        <v>0.02</v>
      </c>
      <c r="BH153" s="168">
        <v>0.02</v>
      </c>
      <c r="BI153" s="176">
        <v>0</v>
      </c>
      <c r="BJ153" s="176">
        <v>0</v>
      </c>
      <c r="BK153" s="169"/>
      <c r="BL153" s="185">
        <v>0.8</v>
      </c>
      <c r="BM153" s="182">
        <v>0.82</v>
      </c>
      <c r="BN153" s="186">
        <v>7.5000000000000002E-4</v>
      </c>
      <c r="BO153" s="187">
        <v>0.95</v>
      </c>
      <c r="BP153" s="178">
        <v>1</v>
      </c>
      <c r="BQ153" s="186">
        <v>2.5000000000000001E-3</v>
      </c>
    </row>
    <row r="154" spans="1:69" s="156" customFormat="1" ht="22.35" customHeight="1" x14ac:dyDescent="0.2">
      <c r="A154" s="165" t="s">
        <v>175</v>
      </c>
      <c r="B154" s="165" t="s">
        <v>201</v>
      </c>
      <c r="C154" s="165" t="s">
        <v>215</v>
      </c>
      <c r="D154" s="166">
        <v>2.8994516252222202</v>
      </c>
      <c r="E154" s="167"/>
      <c r="F154" s="168">
        <v>7.4999999999999997E-2</v>
      </c>
      <c r="G154" s="168">
        <v>6.5000000000000002E-2</v>
      </c>
      <c r="H154" s="169"/>
      <c r="I154" s="170">
        <v>6</v>
      </c>
      <c r="J154" s="170">
        <v>6</v>
      </c>
      <c r="K154" s="167"/>
      <c r="L154" s="171">
        <v>2014.65408</v>
      </c>
      <c r="M154" s="171">
        <v>-1002.1652</v>
      </c>
      <c r="N154" s="171">
        <v>1012.48888</v>
      </c>
      <c r="O154" s="166">
        <v>349.20012846305002</v>
      </c>
      <c r="P154" s="172">
        <v>221.65100000000001</v>
      </c>
      <c r="Q154" s="178">
        <v>1.5754502730105</v>
      </c>
      <c r="R154" s="179">
        <v>287.561234738557</v>
      </c>
      <c r="S154" s="168">
        <v>0.01</v>
      </c>
      <c r="T154" s="168">
        <v>0.01</v>
      </c>
      <c r="U154" s="175">
        <v>0</v>
      </c>
      <c r="V154" s="176">
        <v>0</v>
      </c>
      <c r="W154" s="167"/>
      <c r="X154" s="175">
        <v>1857.85798</v>
      </c>
      <c r="Y154" s="166">
        <v>640.76184746058902</v>
      </c>
      <c r="Z154" s="177">
        <v>573</v>
      </c>
      <c r="AA154" s="182">
        <v>1.1182580234914301</v>
      </c>
      <c r="AB154" s="183">
        <v>-16.185181252630901</v>
      </c>
      <c r="AC154" s="168">
        <v>1.9E-2</v>
      </c>
      <c r="AD154" s="168">
        <v>1.2E-2</v>
      </c>
      <c r="AE154" s="176">
        <v>0</v>
      </c>
      <c r="AF154" s="176">
        <v>136</v>
      </c>
      <c r="AG154" s="167"/>
      <c r="AH154" s="180">
        <v>231.55</v>
      </c>
      <c r="AI154" s="166">
        <v>79.859928679532104</v>
      </c>
      <c r="AJ154" s="181" t="s">
        <v>53</v>
      </c>
      <c r="AK154" s="178">
        <v>1.26761791554813</v>
      </c>
      <c r="AL154" s="179">
        <v>25.503369705208101</v>
      </c>
      <c r="AM154" s="168">
        <v>0.02</v>
      </c>
      <c r="AN154" s="168">
        <v>0.02</v>
      </c>
      <c r="AO154" s="176">
        <v>0</v>
      </c>
      <c r="AP154" s="176">
        <v>0</v>
      </c>
      <c r="AQ154" s="167"/>
      <c r="AR154" s="180">
        <v>49</v>
      </c>
      <c r="AS154" s="166">
        <v>16.899747377659601</v>
      </c>
      <c r="AT154" s="181" t="s">
        <v>54</v>
      </c>
      <c r="AU154" s="182">
        <v>1.05623421110372</v>
      </c>
      <c r="AV154" s="183">
        <v>-3.3293029320106302</v>
      </c>
      <c r="AW154" s="168">
        <v>6.0000000000000001E-3</v>
      </c>
      <c r="AX154" s="168">
        <v>3.0000000000000001E-3</v>
      </c>
      <c r="AY154" s="176">
        <v>0</v>
      </c>
      <c r="AZ154" s="176">
        <v>7</v>
      </c>
      <c r="BA154" s="167"/>
      <c r="BB154" s="184">
        <v>142.4</v>
      </c>
      <c r="BC154" s="180">
        <v>49.112735236300402</v>
      </c>
      <c r="BD154" s="181" t="s">
        <v>55</v>
      </c>
      <c r="BE154" s="178">
        <v>1.53477297613439</v>
      </c>
      <c r="BF154" s="179">
        <v>37.741394135978702</v>
      </c>
      <c r="BG154" s="168">
        <v>0.02</v>
      </c>
      <c r="BH154" s="168">
        <v>0.02</v>
      </c>
      <c r="BI154" s="176">
        <v>0</v>
      </c>
      <c r="BJ154" s="176">
        <v>0</v>
      </c>
      <c r="BK154" s="169"/>
      <c r="BL154" s="185">
        <v>0.8</v>
      </c>
      <c r="BM154" s="188">
        <v>0.72</v>
      </c>
      <c r="BN154" s="186"/>
      <c r="BO154" s="187">
        <v>0.95</v>
      </c>
      <c r="BP154" s="178">
        <v>1</v>
      </c>
      <c r="BQ154" s="186">
        <v>2.5000000000000001E-3</v>
      </c>
    </row>
    <row r="155" spans="1:69" s="156" customFormat="1" ht="22.35" customHeight="1" x14ac:dyDescent="0.2">
      <c r="A155" s="165" t="s">
        <v>175</v>
      </c>
      <c r="B155" s="165" t="s">
        <v>201</v>
      </c>
      <c r="C155" s="165" t="s">
        <v>216</v>
      </c>
      <c r="D155" s="166">
        <v>4.91139505655556</v>
      </c>
      <c r="E155" s="167"/>
      <c r="F155" s="168">
        <v>0.04</v>
      </c>
      <c r="G155" s="168">
        <v>2.5999999999999999E-2</v>
      </c>
      <c r="H155" s="169"/>
      <c r="I155" s="170">
        <v>6</v>
      </c>
      <c r="J155" s="170">
        <v>5</v>
      </c>
      <c r="K155" s="167"/>
      <c r="L155" s="171">
        <v>2252.8888299999999</v>
      </c>
      <c r="M155" s="171">
        <v>2174.7037099999998</v>
      </c>
      <c r="N155" s="171">
        <v>4427.5925399999996</v>
      </c>
      <c r="O155" s="166">
        <v>901.49387068552096</v>
      </c>
      <c r="P155" s="172">
        <v>287.5</v>
      </c>
      <c r="Q155" s="178">
        <v>3.1356308545583298</v>
      </c>
      <c r="R155" s="179">
        <v>2834.8271231590302</v>
      </c>
      <c r="S155" s="168">
        <v>0.01</v>
      </c>
      <c r="T155" s="168">
        <v>0.01</v>
      </c>
      <c r="U155" s="175">
        <v>0</v>
      </c>
      <c r="V155" s="176">
        <v>0</v>
      </c>
      <c r="W155" s="167"/>
      <c r="X155" s="175">
        <v>2743.7991149999998</v>
      </c>
      <c r="Y155" s="166">
        <v>558.65982748377701</v>
      </c>
      <c r="Z155" s="177">
        <v>573</v>
      </c>
      <c r="AA155" s="182">
        <v>0.97497352091409495</v>
      </c>
      <c r="AB155" s="183">
        <v>-430.65161143434602</v>
      </c>
      <c r="AC155" s="168">
        <v>4.0000000000000001E-3</v>
      </c>
      <c r="AD155" s="168"/>
      <c r="AE155" s="176">
        <v>71</v>
      </c>
      <c r="AF155" s="176">
        <v>634</v>
      </c>
      <c r="AG155" s="167"/>
      <c r="AH155" s="180">
        <v>233.1</v>
      </c>
      <c r="AI155" s="166">
        <v>47.461056851630502</v>
      </c>
      <c r="AJ155" s="181" t="s">
        <v>53</v>
      </c>
      <c r="AK155" s="188">
        <v>0.75335010875603903</v>
      </c>
      <c r="AL155" s="171">
        <v>-115.923378299064</v>
      </c>
      <c r="AM155" s="168"/>
      <c r="AN155" s="168"/>
      <c r="AO155" s="176">
        <v>77</v>
      </c>
      <c r="AP155" s="176">
        <v>139</v>
      </c>
      <c r="AQ155" s="167"/>
      <c r="AR155" s="180">
        <v>89.2</v>
      </c>
      <c r="AS155" s="166">
        <v>18.161845865145601</v>
      </c>
      <c r="AT155" s="181" t="s">
        <v>54</v>
      </c>
      <c r="AU155" s="178">
        <v>1.1351153665716001</v>
      </c>
      <c r="AV155" s="179">
        <v>0.55914201928526097</v>
      </c>
      <c r="AW155" s="168">
        <v>0.01</v>
      </c>
      <c r="AX155" s="168">
        <v>7.0000000000000001E-3</v>
      </c>
      <c r="AY155" s="176">
        <v>0</v>
      </c>
      <c r="AZ155" s="176">
        <v>6</v>
      </c>
      <c r="BA155" s="167"/>
      <c r="BB155" s="184">
        <v>171.4</v>
      </c>
      <c r="BC155" s="180">
        <v>34.898434767779797</v>
      </c>
      <c r="BD155" s="181" t="s">
        <v>55</v>
      </c>
      <c r="BE155" s="182">
        <v>1.09057608649312</v>
      </c>
      <c r="BF155" s="183">
        <v>-5.8817159614294798</v>
      </c>
      <c r="BG155" s="168">
        <v>1.6E-2</v>
      </c>
      <c r="BH155" s="168">
        <v>8.9999999999999993E-3</v>
      </c>
      <c r="BI155" s="176">
        <v>0</v>
      </c>
      <c r="BJ155" s="176">
        <v>18</v>
      </c>
      <c r="BK155" s="169"/>
      <c r="BL155" s="185">
        <v>0.8</v>
      </c>
      <c r="BM155" s="182">
        <v>0.81</v>
      </c>
      <c r="BN155" s="186">
        <v>3.7500000000000001E-4</v>
      </c>
      <c r="BO155" s="187">
        <v>0.95</v>
      </c>
      <c r="BP155" s="178">
        <v>1</v>
      </c>
      <c r="BQ155" s="186">
        <v>2.5000000000000001E-3</v>
      </c>
    </row>
    <row r="156" spans="1:69" s="156" customFormat="1" ht="22.35" customHeight="1" x14ac:dyDescent="0.2">
      <c r="A156" s="165" t="s">
        <v>175</v>
      </c>
      <c r="B156" s="165" t="s">
        <v>201</v>
      </c>
      <c r="C156" s="165" t="s">
        <v>217</v>
      </c>
      <c r="D156" s="166">
        <v>2.8078154285555601</v>
      </c>
      <c r="E156" s="167"/>
      <c r="F156" s="168">
        <v>5.3999999999999999E-2</v>
      </c>
      <c r="G156" s="168">
        <v>4.7E-2</v>
      </c>
      <c r="H156" s="169"/>
      <c r="I156" s="170">
        <v>6</v>
      </c>
      <c r="J156" s="170">
        <v>6</v>
      </c>
      <c r="K156" s="167"/>
      <c r="L156" s="171">
        <v>1794.2928400000001</v>
      </c>
      <c r="M156" s="171">
        <v>2020.31611</v>
      </c>
      <c r="N156" s="171">
        <v>3814.6089499999998</v>
      </c>
      <c r="O156" s="166">
        <v>1358.5682702663901</v>
      </c>
      <c r="P156" s="172">
        <v>264.61399999999998</v>
      </c>
      <c r="Q156" s="178">
        <v>5.1341511419138399</v>
      </c>
      <c r="R156" s="179">
        <v>2976.5193073962901</v>
      </c>
      <c r="S156" s="168">
        <v>0.01</v>
      </c>
      <c r="T156" s="168">
        <v>0.01</v>
      </c>
      <c r="U156" s="175">
        <v>0</v>
      </c>
      <c r="V156" s="176">
        <v>0</v>
      </c>
      <c r="W156" s="167"/>
      <c r="X156" s="175">
        <v>1725.7082849999999</v>
      </c>
      <c r="Y156" s="166">
        <v>614.60887615671004</v>
      </c>
      <c r="Z156" s="177">
        <v>573</v>
      </c>
      <c r="AA156" s="182">
        <v>1.0726158397150301</v>
      </c>
      <c r="AB156" s="183">
        <v>-89.106370354315203</v>
      </c>
      <c r="AC156" s="168">
        <v>1.4E-2</v>
      </c>
      <c r="AD156" s="168">
        <v>7.0000000000000001E-3</v>
      </c>
      <c r="AE156" s="176">
        <v>0</v>
      </c>
      <c r="AF156" s="176">
        <v>205</v>
      </c>
      <c r="AG156" s="167"/>
      <c r="AH156" s="180">
        <v>163.30000000000001</v>
      </c>
      <c r="AI156" s="166">
        <v>58.159093485716603</v>
      </c>
      <c r="AJ156" s="181" t="s">
        <v>53</v>
      </c>
      <c r="AK156" s="188">
        <v>0.92316021405899396</v>
      </c>
      <c r="AL156" s="171">
        <v>-36.234595614872298</v>
      </c>
      <c r="AM156" s="168"/>
      <c r="AN156" s="168"/>
      <c r="AO156" s="176">
        <v>14</v>
      </c>
      <c r="AP156" s="176">
        <v>49</v>
      </c>
      <c r="AQ156" s="167"/>
      <c r="AR156" s="180">
        <v>77.400000000000006</v>
      </c>
      <c r="AS156" s="166">
        <v>27.565914487412499</v>
      </c>
      <c r="AT156" s="181" t="s">
        <v>54</v>
      </c>
      <c r="AU156" s="178">
        <v>1.7228696554632801</v>
      </c>
      <c r="AV156" s="179">
        <v>26.724547145429199</v>
      </c>
      <c r="AW156" s="168">
        <v>0.01</v>
      </c>
      <c r="AX156" s="168">
        <v>0.01</v>
      </c>
      <c r="AY156" s="176">
        <v>0</v>
      </c>
      <c r="AZ156" s="176">
        <v>0</v>
      </c>
      <c r="BA156" s="167"/>
      <c r="BB156" s="184">
        <v>186.2</v>
      </c>
      <c r="BC156" s="180">
        <v>66.314900226824406</v>
      </c>
      <c r="BD156" s="181" t="s">
        <v>55</v>
      </c>
      <c r="BE156" s="178">
        <v>2.07234063208826</v>
      </c>
      <c r="BF156" s="179">
        <v>84.849094290858503</v>
      </c>
      <c r="BG156" s="168">
        <v>0.02</v>
      </c>
      <c r="BH156" s="168">
        <v>0.02</v>
      </c>
      <c r="BI156" s="176">
        <v>0</v>
      </c>
      <c r="BJ156" s="176">
        <v>0</v>
      </c>
      <c r="BK156" s="169"/>
      <c r="BL156" s="185">
        <v>0.8</v>
      </c>
      <c r="BM156" s="182">
        <v>0.82</v>
      </c>
      <c r="BN156" s="186">
        <v>7.5000000000000002E-4</v>
      </c>
      <c r="BO156" s="187">
        <v>0.95</v>
      </c>
      <c r="BP156" s="178">
        <v>1</v>
      </c>
      <c r="BQ156" s="186">
        <v>2.5000000000000001E-3</v>
      </c>
    </row>
    <row r="157" spans="1:69" s="156" customFormat="1" ht="22.35" customHeight="1" x14ac:dyDescent="0.2">
      <c r="A157" s="165" t="s">
        <v>175</v>
      </c>
      <c r="B157" s="165" t="s">
        <v>201</v>
      </c>
      <c r="C157" s="165" t="s">
        <v>218</v>
      </c>
      <c r="D157" s="166">
        <v>8.1451756455555593</v>
      </c>
      <c r="E157" s="167"/>
      <c r="F157" s="168">
        <v>4.1000000000000002E-2</v>
      </c>
      <c r="G157" s="168">
        <v>3.3000000000000002E-2</v>
      </c>
      <c r="H157" s="169"/>
      <c r="I157" s="170">
        <v>6</v>
      </c>
      <c r="J157" s="170">
        <v>5</v>
      </c>
      <c r="K157" s="167"/>
      <c r="L157" s="171">
        <v>3420.64077</v>
      </c>
      <c r="M157" s="171">
        <v>4953.1483399999997</v>
      </c>
      <c r="N157" s="171">
        <v>8373.7891099999997</v>
      </c>
      <c r="O157" s="166">
        <v>1028.0673461681799</v>
      </c>
      <c r="P157" s="172">
        <v>241.934</v>
      </c>
      <c r="Q157" s="178">
        <v>4.2493710936378504</v>
      </c>
      <c r="R157" s="179">
        <v>6150.9580350152801</v>
      </c>
      <c r="S157" s="168">
        <v>0.01</v>
      </c>
      <c r="T157" s="168">
        <v>0.01</v>
      </c>
      <c r="U157" s="175">
        <v>0</v>
      </c>
      <c r="V157" s="176">
        <v>0</v>
      </c>
      <c r="W157" s="167"/>
      <c r="X157" s="175">
        <v>4819.9685200000004</v>
      </c>
      <c r="Y157" s="166">
        <v>591.75746843839204</v>
      </c>
      <c r="Z157" s="177">
        <v>573</v>
      </c>
      <c r="AA157" s="182">
        <v>1.0327355470129</v>
      </c>
      <c r="AB157" s="183">
        <v>-444.61688745096501</v>
      </c>
      <c r="AC157" s="168">
        <v>0.01</v>
      </c>
      <c r="AD157" s="168">
        <v>3.0000000000000001E-3</v>
      </c>
      <c r="AE157" s="176">
        <v>0</v>
      </c>
      <c r="AF157" s="176">
        <v>781</v>
      </c>
      <c r="AG157" s="167"/>
      <c r="AH157" s="180">
        <v>455.15</v>
      </c>
      <c r="AI157" s="166">
        <v>55.879703496431603</v>
      </c>
      <c r="AJ157" s="181" t="s">
        <v>53</v>
      </c>
      <c r="AK157" s="188">
        <v>0.88697942057827905</v>
      </c>
      <c r="AL157" s="171">
        <v>-123.67876207576001</v>
      </c>
      <c r="AM157" s="168"/>
      <c r="AN157" s="168"/>
      <c r="AO157" s="176">
        <v>58</v>
      </c>
      <c r="AP157" s="176">
        <v>161</v>
      </c>
      <c r="AQ157" s="167"/>
      <c r="AR157" s="180">
        <v>125.4</v>
      </c>
      <c r="AS157" s="166">
        <v>15.395616430742599</v>
      </c>
      <c r="AT157" s="181" t="s">
        <v>54</v>
      </c>
      <c r="AU157" s="182">
        <v>0.96222602692141501</v>
      </c>
      <c r="AV157" s="183">
        <v>-21.6041300509868</v>
      </c>
      <c r="AW157" s="168">
        <v>1E-3</v>
      </c>
      <c r="AX157" s="168"/>
      <c r="AY157" s="176">
        <v>5</v>
      </c>
      <c r="AZ157" s="176">
        <v>31</v>
      </c>
      <c r="BA157" s="167"/>
      <c r="BB157" s="184">
        <v>335.2</v>
      </c>
      <c r="BC157" s="180">
        <v>41.153194797327998</v>
      </c>
      <c r="BD157" s="181" t="s">
        <v>55</v>
      </c>
      <c r="BE157" s="178">
        <v>1.2860373374164999</v>
      </c>
      <c r="BF157" s="179">
        <v>41.191739898026398</v>
      </c>
      <c r="BG157" s="168">
        <v>0.02</v>
      </c>
      <c r="BH157" s="168">
        <v>0.02</v>
      </c>
      <c r="BI157" s="176">
        <v>0</v>
      </c>
      <c r="BJ157" s="176">
        <v>0</v>
      </c>
      <c r="BK157" s="169"/>
      <c r="BL157" s="185">
        <v>0.8</v>
      </c>
      <c r="BM157" s="182">
        <v>0.81</v>
      </c>
      <c r="BN157" s="186">
        <v>3.7500000000000001E-4</v>
      </c>
      <c r="BO157" s="187">
        <v>0.95</v>
      </c>
      <c r="BP157" s="178">
        <v>1</v>
      </c>
      <c r="BQ157" s="186">
        <v>2.5000000000000001E-3</v>
      </c>
    </row>
    <row r="158" spans="1:69" s="156" customFormat="1" ht="22.35" customHeight="1" x14ac:dyDescent="0.2">
      <c r="A158" s="165" t="s">
        <v>175</v>
      </c>
      <c r="B158" s="165" t="s">
        <v>201</v>
      </c>
      <c r="C158" s="165" t="s">
        <v>219</v>
      </c>
      <c r="D158" s="166">
        <v>4.9912352884444404</v>
      </c>
      <c r="E158" s="167"/>
      <c r="F158" s="168">
        <v>0.05</v>
      </c>
      <c r="G158" s="168">
        <v>4.8000000000000001E-2</v>
      </c>
      <c r="H158" s="169"/>
      <c r="I158" s="170">
        <v>5</v>
      </c>
      <c r="J158" s="170">
        <v>5</v>
      </c>
      <c r="K158" s="167"/>
      <c r="L158" s="171">
        <v>6271.41309</v>
      </c>
      <c r="M158" s="171">
        <v>8587.9914399999998</v>
      </c>
      <c r="N158" s="171">
        <v>14859.40453</v>
      </c>
      <c r="O158" s="166">
        <v>2977.0995898354099</v>
      </c>
      <c r="P158" s="172">
        <v>267.06299999999999</v>
      </c>
      <c r="Q158" s="178">
        <v>11.147555407658199</v>
      </c>
      <c r="R158" s="179">
        <v>13355.809553622899</v>
      </c>
      <c r="S158" s="168">
        <v>0.01</v>
      </c>
      <c r="T158" s="168">
        <v>0.01</v>
      </c>
      <c r="U158" s="175">
        <v>0</v>
      </c>
      <c r="V158" s="176">
        <v>0</v>
      </c>
      <c r="W158" s="167"/>
      <c r="X158" s="175">
        <v>3381.4382700000001</v>
      </c>
      <c r="Y158" s="166">
        <v>677.47522899363298</v>
      </c>
      <c r="Z158" s="177">
        <v>573</v>
      </c>
      <c r="AA158" s="178">
        <v>1.1823302425717801</v>
      </c>
      <c r="AB158" s="179">
        <v>155.383288725667</v>
      </c>
      <c r="AC158" s="168">
        <v>0.02</v>
      </c>
      <c r="AD158" s="168">
        <v>1.7999999999999999E-2</v>
      </c>
      <c r="AE158" s="176">
        <v>0</v>
      </c>
      <c r="AF158" s="176">
        <v>51</v>
      </c>
      <c r="AG158" s="167"/>
      <c r="AH158" s="180">
        <v>275.10000000000002</v>
      </c>
      <c r="AI158" s="166">
        <v>55.116616248667597</v>
      </c>
      <c r="AJ158" s="181" t="s">
        <v>53</v>
      </c>
      <c r="AK158" s="188">
        <v>0.87486692458202497</v>
      </c>
      <c r="AL158" s="171">
        <v>-79.597144538015598</v>
      </c>
      <c r="AM158" s="168"/>
      <c r="AN158" s="168"/>
      <c r="AO158" s="176">
        <v>40</v>
      </c>
      <c r="AP158" s="176">
        <v>103</v>
      </c>
      <c r="AQ158" s="167"/>
      <c r="AR158" s="180">
        <v>57.4</v>
      </c>
      <c r="AS158" s="166">
        <v>11.5001591154981</v>
      </c>
      <c r="AT158" s="181" t="s">
        <v>54</v>
      </c>
      <c r="AU158" s="173">
        <v>0.71875994471862903</v>
      </c>
      <c r="AV158" s="174">
        <v>-32.681814485845301</v>
      </c>
      <c r="AW158" s="168"/>
      <c r="AX158" s="168"/>
      <c r="AY158" s="176">
        <v>23</v>
      </c>
      <c r="AZ158" s="176">
        <v>39</v>
      </c>
      <c r="BA158" s="167"/>
      <c r="BB158" s="184">
        <v>234</v>
      </c>
      <c r="BC158" s="180">
        <v>46.882181760044404</v>
      </c>
      <c r="BD158" s="181" t="s">
        <v>55</v>
      </c>
      <c r="BE158" s="178">
        <v>1.4650681800013901</v>
      </c>
      <c r="BF158" s="179">
        <v>53.8363710283095</v>
      </c>
      <c r="BG158" s="168">
        <v>0.02</v>
      </c>
      <c r="BH158" s="168">
        <v>0.02</v>
      </c>
      <c r="BI158" s="176">
        <v>0</v>
      </c>
      <c r="BJ158" s="176">
        <v>0</v>
      </c>
      <c r="BK158" s="169"/>
      <c r="BL158" s="185">
        <v>0.8</v>
      </c>
      <c r="BM158" s="182">
        <v>0.82</v>
      </c>
      <c r="BN158" s="186">
        <v>7.5000000000000002E-4</v>
      </c>
      <c r="BO158" s="187">
        <v>0.95</v>
      </c>
      <c r="BP158" s="178">
        <v>1</v>
      </c>
      <c r="BQ158" s="186">
        <v>2.5000000000000001E-3</v>
      </c>
    </row>
    <row r="159" spans="1:69" s="156" customFormat="1" ht="22.35" customHeight="1" x14ac:dyDescent="0.2">
      <c r="A159" s="165" t="s">
        <v>220</v>
      </c>
      <c r="B159" s="165" t="s">
        <v>221</v>
      </c>
      <c r="C159" s="165" t="s">
        <v>222</v>
      </c>
      <c r="D159" s="166">
        <v>2.5021163648888902</v>
      </c>
      <c r="E159" s="167"/>
      <c r="F159" s="168">
        <v>1.2999999999999999E-2</v>
      </c>
      <c r="G159" s="168">
        <v>0.01</v>
      </c>
      <c r="H159" s="169"/>
      <c r="I159" s="170">
        <v>3</v>
      </c>
      <c r="J159" s="170">
        <v>2</v>
      </c>
      <c r="K159" s="167"/>
      <c r="L159" s="171">
        <v>787.56478000000004</v>
      </c>
      <c r="M159" s="171">
        <v>976.01996999999994</v>
      </c>
      <c r="N159" s="171">
        <v>1763.58475</v>
      </c>
      <c r="O159" s="166">
        <v>704.83722289962896</v>
      </c>
      <c r="P159" s="172">
        <v>242.67599999999999</v>
      </c>
      <c r="Q159" s="178">
        <v>2.9044372863391099</v>
      </c>
      <c r="R159" s="179">
        <v>1078.6590993906</v>
      </c>
      <c r="S159" s="168">
        <v>0.01</v>
      </c>
      <c r="T159" s="168">
        <v>0.01</v>
      </c>
      <c r="U159" s="175">
        <v>0</v>
      </c>
      <c r="V159" s="176">
        <v>0</v>
      </c>
      <c r="W159" s="167"/>
      <c r="X159" s="175">
        <v>1394.10925</v>
      </c>
      <c r="Y159" s="166">
        <v>557.17202827291703</v>
      </c>
      <c r="Z159" s="177">
        <v>573</v>
      </c>
      <c r="AA159" s="182">
        <v>0.97237701269270005</v>
      </c>
      <c r="AB159" s="183">
        <v>-223.118649747745</v>
      </c>
      <c r="AC159" s="168">
        <v>3.0000000000000001E-3</v>
      </c>
      <c r="AD159" s="168"/>
      <c r="AE159" s="176">
        <v>40</v>
      </c>
      <c r="AF159" s="176">
        <v>327</v>
      </c>
      <c r="AG159" s="167"/>
      <c r="AH159" s="180">
        <v>121.7</v>
      </c>
      <c r="AI159" s="166">
        <v>48.638824999413799</v>
      </c>
      <c r="AJ159" s="181" t="s">
        <v>53</v>
      </c>
      <c r="AK159" s="188">
        <v>0.77204484126053596</v>
      </c>
      <c r="AL159" s="171">
        <v>-56.110397354464098</v>
      </c>
      <c r="AM159" s="168"/>
      <c r="AN159" s="168"/>
      <c r="AO159" s="176">
        <v>36</v>
      </c>
      <c r="AP159" s="176">
        <v>68</v>
      </c>
      <c r="AQ159" s="167"/>
      <c r="AR159" s="180">
        <v>19.399999999999999</v>
      </c>
      <c r="AS159" s="166">
        <v>7.7534363598079503</v>
      </c>
      <c r="AT159" s="181" t="s">
        <v>54</v>
      </c>
      <c r="AU159" s="173">
        <v>0.48458977248799701</v>
      </c>
      <c r="AV159" s="174">
        <v>-25.758196153514699</v>
      </c>
      <c r="AW159" s="168"/>
      <c r="AX159" s="168"/>
      <c r="AY159" s="176">
        <v>21</v>
      </c>
      <c r="AZ159" s="176">
        <v>29</v>
      </c>
      <c r="BA159" s="167"/>
      <c r="BB159" s="184">
        <v>58</v>
      </c>
      <c r="BC159" s="180">
        <v>23.1803767458176</v>
      </c>
      <c r="BD159" s="181" t="s">
        <v>55</v>
      </c>
      <c r="BE159" s="173">
        <v>0.72438677330679901</v>
      </c>
      <c r="BF159" s="174">
        <v>-32.316392307029403</v>
      </c>
      <c r="BG159" s="168"/>
      <c r="BH159" s="168"/>
      <c r="BI159" s="176">
        <v>23</v>
      </c>
      <c r="BJ159" s="176">
        <v>39</v>
      </c>
      <c r="BK159" s="169"/>
      <c r="BL159" s="185">
        <v>0.8</v>
      </c>
      <c r="BM159" s="188">
        <v>0.78</v>
      </c>
      <c r="BN159" s="186"/>
      <c r="BO159" s="187">
        <v>0.95</v>
      </c>
      <c r="BP159" s="178">
        <v>1</v>
      </c>
      <c r="BQ159" s="186">
        <v>2.5000000000000001E-3</v>
      </c>
    </row>
    <row r="160" spans="1:69" s="156" customFormat="1" ht="22.35" customHeight="1" x14ac:dyDescent="0.2">
      <c r="A160" s="165" t="s">
        <v>220</v>
      </c>
      <c r="B160" s="165" t="s">
        <v>221</v>
      </c>
      <c r="C160" s="165" t="s">
        <v>223</v>
      </c>
      <c r="D160" s="166">
        <v>1.37464506811111</v>
      </c>
      <c r="E160" s="167"/>
      <c r="F160" s="168">
        <v>2.1000000000000001E-2</v>
      </c>
      <c r="G160" s="168">
        <v>1.4E-2</v>
      </c>
      <c r="H160" s="169"/>
      <c r="I160" s="170">
        <v>3</v>
      </c>
      <c r="J160" s="170">
        <v>3</v>
      </c>
      <c r="K160" s="167"/>
      <c r="L160" s="171">
        <v>982.87054999999998</v>
      </c>
      <c r="M160" s="171">
        <v>-193.79778999999999</v>
      </c>
      <c r="N160" s="171">
        <v>789.07276000000002</v>
      </c>
      <c r="O160" s="166">
        <v>574.01927108665097</v>
      </c>
      <c r="P160" s="172">
        <v>219.79400000000001</v>
      </c>
      <c r="Q160" s="178">
        <v>2.6116239346235601</v>
      </c>
      <c r="R160" s="179">
        <v>448.260263422734</v>
      </c>
      <c r="S160" s="168">
        <v>0.01</v>
      </c>
      <c r="T160" s="168">
        <v>0.01</v>
      </c>
      <c r="U160" s="175">
        <v>0</v>
      </c>
      <c r="V160" s="176">
        <v>0</v>
      </c>
      <c r="W160" s="167"/>
      <c r="X160" s="175">
        <v>821.77718500000003</v>
      </c>
      <c r="Y160" s="166">
        <v>597.810448721282</v>
      </c>
      <c r="Z160" s="177">
        <v>573</v>
      </c>
      <c r="AA160" s="182">
        <v>1.04329921242807</v>
      </c>
      <c r="AB160" s="183">
        <v>-66.7164069032073</v>
      </c>
      <c r="AC160" s="168">
        <v>1.0999999999999999E-2</v>
      </c>
      <c r="AD160" s="168">
        <v>4.0000000000000001E-3</v>
      </c>
      <c r="AE160" s="176">
        <v>0</v>
      </c>
      <c r="AF160" s="176">
        <v>124</v>
      </c>
      <c r="AG160" s="167"/>
      <c r="AH160" s="180">
        <v>70.7</v>
      </c>
      <c r="AI160" s="166">
        <v>51.431457937828498</v>
      </c>
      <c r="AJ160" s="181" t="s">
        <v>53</v>
      </c>
      <c r="AK160" s="188">
        <v>0.8163723482195</v>
      </c>
      <c r="AL160" s="171">
        <v>-26.987777120247902</v>
      </c>
      <c r="AM160" s="168"/>
      <c r="AN160" s="168"/>
      <c r="AO160" s="176">
        <v>16</v>
      </c>
      <c r="AP160" s="176">
        <v>34</v>
      </c>
      <c r="AQ160" s="167"/>
      <c r="AR160" s="180">
        <v>10.6</v>
      </c>
      <c r="AS160" s="166">
        <v>7.7110813881327003</v>
      </c>
      <c r="AT160" s="181" t="s">
        <v>54</v>
      </c>
      <c r="AU160" s="173">
        <v>0.48194258675829399</v>
      </c>
      <c r="AV160" s="174">
        <v>-14.2095941892693</v>
      </c>
      <c r="AW160" s="168"/>
      <c r="AX160" s="168"/>
      <c r="AY160" s="176">
        <v>12</v>
      </c>
      <c r="AZ160" s="176">
        <v>16</v>
      </c>
      <c r="BA160" s="167"/>
      <c r="BB160" s="184">
        <v>31.8</v>
      </c>
      <c r="BC160" s="180">
        <v>23.1332441643981</v>
      </c>
      <c r="BD160" s="181" t="s">
        <v>55</v>
      </c>
      <c r="BE160" s="173">
        <v>0.72291388013744096</v>
      </c>
      <c r="BF160" s="174">
        <v>-17.819188378538598</v>
      </c>
      <c r="BG160" s="168"/>
      <c r="BH160" s="168"/>
      <c r="BI160" s="176">
        <v>13</v>
      </c>
      <c r="BJ160" s="176">
        <v>21</v>
      </c>
      <c r="BK160" s="169"/>
      <c r="BL160" s="185">
        <v>0.8</v>
      </c>
      <c r="BM160" s="188">
        <v>0.77</v>
      </c>
      <c r="BN160" s="186"/>
      <c r="BO160" s="187">
        <v>0.95</v>
      </c>
      <c r="BP160" s="178">
        <v>1</v>
      </c>
      <c r="BQ160" s="186">
        <v>2.5000000000000001E-3</v>
      </c>
    </row>
    <row r="161" spans="1:69" s="156" customFormat="1" ht="22.35" customHeight="1" x14ac:dyDescent="0.2">
      <c r="A161" s="165" t="s">
        <v>220</v>
      </c>
      <c r="B161" s="165" t="s">
        <v>221</v>
      </c>
      <c r="C161" s="165" t="s">
        <v>224</v>
      </c>
      <c r="D161" s="166">
        <v>2.7294855338888899</v>
      </c>
      <c r="E161" s="167"/>
      <c r="F161" s="168">
        <v>4.1000000000000002E-2</v>
      </c>
      <c r="G161" s="168">
        <v>2.7E-2</v>
      </c>
      <c r="H161" s="169"/>
      <c r="I161" s="170">
        <v>4</v>
      </c>
      <c r="J161" s="170">
        <v>4</v>
      </c>
      <c r="K161" s="167"/>
      <c r="L161" s="171">
        <v>1355.4406200000001</v>
      </c>
      <c r="M161" s="171">
        <v>845.02160000000003</v>
      </c>
      <c r="N161" s="171">
        <v>2200.4622199999999</v>
      </c>
      <c r="O161" s="166">
        <v>806.182041516391</v>
      </c>
      <c r="P161" s="172">
        <v>219.79400000000001</v>
      </c>
      <c r="Q161" s="178">
        <v>3.6678983116754398</v>
      </c>
      <c r="R161" s="179">
        <v>1523.74733500467</v>
      </c>
      <c r="S161" s="168">
        <v>0.01</v>
      </c>
      <c r="T161" s="168">
        <v>0.01</v>
      </c>
      <c r="U161" s="175">
        <v>0</v>
      </c>
      <c r="V161" s="176">
        <v>0</v>
      </c>
      <c r="W161" s="167"/>
      <c r="X161" s="175">
        <v>1643.297615</v>
      </c>
      <c r="Y161" s="166">
        <v>602.053974859753</v>
      </c>
      <c r="Z161" s="177">
        <v>573</v>
      </c>
      <c r="AA161" s="182">
        <v>1.0507050172072501</v>
      </c>
      <c r="AB161" s="183">
        <v>-120.888982915881</v>
      </c>
      <c r="AC161" s="168">
        <v>1.2E-2</v>
      </c>
      <c r="AD161" s="168">
        <v>5.0000000000000001E-3</v>
      </c>
      <c r="AE161" s="176">
        <v>0</v>
      </c>
      <c r="AF161" s="176">
        <v>234</v>
      </c>
      <c r="AG161" s="167"/>
      <c r="AH161" s="180">
        <v>71.7</v>
      </c>
      <c r="AI161" s="166">
        <v>26.268686574734801</v>
      </c>
      <c r="AJ161" s="181" t="s">
        <v>53</v>
      </c>
      <c r="AK161" s="173">
        <v>0.416963278964045</v>
      </c>
      <c r="AL161" s="174">
        <v>-122.26815998028</v>
      </c>
      <c r="AM161" s="168"/>
      <c r="AN161" s="168"/>
      <c r="AO161" s="176">
        <v>101</v>
      </c>
      <c r="AP161" s="176">
        <v>135</v>
      </c>
      <c r="AQ161" s="167"/>
      <c r="AR161" s="180">
        <v>21.6</v>
      </c>
      <c r="AS161" s="166">
        <v>7.91357921916698</v>
      </c>
      <c r="AT161" s="181" t="s">
        <v>54</v>
      </c>
      <c r="AU161" s="173">
        <v>0.49459870119793597</v>
      </c>
      <c r="AV161" s="174">
        <v>-27.661754915626702</v>
      </c>
      <c r="AW161" s="168"/>
      <c r="AX161" s="168"/>
      <c r="AY161" s="176">
        <v>23</v>
      </c>
      <c r="AZ161" s="176">
        <v>31</v>
      </c>
      <c r="BA161" s="167"/>
      <c r="BB161" s="184">
        <v>97.6</v>
      </c>
      <c r="BC161" s="180">
        <v>35.757654249569299</v>
      </c>
      <c r="BD161" s="181" t="s">
        <v>55</v>
      </c>
      <c r="BE161" s="182">
        <v>1.1174266952990399</v>
      </c>
      <c r="BF161" s="183">
        <v>-0.92350983125338304</v>
      </c>
      <c r="BG161" s="168">
        <v>1.9E-2</v>
      </c>
      <c r="BH161" s="168">
        <v>1.2E-2</v>
      </c>
      <c r="BI161" s="176">
        <v>0</v>
      </c>
      <c r="BJ161" s="176">
        <v>8</v>
      </c>
      <c r="BK161" s="169"/>
      <c r="BL161" s="185">
        <v>0.8</v>
      </c>
      <c r="BM161" s="188">
        <v>0.8</v>
      </c>
      <c r="BN161" s="186">
        <v>0</v>
      </c>
      <c r="BO161" s="187">
        <v>0.95</v>
      </c>
      <c r="BP161" s="178">
        <v>1</v>
      </c>
      <c r="BQ161" s="186">
        <v>2.5000000000000001E-3</v>
      </c>
    </row>
    <row r="162" spans="1:69" s="156" customFormat="1" ht="22.35" customHeight="1" x14ac:dyDescent="0.2">
      <c r="A162" s="165" t="s">
        <v>220</v>
      </c>
      <c r="B162" s="165" t="s">
        <v>221</v>
      </c>
      <c r="C162" s="165" t="s">
        <v>225</v>
      </c>
      <c r="D162" s="166">
        <v>1.1783439328888901</v>
      </c>
      <c r="E162" s="167"/>
      <c r="F162" s="168">
        <v>4.7E-2</v>
      </c>
      <c r="G162" s="168">
        <v>0.04</v>
      </c>
      <c r="H162" s="169"/>
      <c r="I162" s="170">
        <v>5</v>
      </c>
      <c r="J162" s="170">
        <v>5</v>
      </c>
      <c r="K162" s="167"/>
      <c r="L162" s="171">
        <v>955.99843999999996</v>
      </c>
      <c r="M162" s="171">
        <v>639.26116000000002</v>
      </c>
      <c r="N162" s="171">
        <v>1595.2596000000001</v>
      </c>
      <c r="O162" s="166">
        <v>1353.8149223452799</v>
      </c>
      <c r="P162" s="172">
        <v>224.79599999999999</v>
      </c>
      <c r="Q162" s="178">
        <v>6.0224155338408201</v>
      </c>
      <c r="R162" s="179">
        <v>1296.46706091188</v>
      </c>
      <c r="S162" s="168">
        <v>0.01</v>
      </c>
      <c r="T162" s="168">
        <v>0.01</v>
      </c>
      <c r="U162" s="175">
        <v>0</v>
      </c>
      <c r="V162" s="176">
        <v>0</v>
      </c>
      <c r="W162" s="167"/>
      <c r="X162" s="175">
        <v>587.63405499999999</v>
      </c>
      <c r="Y162" s="166">
        <v>498.694853513037</v>
      </c>
      <c r="Z162" s="177">
        <v>573</v>
      </c>
      <c r="AA162" s="188">
        <v>0.87032260647999404</v>
      </c>
      <c r="AB162" s="171">
        <v>-173.98147595913699</v>
      </c>
      <c r="AC162" s="168"/>
      <c r="AD162" s="168"/>
      <c r="AE162" s="176">
        <v>88</v>
      </c>
      <c r="AF162" s="176">
        <v>223</v>
      </c>
      <c r="AG162" s="167"/>
      <c r="AH162" s="180">
        <v>81.400000000000006</v>
      </c>
      <c r="AI162" s="166">
        <v>69.080000947122102</v>
      </c>
      <c r="AJ162" s="181" t="s">
        <v>53</v>
      </c>
      <c r="AK162" s="182">
        <v>1.0965079515416201</v>
      </c>
      <c r="AL162" s="183">
        <v>-2.3378332468160701</v>
      </c>
      <c r="AM162" s="168">
        <v>1.7000000000000001E-2</v>
      </c>
      <c r="AN162" s="168">
        <v>0.01</v>
      </c>
      <c r="AO162" s="176">
        <v>0</v>
      </c>
      <c r="AP162" s="176">
        <v>8</v>
      </c>
      <c r="AQ162" s="167"/>
      <c r="AR162" s="180">
        <v>9.6</v>
      </c>
      <c r="AS162" s="166">
        <v>8.14702713872693</v>
      </c>
      <c r="AT162" s="181" t="s">
        <v>54</v>
      </c>
      <c r="AU162" s="173">
        <v>0.50918919617043301</v>
      </c>
      <c r="AV162" s="174">
        <v>-11.666751300778699</v>
      </c>
      <c r="AW162" s="168"/>
      <c r="AX162" s="168"/>
      <c r="AY162" s="176">
        <v>10</v>
      </c>
      <c r="AZ162" s="176">
        <v>14</v>
      </c>
      <c r="BA162" s="167"/>
      <c r="BB162" s="184">
        <v>47.4</v>
      </c>
      <c r="BC162" s="180">
        <v>40.2259464974642</v>
      </c>
      <c r="BD162" s="181" t="s">
        <v>55</v>
      </c>
      <c r="BE162" s="178">
        <v>1.25706082804576</v>
      </c>
      <c r="BF162" s="179">
        <v>4.8664973984426299</v>
      </c>
      <c r="BG162" s="168">
        <v>0.02</v>
      </c>
      <c r="BH162" s="168">
        <v>0.02</v>
      </c>
      <c r="BI162" s="176">
        <v>0</v>
      </c>
      <c r="BJ162" s="176">
        <v>0</v>
      </c>
      <c r="BK162" s="169"/>
      <c r="BL162" s="185">
        <v>0.8</v>
      </c>
      <c r="BM162" s="182">
        <v>0.83</v>
      </c>
      <c r="BN162" s="186">
        <v>1.1249999999999999E-3</v>
      </c>
      <c r="BO162" s="187">
        <v>0.95</v>
      </c>
      <c r="BP162" s="178">
        <v>1</v>
      </c>
      <c r="BQ162" s="186">
        <v>2.5000000000000001E-3</v>
      </c>
    </row>
    <row r="163" spans="1:69" s="156" customFormat="1" ht="22.35" customHeight="1" x14ac:dyDescent="0.2">
      <c r="A163" s="165" t="s">
        <v>220</v>
      </c>
      <c r="B163" s="165" t="s">
        <v>221</v>
      </c>
      <c r="C163" s="165" t="s">
        <v>226</v>
      </c>
      <c r="D163" s="166">
        <v>3.1786816065555601</v>
      </c>
      <c r="E163" s="167"/>
      <c r="F163" s="168">
        <v>0.08</v>
      </c>
      <c r="G163" s="168">
        <v>0.08</v>
      </c>
      <c r="H163" s="169"/>
      <c r="I163" s="170">
        <v>6</v>
      </c>
      <c r="J163" s="170">
        <v>6</v>
      </c>
      <c r="K163" s="167"/>
      <c r="L163" s="171">
        <v>3207.3896500000001</v>
      </c>
      <c r="M163" s="171">
        <v>-389.61939999999998</v>
      </c>
      <c r="N163" s="171">
        <v>2817.77025</v>
      </c>
      <c r="O163" s="166">
        <v>886.45878976641495</v>
      </c>
      <c r="P163" s="172">
        <v>239.25899999999999</v>
      </c>
      <c r="Q163" s="178">
        <v>3.7050175323244501</v>
      </c>
      <c r="R163" s="179">
        <v>1959.89446013676</v>
      </c>
      <c r="S163" s="168">
        <v>0.01</v>
      </c>
      <c r="T163" s="168">
        <v>0.01</v>
      </c>
      <c r="U163" s="175">
        <v>0</v>
      </c>
      <c r="V163" s="176">
        <v>0</v>
      </c>
      <c r="W163" s="167"/>
      <c r="X163" s="175">
        <v>2551.28955</v>
      </c>
      <c r="Y163" s="166">
        <v>802.62507095342505</v>
      </c>
      <c r="Z163" s="177">
        <v>573</v>
      </c>
      <c r="AA163" s="178">
        <v>1.40074183412465</v>
      </c>
      <c r="AB163" s="179">
        <v>496.767765692453</v>
      </c>
      <c r="AC163" s="168">
        <v>0.02</v>
      </c>
      <c r="AD163" s="168">
        <v>0.02</v>
      </c>
      <c r="AE163" s="176">
        <v>0</v>
      </c>
      <c r="AF163" s="176">
        <v>0</v>
      </c>
      <c r="AG163" s="167"/>
      <c r="AH163" s="180">
        <v>307.89999999999998</v>
      </c>
      <c r="AI163" s="166">
        <v>96.864058157005203</v>
      </c>
      <c r="AJ163" s="181" t="s">
        <v>53</v>
      </c>
      <c r="AK163" s="178">
        <v>1.5375247326508801</v>
      </c>
      <c r="AL163" s="179">
        <v>82.010170311735706</v>
      </c>
      <c r="AM163" s="168">
        <v>0.02</v>
      </c>
      <c r="AN163" s="168">
        <v>0.02</v>
      </c>
      <c r="AO163" s="176">
        <v>0</v>
      </c>
      <c r="AP163" s="176">
        <v>0</v>
      </c>
      <c r="AQ163" s="167"/>
      <c r="AR163" s="180">
        <v>63.3</v>
      </c>
      <c r="AS163" s="166">
        <v>19.913916470732101</v>
      </c>
      <c r="AT163" s="181" t="s">
        <v>54</v>
      </c>
      <c r="AU163" s="178">
        <v>1.2446197794207601</v>
      </c>
      <c r="AV163" s="179">
        <v>5.93115436488526</v>
      </c>
      <c r="AW163" s="168">
        <v>0.01</v>
      </c>
      <c r="AX163" s="168">
        <v>0.01</v>
      </c>
      <c r="AY163" s="176">
        <v>0</v>
      </c>
      <c r="AZ163" s="176">
        <v>0</v>
      </c>
      <c r="BA163" s="167"/>
      <c r="BB163" s="184">
        <v>200.2</v>
      </c>
      <c r="BC163" s="180">
        <v>62.982086531446697</v>
      </c>
      <c r="BD163" s="181" t="s">
        <v>55</v>
      </c>
      <c r="BE163" s="178">
        <v>1.96819020410771</v>
      </c>
      <c r="BF163" s="179">
        <v>85.462308729770498</v>
      </c>
      <c r="BG163" s="168">
        <v>0.02</v>
      </c>
      <c r="BH163" s="168">
        <v>0.02</v>
      </c>
      <c r="BI163" s="176">
        <v>0</v>
      </c>
      <c r="BJ163" s="176">
        <v>0</v>
      </c>
      <c r="BK163" s="169"/>
      <c r="BL163" s="185">
        <v>0.8</v>
      </c>
      <c r="BM163" s="188">
        <v>0.78</v>
      </c>
      <c r="BN163" s="186"/>
      <c r="BO163" s="187">
        <v>0.95</v>
      </c>
      <c r="BP163" s="178">
        <v>1</v>
      </c>
      <c r="BQ163" s="186">
        <v>2.5000000000000001E-3</v>
      </c>
    </row>
    <row r="164" spans="1:69" s="156" customFormat="1" ht="22.35" customHeight="1" x14ac:dyDescent="0.2">
      <c r="A164" s="165" t="s">
        <v>220</v>
      </c>
      <c r="B164" s="165" t="s">
        <v>221</v>
      </c>
      <c r="C164" s="165" t="s">
        <v>227</v>
      </c>
      <c r="D164" s="166">
        <v>3.7074923414444401</v>
      </c>
      <c r="E164" s="167"/>
      <c r="F164" s="168">
        <v>2.1999999999999999E-2</v>
      </c>
      <c r="G164" s="168">
        <v>1.4999999999999999E-2</v>
      </c>
      <c r="H164" s="169"/>
      <c r="I164" s="170">
        <v>3</v>
      </c>
      <c r="J164" s="170">
        <v>3</v>
      </c>
      <c r="K164" s="167"/>
      <c r="L164" s="171">
        <v>2243.84944</v>
      </c>
      <c r="M164" s="171">
        <v>63.72193</v>
      </c>
      <c r="N164" s="171">
        <v>2307.5713700000001</v>
      </c>
      <c r="O164" s="166">
        <v>622.40758914176604</v>
      </c>
      <c r="P164" s="172">
        <v>272.85399999999998</v>
      </c>
      <c r="Q164" s="178">
        <v>2.2811012084916</v>
      </c>
      <c r="R164" s="179">
        <v>1166.48192790496</v>
      </c>
      <c r="S164" s="168">
        <v>0.01</v>
      </c>
      <c r="T164" s="168">
        <v>0.01</v>
      </c>
      <c r="U164" s="175">
        <v>0</v>
      </c>
      <c r="V164" s="176">
        <v>0</v>
      </c>
      <c r="W164" s="167"/>
      <c r="X164" s="175">
        <v>1851.99739</v>
      </c>
      <c r="Y164" s="166">
        <v>499.52831171013497</v>
      </c>
      <c r="Z164" s="177">
        <v>573</v>
      </c>
      <c r="AA164" s="188">
        <v>0.871777158307391</v>
      </c>
      <c r="AB164" s="171">
        <v>-544.31803993856499</v>
      </c>
      <c r="AC164" s="168"/>
      <c r="AD164" s="168"/>
      <c r="AE164" s="176">
        <v>273</v>
      </c>
      <c r="AF164" s="176">
        <v>698</v>
      </c>
      <c r="AG164" s="167"/>
      <c r="AH164" s="180">
        <v>92.2</v>
      </c>
      <c r="AI164" s="166">
        <v>24.868561148282399</v>
      </c>
      <c r="AJ164" s="181" t="s">
        <v>53</v>
      </c>
      <c r="AK164" s="173">
        <v>0.39473906584575302</v>
      </c>
      <c r="AL164" s="174">
        <v>-171.26923575240801</v>
      </c>
      <c r="AM164" s="168"/>
      <c r="AN164" s="168"/>
      <c r="AO164" s="176">
        <v>142</v>
      </c>
      <c r="AP164" s="176">
        <v>189</v>
      </c>
      <c r="AQ164" s="167"/>
      <c r="AR164" s="180">
        <v>31.8</v>
      </c>
      <c r="AS164" s="166">
        <v>8.5772260793425303</v>
      </c>
      <c r="AT164" s="181" t="s">
        <v>54</v>
      </c>
      <c r="AU164" s="173">
        <v>0.53607662995890804</v>
      </c>
      <c r="AV164" s="174">
        <v>-35.112821778389304</v>
      </c>
      <c r="AW164" s="168"/>
      <c r="AX164" s="168"/>
      <c r="AY164" s="176">
        <v>28</v>
      </c>
      <c r="AZ164" s="176">
        <v>40</v>
      </c>
      <c r="BA164" s="167"/>
      <c r="BB164" s="184">
        <v>125</v>
      </c>
      <c r="BC164" s="180">
        <v>33.7155113181703</v>
      </c>
      <c r="BD164" s="181" t="s">
        <v>55</v>
      </c>
      <c r="BE164" s="182">
        <v>1.0536097286928201</v>
      </c>
      <c r="BF164" s="183">
        <v>-8.8256435567785196</v>
      </c>
      <c r="BG164" s="168">
        <v>1.2E-2</v>
      </c>
      <c r="BH164" s="168">
        <v>5.0000000000000001E-3</v>
      </c>
      <c r="BI164" s="176">
        <v>0</v>
      </c>
      <c r="BJ164" s="176">
        <v>18</v>
      </c>
      <c r="BK164" s="169"/>
      <c r="BL164" s="185">
        <v>0.8</v>
      </c>
      <c r="BM164" s="188">
        <v>0.72</v>
      </c>
      <c r="BN164" s="186"/>
      <c r="BO164" s="187">
        <v>0.95</v>
      </c>
      <c r="BP164" s="178">
        <v>1</v>
      </c>
      <c r="BQ164" s="186">
        <v>2.5000000000000001E-3</v>
      </c>
    </row>
    <row r="165" spans="1:69" s="156" customFormat="1" ht="22.35" customHeight="1" x14ac:dyDescent="0.2">
      <c r="A165" s="165" t="s">
        <v>220</v>
      </c>
      <c r="B165" s="165" t="s">
        <v>221</v>
      </c>
      <c r="C165" s="165" t="s">
        <v>228</v>
      </c>
      <c r="D165" s="166">
        <v>3.59068721</v>
      </c>
      <c r="E165" s="167"/>
      <c r="F165" s="168">
        <v>1.2E-2</v>
      </c>
      <c r="G165" s="168">
        <v>0.01</v>
      </c>
      <c r="H165" s="169"/>
      <c r="I165" s="170">
        <v>3</v>
      </c>
      <c r="J165" s="170">
        <v>2</v>
      </c>
      <c r="K165" s="167"/>
      <c r="L165" s="171">
        <v>1149.9147399999999</v>
      </c>
      <c r="M165" s="171">
        <v>769.42774999999995</v>
      </c>
      <c r="N165" s="171">
        <v>1919.34249</v>
      </c>
      <c r="O165" s="166">
        <v>534.53346887321902</v>
      </c>
      <c r="P165" s="172">
        <v>244.22499999999999</v>
      </c>
      <c r="Q165" s="178">
        <v>2.1886926763157701</v>
      </c>
      <c r="R165" s="179">
        <v>930.159151403382</v>
      </c>
      <c r="S165" s="168">
        <v>0.01</v>
      </c>
      <c r="T165" s="168">
        <v>0.01</v>
      </c>
      <c r="U165" s="175">
        <v>0</v>
      </c>
      <c r="V165" s="176">
        <v>0</v>
      </c>
      <c r="W165" s="167"/>
      <c r="X165" s="175">
        <v>1820.966885</v>
      </c>
      <c r="Y165" s="166">
        <v>507.13603789509699</v>
      </c>
      <c r="Z165" s="177">
        <v>573</v>
      </c>
      <c r="AA165" s="188">
        <v>0.88505416735619002</v>
      </c>
      <c r="AB165" s="171">
        <v>-499.85224906024001</v>
      </c>
      <c r="AC165" s="168"/>
      <c r="AD165" s="168"/>
      <c r="AE165" s="176">
        <v>237</v>
      </c>
      <c r="AF165" s="176">
        <v>648</v>
      </c>
      <c r="AG165" s="167"/>
      <c r="AH165" s="180">
        <v>171.8</v>
      </c>
      <c r="AI165" s="166">
        <v>47.845994360505699</v>
      </c>
      <c r="AJ165" s="181" t="s">
        <v>53</v>
      </c>
      <c r="AK165" s="188">
        <v>0.75946022794453505</v>
      </c>
      <c r="AL165" s="171">
        <v>-83.368595891439995</v>
      </c>
      <c r="AM165" s="168"/>
      <c r="AN165" s="168"/>
      <c r="AO165" s="176">
        <v>55</v>
      </c>
      <c r="AP165" s="176">
        <v>100</v>
      </c>
      <c r="AQ165" s="167"/>
      <c r="AR165" s="180">
        <v>29.4</v>
      </c>
      <c r="AS165" s="166">
        <v>8.1878476961517297</v>
      </c>
      <c r="AT165" s="181" t="s">
        <v>54</v>
      </c>
      <c r="AU165" s="173">
        <v>0.51174048100948299</v>
      </c>
      <c r="AV165" s="174">
        <v>-35.404722766079999</v>
      </c>
      <c r="AW165" s="168"/>
      <c r="AX165" s="168"/>
      <c r="AY165" s="176">
        <v>29</v>
      </c>
      <c r="AZ165" s="176">
        <v>40</v>
      </c>
      <c r="BA165" s="167"/>
      <c r="BB165" s="184">
        <v>110.6</v>
      </c>
      <c r="BC165" s="180">
        <v>30.801903237904099</v>
      </c>
      <c r="BD165" s="181" t="s">
        <v>55</v>
      </c>
      <c r="BE165" s="182">
        <v>0.96255947618450399</v>
      </c>
      <c r="BF165" s="183">
        <v>-19.009445532160001</v>
      </c>
      <c r="BG165" s="168">
        <v>2E-3</v>
      </c>
      <c r="BH165" s="168"/>
      <c r="BI165" s="176">
        <v>5</v>
      </c>
      <c r="BJ165" s="176">
        <v>28</v>
      </c>
      <c r="BK165" s="169"/>
      <c r="BL165" s="185">
        <v>0.8</v>
      </c>
      <c r="BM165" s="188">
        <v>0.78</v>
      </c>
      <c r="BN165" s="186"/>
      <c r="BO165" s="187">
        <v>0.95</v>
      </c>
      <c r="BP165" s="178">
        <v>1</v>
      </c>
      <c r="BQ165" s="186">
        <v>2.5000000000000001E-3</v>
      </c>
    </row>
    <row r="166" spans="1:69" s="156" customFormat="1" ht="22.35" customHeight="1" x14ac:dyDescent="0.2">
      <c r="A166" s="165" t="s">
        <v>220</v>
      </c>
      <c r="B166" s="165" t="s">
        <v>221</v>
      </c>
      <c r="C166" s="165" t="s">
        <v>229</v>
      </c>
      <c r="D166" s="166">
        <v>8.2706296171111102</v>
      </c>
      <c r="E166" s="167"/>
      <c r="F166" s="168">
        <v>4.7E-2</v>
      </c>
      <c r="G166" s="168">
        <v>3.4000000000000002E-2</v>
      </c>
      <c r="H166" s="169"/>
      <c r="I166" s="170">
        <v>5</v>
      </c>
      <c r="J166" s="170">
        <v>4</v>
      </c>
      <c r="K166" s="167"/>
      <c r="L166" s="171">
        <v>12718.32114</v>
      </c>
      <c r="M166" s="171">
        <v>383.38024000000001</v>
      </c>
      <c r="N166" s="171">
        <v>13101.70138</v>
      </c>
      <c r="O166" s="166">
        <v>1584.12381965381</v>
      </c>
      <c r="P166" s="172">
        <v>224.79599999999999</v>
      </c>
      <c r="Q166" s="178">
        <v>7.0469395347506598</v>
      </c>
      <c r="R166" s="179">
        <v>11004.518754299699</v>
      </c>
      <c r="S166" s="168">
        <v>0.01</v>
      </c>
      <c r="T166" s="168">
        <v>0.01</v>
      </c>
      <c r="U166" s="175">
        <v>0</v>
      </c>
      <c r="V166" s="176">
        <v>0</v>
      </c>
      <c r="W166" s="167"/>
      <c r="X166" s="175">
        <v>4925.7658199999996</v>
      </c>
      <c r="Y166" s="166">
        <v>595.57325718093796</v>
      </c>
      <c r="Z166" s="177">
        <v>573</v>
      </c>
      <c r="AA166" s="182">
        <v>1.0393948641901201</v>
      </c>
      <c r="AB166" s="183">
        <v>-419.90600924206302</v>
      </c>
      <c r="AC166" s="168">
        <v>1.0999999999999999E-2</v>
      </c>
      <c r="AD166" s="168">
        <v>4.0000000000000001E-3</v>
      </c>
      <c r="AE166" s="176">
        <v>0</v>
      </c>
      <c r="AF166" s="176">
        <v>762</v>
      </c>
      <c r="AG166" s="167"/>
      <c r="AH166" s="180">
        <v>518</v>
      </c>
      <c r="AI166" s="166">
        <v>62.631265572370602</v>
      </c>
      <c r="AJ166" s="181" t="s">
        <v>53</v>
      </c>
      <c r="AK166" s="182">
        <v>0.99414707257731105</v>
      </c>
      <c r="AL166" s="183">
        <v>-69.744023110384006</v>
      </c>
      <c r="AM166" s="168">
        <v>6.0000000000000001E-3</v>
      </c>
      <c r="AN166" s="168"/>
      <c r="AO166" s="176">
        <v>4</v>
      </c>
      <c r="AP166" s="176">
        <v>108</v>
      </c>
      <c r="AQ166" s="167"/>
      <c r="AR166" s="180">
        <v>95.6</v>
      </c>
      <c r="AS166" s="166">
        <v>11.5589748816962</v>
      </c>
      <c r="AT166" s="181" t="s">
        <v>54</v>
      </c>
      <c r="AU166" s="173">
        <v>0.72243593010601204</v>
      </c>
      <c r="AV166" s="174">
        <v>-53.668323329621302</v>
      </c>
      <c r="AW166" s="168"/>
      <c r="AX166" s="168"/>
      <c r="AY166" s="176">
        <v>37</v>
      </c>
      <c r="AZ166" s="176">
        <v>64</v>
      </c>
      <c r="BA166" s="167"/>
      <c r="BB166" s="184">
        <v>377</v>
      </c>
      <c r="BC166" s="180">
        <v>45.582986719659701</v>
      </c>
      <c r="BD166" s="181" t="s">
        <v>55</v>
      </c>
      <c r="BE166" s="178">
        <v>1.4244683349893701</v>
      </c>
      <c r="BF166" s="179">
        <v>78.463353340757394</v>
      </c>
      <c r="BG166" s="168">
        <v>0.02</v>
      </c>
      <c r="BH166" s="168">
        <v>0.02</v>
      </c>
      <c r="BI166" s="176">
        <v>0</v>
      </c>
      <c r="BJ166" s="176">
        <v>0</v>
      </c>
      <c r="BK166" s="169"/>
      <c r="BL166" s="185">
        <v>0.8</v>
      </c>
      <c r="BM166" s="188">
        <v>0.74</v>
      </c>
      <c r="BN166" s="186"/>
      <c r="BO166" s="187">
        <v>0.95</v>
      </c>
      <c r="BP166" s="178">
        <v>1</v>
      </c>
      <c r="BQ166" s="186">
        <v>2.5000000000000001E-3</v>
      </c>
    </row>
    <row r="167" spans="1:69" s="156" customFormat="1" ht="22.35" customHeight="1" x14ac:dyDescent="0.2">
      <c r="A167" s="165" t="s">
        <v>220</v>
      </c>
      <c r="B167" s="165" t="s">
        <v>221</v>
      </c>
      <c r="C167" s="165" t="s">
        <v>230</v>
      </c>
      <c r="D167" s="166">
        <v>2.0619326908888902</v>
      </c>
      <c r="E167" s="167"/>
      <c r="F167" s="168">
        <v>3.2000000000000001E-2</v>
      </c>
      <c r="G167" s="168">
        <v>1.7999999999999999E-2</v>
      </c>
      <c r="H167" s="169"/>
      <c r="I167" s="170">
        <v>3</v>
      </c>
      <c r="J167" s="170">
        <v>3</v>
      </c>
      <c r="K167" s="167"/>
      <c r="L167" s="171">
        <v>-7851.7588100000003</v>
      </c>
      <c r="M167" s="171">
        <v>784.15520000000004</v>
      </c>
      <c r="N167" s="171">
        <v>-7067.6036100000001</v>
      </c>
      <c r="O167" s="166">
        <v>-3427.6597103435001</v>
      </c>
      <c r="P167" s="172">
        <v>225.90199999999999</v>
      </c>
      <c r="Q167" s="173">
        <v>-15.1732154223668</v>
      </c>
      <c r="R167" s="174">
        <v>-7593.02005273554</v>
      </c>
      <c r="S167" s="168"/>
      <c r="T167" s="168"/>
      <c r="U167" s="175">
        <v>7534</v>
      </c>
      <c r="V167" s="176">
        <v>7627</v>
      </c>
      <c r="W167" s="167"/>
      <c r="X167" s="175">
        <v>883.646885</v>
      </c>
      <c r="Y167" s="166">
        <v>428.55273060298799</v>
      </c>
      <c r="Z167" s="177">
        <v>573</v>
      </c>
      <c r="AA167" s="188">
        <v>0.74791052461254404</v>
      </c>
      <c r="AB167" s="171">
        <v>-449.07093815988901</v>
      </c>
      <c r="AC167" s="168"/>
      <c r="AD167" s="168"/>
      <c r="AE167" s="176">
        <v>298</v>
      </c>
      <c r="AF167" s="176">
        <v>535</v>
      </c>
      <c r="AG167" s="167"/>
      <c r="AH167" s="180">
        <v>146.25</v>
      </c>
      <c r="AI167" s="166">
        <v>70.928600456376898</v>
      </c>
      <c r="AJ167" s="181" t="s">
        <v>53</v>
      </c>
      <c r="AK167" s="178">
        <v>1.12585080089487</v>
      </c>
      <c r="AL167" s="179">
        <v>-0.279184745328109</v>
      </c>
      <c r="AM167" s="168">
        <v>0.02</v>
      </c>
      <c r="AN167" s="168">
        <v>1.2999999999999999E-2</v>
      </c>
      <c r="AO167" s="176">
        <v>0</v>
      </c>
      <c r="AP167" s="176">
        <v>10</v>
      </c>
      <c r="AQ167" s="167"/>
      <c r="AR167" s="180">
        <v>23.1</v>
      </c>
      <c r="AS167" s="166">
        <v>11.203081507981601</v>
      </c>
      <c r="AT167" s="181" t="s">
        <v>54</v>
      </c>
      <c r="AU167" s="173">
        <v>0.70019259424884805</v>
      </c>
      <c r="AV167" s="174">
        <v>-14.113761205162699</v>
      </c>
      <c r="AW167" s="168"/>
      <c r="AX167" s="168"/>
      <c r="AY167" s="176">
        <v>10</v>
      </c>
      <c r="AZ167" s="176">
        <v>17</v>
      </c>
      <c r="BA167" s="167"/>
      <c r="BB167" s="184">
        <v>69.400000000000006</v>
      </c>
      <c r="BC167" s="180">
        <v>33.657742712290997</v>
      </c>
      <c r="BD167" s="181" t="s">
        <v>55</v>
      </c>
      <c r="BE167" s="182">
        <v>1.0518044597590901</v>
      </c>
      <c r="BF167" s="183">
        <v>-5.0275224103253899</v>
      </c>
      <c r="BG167" s="168">
        <v>1.2E-2</v>
      </c>
      <c r="BH167" s="168">
        <v>5.0000000000000001E-3</v>
      </c>
      <c r="BI167" s="176">
        <v>0</v>
      </c>
      <c r="BJ167" s="176">
        <v>10</v>
      </c>
      <c r="BK167" s="169"/>
      <c r="BL167" s="185">
        <v>0.8</v>
      </c>
      <c r="BM167" s="173"/>
      <c r="BN167" s="186"/>
      <c r="BO167" s="187">
        <v>0.95</v>
      </c>
      <c r="BP167" s="178">
        <v>1</v>
      </c>
      <c r="BQ167" s="186">
        <v>2.5000000000000001E-3</v>
      </c>
    </row>
    <row r="168" spans="1:69" s="156" customFormat="1" ht="22.35" customHeight="1" x14ac:dyDescent="0.2">
      <c r="A168" s="165" t="s">
        <v>220</v>
      </c>
      <c r="B168" s="165" t="s">
        <v>221</v>
      </c>
      <c r="C168" s="165" t="s">
        <v>231</v>
      </c>
      <c r="D168" s="166">
        <v>2.0199468106666698</v>
      </c>
      <c r="E168" s="167"/>
      <c r="F168" s="168">
        <v>0.05</v>
      </c>
      <c r="G168" s="168">
        <v>0.05</v>
      </c>
      <c r="H168" s="169"/>
      <c r="I168" s="170">
        <v>4</v>
      </c>
      <c r="J168" s="170">
        <v>4</v>
      </c>
      <c r="K168" s="167"/>
      <c r="L168" s="171">
        <v>2133.9153099999999</v>
      </c>
      <c r="M168" s="171">
        <v>303.32585</v>
      </c>
      <c r="N168" s="171">
        <v>2437.24116</v>
      </c>
      <c r="O168" s="166">
        <v>1206.5868007661099</v>
      </c>
      <c r="P168" s="172">
        <v>258.548</v>
      </c>
      <c r="Q168" s="178">
        <v>4.6667806394406801</v>
      </c>
      <c r="R168" s="179">
        <v>1848.13954137121</v>
      </c>
      <c r="S168" s="168">
        <v>0.01</v>
      </c>
      <c r="T168" s="168">
        <v>0.01</v>
      </c>
      <c r="U168" s="175">
        <v>0</v>
      </c>
      <c r="V168" s="176">
        <v>0</v>
      </c>
      <c r="W168" s="167"/>
      <c r="X168" s="175">
        <v>1847.1678649999999</v>
      </c>
      <c r="Y168" s="166">
        <v>914.46361619311995</v>
      </c>
      <c r="Z168" s="177">
        <v>573</v>
      </c>
      <c r="AA168" s="178">
        <v>1.5959225413492499</v>
      </c>
      <c r="AB168" s="179">
        <v>541.58736360646105</v>
      </c>
      <c r="AC168" s="168">
        <v>0.02</v>
      </c>
      <c r="AD168" s="168">
        <v>0.02</v>
      </c>
      <c r="AE168" s="176">
        <v>0</v>
      </c>
      <c r="AF168" s="176">
        <v>0</v>
      </c>
      <c r="AG168" s="167"/>
      <c r="AH168" s="180">
        <v>114.55</v>
      </c>
      <c r="AI168" s="166">
        <v>56.709414027686101</v>
      </c>
      <c r="AJ168" s="181" t="s">
        <v>53</v>
      </c>
      <c r="AK168" s="188">
        <v>0.90014942901089001</v>
      </c>
      <c r="AL168" s="171">
        <v>-28.995500153216302</v>
      </c>
      <c r="AM168" s="168"/>
      <c r="AN168" s="168"/>
      <c r="AO168" s="176">
        <v>13</v>
      </c>
      <c r="AP168" s="176">
        <v>39</v>
      </c>
      <c r="AQ168" s="167"/>
      <c r="AR168" s="180">
        <v>23.8</v>
      </c>
      <c r="AS168" s="166">
        <v>11.7824884666864</v>
      </c>
      <c r="AT168" s="181" t="s">
        <v>54</v>
      </c>
      <c r="AU168" s="173">
        <v>0.73640552916790103</v>
      </c>
      <c r="AV168" s="174">
        <v>-12.656000038912101</v>
      </c>
      <c r="AW168" s="168"/>
      <c r="AX168" s="168"/>
      <c r="AY168" s="176">
        <v>9</v>
      </c>
      <c r="AZ168" s="176">
        <v>15</v>
      </c>
      <c r="BA168" s="167"/>
      <c r="BB168" s="184">
        <v>106</v>
      </c>
      <c r="BC168" s="180">
        <v>52.4766293054101</v>
      </c>
      <c r="BD168" s="181" t="s">
        <v>55</v>
      </c>
      <c r="BE168" s="178">
        <v>1.6398946657940601</v>
      </c>
      <c r="BF168" s="179">
        <v>33.087999922175896</v>
      </c>
      <c r="BG168" s="168">
        <v>0.02</v>
      </c>
      <c r="BH168" s="168">
        <v>0.02</v>
      </c>
      <c r="BI168" s="176">
        <v>0</v>
      </c>
      <c r="BJ168" s="176">
        <v>0</v>
      </c>
      <c r="BK168" s="169"/>
      <c r="BL168" s="185">
        <v>0.8</v>
      </c>
      <c r="BM168" s="188">
        <v>0.76</v>
      </c>
      <c r="BN168" s="186"/>
      <c r="BO168" s="187">
        <v>0.95</v>
      </c>
      <c r="BP168" s="178">
        <v>1</v>
      </c>
      <c r="BQ168" s="186">
        <v>2.5000000000000001E-3</v>
      </c>
    </row>
    <row r="169" spans="1:69" s="156" customFormat="1" ht="22.35" customHeight="1" x14ac:dyDescent="0.2">
      <c r="A169" s="165" t="s">
        <v>220</v>
      </c>
      <c r="B169" s="165" t="s">
        <v>221</v>
      </c>
      <c r="C169" s="165" t="s">
        <v>232</v>
      </c>
      <c r="D169" s="166">
        <v>1.8614832398888901</v>
      </c>
      <c r="E169" s="167"/>
      <c r="F169" s="168">
        <v>4.3999999999999997E-2</v>
      </c>
      <c r="G169" s="168">
        <v>0.04</v>
      </c>
      <c r="H169" s="169"/>
      <c r="I169" s="170">
        <v>6</v>
      </c>
      <c r="J169" s="170">
        <v>4</v>
      </c>
      <c r="K169" s="167"/>
      <c r="L169" s="171">
        <v>1549.8575900000001</v>
      </c>
      <c r="M169" s="171">
        <v>1121.3084799999999</v>
      </c>
      <c r="N169" s="171">
        <v>2671.1660700000002</v>
      </c>
      <c r="O169" s="166">
        <v>1434.9664894965399</v>
      </c>
      <c r="P169" s="172">
        <v>266.29899999999998</v>
      </c>
      <c r="Q169" s="178">
        <v>5.3885538041695202</v>
      </c>
      <c r="R169" s="179">
        <v>2112.0039206625302</v>
      </c>
      <c r="S169" s="168">
        <v>0.01</v>
      </c>
      <c r="T169" s="168">
        <v>0.01</v>
      </c>
      <c r="U169" s="175">
        <v>0</v>
      </c>
      <c r="V169" s="176">
        <v>0</v>
      </c>
      <c r="W169" s="167"/>
      <c r="X169" s="175">
        <v>1030.4347749999999</v>
      </c>
      <c r="Y169" s="166">
        <v>553.55576290953104</v>
      </c>
      <c r="Z169" s="177">
        <v>573</v>
      </c>
      <c r="AA169" s="182">
        <v>0.96606590385607605</v>
      </c>
      <c r="AB169" s="183">
        <v>-172.72374820274501</v>
      </c>
      <c r="AC169" s="168">
        <v>3.0000000000000001E-3</v>
      </c>
      <c r="AD169" s="168"/>
      <c r="AE169" s="176">
        <v>37</v>
      </c>
      <c r="AF169" s="176">
        <v>250</v>
      </c>
      <c r="AG169" s="167"/>
      <c r="AH169" s="180">
        <v>111.6</v>
      </c>
      <c r="AI169" s="166">
        <v>59.952191676279298</v>
      </c>
      <c r="AJ169" s="181" t="s">
        <v>53</v>
      </c>
      <c r="AK169" s="182">
        <v>0.95162209009967103</v>
      </c>
      <c r="AL169" s="183">
        <v>-20.684444959464098</v>
      </c>
      <c r="AM169" s="168">
        <v>1E-3</v>
      </c>
      <c r="AN169" s="168"/>
      <c r="AO169" s="176">
        <v>6</v>
      </c>
      <c r="AP169" s="176">
        <v>30</v>
      </c>
      <c r="AQ169" s="167"/>
      <c r="AR169" s="180">
        <v>47.6</v>
      </c>
      <c r="AS169" s="166">
        <v>25.571006485581499</v>
      </c>
      <c r="AT169" s="181" t="s">
        <v>54</v>
      </c>
      <c r="AU169" s="178">
        <v>1.5981879053488399</v>
      </c>
      <c r="AV169" s="179">
        <v>14.0039504864853</v>
      </c>
      <c r="AW169" s="168">
        <v>0.01</v>
      </c>
      <c r="AX169" s="168">
        <v>0.01</v>
      </c>
      <c r="AY169" s="176">
        <v>0</v>
      </c>
      <c r="AZ169" s="176">
        <v>0</v>
      </c>
      <c r="BA169" s="167"/>
      <c r="BB169" s="184">
        <v>94</v>
      </c>
      <c r="BC169" s="180">
        <v>50.497365748837403</v>
      </c>
      <c r="BD169" s="181" t="s">
        <v>55</v>
      </c>
      <c r="BE169" s="178">
        <v>1.57804267965117</v>
      </c>
      <c r="BF169" s="179">
        <v>26.8079009729706</v>
      </c>
      <c r="BG169" s="168">
        <v>0.02</v>
      </c>
      <c r="BH169" s="168">
        <v>0.02</v>
      </c>
      <c r="BI169" s="176">
        <v>0</v>
      </c>
      <c r="BJ169" s="176">
        <v>0</v>
      </c>
      <c r="BK169" s="169"/>
      <c r="BL169" s="185">
        <v>0.8</v>
      </c>
      <c r="BM169" s="188">
        <v>0.76</v>
      </c>
      <c r="BN169" s="186"/>
      <c r="BO169" s="187">
        <v>0.95</v>
      </c>
      <c r="BP169" s="178">
        <v>1</v>
      </c>
      <c r="BQ169" s="186">
        <v>2.5000000000000001E-3</v>
      </c>
    </row>
    <row r="170" spans="1:69" s="156" customFormat="1" ht="22.35" customHeight="1" x14ac:dyDescent="0.2">
      <c r="A170" s="165" t="s">
        <v>220</v>
      </c>
      <c r="B170" s="165" t="s">
        <v>221</v>
      </c>
      <c r="C170" s="165" t="s">
        <v>233</v>
      </c>
      <c r="D170" s="166">
        <v>10.3992394423333</v>
      </c>
      <c r="E170" s="167"/>
      <c r="F170" s="168">
        <v>0.06</v>
      </c>
      <c r="G170" s="168">
        <v>0.06</v>
      </c>
      <c r="H170" s="169"/>
      <c r="I170" s="170">
        <v>5</v>
      </c>
      <c r="J170" s="170">
        <v>5</v>
      </c>
      <c r="K170" s="167"/>
      <c r="L170" s="171">
        <v>9498.8859699999994</v>
      </c>
      <c r="M170" s="171">
        <v>5951.1011799999997</v>
      </c>
      <c r="N170" s="171">
        <v>15449.987150000001</v>
      </c>
      <c r="O170" s="166">
        <v>1485.6843364050301</v>
      </c>
      <c r="P170" s="172">
        <v>287.5</v>
      </c>
      <c r="Q170" s="178">
        <v>5.1675976918435804</v>
      </c>
      <c r="R170" s="179">
        <v>12077.5137988513</v>
      </c>
      <c r="S170" s="168">
        <v>0.01</v>
      </c>
      <c r="T170" s="168">
        <v>0.01</v>
      </c>
      <c r="U170" s="175">
        <v>0</v>
      </c>
      <c r="V170" s="176">
        <v>0</v>
      </c>
      <c r="W170" s="167"/>
      <c r="X170" s="175">
        <v>4201.2251200000001</v>
      </c>
      <c r="Y170" s="166">
        <v>403.99349811079497</v>
      </c>
      <c r="Z170" s="177">
        <v>573</v>
      </c>
      <c r="AA170" s="173">
        <v>0.70504973492285405</v>
      </c>
      <c r="AB170" s="174">
        <v>-2520.2608981154899</v>
      </c>
      <c r="AC170" s="168"/>
      <c r="AD170" s="168"/>
      <c r="AE170" s="176">
        <v>1758</v>
      </c>
      <c r="AF170" s="176">
        <v>2950</v>
      </c>
      <c r="AG170" s="167"/>
      <c r="AH170" s="180">
        <v>859.3</v>
      </c>
      <c r="AI170" s="166">
        <v>82.631042853187196</v>
      </c>
      <c r="AJ170" s="181" t="s">
        <v>53</v>
      </c>
      <c r="AK170" s="178">
        <v>1.31160385481249</v>
      </c>
      <c r="AL170" s="179">
        <v>120.28844827002401</v>
      </c>
      <c r="AM170" s="168">
        <v>0.02</v>
      </c>
      <c r="AN170" s="168">
        <v>0.02</v>
      </c>
      <c r="AO170" s="176">
        <v>0</v>
      </c>
      <c r="AP170" s="176">
        <v>0</v>
      </c>
      <c r="AQ170" s="167"/>
      <c r="AR170" s="180">
        <v>413.2</v>
      </c>
      <c r="AS170" s="166">
        <v>39.733674976069999</v>
      </c>
      <c r="AT170" s="181" t="s">
        <v>54</v>
      </c>
      <c r="AU170" s="178">
        <v>2.48335468600437</v>
      </c>
      <c r="AV170" s="179">
        <v>225.51452654476799</v>
      </c>
      <c r="AW170" s="168">
        <v>0.01</v>
      </c>
      <c r="AX170" s="168">
        <v>0.01</v>
      </c>
      <c r="AY170" s="176">
        <v>0</v>
      </c>
      <c r="AZ170" s="176">
        <v>0</v>
      </c>
      <c r="BA170" s="167"/>
      <c r="BB170" s="184">
        <v>792</v>
      </c>
      <c r="BC170" s="180">
        <v>76.159415733415798</v>
      </c>
      <c r="BD170" s="181" t="s">
        <v>55</v>
      </c>
      <c r="BE170" s="178">
        <v>2.3799817416692499</v>
      </c>
      <c r="BF170" s="179">
        <v>416.629053089536</v>
      </c>
      <c r="BG170" s="168">
        <v>0.02</v>
      </c>
      <c r="BH170" s="168">
        <v>0.02</v>
      </c>
      <c r="BI170" s="176">
        <v>0</v>
      </c>
      <c r="BJ170" s="176">
        <v>0</v>
      </c>
      <c r="BK170" s="169"/>
      <c r="BL170" s="185">
        <v>0.8</v>
      </c>
      <c r="BM170" s="188">
        <v>0.75</v>
      </c>
      <c r="BN170" s="186"/>
      <c r="BO170" s="187">
        <v>0.95</v>
      </c>
      <c r="BP170" s="178">
        <v>1</v>
      </c>
      <c r="BQ170" s="186">
        <v>2.5000000000000001E-3</v>
      </c>
    </row>
    <row r="171" spans="1:69" s="156" customFormat="1" ht="22.35" customHeight="1" x14ac:dyDescent="0.2">
      <c r="A171" s="165" t="s">
        <v>220</v>
      </c>
      <c r="B171" s="165" t="s">
        <v>221</v>
      </c>
      <c r="C171" s="165" t="s">
        <v>234</v>
      </c>
      <c r="D171" s="166">
        <v>4.7502856914444402</v>
      </c>
      <c r="E171" s="167"/>
      <c r="F171" s="168">
        <v>2.4E-2</v>
      </c>
      <c r="G171" s="168">
        <v>1.7000000000000001E-2</v>
      </c>
      <c r="H171" s="169"/>
      <c r="I171" s="170">
        <v>3</v>
      </c>
      <c r="J171" s="170">
        <v>3</v>
      </c>
      <c r="K171" s="167"/>
      <c r="L171" s="171">
        <v>1210.7938099999999</v>
      </c>
      <c r="M171" s="171">
        <v>1224.0897</v>
      </c>
      <c r="N171" s="171">
        <v>2434.8835100000001</v>
      </c>
      <c r="O171" s="166">
        <v>512.57622554899694</v>
      </c>
      <c r="P171" s="172">
        <v>266.29899999999998</v>
      </c>
      <c r="Q171" s="178">
        <v>1.9248146840543801</v>
      </c>
      <c r="R171" s="179">
        <v>1007.96765049775</v>
      </c>
      <c r="S171" s="168">
        <v>0.01</v>
      </c>
      <c r="T171" s="168">
        <v>0.01</v>
      </c>
      <c r="U171" s="175">
        <v>0</v>
      </c>
      <c r="V171" s="176">
        <v>0</v>
      </c>
      <c r="W171" s="167"/>
      <c r="X171" s="175">
        <v>2142.6485149999999</v>
      </c>
      <c r="Y171" s="166">
        <v>451.05676882951298</v>
      </c>
      <c r="Z171" s="177">
        <v>573</v>
      </c>
      <c r="AA171" s="188">
        <v>0.78718458783510104</v>
      </c>
      <c r="AB171" s="171">
        <v>-927.67013995096499</v>
      </c>
      <c r="AC171" s="168"/>
      <c r="AD171" s="168"/>
      <c r="AE171" s="176">
        <v>580</v>
      </c>
      <c r="AF171" s="176">
        <v>1124</v>
      </c>
      <c r="AG171" s="167"/>
      <c r="AH171" s="180">
        <v>219.8</v>
      </c>
      <c r="AI171" s="166">
        <v>46.270901220925097</v>
      </c>
      <c r="AJ171" s="181" t="s">
        <v>53</v>
      </c>
      <c r="AK171" s="173">
        <v>0.73445874953849399</v>
      </c>
      <c r="AL171" s="174">
        <v>-117.774302376808</v>
      </c>
      <c r="AM171" s="168"/>
      <c r="AN171" s="168"/>
      <c r="AO171" s="176">
        <v>80</v>
      </c>
      <c r="AP171" s="176">
        <v>140</v>
      </c>
      <c r="AQ171" s="167"/>
      <c r="AR171" s="180">
        <v>48.3</v>
      </c>
      <c r="AS171" s="166">
        <v>10.1678095039612</v>
      </c>
      <c r="AT171" s="181" t="s">
        <v>54</v>
      </c>
      <c r="AU171" s="173">
        <v>0.635488093997578</v>
      </c>
      <c r="AV171" s="174">
        <v>-37.433156159189302</v>
      </c>
      <c r="AW171" s="168"/>
      <c r="AX171" s="168"/>
      <c r="AY171" s="176">
        <v>28</v>
      </c>
      <c r="AZ171" s="176">
        <v>43</v>
      </c>
      <c r="BA171" s="167"/>
      <c r="BB171" s="184">
        <v>163.19999999999999</v>
      </c>
      <c r="BC171" s="180">
        <v>34.3558283860554</v>
      </c>
      <c r="BD171" s="181" t="s">
        <v>55</v>
      </c>
      <c r="BE171" s="182">
        <v>1.0736196370642299</v>
      </c>
      <c r="BF171" s="183">
        <v>-8.2663123183785103</v>
      </c>
      <c r="BG171" s="168">
        <v>1.4E-2</v>
      </c>
      <c r="BH171" s="168">
        <v>7.0000000000000001E-3</v>
      </c>
      <c r="BI171" s="176">
        <v>0</v>
      </c>
      <c r="BJ171" s="176">
        <v>20</v>
      </c>
      <c r="BK171" s="169"/>
      <c r="BL171" s="185">
        <v>0.8</v>
      </c>
      <c r="BM171" s="188">
        <v>0.74</v>
      </c>
      <c r="BN171" s="186"/>
      <c r="BO171" s="187">
        <v>0.95</v>
      </c>
      <c r="BP171" s="178">
        <v>1</v>
      </c>
      <c r="BQ171" s="186">
        <v>2.5000000000000001E-3</v>
      </c>
    </row>
    <row r="172" spans="1:69" s="156" customFormat="1" ht="22.35" customHeight="1" x14ac:dyDescent="0.2">
      <c r="A172" s="165" t="s">
        <v>220</v>
      </c>
      <c r="B172" s="165" t="s">
        <v>221</v>
      </c>
      <c r="C172" s="165" t="s">
        <v>235</v>
      </c>
      <c r="D172" s="166">
        <v>3.3012442740000001</v>
      </c>
      <c r="E172" s="167"/>
      <c r="F172" s="168">
        <v>0.04</v>
      </c>
      <c r="G172" s="168">
        <v>3.5999999999999997E-2</v>
      </c>
      <c r="H172" s="169"/>
      <c r="I172" s="170">
        <v>4</v>
      </c>
      <c r="J172" s="170">
        <v>4</v>
      </c>
      <c r="K172" s="167"/>
      <c r="L172" s="171">
        <v>298.49270999999999</v>
      </c>
      <c r="M172" s="171">
        <v>2888.86643</v>
      </c>
      <c r="N172" s="171">
        <v>3187.35914</v>
      </c>
      <c r="O172" s="166">
        <v>965.50236076229203</v>
      </c>
      <c r="P172" s="172">
        <v>263.185</v>
      </c>
      <c r="Q172" s="178">
        <v>3.6685311121921602</v>
      </c>
      <c r="R172" s="179">
        <v>2207.3099050429701</v>
      </c>
      <c r="S172" s="168">
        <v>0.01</v>
      </c>
      <c r="T172" s="168">
        <v>0.01</v>
      </c>
      <c r="U172" s="175">
        <v>0</v>
      </c>
      <c r="V172" s="176">
        <v>0</v>
      </c>
      <c r="W172" s="167"/>
      <c r="X172" s="175">
        <v>1651.002315</v>
      </c>
      <c r="Y172" s="166">
        <v>500.11516203238699</v>
      </c>
      <c r="Z172" s="177">
        <v>573</v>
      </c>
      <c r="AA172" s="188">
        <v>0.87280132989945403</v>
      </c>
      <c r="AB172" s="171">
        <v>-482.73711403425602</v>
      </c>
      <c r="AC172" s="168"/>
      <c r="AD172" s="168"/>
      <c r="AE172" s="176">
        <v>241</v>
      </c>
      <c r="AF172" s="176">
        <v>619</v>
      </c>
      <c r="AG172" s="167"/>
      <c r="AH172" s="180">
        <v>168.8</v>
      </c>
      <c r="AI172" s="166">
        <v>51.132235602629599</v>
      </c>
      <c r="AJ172" s="181" t="s">
        <v>53</v>
      </c>
      <c r="AK172" s="188">
        <v>0.81162278734332705</v>
      </c>
      <c r="AL172" s="171">
        <v>-65.799623087536006</v>
      </c>
      <c r="AM172" s="168"/>
      <c r="AN172" s="168"/>
      <c r="AO172" s="176">
        <v>40</v>
      </c>
      <c r="AP172" s="176">
        <v>81</v>
      </c>
      <c r="AQ172" s="167"/>
      <c r="AR172" s="180">
        <v>66.8</v>
      </c>
      <c r="AS172" s="166">
        <v>20.234794657912701</v>
      </c>
      <c r="AT172" s="181" t="s">
        <v>54</v>
      </c>
      <c r="AU172" s="178">
        <v>1.26467466611954</v>
      </c>
      <c r="AV172" s="179">
        <v>7.2191433428479899</v>
      </c>
      <c r="AW172" s="168">
        <v>0.01</v>
      </c>
      <c r="AX172" s="168">
        <v>0.01</v>
      </c>
      <c r="AY172" s="176">
        <v>0</v>
      </c>
      <c r="AZ172" s="176">
        <v>0</v>
      </c>
      <c r="BA172" s="167"/>
      <c r="BB172" s="184">
        <v>122.8</v>
      </c>
      <c r="BC172" s="180">
        <v>37.198095568737699</v>
      </c>
      <c r="BD172" s="181" t="s">
        <v>55</v>
      </c>
      <c r="BE172" s="178">
        <v>1.16244048652305</v>
      </c>
      <c r="BF172" s="179">
        <v>3.6382866856959901</v>
      </c>
      <c r="BG172" s="168">
        <v>0.02</v>
      </c>
      <c r="BH172" s="168">
        <v>1.6E-2</v>
      </c>
      <c r="BI172" s="176">
        <v>0</v>
      </c>
      <c r="BJ172" s="176">
        <v>4</v>
      </c>
      <c r="BK172" s="169"/>
      <c r="BL172" s="185">
        <v>0.8</v>
      </c>
      <c r="BM172" s="188">
        <v>0.75</v>
      </c>
      <c r="BN172" s="186"/>
      <c r="BO172" s="187">
        <v>0.95</v>
      </c>
      <c r="BP172" s="178">
        <v>1</v>
      </c>
      <c r="BQ172" s="186">
        <v>2.5000000000000001E-3</v>
      </c>
    </row>
    <row r="173" spans="1:69" s="156" customFormat="1" ht="22.35" customHeight="1" x14ac:dyDescent="0.2">
      <c r="A173" s="165" t="s">
        <v>220</v>
      </c>
      <c r="B173" s="165" t="s">
        <v>221</v>
      </c>
      <c r="C173" s="165" t="s">
        <v>236</v>
      </c>
      <c r="D173" s="166">
        <v>3.9852030364444402</v>
      </c>
      <c r="E173" s="167"/>
      <c r="F173" s="168">
        <v>1.4999999999999999E-2</v>
      </c>
      <c r="G173" s="168">
        <v>0.01</v>
      </c>
      <c r="H173" s="169"/>
      <c r="I173" s="170">
        <v>3</v>
      </c>
      <c r="J173" s="170">
        <v>2</v>
      </c>
      <c r="K173" s="167"/>
      <c r="L173" s="171">
        <v>2268.1007800000002</v>
      </c>
      <c r="M173" s="171">
        <v>-315.01906000000002</v>
      </c>
      <c r="N173" s="171">
        <v>1953.0817199999999</v>
      </c>
      <c r="O173" s="166">
        <v>490.083366428055</v>
      </c>
      <c r="P173" s="172">
        <v>254.727</v>
      </c>
      <c r="Q173" s="178">
        <v>1.9239553185490901</v>
      </c>
      <c r="R173" s="179">
        <v>808.00513796097596</v>
      </c>
      <c r="S173" s="168">
        <v>0.01</v>
      </c>
      <c r="T173" s="168">
        <v>0.01</v>
      </c>
      <c r="U173" s="175">
        <v>0</v>
      </c>
      <c r="V173" s="176">
        <v>0</v>
      </c>
      <c r="W173" s="167"/>
      <c r="X173" s="175">
        <v>1325.76386</v>
      </c>
      <c r="Y173" s="166">
        <v>332.67159737558399</v>
      </c>
      <c r="Z173" s="177">
        <v>573</v>
      </c>
      <c r="AA173" s="173">
        <v>0.58057870397135003</v>
      </c>
      <c r="AB173" s="174">
        <v>-1250.0482113876501</v>
      </c>
      <c r="AC173" s="168"/>
      <c r="AD173" s="168"/>
      <c r="AE173" s="176">
        <v>958</v>
      </c>
      <c r="AF173" s="176">
        <v>1415</v>
      </c>
      <c r="AG173" s="167"/>
      <c r="AH173" s="180">
        <v>141.5</v>
      </c>
      <c r="AI173" s="166">
        <v>35.506346528894703</v>
      </c>
      <c r="AJ173" s="181" t="s">
        <v>53</v>
      </c>
      <c r="AK173" s="173">
        <v>0.56359280204594797</v>
      </c>
      <c r="AL173" s="174">
        <v>-141.70446858188799</v>
      </c>
      <c r="AM173" s="168"/>
      <c r="AN173" s="168"/>
      <c r="AO173" s="176">
        <v>110</v>
      </c>
      <c r="AP173" s="176">
        <v>160</v>
      </c>
      <c r="AQ173" s="167"/>
      <c r="AR173" s="180">
        <v>49.5</v>
      </c>
      <c r="AS173" s="166">
        <v>12.4209480790126</v>
      </c>
      <c r="AT173" s="181" t="s">
        <v>54</v>
      </c>
      <c r="AU173" s="188">
        <v>0.77630925493828995</v>
      </c>
      <c r="AV173" s="171">
        <v>-22.4249444017493</v>
      </c>
      <c r="AW173" s="168"/>
      <c r="AX173" s="168"/>
      <c r="AY173" s="176">
        <v>15</v>
      </c>
      <c r="AZ173" s="176">
        <v>28</v>
      </c>
      <c r="BA173" s="167"/>
      <c r="BB173" s="184">
        <v>125.4</v>
      </c>
      <c r="BC173" s="180">
        <v>31.4664018001654</v>
      </c>
      <c r="BD173" s="181" t="s">
        <v>55</v>
      </c>
      <c r="BE173" s="182">
        <v>0.98332505625516797</v>
      </c>
      <c r="BF173" s="183">
        <v>-18.449888803498499</v>
      </c>
      <c r="BG173" s="168">
        <v>5.0000000000000001E-3</v>
      </c>
      <c r="BH173" s="168"/>
      <c r="BI173" s="176">
        <v>3</v>
      </c>
      <c r="BJ173" s="176">
        <v>28</v>
      </c>
      <c r="BK173" s="169"/>
      <c r="BL173" s="185">
        <v>0.8</v>
      </c>
      <c r="BM173" s="188">
        <v>0.73</v>
      </c>
      <c r="BN173" s="186"/>
      <c r="BO173" s="187">
        <v>0.95</v>
      </c>
      <c r="BP173" s="178">
        <v>1</v>
      </c>
      <c r="BQ173" s="186">
        <v>2.5000000000000001E-3</v>
      </c>
    </row>
    <row r="174" spans="1:69" s="156" customFormat="1" ht="22.35" customHeight="1" x14ac:dyDescent="0.2">
      <c r="A174" s="165" t="s">
        <v>220</v>
      </c>
      <c r="B174" s="165" t="s">
        <v>221</v>
      </c>
      <c r="C174" s="165" t="s">
        <v>237</v>
      </c>
      <c r="D174" s="166">
        <v>3.0016649496666701</v>
      </c>
      <c r="E174" s="167"/>
      <c r="F174" s="168">
        <v>0.03</v>
      </c>
      <c r="G174" s="168">
        <v>0.03</v>
      </c>
      <c r="H174" s="169"/>
      <c r="I174" s="170">
        <v>3</v>
      </c>
      <c r="J174" s="170">
        <v>3</v>
      </c>
      <c r="K174" s="167"/>
      <c r="L174" s="171">
        <v>2509.50576</v>
      </c>
      <c r="M174" s="171">
        <v>1611.21208</v>
      </c>
      <c r="N174" s="171">
        <v>4120.7178400000003</v>
      </c>
      <c r="O174" s="166">
        <v>1372.8107264128901</v>
      </c>
      <c r="P174" s="172">
        <v>242.02199999999999</v>
      </c>
      <c r="Q174" s="178">
        <v>5.6722559371168302</v>
      </c>
      <c r="R174" s="179">
        <v>3301.2608593824002</v>
      </c>
      <c r="S174" s="168">
        <v>0.01</v>
      </c>
      <c r="T174" s="168">
        <v>0.01</v>
      </c>
      <c r="U174" s="175">
        <v>0</v>
      </c>
      <c r="V174" s="176">
        <v>0</v>
      </c>
      <c r="W174" s="167"/>
      <c r="X174" s="175">
        <v>1212.5817199999999</v>
      </c>
      <c r="Y174" s="166">
        <v>403.969710255189</v>
      </c>
      <c r="Z174" s="177">
        <v>573</v>
      </c>
      <c r="AA174" s="173">
        <v>0.70500822034064403</v>
      </c>
      <c r="AB174" s="174">
        <v>-727.52641022735395</v>
      </c>
      <c r="AC174" s="168"/>
      <c r="AD174" s="168"/>
      <c r="AE174" s="176">
        <v>508</v>
      </c>
      <c r="AF174" s="176">
        <v>852</v>
      </c>
      <c r="AG174" s="167"/>
      <c r="AH174" s="180">
        <v>126.4</v>
      </c>
      <c r="AI174" s="166">
        <v>42.109963010374202</v>
      </c>
      <c r="AJ174" s="181" t="s">
        <v>53</v>
      </c>
      <c r="AK174" s="173">
        <v>0.66841211127578004</v>
      </c>
      <c r="AL174" s="174">
        <v>-86.910317983112293</v>
      </c>
      <c r="AM174" s="168"/>
      <c r="AN174" s="168"/>
      <c r="AO174" s="176">
        <v>63</v>
      </c>
      <c r="AP174" s="176">
        <v>101</v>
      </c>
      <c r="AQ174" s="167"/>
      <c r="AR174" s="180">
        <v>25.4</v>
      </c>
      <c r="AS174" s="166">
        <v>8.4619704150593709</v>
      </c>
      <c r="AT174" s="181" t="s">
        <v>54</v>
      </c>
      <c r="AU174" s="173">
        <v>0.52887315094121101</v>
      </c>
      <c r="AV174" s="174">
        <v>-28.774049011584101</v>
      </c>
      <c r="AW174" s="168"/>
      <c r="AX174" s="168"/>
      <c r="AY174" s="176">
        <v>23</v>
      </c>
      <c r="AZ174" s="176">
        <v>33</v>
      </c>
      <c r="BA174" s="167"/>
      <c r="BB174" s="184">
        <v>121.2</v>
      </c>
      <c r="BC174" s="180">
        <v>40.3775911143778</v>
      </c>
      <c r="BD174" s="181" t="s">
        <v>55</v>
      </c>
      <c r="BE174" s="178">
        <v>1.26179972232431</v>
      </c>
      <c r="BF174" s="179">
        <v>12.8519019768319</v>
      </c>
      <c r="BG174" s="168">
        <v>0.02</v>
      </c>
      <c r="BH174" s="168">
        <v>0.02</v>
      </c>
      <c r="BI174" s="176">
        <v>0</v>
      </c>
      <c r="BJ174" s="176">
        <v>0</v>
      </c>
      <c r="BK174" s="169"/>
      <c r="BL174" s="185">
        <v>0.8</v>
      </c>
      <c r="BM174" s="188">
        <v>0.78</v>
      </c>
      <c r="BN174" s="186"/>
      <c r="BO174" s="187">
        <v>0.95</v>
      </c>
      <c r="BP174" s="178">
        <v>1</v>
      </c>
      <c r="BQ174" s="186">
        <v>2.5000000000000001E-3</v>
      </c>
    </row>
    <row r="175" spans="1:69" s="156" customFormat="1" ht="22.35" customHeight="1" x14ac:dyDescent="0.2">
      <c r="A175" s="165" t="s">
        <v>220</v>
      </c>
      <c r="B175" s="165" t="s">
        <v>221</v>
      </c>
      <c r="C175" s="165" t="s">
        <v>238</v>
      </c>
      <c r="D175" s="166">
        <v>2.70658970644444</v>
      </c>
      <c r="E175" s="167"/>
      <c r="F175" s="168">
        <v>6.3500000000000001E-2</v>
      </c>
      <c r="G175" s="168">
        <v>4.9000000000000002E-2</v>
      </c>
      <c r="H175" s="169"/>
      <c r="I175" s="170">
        <v>6</v>
      </c>
      <c r="J175" s="170">
        <v>5</v>
      </c>
      <c r="K175" s="167"/>
      <c r="L175" s="171">
        <v>1415.7800400000001</v>
      </c>
      <c r="M175" s="171">
        <v>818.35348999999997</v>
      </c>
      <c r="N175" s="171">
        <v>2234.1335300000001</v>
      </c>
      <c r="O175" s="166">
        <v>825.44226215021899</v>
      </c>
      <c r="P175" s="172">
        <v>222.28899999999999</v>
      </c>
      <c r="Q175" s="178">
        <v>3.7133743106956199</v>
      </c>
      <c r="R175" s="179">
        <v>1555.47783547943</v>
      </c>
      <c r="S175" s="168">
        <v>0.01</v>
      </c>
      <c r="T175" s="168">
        <v>0.01</v>
      </c>
      <c r="U175" s="175">
        <v>0</v>
      </c>
      <c r="V175" s="176">
        <v>0</v>
      </c>
      <c r="W175" s="167"/>
      <c r="X175" s="175">
        <v>1769.316605</v>
      </c>
      <c r="Y175" s="166">
        <v>653.70698809177497</v>
      </c>
      <c r="Z175" s="177">
        <v>573</v>
      </c>
      <c r="AA175" s="178">
        <v>1.1408498919577199</v>
      </c>
      <c r="AB175" s="179">
        <v>19.928587777874998</v>
      </c>
      <c r="AC175" s="168">
        <v>0.02</v>
      </c>
      <c r="AD175" s="168">
        <v>1.4E-2</v>
      </c>
      <c r="AE175" s="176">
        <v>0</v>
      </c>
      <c r="AF175" s="176">
        <v>92</v>
      </c>
      <c r="AG175" s="167"/>
      <c r="AH175" s="180">
        <v>179.85</v>
      </c>
      <c r="AI175" s="166">
        <v>66.448933716024101</v>
      </c>
      <c r="AJ175" s="181" t="s">
        <v>53</v>
      </c>
      <c r="AK175" s="182">
        <v>1.0547449796194299</v>
      </c>
      <c r="AL175" s="183">
        <v>-12.4910908987677</v>
      </c>
      <c r="AM175" s="168">
        <v>1.2E-2</v>
      </c>
      <c r="AN175" s="168">
        <v>5.0000000000000001E-3</v>
      </c>
      <c r="AO175" s="176">
        <v>0</v>
      </c>
      <c r="AP175" s="176">
        <v>25</v>
      </c>
      <c r="AQ175" s="167"/>
      <c r="AR175" s="180">
        <v>42.1</v>
      </c>
      <c r="AS175" s="166">
        <v>15.5546294659139</v>
      </c>
      <c r="AT175" s="181" t="s">
        <v>54</v>
      </c>
      <c r="AU175" s="182">
        <v>0.97216434161961796</v>
      </c>
      <c r="AV175" s="183">
        <v>-6.7485310219092502</v>
      </c>
      <c r="AW175" s="168">
        <v>1.5E-3</v>
      </c>
      <c r="AX175" s="168"/>
      <c r="AY175" s="176">
        <v>2</v>
      </c>
      <c r="AZ175" s="176">
        <v>10</v>
      </c>
      <c r="BA175" s="167"/>
      <c r="BB175" s="184">
        <v>116.8</v>
      </c>
      <c r="BC175" s="180">
        <v>43.153936380492702</v>
      </c>
      <c r="BD175" s="181" t="s">
        <v>55</v>
      </c>
      <c r="BE175" s="178">
        <v>1.3485605118904</v>
      </c>
      <c r="BF175" s="179">
        <v>19.102937956181499</v>
      </c>
      <c r="BG175" s="168">
        <v>0.02</v>
      </c>
      <c r="BH175" s="168">
        <v>0.02</v>
      </c>
      <c r="BI175" s="176">
        <v>0</v>
      </c>
      <c r="BJ175" s="176">
        <v>0</v>
      </c>
      <c r="BK175" s="169"/>
      <c r="BL175" s="185">
        <v>0.8</v>
      </c>
      <c r="BM175" s="188">
        <v>0.76</v>
      </c>
      <c r="BN175" s="186"/>
      <c r="BO175" s="187">
        <v>0.95</v>
      </c>
      <c r="BP175" s="178">
        <v>1</v>
      </c>
      <c r="BQ175" s="186">
        <v>2.5000000000000001E-3</v>
      </c>
    </row>
    <row r="176" spans="1:69" s="156" customFormat="1" ht="22.35" customHeight="1" x14ac:dyDescent="0.2">
      <c r="A176" s="165" t="s">
        <v>220</v>
      </c>
      <c r="B176" s="165" t="s">
        <v>221</v>
      </c>
      <c r="C176" s="165" t="s">
        <v>239</v>
      </c>
      <c r="D176" s="166">
        <v>4.3740007442222204</v>
      </c>
      <c r="E176" s="167"/>
      <c r="F176" s="168">
        <v>3.6999999999999998E-2</v>
      </c>
      <c r="G176" s="168">
        <v>3.4000000000000002E-2</v>
      </c>
      <c r="H176" s="169"/>
      <c r="I176" s="170">
        <v>4</v>
      </c>
      <c r="J176" s="170">
        <v>4</v>
      </c>
      <c r="K176" s="167"/>
      <c r="L176" s="171">
        <v>3177.6501400000002</v>
      </c>
      <c r="M176" s="171">
        <v>2418.2370299999998</v>
      </c>
      <c r="N176" s="171">
        <v>5595.88717</v>
      </c>
      <c r="O176" s="166">
        <v>1279.3521302875399</v>
      </c>
      <c r="P176" s="172">
        <v>258.548</v>
      </c>
      <c r="Q176" s="178">
        <v>4.9482190165367399</v>
      </c>
      <c r="R176" s="179">
        <v>4320.2442150974402</v>
      </c>
      <c r="S176" s="168">
        <v>0.01</v>
      </c>
      <c r="T176" s="168">
        <v>0.01</v>
      </c>
      <c r="U176" s="175">
        <v>0</v>
      </c>
      <c r="V176" s="176">
        <v>0</v>
      </c>
      <c r="W176" s="167"/>
      <c r="X176" s="175">
        <v>2068.1464249999999</v>
      </c>
      <c r="Y176" s="166">
        <v>472.82717720884898</v>
      </c>
      <c r="Z176" s="177">
        <v>573</v>
      </c>
      <c r="AA176" s="188">
        <v>0.82517831973621203</v>
      </c>
      <c r="AB176" s="171">
        <v>-758.96271202356604</v>
      </c>
      <c r="AC176" s="168"/>
      <c r="AD176" s="168"/>
      <c r="AE176" s="176">
        <v>439</v>
      </c>
      <c r="AF176" s="176">
        <v>940</v>
      </c>
      <c r="AG176" s="167"/>
      <c r="AH176" s="180">
        <v>221.6</v>
      </c>
      <c r="AI176" s="166">
        <v>50.663000067551302</v>
      </c>
      <c r="AJ176" s="181" t="s">
        <v>53</v>
      </c>
      <c r="AK176" s="188">
        <v>0.80417460424684595</v>
      </c>
      <c r="AL176" s="171">
        <v>-89.233988887407804</v>
      </c>
      <c r="AM176" s="168"/>
      <c r="AN176" s="168"/>
      <c r="AO176" s="176">
        <v>54</v>
      </c>
      <c r="AP176" s="176">
        <v>110</v>
      </c>
      <c r="AQ176" s="167"/>
      <c r="AR176" s="180">
        <v>75.3</v>
      </c>
      <c r="AS176" s="166">
        <v>17.215360582520798</v>
      </c>
      <c r="AT176" s="181" t="s">
        <v>54</v>
      </c>
      <c r="AU176" s="182">
        <v>1.0759600364075499</v>
      </c>
      <c r="AV176" s="183">
        <v>-3.6419654317226202</v>
      </c>
      <c r="AW176" s="168">
        <v>7.0000000000000001E-3</v>
      </c>
      <c r="AX176" s="168">
        <v>4.0000000000000001E-3</v>
      </c>
      <c r="AY176" s="176">
        <v>0</v>
      </c>
      <c r="AZ176" s="176">
        <v>9</v>
      </c>
      <c r="BA176" s="167"/>
      <c r="BB176" s="184">
        <v>191.8</v>
      </c>
      <c r="BC176" s="180">
        <v>43.850015401427498</v>
      </c>
      <c r="BD176" s="181" t="s">
        <v>55</v>
      </c>
      <c r="BE176" s="178">
        <v>1.37031298129461</v>
      </c>
      <c r="BF176" s="179">
        <v>33.916069136554803</v>
      </c>
      <c r="BG176" s="168">
        <v>0.02</v>
      </c>
      <c r="BH176" s="168">
        <v>0.02</v>
      </c>
      <c r="BI176" s="176">
        <v>0</v>
      </c>
      <c r="BJ176" s="176">
        <v>0</v>
      </c>
      <c r="BK176" s="169"/>
      <c r="BL176" s="185">
        <v>0.8</v>
      </c>
      <c r="BM176" s="188">
        <v>0.71</v>
      </c>
      <c r="BN176" s="186"/>
      <c r="BO176" s="187">
        <v>0.95</v>
      </c>
      <c r="BP176" s="178">
        <v>1</v>
      </c>
      <c r="BQ176" s="186">
        <v>2.5000000000000001E-3</v>
      </c>
    </row>
    <row r="177" spans="1:69" s="156" customFormat="1" ht="22.35" customHeight="1" x14ac:dyDescent="0.2">
      <c r="A177" s="165" t="s">
        <v>220</v>
      </c>
      <c r="B177" s="165" t="s">
        <v>240</v>
      </c>
      <c r="C177" s="165" t="s">
        <v>241</v>
      </c>
      <c r="D177" s="166">
        <v>3.97523895733333</v>
      </c>
      <c r="E177" s="167"/>
      <c r="F177" s="168">
        <v>1.6E-2</v>
      </c>
      <c r="G177" s="168">
        <v>0.01</v>
      </c>
      <c r="H177" s="169"/>
      <c r="I177" s="170">
        <v>3</v>
      </c>
      <c r="J177" s="170">
        <v>2</v>
      </c>
      <c r="K177" s="167"/>
      <c r="L177" s="171">
        <v>2883.8302699999999</v>
      </c>
      <c r="M177" s="171">
        <v>-368.65519999999998</v>
      </c>
      <c r="N177" s="171">
        <v>2515.1750699999998</v>
      </c>
      <c r="O177" s="166">
        <v>632.710409863569</v>
      </c>
      <c r="P177" s="172">
        <v>241.762</v>
      </c>
      <c r="Q177" s="178">
        <v>2.6170796480156899</v>
      </c>
      <c r="R177" s="179">
        <v>1431.0974489344201</v>
      </c>
      <c r="S177" s="168">
        <v>0.01</v>
      </c>
      <c r="T177" s="168">
        <v>0.01</v>
      </c>
      <c r="U177" s="175">
        <v>0</v>
      </c>
      <c r="V177" s="176">
        <v>0</v>
      </c>
      <c r="W177" s="167"/>
      <c r="X177" s="175">
        <v>2262.01649</v>
      </c>
      <c r="Y177" s="166">
        <v>569.02654514067399</v>
      </c>
      <c r="Z177" s="177">
        <v>573</v>
      </c>
      <c r="AA177" s="182">
        <v>0.993065523805713</v>
      </c>
      <c r="AB177" s="183">
        <v>-307.355358638653</v>
      </c>
      <c r="AC177" s="168">
        <v>6.0000000000000001E-3</v>
      </c>
      <c r="AD177" s="168"/>
      <c r="AE177" s="176">
        <v>16</v>
      </c>
      <c r="AF177" s="176">
        <v>472</v>
      </c>
      <c r="AG177" s="167"/>
      <c r="AH177" s="180">
        <v>185</v>
      </c>
      <c r="AI177" s="166">
        <v>46.5380828638542</v>
      </c>
      <c r="AJ177" s="181" t="s">
        <v>53</v>
      </c>
      <c r="AK177" s="173">
        <v>0.73869972799768502</v>
      </c>
      <c r="AL177" s="174">
        <v>-97.496381263935703</v>
      </c>
      <c r="AM177" s="168"/>
      <c r="AN177" s="168"/>
      <c r="AO177" s="176">
        <v>66</v>
      </c>
      <c r="AP177" s="176">
        <v>116</v>
      </c>
      <c r="AQ177" s="167"/>
      <c r="AR177" s="180">
        <v>32.799999999999997</v>
      </c>
      <c r="AS177" s="166">
        <v>8.2510763131590092</v>
      </c>
      <c r="AT177" s="181" t="s">
        <v>54</v>
      </c>
      <c r="AU177" s="173">
        <v>0.51569226957243797</v>
      </c>
      <c r="AV177" s="174">
        <v>-38.945112701951899</v>
      </c>
      <c r="AW177" s="168"/>
      <c r="AX177" s="168"/>
      <c r="AY177" s="176">
        <v>31</v>
      </c>
      <c r="AZ177" s="176">
        <v>44</v>
      </c>
      <c r="BA177" s="167"/>
      <c r="BB177" s="184">
        <v>96.2</v>
      </c>
      <c r="BC177" s="180">
        <v>24.199803089204199</v>
      </c>
      <c r="BD177" s="181" t="s">
        <v>55</v>
      </c>
      <c r="BE177" s="188">
        <v>0.75624384653762999</v>
      </c>
      <c r="BF177" s="171">
        <v>-47.290225403903897</v>
      </c>
      <c r="BG177" s="168"/>
      <c r="BH177" s="168"/>
      <c r="BI177" s="176">
        <v>32</v>
      </c>
      <c r="BJ177" s="176">
        <v>57</v>
      </c>
      <c r="BK177" s="169"/>
      <c r="BL177" s="185">
        <v>0.8</v>
      </c>
      <c r="BM177" s="188">
        <v>0.77</v>
      </c>
      <c r="BN177" s="186"/>
      <c r="BO177" s="187">
        <v>0.95</v>
      </c>
      <c r="BP177" s="178">
        <v>1</v>
      </c>
      <c r="BQ177" s="186">
        <v>2.5000000000000001E-3</v>
      </c>
    </row>
    <row r="178" spans="1:69" s="156" customFormat="1" ht="22.35" customHeight="1" x14ac:dyDescent="0.2">
      <c r="A178" s="165" t="s">
        <v>220</v>
      </c>
      <c r="B178" s="165" t="s">
        <v>240</v>
      </c>
      <c r="C178" s="165" t="s">
        <v>242</v>
      </c>
      <c r="D178" s="166">
        <v>2.6208074601111102</v>
      </c>
      <c r="E178" s="167"/>
      <c r="F178" s="168">
        <v>5.7500000000000002E-2</v>
      </c>
      <c r="G178" s="168">
        <v>5.45E-2</v>
      </c>
      <c r="H178" s="169"/>
      <c r="I178" s="170">
        <v>5</v>
      </c>
      <c r="J178" s="170">
        <v>5</v>
      </c>
      <c r="K178" s="167"/>
      <c r="L178" s="171">
        <v>1760.23353</v>
      </c>
      <c r="M178" s="171">
        <v>1361.43445</v>
      </c>
      <c r="N178" s="171">
        <v>3121.6679800000002</v>
      </c>
      <c r="O178" s="166">
        <v>1191.1092392371499</v>
      </c>
      <c r="P178" s="172">
        <v>238.04499999999999</v>
      </c>
      <c r="Q178" s="178">
        <v>5.00371458857422</v>
      </c>
      <c r="R178" s="179">
        <v>2417.9424938420598</v>
      </c>
      <c r="S178" s="168">
        <v>0.01</v>
      </c>
      <c r="T178" s="168">
        <v>0.01</v>
      </c>
      <c r="U178" s="175">
        <v>0</v>
      </c>
      <c r="V178" s="176">
        <v>0</v>
      </c>
      <c r="W178" s="167"/>
      <c r="X178" s="175">
        <v>1212.61338</v>
      </c>
      <c r="Y178" s="166">
        <v>462.68693845544499</v>
      </c>
      <c r="Z178" s="177">
        <v>573</v>
      </c>
      <c r="AA178" s="188">
        <v>0.80748156798506898</v>
      </c>
      <c r="AB178" s="171">
        <v>-481.32979699805497</v>
      </c>
      <c r="AC178" s="168"/>
      <c r="AD178" s="168"/>
      <c r="AE178" s="176">
        <v>290</v>
      </c>
      <c r="AF178" s="176">
        <v>590</v>
      </c>
      <c r="AG178" s="167"/>
      <c r="AH178" s="180">
        <v>208.8</v>
      </c>
      <c r="AI178" s="166">
        <v>79.670102889262907</v>
      </c>
      <c r="AJ178" s="181" t="s">
        <v>53</v>
      </c>
      <c r="AK178" s="178">
        <v>1.2646048077660801</v>
      </c>
      <c r="AL178" s="179">
        <v>22.554938654664099</v>
      </c>
      <c r="AM178" s="168">
        <v>0.02</v>
      </c>
      <c r="AN178" s="168">
        <v>0.02</v>
      </c>
      <c r="AO178" s="176">
        <v>0</v>
      </c>
      <c r="AP178" s="176">
        <v>0</v>
      </c>
      <c r="AQ178" s="167"/>
      <c r="AR178" s="180">
        <v>45.5</v>
      </c>
      <c r="AS178" s="166">
        <v>17.3610616928231</v>
      </c>
      <c r="AT178" s="181" t="s">
        <v>54</v>
      </c>
      <c r="AU178" s="182">
        <v>1.08506635580144</v>
      </c>
      <c r="AV178" s="183">
        <v>-1.8003330400853099</v>
      </c>
      <c r="AW178" s="168">
        <v>7.4999999999999997E-3</v>
      </c>
      <c r="AX178" s="168">
        <v>4.4999999999999997E-3</v>
      </c>
      <c r="AY178" s="176">
        <v>0</v>
      </c>
      <c r="AZ178" s="176">
        <v>5</v>
      </c>
      <c r="BA178" s="167"/>
      <c r="BB178" s="184">
        <v>137.19999999999999</v>
      </c>
      <c r="BC178" s="180">
        <v>52.350278335281899</v>
      </c>
      <c r="BD178" s="181" t="s">
        <v>55</v>
      </c>
      <c r="BE178" s="178">
        <v>1.63594619797756</v>
      </c>
      <c r="BF178" s="179">
        <v>42.599333919829398</v>
      </c>
      <c r="BG178" s="168">
        <v>0.02</v>
      </c>
      <c r="BH178" s="168">
        <v>0.02</v>
      </c>
      <c r="BI178" s="176">
        <v>0</v>
      </c>
      <c r="BJ178" s="176">
        <v>0</v>
      </c>
      <c r="BK178" s="169"/>
      <c r="BL178" s="185">
        <v>0.8</v>
      </c>
      <c r="BM178" s="188">
        <v>0.71</v>
      </c>
      <c r="BN178" s="186"/>
      <c r="BO178" s="187">
        <v>0.95</v>
      </c>
      <c r="BP178" s="178">
        <v>1</v>
      </c>
      <c r="BQ178" s="186">
        <v>2.5000000000000001E-3</v>
      </c>
    </row>
    <row r="179" spans="1:69" s="156" customFormat="1" ht="22.35" customHeight="1" x14ac:dyDescent="0.2">
      <c r="A179" s="165" t="s">
        <v>220</v>
      </c>
      <c r="B179" s="165" t="s">
        <v>240</v>
      </c>
      <c r="C179" s="165" t="s">
        <v>243</v>
      </c>
      <c r="D179" s="166">
        <v>3.17144203944444</v>
      </c>
      <c r="E179" s="167"/>
      <c r="F179" s="168">
        <v>1.9E-2</v>
      </c>
      <c r="G179" s="168">
        <v>1.2999999999999999E-2</v>
      </c>
      <c r="H179" s="169"/>
      <c r="I179" s="170">
        <v>3</v>
      </c>
      <c r="J179" s="170">
        <v>3</v>
      </c>
      <c r="K179" s="167"/>
      <c r="L179" s="171">
        <v>1812.93551</v>
      </c>
      <c r="M179" s="171">
        <v>2290.60799</v>
      </c>
      <c r="N179" s="171">
        <v>4103.5434999999998</v>
      </c>
      <c r="O179" s="166">
        <v>1293.9046178245301</v>
      </c>
      <c r="P179" s="172">
        <v>247.75800000000001</v>
      </c>
      <c r="Q179" s="178">
        <v>5.2224534336914603</v>
      </c>
      <c r="R179" s="179">
        <v>3217.21734567981</v>
      </c>
      <c r="S179" s="168">
        <v>0.01</v>
      </c>
      <c r="T179" s="168">
        <v>0.01</v>
      </c>
      <c r="U179" s="175">
        <v>0</v>
      </c>
      <c r="V179" s="176">
        <v>0</v>
      </c>
      <c r="W179" s="167"/>
      <c r="X179" s="175">
        <v>1864.47182</v>
      </c>
      <c r="Y179" s="166">
        <v>587.89402322692501</v>
      </c>
      <c r="Z179" s="177">
        <v>573</v>
      </c>
      <c r="AA179" s="182">
        <v>1.0259930597328499</v>
      </c>
      <c r="AB179" s="183">
        <v>-185.37071354267701</v>
      </c>
      <c r="AC179" s="168">
        <v>8.9999999999999993E-3</v>
      </c>
      <c r="AD179" s="168">
        <v>3.0000000000000001E-3</v>
      </c>
      <c r="AE179" s="176">
        <v>0</v>
      </c>
      <c r="AF179" s="176">
        <v>317</v>
      </c>
      <c r="AG179" s="167"/>
      <c r="AH179" s="180">
        <v>166.5</v>
      </c>
      <c r="AI179" s="166">
        <v>52.499777050684003</v>
      </c>
      <c r="AJ179" s="181" t="s">
        <v>53</v>
      </c>
      <c r="AK179" s="188">
        <v>0.83332979445530198</v>
      </c>
      <c r="AL179" s="171">
        <v>-58.8753570910797</v>
      </c>
      <c r="AM179" s="168"/>
      <c r="AN179" s="168"/>
      <c r="AO179" s="176">
        <v>34</v>
      </c>
      <c r="AP179" s="176">
        <v>74</v>
      </c>
      <c r="AQ179" s="167"/>
      <c r="AR179" s="180">
        <v>28</v>
      </c>
      <c r="AS179" s="166">
        <v>8.8287913358507701</v>
      </c>
      <c r="AT179" s="181" t="s">
        <v>54</v>
      </c>
      <c r="AU179" s="173">
        <v>0.55179945849067302</v>
      </c>
      <c r="AV179" s="174">
        <v>-29.238185927893301</v>
      </c>
      <c r="AW179" s="168"/>
      <c r="AX179" s="168"/>
      <c r="AY179" s="176">
        <v>23</v>
      </c>
      <c r="AZ179" s="176">
        <v>33</v>
      </c>
      <c r="BA179" s="167"/>
      <c r="BB179" s="184">
        <v>93</v>
      </c>
      <c r="BC179" s="180">
        <v>29.324199794075799</v>
      </c>
      <c r="BD179" s="181" t="s">
        <v>55</v>
      </c>
      <c r="BE179" s="188">
        <v>0.91638124356486805</v>
      </c>
      <c r="BF179" s="171">
        <v>-21.4763718557865</v>
      </c>
      <c r="BG179" s="168"/>
      <c r="BH179" s="168"/>
      <c r="BI179" s="176">
        <v>9</v>
      </c>
      <c r="BJ179" s="176">
        <v>29</v>
      </c>
      <c r="BK179" s="169"/>
      <c r="BL179" s="185">
        <v>0.8</v>
      </c>
      <c r="BM179" s="173">
        <v>0.69</v>
      </c>
      <c r="BN179" s="186"/>
      <c r="BO179" s="187">
        <v>0.95</v>
      </c>
      <c r="BP179" s="178">
        <v>1</v>
      </c>
      <c r="BQ179" s="186">
        <v>2.5000000000000001E-3</v>
      </c>
    </row>
    <row r="180" spans="1:69" s="156" customFormat="1" ht="22.35" customHeight="1" x14ac:dyDescent="0.2">
      <c r="A180" s="165" t="s">
        <v>220</v>
      </c>
      <c r="B180" s="165" t="s">
        <v>240</v>
      </c>
      <c r="C180" s="165" t="s">
        <v>244</v>
      </c>
      <c r="D180" s="166">
        <v>3.4906875204444399</v>
      </c>
      <c r="E180" s="167"/>
      <c r="F180" s="168">
        <v>0.01</v>
      </c>
      <c r="G180" s="168">
        <v>0.01</v>
      </c>
      <c r="H180" s="169"/>
      <c r="I180" s="170">
        <v>3</v>
      </c>
      <c r="J180" s="170">
        <v>3</v>
      </c>
      <c r="K180" s="167"/>
      <c r="L180" s="171">
        <v>1143.02943</v>
      </c>
      <c r="M180" s="171">
        <v>299.29736000000003</v>
      </c>
      <c r="N180" s="171">
        <v>1442.3267900000001</v>
      </c>
      <c r="O180" s="166">
        <v>413.192754021236</v>
      </c>
      <c r="P180" s="172">
        <v>247.167</v>
      </c>
      <c r="Q180" s="178">
        <v>1.67171488920947</v>
      </c>
      <c r="R180" s="179">
        <v>469.10783405150102</v>
      </c>
      <c r="S180" s="168">
        <v>0.01</v>
      </c>
      <c r="T180" s="168">
        <v>0.01</v>
      </c>
      <c r="U180" s="175">
        <v>0</v>
      </c>
      <c r="V180" s="176">
        <v>0</v>
      </c>
      <c r="W180" s="167"/>
      <c r="X180" s="175">
        <v>1322.480305</v>
      </c>
      <c r="Y180" s="166">
        <v>378.85955051961201</v>
      </c>
      <c r="Z180" s="177">
        <v>573</v>
      </c>
      <c r="AA180" s="173">
        <v>0.661185952041207</v>
      </c>
      <c r="AB180" s="174">
        <v>-933.70462971414099</v>
      </c>
      <c r="AC180" s="168"/>
      <c r="AD180" s="168"/>
      <c r="AE180" s="176">
        <v>678</v>
      </c>
      <c r="AF180" s="176">
        <v>1078</v>
      </c>
      <c r="AG180" s="167"/>
      <c r="AH180" s="180">
        <v>179.9</v>
      </c>
      <c r="AI180" s="166">
        <v>51.537125264393403</v>
      </c>
      <c r="AJ180" s="181" t="s">
        <v>53</v>
      </c>
      <c r="AK180" s="188">
        <v>0.81804960737132304</v>
      </c>
      <c r="AL180" s="171">
        <v>-68.162217952863699</v>
      </c>
      <c r="AM180" s="168"/>
      <c r="AN180" s="168"/>
      <c r="AO180" s="176">
        <v>41</v>
      </c>
      <c r="AP180" s="176">
        <v>84</v>
      </c>
      <c r="AQ180" s="167"/>
      <c r="AR180" s="180">
        <v>24.8</v>
      </c>
      <c r="AS180" s="166">
        <v>7.1046176017618397</v>
      </c>
      <c r="AT180" s="181" t="s">
        <v>54</v>
      </c>
      <c r="AU180" s="173">
        <v>0.44403860011011498</v>
      </c>
      <c r="AV180" s="174">
        <v>-38.199928368981297</v>
      </c>
      <c r="AW180" s="168"/>
      <c r="AX180" s="168"/>
      <c r="AY180" s="176">
        <v>32</v>
      </c>
      <c r="AZ180" s="176">
        <v>43</v>
      </c>
      <c r="BA180" s="167"/>
      <c r="BB180" s="184">
        <v>81.2</v>
      </c>
      <c r="BC180" s="180">
        <v>23.261893115446</v>
      </c>
      <c r="BD180" s="181" t="s">
        <v>55</v>
      </c>
      <c r="BE180" s="173">
        <v>0.72693415985768906</v>
      </c>
      <c r="BF180" s="174">
        <v>-44.7998567379625</v>
      </c>
      <c r="BG180" s="168"/>
      <c r="BH180" s="168"/>
      <c r="BI180" s="176">
        <v>31</v>
      </c>
      <c r="BJ180" s="176">
        <v>53</v>
      </c>
      <c r="BK180" s="169"/>
      <c r="BL180" s="185">
        <v>0.8</v>
      </c>
      <c r="BM180" s="182">
        <v>0.86</v>
      </c>
      <c r="BN180" s="186">
        <v>2.2499999999999998E-3</v>
      </c>
      <c r="BO180" s="187">
        <v>0.95</v>
      </c>
      <c r="BP180" s="178">
        <v>1</v>
      </c>
      <c r="BQ180" s="186">
        <v>2.5000000000000001E-3</v>
      </c>
    </row>
    <row r="181" spans="1:69" s="156" customFormat="1" ht="22.35" customHeight="1" x14ac:dyDescent="0.2">
      <c r="A181" s="165" t="s">
        <v>220</v>
      </c>
      <c r="B181" s="165" t="s">
        <v>240</v>
      </c>
      <c r="C181" s="165" t="s">
        <v>245</v>
      </c>
      <c r="D181" s="166">
        <v>2.5343313424444398</v>
      </c>
      <c r="E181" s="167"/>
      <c r="F181" s="168">
        <v>6.6000000000000003E-2</v>
      </c>
      <c r="G181" s="168">
        <v>5.7000000000000002E-2</v>
      </c>
      <c r="H181" s="169"/>
      <c r="I181" s="170">
        <v>5</v>
      </c>
      <c r="J181" s="170">
        <v>5</v>
      </c>
      <c r="K181" s="167"/>
      <c r="L181" s="171">
        <v>2273.9973599999998</v>
      </c>
      <c r="M181" s="171">
        <v>825.02170999999998</v>
      </c>
      <c r="N181" s="171">
        <v>3099.0190699999998</v>
      </c>
      <c r="O181" s="166">
        <v>1222.8152720594501</v>
      </c>
      <c r="P181" s="172">
        <v>233.029</v>
      </c>
      <c r="Q181" s="178">
        <v>5.2474810948828301</v>
      </c>
      <c r="R181" s="179">
        <v>2432.85306620651</v>
      </c>
      <c r="S181" s="168">
        <v>0.01</v>
      </c>
      <c r="T181" s="168">
        <v>0.01</v>
      </c>
      <c r="U181" s="175">
        <v>0</v>
      </c>
      <c r="V181" s="176">
        <v>0</v>
      </c>
      <c r="W181" s="167"/>
      <c r="X181" s="175">
        <v>1589.701</v>
      </c>
      <c r="Y181" s="166">
        <v>627.26644041212205</v>
      </c>
      <c r="Z181" s="177">
        <v>573</v>
      </c>
      <c r="AA181" s="182">
        <v>1.09470582968957</v>
      </c>
      <c r="AB181" s="183">
        <v>-48.348857200909201</v>
      </c>
      <c r="AC181" s="168">
        <v>1.6E-2</v>
      </c>
      <c r="AD181" s="168">
        <v>8.9999999999999993E-3</v>
      </c>
      <c r="AE181" s="176">
        <v>0</v>
      </c>
      <c r="AF181" s="176">
        <v>153</v>
      </c>
      <c r="AG181" s="167"/>
      <c r="AH181" s="180">
        <v>188.9</v>
      </c>
      <c r="AI181" s="166">
        <v>74.536425776828295</v>
      </c>
      <c r="AJ181" s="181" t="s">
        <v>53</v>
      </c>
      <c r="AK181" s="178">
        <v>1.1831178694734701</v>
      </c>
      <c r="AL181" s="179">
        <v>8.8002774805283099</v>
      </c>
      <c r="AM181" s="168">
        <v>0.02</v>
      </c>
      <c r="AN181" s="168">
        <v>1.7999999999999999E-2</v>
      </c>
      <c r="AO181" s="176">
        <v>0</v>
      </c>
      <c r="AP181" s="176">
        <v>3</v>
      </c>
      <c r="AQ181" s="167"/>
      <c r="AR181" s="180">
        <v>26.7</v>
      </c>
      <c r="AS181" s="166">
        <v>10.5353232834374</v>
      </c>
      <c r="AT181" s="181" t="s">
        <v>54</v>
      </c>
      <c r="AU181" s="173">
        <v>0.65845770521483404</v>
      </c>
      <c r="AV181" s="174">
        <v>-19.0396120684373</v>
      </c>
      <c r="AW181" s="168"/>
      <c r="AX181" s="168"/>
      <c r="AY181" s="176">
        <v>14</v>
      </c>
      <c r="AZ181" s="176">
        <v>22</v>
      </c>
      <c r="BA181" s="167"/>
      <c r="BB181" s="184">
        <v>117.6</v>
      </c>
      <c r="BC181" s="180">
        <v>46.402772214690401</v>
      </c>
      <c r="BD181" s="181" t="s">
        <v>55</v>
      </c>
      <c r="BE181" s="178">
        <v>1.4500866317090699</v>
      </c>
      <c r="BF181" s="179">
        <v>26.120775863125498</v>
      </c>
      <c r="BG181" s="168">
        <v>0.02</v>
      </c>
      <c r="BH181" s="168">
        <v>0.02</v>
      </c>
      <c r="BI181" s="176">
        <v>0</v>
      </c>
      <c r="BJ181" s="176">
        <v>0</v>
      </c>
      <c r="BK181" s="169"/>
      <c r="BL181" s="185">
        <v>0.8</v>
      </c>
      <c r="BM181" s="188">
        <v>0.73</v>
      </c>
      <c r="BN181" s="186"/>
      <c r="BO181" s="187">
        <v>0.95</v>
      </c>
      <c r="BP181" s="178">
        <v>1</v>
      </c>
      <c r="BQ181" s="186">
        <v>2.5000000000000001E-3</v>
      </c>
    </row>
    <row r="182" spans="1:69" s="156" customFormat="1" ht="22.35" customHeight="1" x14ac:dyDescent="0.2">
      <c r="A182" s="165" t="s">
        <v>220</v>
      </c>
      <c r="B182" s="165" t="s">
        <v>240</v>
      </c>
      <c r="C182" s="165" t="s">
        <v>246</v>
      </c>
      <c r="D182" s="166">
        <v>3.7290475793333302</v>
      </c>
      <c r="E182" s="167"/>
      <c r="F182" s="168">
        <v>1.2999999999999999E-2</v>
      </c>
      <c r="G182" s="168">
        <v>0.01</v>
      </c>
      <c r="H182" s="169"/>
      <c r="I182" s="170">
        <v>3</v>
      </c>
      <c r="J182" s="170">
        <v>2</v>
      </c>
      <c r="K182" s="167"/>
      <c r="L182" s="171">
        <v>2019.8528200000001</v>
      </c>
      <c r="M182" s="171">
        <v>2239.5628999999999</v>
      </c>
      <c r="N182" s="171">
        <v>4259.41572</v>
      </c>
      <c r="O182" s="166">
        <v>1142.22616616801</v>
      </c>
      <c r="P182" s="172">
        <v>254.047</v>
      </c>
      <c r="Q182" s="178">
        <v>4.4961214506292499</v>
      </c>
      <c r="R182" s="179">
        <v>3190.80114076358</v>
      </c>
      <c r="S182" s="168">
        <v>0.01</v>
      </c>
      <c r="T182" s="168">
        <v>0.01</v>
      </c>
      <c r="U182" s="175">
        <v>0</v>
      </c>
      <c r="V182" s="176">
        <v>0</v>
      </c>
      <c r="W182" s="167"/>
      <c r="X182" s="175">
        <v>1863.39753</v>
      </c>
      <c r="Y182" s="166">
        <v>499.69797658981099</v>
      </c>
      <c r="Z182" s="177">
        <v>573</v>
      </c>
      <c r="AA182" s="188">
        <v>0.87207325757384102</v>
      </c>
      <c r="AB182" s="171">
        <v>-546.84999861662197</v>
      </c>
      <c r="AC182" s="168"/>
      <c r="AD182" s="168"/>
      <c r="AE182" s="176">
        <v>274</v>
      </c>
      <c r="AF182" s="176">
        <v>701</v>
      </c>
      <c r="AG182" s="167"/>
      <c r="AH182" s="180">
        <v>213.3</v>
      </c>
      <c r="AI182" s="166">
        <v>57.199591976816002</v>
      </c>
      <c r="AJ182" s="181" t="s">
        <v>53</v>
      </c>
      <c r="AK182" s="188">
        <v>0.90793003137803097</v>
      </c>
      <c r="AL182" s="171">
        <v>-51.7010371777438</v>
      </c>
      <c r="AM182" s="168"/>
      <c r="AN182" s="168"/>
      <c r="AO182" s="176">
        <v>22</v>
      </c>
      <c r="AP182" s="176">
        <v>69</v>
      </c>
      <c r="AQ182" s="167"/>
      <c r="AR182" s="180">
        <v>26.8</v>
      </c>
      <c r="AS182" s="166">
        <v>7.1868216829754701</v>
      </c>
      <c r="AT182" s="181" t="s">
        <v>54</v>
      </c>
      <c r="AU182" s="173">
        <v>0.44917635518596699</v>
      </c>
      <c r="AV182" s="174">
        <v>-40.501850711807997</v>
      </c>
      <c r="AW182" s="168"/>
      <c r="AX182" s="168"/>
      <c r="AY182" s="176">
        <v>33</v>
      </c>
      <c r="AZ182" s="176">
        <v>45</v>
      </c>
      <c r="BA182" s="167"/>
      <c r="BB182" s="184">
        <v>116</v>
      </c>
      <c r="BC182" s="180">
        <v>31.1071386278043</v>
      </c>
      <c r="BD182" s="181" t="s">
        <v>55</v>
      </c>
      <c r="BE182" s="182">
        <v>0.97209808211888404</v>
      </c>
      <c r="BF182" s="183">
        <v>-18.603701423615899</v>
      </c>
      <c r="BG182" s="168">
        <v>3.0000000000000001E-3</v>
      </c>
      <c r="BH182" s="168"/>
      <c r="BI182" s="176">
        <v>4</v>
      </c>
      <c r="BJ182" s="176">
        <v>28</v>
      </c>
      <c r="BK182" s="169"/>
      <c r="BL182" s="185">
        <v>0.8</v>
      </c>
      <c r="BM182" s="188">
        <v>0.79</v>
      </c>
      <c r="BN182" s="186"/>
      <c r="BO182" s="187">
        <v>0.95</v>
      </c>
      <c r="BP182" s="178">
        <v>1</v>
      </c>
      <c r="BQ182" s="186">
        <v>2.5000000000000001E-3</v>
      </c>
    </row>
    <row r="183" spans="1:69" s="156" customFormat="1" ht="22.35" customHeight="1" x14ac:dyDescent="0.2">
      <c r="A183" s="165" t="s">
        <v>220</v>
      </c>
      <c r="B183" s="165" t="s">
        <v>240</v>
      </c>
      <c r="C183" s="165" t="s">
        <v>247</v>
      </c>
      <c r="D183" s="166">
        <v>4.4497067784444404</v>
      </c>
      <c r="E183" s="167"/>
      <c r="F183" s="168">
        <v>0.01</v>
      </c>
      <c r="G183" s="168">
        <v>0.01</v>
      </c>
      <c r="H183" s="169"/>
      <c r="I183" s="170">
        <v>2</v>
      </c>
      <c r="J183" s="170">
        <v>2</v>
      </c>
      <c r="K183" s="167"/>
      <c r="L183" s="171">
        <v>2237.88105</v>
      </c>
      <c r="M183" s="171">
        <v>-437.83422999999999</v>
      </c>
      <c r="N183" s="171">
        <v>1800.04682</v>
      </c>
      <c r="O183" s="166">
        <v>404.53155896022201</v>
      </c>
      <c r="P183" s="172">
        <v>217.155</v>
      </c>
      <c r="Q183" s="178">
        <v>1.8628701110277099</v>
      </c>
      <c r="R183" s="179">
        <v>710.08740686634098</v>
      </c>
      <c r="S183" s="168">
        <v>0.01</v>
      </c>
      <c r="T183" s="168">
        <v>0.01</v>
      </c>
      <c r="U183" s="175">
        <v>0</v>
      </c>
      <c r="V183" s="176">
        <v>0</v>
      </c>
      <c r="W183" s="167"/>
      <c r="X183" s="175">
        <v>2214.1033649999999</v>
      </c>
      <c r="Y183" s="166">
        <v>497.58410503040398</v>
      </c>
      <c r="Z183" s="177">
        <v>573</v>
      </c>
      <c r="AA183" s="188">
        <v>0.86838412745271198</v>
      </c>
      <c r="AB183" s="171">
        <v>-661.93791300689304</v>
      </c>
      <c r="AC183" s="168"/>
      <c r="AD183" s="168"/>
      <c r="AE183" s="176">
        <v>336</v>
      </c>
      <c r="AF183" s="176">
        <v>846</v>
      </c>
      <c r="AG183" s="167"/>
      <c r="AH183" s="180">
        <v>188.75</v>
      </c>
      <c r="AI183" s="166">
        <v>42.418525399101497</v>
      </c>
      <c r="AJ183" s="181" t="s">
        <v>53</v>
      </c>
      <c r="AK183" s="173">
        <v>0.67330992696986602</v>
      </c>
      <c r="AL183" s="174">
        <v>-127.463962503376</v>
      </c>
      <c r="AM183" s="168"/>
      <c r="AN183" s="168"/>
      <c r="AO183" s="176">
        <v>92</v>
      </c>
      <c r="AP183" s="176">
        <v>148</v>
      </c>
      <c r="AQ183" s="167"/>
      <c r="AR183" s="180">
        <v>29.4</v>
      </c>
      <c r="AS183" s="166">
        <v>6.60717693633688</v>
      </c>
      <c r="AT183" s="181" t="s">
        <v>54</v>
      </c>
      <c r="AU183" s="173">
        <v>0.412948558521055</v>
      </c>
      <c r="AV183" s="174">
        <v>-50.908307937365301</v>
      </c>
      <c r="AW183" s="168"/>
      <c r="AX183" s="168"/>
      <c r="AY183" s="176">
        <v>42</v>
      </c>
      <c r="AZ183" s="176">
        <v>57</v>
      </c>
      <c r="BA183" s="167"/>
      <c r="BB183" s="184">
        <v>118.8</v>
      </c>
      <c r="BC183" s="180">
        <v>26.698388436626601</v>
      </c>
      <c r="BD183" s="181" t="s">
        <v>55</v>
      </c>
      <c r="BE183" s="188">
        <v>0.83432463864457995</v>
      </c>
      <c r="BF183" s="171">
        <v>-41.816615874730502</v>
      </c>
      <c r="BG183" s="168"/>
      <c r="BH183" s="168"/>
      <c r="BI183" s="176">
        <v>24</v>
      </c>
      <c r="BJ183" s="176">
        <v>53</v>
      </c>
      <c r="BK183" s="169"/>
      <c r="BL183" s="185">
        <v>0.8</v>
      </c>
      <c r="BM183" s="188">
        <v>0.75</v>
      </c>
      <c r="BN183" s="186"/>
      <c r="BO183" s="187">
        <v>0.95</v>
      </c>
      <c r="BP183" s="178">
        <v>1</v>
      </c>
      <c r="BQ183" s="186">
        <v>2.5000000000000001E-3</v>
      </c>
    </row>
    <row r="184" spans="1:69" s="156" customFormat="1" ht="22.35" customHeight="1" x14ac:dyDescent="0.2">
      <c r="A184" s="165" t="s">
        <v>220</v>
      </c>
      <c r="B184" s="165" t="s">
        <v>240</v>
      </c>
      <c r="C184" s="165" t="s">
        <v>248</v>
      </c>
      <c r="D184" s="166">
        <v>4.5199524895555596</v>
      </c>
      <c r="E184" s="167"/>
      <c r="F184" s="168">
        <v>1.4E-2</v>
      </c>
      <c r="G184" s="168">
        <v>0.01</v>
      </c>
      <c r="H184" s="169"/>
      <c r="I184" s="170">
        <v>3</v>
      </c>
      <c r="J184" s="170">
        <v>2</v>
      </c>
      <c r="K184" s="167"/>
      <c r="L184" s="171">
        <v>1199.1297400000001</v>
      </c>
      <c r="M184" s="171">
        <v>1354.9794099999999</v>
      </c>
      <c r="N184" s="171">
        <v>2554.1091500000002</v>
      </c>
      <c r="O184" s="166">
        <v>565.074335604608</v>
      </c>
      <c r="P184" s="172">
        <v>287.5</v>
      </c>
      <c r="Q184" s="178">
        <v>1.9654759499290699</v>
      </c>
      <c r="R184" s="179">
        <v>1088.28855763713</v>
      </c>
      <c r="S184" s="168">
        <v>0.01</v>
      </c>
      <c r="T184" s="168">
        <v>0.01</v>
      </c>
      <c r="U184" s="175">
        <v>0</v>
      </c>
      <c r="V184" s="176">
        <v>0</v>
      </c>
      <c r="W184" s="167"/>
      <c r="X184" s="175">
        <v>1777.4402150000001</v>
      </c>
      <c r="Y184" s="166">
        <v>393.243119060921</v>
      </c>
      <c r="Z184" s="177">
        <v>573</v>
      </c>
      <c r="AA184" s="173">
        <v>0.68628816590038499</v>
      </c>
      <c r="AB184" s="174">
        <v>-1144.0039569093001</v>
      </c>
      <c r="AC184" s="168"/>
      <c r="AD184" s="168"/>
      <c r="AE184" s="176">
        <v>813</v>
      </c>
      <c r="AF184" s="176">
        <v>1331</v>
      </c>
      <c r="AG184" s="167"/>
      <c r="AH184" s="180">
        <v>169.3</v>
      </c>
      <c r="AI184" s="166">
        <v>37.456145919942401</v>
      </c>
      <c r="AJ184" s="181" t="s">
        <v>53</v>
      </c>
      <c r="AK184" s="173">
        <v>0.59454199872924496</v>
      </c>
      <c r="AL184" s="174">
        <v>-151.905903717776</v>
      </c>
      <c r="AM184" s="168"/>
      <c r="AN184" s="168"/>
      <c r="AO184" s="176">
        <v>116</v>
      </c>
      <c r="AP184" s="176">
        <v>173</v>
      </c>
      <c r="AQ184" s="167"/>
      <c r="AR184" s="180">
        <v>42.4</v>
      </c>
      <c r="AS184" s="166">
        <v>9.3806295747522697</v>
      </c>
      <c r="AT184" s="181" t="s">
        <v>54</v>
      </c>
      <c r="AU184" s="173">
        <v>0.58628934842201696</v>
      </c>
      <c r="AV184" s="174">
        <v>-39.176102531498799</v>
      </c>
      <c r="AW184" s="168"/>
      <c r="AX184" s="168"/>
      <c r="AY184" s="176">
        <v>30</v>
      </c>
      <c r="AZ184" s="176">
        <v>45</v>
      </c>
      <c r="BA184" s="167"/>
      <c r="BB184" s="184">
        <v>141</v>
      </c>
      <c r="BC184" s="180">
        <v>31.195018161322398</v>
      </c>
      <c r="BD184" s="181" t="s">
        <v>55</v>
      </c>
      <c r="BE184" s="182">
        <v>0.97484431754132495</v>
      </c>
      <c r="BF184" s="183">
        <v>-22.152205062997499</v>
      </c>
      <c r="BG184" s="168">
        <v>4.0000000000000001E-3</v>
      </c>
      <c r="BH184" s="168"/>
      <c r="BI184" s="176">
        <v>4</v>
      </c>
      <c r="BJ184" s="176">
        <v>33</v>
      </c>
      <c r="BK184" s="169"/>
      <c r="BL184" s="185">
        <v>0.8</v>
      </c>
      <c r="BM184" s="173">
        <v>0.68</v>
      </c>
      <c r="BN184" s="186"/>
      <c r="BO184" s="187">
        <v>0.95</v>
      </c>
      <c r="BP184" s="178">
        <v>1</v>
      </c>
      <c r="BQ184" s="186">
        <v>2.5000000000000001E-3</v>
      </c>
    </row>
    <row r="185" spans="1:69" s="156" customFormat="1" ht="22.35" customHeight="1" x14ac:dyDescent="0.2">
      <c r="A185" s="165" t="s">
        <v>220</v>
      </c>
      <c r="B185" s="165" t="s">
        <v>240</v>
      </c>
      <c r="C185" s="165" t="s">
        <v>249</v>
      </c>
      <c r="D185" s="166">
        <v>3.0343497082222202</v>
      </c>
      <c r="E185" s="167"/>
      <c r="F185" s="168">
        <v>0.01</v>
      </c>
      <c r="G185" s="168">
        <v>0.01</v>
      </c>
      <c r="H185" s="169"/>
      <c r="I185" s="170">
        <v>2</v>
      </c>
      <c r="J185" s="170">
        <v>2</v>
      </c>
      <c r="K185" s="167"/>
      <c r="L185" s="171">
        <v>1806.9964600000001</v>
      </c>
      <c r="M185" s="171">
        <v>1632.1672599999999</v>
      </c>
      <c r="N185" s="171">
        <v>3439.16372</v>
      </c>
      <c r="O185" s="166">
        <v>1133.4104670535701</v>
      </c>
      <c r="P185" s="172">
        <v>243.29900000000001</v>
      </c>
      <c r="Q185" s="178">
        <v>4.6585085308758796</v>
      </c>
      <c r="R185" s="179">
        <v>2606.4129263826599</v>
      </c>
      <c r="S185" s="168">
        <v>0.01</v>
      </c>
      <c r="T185" s="168">
        <v>0.01</v>
      </c>
      <c r="U185" s="175">
        <v>0</v>
      </c>
      <c r="V185" s="176">
        <v>0</v>
      </c>
      <c r="W185" s="167"/>
      <c r="X185" s="175">
        <v>1093.8426449999999</v>
      </c>
      <c r="Y185" s="166">
        <v>360.486677602123</v>
      </c>
      <c r="Z185" s="177">
        <v>573</v>
      </c>
      <c r="AA185" s="173">
        <v>0.62912160139986495</v>
      </c>
      <c r="AB185" s="174">
        <v>-867.39108281118195</v>
      </c>
      <c r="AC185" s="168"/>
      <c r="AD185" s="168"/>
      <c r="AE185" s="176">
        <v>645</v>
      </c>
      <c r="AF185" s="176">
        <v>993</v>
      </c>
      <c r="AG185" s="167"/>
      <c r="AH185" s="180">
        <v>114.3</v>
      </c>
      <c r="AI185" s="166">
        <v>37.668697082040197</v>
      </c>
      <c r="AJ185" s="181" t="s">
        <v>53</v>
      </c>
      <c r="AK185" s="173">
        <v>0.59791582669905097</v>
      </c>
      <c r="AL185" s="174">
        <v>-101.333027665104</v>
      </c>
      <c r="AM185" s="168"/>
      <c r="AN185" s="168"/>
      <c r="AO185" s="176">
        <v>77</v>
      </c>
      <c r="AP185" s="176">
        <v>116</v>
      </c>
      <c r="AQ185" s="167"/>
      <c r="AR185" s="180">
        <v>36.799999999999997</v>
      </c>
      <c r="AS185" s="166">
        <v>12.1278044848563</v>
      </c>
      <c r="AT185" s="181" t="s">
        <v>54</v>
      </c>
      <c r="AU185" s="188">
        <v>0.75798778030352099</v>
      </c>
      <c r="AV185" s="171">
        <v>-17.963943533994598</v>
      </c>
      <c r="AW185" s="168"/>
      <c r="AX185" s="168"/>
      <c r="AY185" s="176">
        <v>12</v>
      </c>
      <c r="AZ185" s="176">
        <v>22</v>
      </c>
      <c r="BA185" s="167"/>
      <c r="BB185" s="184">
        <v>77</v>
      </c>
      <c r="BC185" s="180">
        <v>25.376112644944001</v>
      </c>
      <c r="BD185" s="181" t="s">
        <v>55</v>
      </c>
      <c r="BE185" s="188">
        <v>0.79300352015449904</v>
      </c>
      <c r="BF185" s="171">
        <v>-32.527887067989298</v>
      </c>
      <c r="BG185" s="168"/>
      <c r="BH185" s="168"/>
      <c r="BI185" s="176">
        <v>21</v>
      </c>
      <c r="BJ185" s="176">
        <v>40</v>
      </c>
      <c r="BK185" s="169"/>
      <c r="BL185" s="185">
        <v>0.8</v>
      </c>
      <c r="BM185" s="188">
        <v>0.7</v>
      </c>
      <c r="BN185" s="186"/>
      <c r="BO185" s="187">
        <v>0.95</v>
      </c>
      <c r="BP185" s="178">
        <v>1</v>
      </c>
      <c r="BQ185" s="186">
        <v>2.5000000000000001E-3</v>
      </c>
    </row>
    <row r="186" spans="1:69" s="156" customFormat="1" ht="22.35" customHeight="1" x14ac:dyDescent="0.2">
      <c r="A186" s="165" t="s">
        <v>220</v>
      </c>
      <c r="B186" s="165" t="s">
        <v>240</v>
      </c>
      <c r="C186" s="165" t="s">
        <v>250</v>
      </c>
      <c r="D186" s="166">
        <v>3.9243355210000002</v>
      </c>
      <c r="E186" s="167"/>
      <c r="F186" s="168">
        <v>3.7999999999999999E-2</v>
      </c>
      <c r="G186" s="168">
        <v>3.4500000000000003E-2</v>
      </c>
      <c r="H186" s="169"/>
      <c r="I186" s="170">
        <v>5</v>
      </c>
      <c r="J186" s="170">
        <v>5</v>
      </c>
      <c r="K186" s="167"/>
      <c r="L186" s="171">
        <v>4285.8177100000003</v>
      </c>
      <c r="M186" s="171">
        <v>3226.4695299999998</v>
      </c>
      <c r="N186" s="171">
        <v>7512.2872399999997</v>
      </c>
      <c r="O186" s="166">
        <v>1914.28260906848</v>
      </c>
      <c r="P186" s="172">
        <v>285.27300000000002</v>
      </c>
      <c r="Q186" s="178">
        <v>6.7103532723688497</v>
      </c>
      <c r="R186" s="179">
        <v>6249.4833811312401</v>
      </c>
      <c r="S186" s="168">
        <v>0.01</v>
      </c>
      <c r="T186" s="168">
        <v>0.01</v>
      </c>
      <c r="U186" s="175">
        <v>0</v>
      </c>
      <c r="V186" s="176">
        <v>0</v>
      </c>
      <c r="W186" s="167"/>
      <c r="X186" s="175">
        <v>1875.15805</v>
      </c>
      <c r="Y186" s="166">
        <v>477.828167333198</v>
      </c>
      <c r="Z186" s="177">
        <v>573</v>
      </c>
      <c r="AA186" s="188">
        <v>0.83390605119231698</v>
      </c>
      <c r="AB186" s="171">
        <v>-661.31266798522404</v>
      </c>
      <c r="AC186" s="168"/>
      <c r="AD186" s="168"/>
      <c r="AE186" s="176">
        <v>374</v>
      </c>
      <c r="AF186" s="176">
        <v>824</v>
      </c>
      <c r="AG186" s="167"/>
      <c r="AH186" s="180">
        <v>185.9</v>
      </c>
      <c r="AI186" s="166">
        <v>47.371076964547797</v>
      </c>
      <c r="AJ186" s="181" t="s">
        <v>53</v>
      </c>
      <c r="AK186" s="188">
        <v>0.751921856580125</v>
      </c>
      <c r="AL186" s="171">
        <v>-92.978979464343993</v>
      </c>
      <c r="AM186" s="168"/>
      <c r="AN186" s="168"/>
      <c r="AO186" s="176">
        <v>62</v>
      </c>
      <c r="AP186" s="176">
        <v>111</v>
      </c>
      <c r="AQ186" s="167"/>
      <c r="AR186" s="180">
        <v>68.599999999999994</v>
      </c>
      <c r="AS186" s="166">
        <v>17.480666378525999</v>
      </c>
      <c r="AT186" s="181" t="s">
        <v>54</v>
      </c>
      <c r="AU186" s="182">
        <v>1.0925416486578701</v>
      </c>
      <c r="AV186" s="183">
        <v>-2.2264074830079901</v>
      </c>
      <c r="AW186" s="168">
        <v>8.0000000000000002E-3</v>
      </c>
      <c r="AX186" s="168">
        <v>4.4999999999999997E-3</v>
      </c>
      <c r="AY186" s="176">
        <v>0</v>
      </c>
      <c r="AZ186" s="176">
        <v>7</v>
      </c>
      <c r="BA186" s="167"/>
      <c r="BB186" s="184">
        <v>207.6</v>
      </c>
      <c r="BC186" s="180">
        <v>52.900675512857099</v>
      </c>
      <c r="BD186" s="181" t="s">
        <v>55</v>
      </c>
      <c r="BE186" s="178">
        <v>1.6531461097767799</v>
      </c>
      <c r="BF186" s="179">
        <v>65.947185033983999</v>
      </c>
      <c r="BG186" s="168">
        <v>0.02</v>
      </c>
      <c r="BH186" s="168">
        <v>0.02</v>
      </c>
      <c r="BI186" s="176">
        <v>0</v>
      </c>
      <c r="BJ186" s="176">
        <v>0</v>
      </c>
      <c r="BK186" s="169"/>
      <c r="BL186" s="185">
        <v>0.8</v>
      </c>
      <c r="BM186" s="182">
        <v>0.81</v>
      </c>
      <c r="BN186" s="186">
        <v>3.7500000000000001E-4</v>
      </c>
      <c r="BO186" s="187">
        <v>0.95</v>
      </c>
      <c r="BP186" s="178">
        <v>1</v>
      </c>
      <c r="BQ186" s="186">
        <v>2.5000000000000001E-3</v>
      </c>
    </row>
    <row r="187" spans="1:69" s="156" customFormat="1" ht="22.35" customHeight="1" x14ac:dyDescent="0.2">
      <c r="A187" s="165" t="s">
        <v>220</v>
      </c>
      <c r="B187" s="165" t="s">
        <v>240</v>
      </c>
      <c r="C187" s="165" t="s">
        <v>251</v>
      </c>
      <c r="D187" s="166">
        <v>1.82888188633333</v>
      </c>
      <c r="E187" s="167"/>
      <c r="F187" s="168">
        <v>7.0000000000000007E-2</v>
      </c>
      <c r="G187" s="168">
        <v>6.9000000000000006E-2</v>
      </c>
      <c r="H187" s="169"/>
      <c r="I187" s="170">
        <v>5</v>
      </c>
      <c r="J187" s="170">
        <v>5</v>
      </c>
      <c r="K187" s="167"/>
      <c r="L187" s="171">
        <v>507.77127000000002</v>
      </c>
      <c r="M187" s="171">
        <v>16.814340000000001</v>
      </c>
      <c r="N187" s="171">
        <v>524.58560999999997</v>
      </c>
      <c r="O187" s="166">
        <v>286.83405632701903</v>
      </c>
      <c r="P187" s="172">
        <v>243.29900000000001</v>
      </c>
      <c r="Q187" s="178">
        <v>1.1789364375810001</v>
      </c>
      <c r="R187" s="179">
        <v>22.664938776921399</v>
      </c>
      <c r="S187" s="168">
        <v>0.01</v>
      </c>
      <c r="T187" s="168">
        <v>8.9999999999999993E-3</v>
      </c>
      <c r="U187" s="175">
        <v>0</v>
      </c>
      <c r="V187" s="176">
        <v>10</v>
      </c>
      <c r="W187" s="167"/>
      <c r="X187" s="175">
        <v>1254.859455</v>
      </c>
      <c r="Y187" s="166">
        <v>686.134771401683</v>
      </c>
      <c r="Z187" s="177">
        <v>573</v>
      </c>
      <c r="AA187" s="178">
        <v>1.1974428820273699</v>
      </c>
      <c r="AB187" s="179">
        <v>72.772621059770003</v>
      </c>
      <c r="AC187" s="168">
        <v>0.02</v>
      </c>
      <c r="AD187" s="168">
        <v>0.02</v>
      </c>
      <c r="AE187" s="176">
        <v>0</v>
      </c>
      <c r="AF187" s="176">
        <v>3</v>
      </c>
      <c r="AG187" s="167"/>
      <c r="AH187" s="180">
        <v>166.2</v>
      </c>
      <c r="AI187" s="166">
        <v>90.8751960648531</v>
      </c>
      <c r="AJ187" s="181" t="s">
        <v>53</v>
      </c>
      <c r="AK187" s="178">
        <v>1.4424634296008401</v>
      </c>
      <c r="AL187" s="179">
        <v>36.232337629608203</v>
      </c>
      <c r="AM187" s="168">
        <v>0.02</v>
      </c>
      <c r="AN187" s="168">
        <v>0.02</v>
      </c>
      <c r="AO187" s="176">
        <v>0</v>
      </c>
      <c r="AP187" s="176">
        <v>0</v>
      </c>
      <c r="AQ187" s="167"/>
      <c r="AR187" s="180">
        <v>17.600000000000001</v>
      </c>
      <c r="AS187" s="166">
        <v>9.6233661296113997</v>
      </c>
      <c r="AT187" s="181" t="s">
        <v>54</v>
      </c>
      <c r="AU187" s="173">
        <v>0.60146038310071204</v>
      </c>
      <c r="AV187" s="174">
        <v>-15.407660284543899</v>
      </c>
      <c r="AW187" s="168"/>
      <c r="AX187" s="168"/>
      <c r="AY187" s="176">
        <v>12</v>
      </c>
      <c r="AZ187" s="176">
        <v>18</v>
      </c>
      <c r="BA187" s="167"/>
      <c r="BB187" s="184">
        <v>88</v>
      </c>
      <c r="BC187" s="180">
        <v>48.116830648056997</v>
      </c>
      <c r="BD187" s="181" t="s">
        <v>55</v>
      </c>
      <c r="BE187" s="178">
        <v>1.50365095775178</v>
      </c>
      <c r="BF187" s="179">
        <v>21.984679430912099</v>
      </c>
      <c r="BG187" s="168">
        <v>0.02</v>
      </c>
      <c r="BH187" s="168">
        <v>0.02</v>
      </c>
      <c r="BI187" s="176">
        <v>0</v>
      </c>
      <c r="BJ187" s="176">
        <v>0</v>
      </c>
      <c r="BK187" s="169"/>
      <c r="BL187" s="185">
        <v>0.8</v>
      </c>
      <c r="BM187" s="188">
        <v>0.75</v>
      </c>
      <c r="BN187" s="186"/>
      <c r="BO187" s="187">
        <v>0.95</v>
      </c>
      <c r="BP187" s="178">
        <v>1</v>
      </c>
      <c r="BQ187" s="186">
        <v>2.5000000000000001E-3</v>
      </c>
    </row>
    <row r="188" spans="1:69" s="156" customFormat="1" ht="22.35" customHeight="1" x14ac:dyDescent="0.2">
      <c r="A188" s="165" t="s">
        <v>220</v>
      </c>
      <c r="B188" s="165" t="s">
        <v>240</v>
      </c>
      <c r="C188" s="165" t="s">
        <v>252</v>
      </c>
      <c r="D188" s="166">
        <v>3.0121534749999999</v>
      </c>
      <c r="E188" s="167"/>
      <c r="F188" s="168">
        <v>3.9E-2</v>
      </c>
      <c r="G188" s="168">
        <v>2.7E-2</v>
      </c>
      <c r="H188" s="169"/>
      <c r="I188" s="170">
        <v>4</v>
      </c>
      <c r="J188" s="170">
        <v>4</v>
      </c>
      <c r="K188" s="167"/>
      <c r="L188" s="171">
        <v>1488.5916299999999</v>
      </c>
      <c r="M188" s="171">
        <v>191.68154000000001</v>
      </c>
      <c r="N188" s="171">
        <v>1680.2731699999999</v>
      </c>
      <c r="O188" s="166">
        <v>557.83119417578803</v>
      </c>
      <c r="P188" s="172">
        <v>262.53800000000001</v>
      </c>
      <c r="Q188" s="178">
        <v>2.1247636310773599</v>
      </c>
      <c r="R188" s="179">
        <v>788.24541310594805</v>
      </c>
      <c r="S188" s="168">
        <v>0.01</v>
      </c>
      <c r="T188" s="168">
        <v>0.01</v>
      </c>
      <c r="U188" s="175">
        <v>0</v>
      </c>
      <c r="V188" s="176">
        <v>0</v>
      </c>
      <c r="W188" s="167"/>
      <c r="X188" s="175">
        <v>1966.321745</v>
      </c>
      <c r="Y188" s="166">
        <v>652.79600170439505</v>
      </c>
      <c r="Z188" s="177">
        <v>573</v>
      </c>
      <c r="AA188" s="178">
        <v>1.13926003787853</v>
      </c>
      <c r="AB188" s="179">
        <v>19.4344193545999</v>
      </c>
      <c r="AC188" s="168">
        <v>0.02</v>
      </c>
      <c r="AD188" s="168">
        <v>1.4E-2</v>
      </c>
      <c r="AE188" s="176">
        <v>0</v>
      </c>
      <c r="AF188" s="176">
        <v>105</v>
      </c>
      <c r="AG188" s="167"/>
      <c r="AH188" s="180">
        <v>159.69999999999999</v>
      </c>
      <c r="AI188" s="166">
        <v>53.018546805620502</v>
      </c>
      <c r="AJ188" s="181" t="s">
        <v>53</v>
      </c>
      <c r="AK188" s="188">
        <v>0.84156423500985</v>
      </c>
      <c r="AL188" s="171">
        <v>-54.3556745474</v>
      </c>
      <c r="AM188" s="168"/>
      <c r="AN188" s="168"/>
      <c r="AO188" s="176">
        <v>31</v>
      </c>
      <c r="AP188" s="176">
        <v>69</v>
      </c>
      <c r="AQ188" s="167"/>
      <c r="AR188" s="180">
        <v>17</v>
      </c>
      <c r="AS188" s="166">
        <v>5.64380272821258</v>
      </c>
      <c r="AT188" s="181" t="s">
        <v>54</v>
      </c>
      <c r="AU188" s="173">
        <v>0.35273767051328597</v>
      </c>
      <c r="AV188" s="174">
        <v>-37.3633459168</v>
      </c>
      <c r="AW188" s="168"/>
      <c r="AX188" s="168"/>
      <c r="AY188" s="176">
        <v>32</v>
      </c>
      <c r="AZ188" s="176">
        <v>41</v>
      </c>
      <c r="BA188" s="167"/>
      <c r="BB188" s="184">
        <v>99</v>
      </c>
      <c r="BC188" s="180">
        <v>32.866851181943801</v>
      </c>
      <c r="BD188" s="181" t="s">
        <v>55</v>
      </c>
      <c r="BE188" s="182">
        <v>1.02708909943574</v>
      </c>
      <c r="BF188" s="183">
        <v>-9.7266918336000305</v>
      </c>
      <c r="BG188" s="168">
        <v>8.9999999999999993E-3</v>
      </c>
      <c r="BH188" s="168">
        <v>3.0000000000000001E-3</v>
      </c>
      <c r="BI188" s="176">
        <v>0</v>
      </c>
      <c r="BJ188" s="176">
        <v>17</v>
      </c>
      <c r="BK188" s="169"/>
      <c r="BL188" s="185">
        <v>0.8</v>
      </c>
      <c r="BM188" s="188">
        <v>0.74</v>
      </c>
      <c r="BN188" s="186"/>
      <c r="BO188" s="187">
        <v>0.95</v>
      </c>
      <c r="BP188" s="178">
        <v>1</v>
      </c>
      <c r="BQ188" s="186">
        <v>2.5000000000000001E-3</v>
      </c>
    </row>
    <row r="189" spans="1:69" s="156" customFormat="1" ht="22.35" customHeight="1" x14ac:dyDescent="0.2">
      <c r="A189" s="165" t="s">
        <v>220</v>
      </c>
      <c r="B189" s="165" t="s">
        <v>240</v>
      </c>
      <c r="C189" s="165" t="s">
        <v>253</v>
      </c>
      <c r="D189" s="166">
        <v>2.69738168433333</v>
      </c>
      <c r="E189" s="167"/>
      <c r="F189" s="168">
        <v>3.5999999999999997E-2</v>
      </c>
      <c r="G189" s="168">
        <v>0.02</v>
      </c>
      <c r="H189" s="169"/>
      <c r="I189" s="170">
        <v>6</v>
      </c>
      <c r="J189" s="170">
        <v>5</v>
      </c>
      <c r="K189" s="167"/>
      <c r="L189" s="171">
        <v>2385.9627300000002</v>
      </c>
      <c r="M189" s="171">
        <v>1809.22695</v>
      </c>
      <c r="N189" s="171">
        <v>4195.1896800000004</v>
      </c>
      <c r="O189" s="166">
        <v>1555.28218507825</v>
      </c>
      <c r="P189" s="172">
        <v>243.27799999999999</v>
      </c>
      <c r="Q189" s="178">
        <v>6.3930243798380904</v>
      </c>
      <c r="R189" s="179">
        <v>3454.9807150594002</v>
      </c>
      <c r="S189" s="168">
        <v>0.01</v>
      </c>
      <c r="T189" s="168">
        <v>0.01</v>
      </c>
      <c r="U189" s="175">
        <v>0</v>
      </c>
      <c r="V189" s="176">
        <v>0</v>
      </c>
      <c r="W189" s="167"/>
      <c r="X189" s="175">
        <v>1599.18246</v>
      </c>
      <c r="Y189" s="166">
        <v>592.86472852107397</v>
      </c>
      <c r="Z189" s="177">
        <v>573</v>
      </c>
      <c r="AA189" s="182">
        <v>1.03466793808215</v>
      </c>
      <c r="AB189" s="183">
        <v>-144.25400737874199</v>
      </c>
      <c r="AC189" s="168">
        <v>0.01</v>
      </c>
      <c r="AD189" s="168">
        <v>3.0000000000000001E-3</v>
      </c>
      <c r="AE189" s="176">
        <v>0</v>
      </c>
      <c r="AF189" s="176">
        <v>256</v>
      </c>
      <c r="AG189" s="167"/>
      <c r="AH189" s="180">
        <v>162.85</v>
      </c>
      <c r="AI189" s="166">
        <v>60.373361673599703</v>
      </c>
      <c r="AJ189" s="181" t="s">
        <v>53</v>
      </c>
      <c r="AK189" s="182">
        <v>0.95830732815237696</v>
      </c>
      <c r="AL189" s="183">
        <v>-28.836732015463799</v>
      </c>
      <c r="AM189" s="168">
        <v>2E-3</v>
      </c>
      <c r="AN189" s="168"/>
      <c r="AO189" s="176">
        <v>8</v>
      </c>
      <c r="AP189" s="176">
        <v>42</v>
      </c>
      <c r="AQ189" s="167"/>
      <c r="AR189" s="180">
        <v>24.5</v>
      </c>
      <c r="AS189" s="166">
        <v>9.0828821676585392</v>
      </c>
      <c r="AT189" s="181" t="s">
        <v>54</v>
      </c>
      <c r="AU189" s="173">
        <v>0.56768013547865903</v>
      </c>
      <c r="AV189" s="174">
        <v>-24.182344638847901</v>
      </c>
      <c r="AW189" s="168"/>
      <c r="AX189" s="168"/>
      <c r="AY189" s="176">
        <v>19</v>
      </c>
      <c r="AZ189" s="176">
        <v>28</v>
      </c>
      <c r="BA189" s="167"/>
      <c r="BB189" s="184">
        <v>92.4</v>
      </c>
      <c r="BC189" s="180">
        <v>34.255441318026499</v>
      </c>
      <c r="BD189" s="181" t="s">
        <v>55</v>
      </c>
      <c r="BE189" s="182">
        <v>1.0704825411883301</v>
      </c>
      <c r="BF189" s="183">
        <v>-4.9646892776958804</v>
      </c>
      <c r="BG189" s="168">
        <v>1.4E-2</v>
      </c>
      <c r="BH189" s="168">
        <v>7.0000000000000001E-3</v>
      </c>
      <c r="BI189" s="176">
        <v>0</v>
      </c>
      <c r="BJ189" s="176">
        <v>12</v>
      </c>
      <c r="BK189" s="169"/>
      <c r="BL189" s="185">
        <v>0.8</v>
      </c>
      <c r="BM189" s="182">
        <v>0.86</v>
      </c>
      <c r="BN189" s="186">
        <v>2.2499999999999998E-3</v>
      </c>
      <c r="BO189" s="187">
        <v>0.95</v>
      </c>
      <c r="BP189" s="178">
        <v>1</v>
      </c>
      <c r="BQ189" s="186">
        <v>2.5000000000000001E-3</v>
      </c>
    </row>
    <row r="190" spans="1:69" s="156" customFormat="1" ht="22.35" customHeight="1" x14ac:dyDescent="0.2">
      <c r="A190" s="165" t="s">
        <v>220</v>
      </c>
      <c r="B190" s="165" t="s">
        <v>240</v>
      </c>
      <c r="C190" s="165" t="s">
        <v>254</v>
      </c>
      <c r="D190" s="166">
        <v>2.5112282917777802</v>
      </c>
      <c r="E190" s="167"/>
      <c r="F190" s="168">
        <v>7.0000000000000007E-2</v>
      </c>
      <c r="G190" s="168">
        <v>7.0000000000000007E-2</v>
      </c>
      <c r="H190" s="169"/>
      <c r="I190" s="170">
        <v>5</v>
      </c>
      <c r="J190" s="170">
        <v>5</v>
      </c>
      <c r="K190" s="167"/>
      <c r="L190" s="171">
        <v>284.16314999999997</v>
      </c>
      <c r="M190" s="171">
        <v>-3.8799399999999999</v>
      </c>
      <c r="N190" s="171">
        <v>280.28321</v>
      </c>
      <c r="O190" s="166">
        <v>111.611999162999</v>
      </c>
      <c r="P190" s="172">
        <v>233.029</v>
      </c>
      <c r="Q190" s="173">
        <v>0.47896184235867101</v>
      </c>
      <c r="R190" s="174">
        <v>-379.81000185808398</v>
      </c>
      <c r="S190" s="168"/>
      <c r="T190" s="168"/>
      <c r="U190" s="175">
        <v>305</v>
      </c>
      <c r="V190" s="176">
        <v>422</v>
      </c>
      <c r="W190" s="167"/>
      <c r="X190" s="175">
        <v>2080.8781300000001</v>
      </c>
      <c r="Y190" s="166">
        <v>828.62961396746596</v>
      </c>
      <c r="Z190" s="177">
        <v>573</v>
      </c>
      <c r="AA190" s="178">
        <v>1.4461249807460099</v>
      </c>
      <c r="AB190" s="179">
        <v>457.76079097918199</v>
      </c>
      <c r="AC190" s="168">
        <v>0.02</v>
      </c>
      <c r="AD190" s="168">
        <v>0.02</v>
      </c>
      <c r="AE190" s="176">
        <v>0</v>
      </c>
      <c r="AF190" s="176">
        <v>0</v>
      </c>
      <c r="AG190" s="167"/>
      <c r="AH190" s="180">
        <v>205.8</v>
      </c>
      <c r="AI190" s="166">
        <v>81.951927936550803</v>
      </c>
      <c r="AJ190" s="181" t="s">
        <v>53</v>
      </c>
      <c r="AK190" s="178">
        <v>1.30082425296112</v>
      </c>
      <c r="AL190" s="179">
        <v>27.3420726731038</v>
      </c>
      <c r="AM190" s="168">
        <v>0.02</v>
      </c>
      <c r="AN190" s="168">
        <v>0.02</v>
      </c>
      <c r="AO190" s="176">
        <v>0</v>
      </c>
      <c r="AP190" s="176">
        <v>0</v>
      </c>
      <c r="AQ190" s="167"/>
      <c r="AR190" s="180">
        <v>49.4</v>
      </c>
      <c r="AS190" s="166">
        <v>19.671648396820199</v>
      </c>
      <c r="AT190" s="181" t="s">
        <v>54</v>
      </c>
      <c r="AU190" s="178">
        <v>1.22947802480127</v>
      </c>
      <c r="AV190" s="179">
        <v>4.0773517899946201</v>
      </c>
      <c r="AW190" s="168">
        <v>0.01</v>
      </c>
      <c r="AX190" s="168">
        <v>0.01</v>
      </c>
      <c r="AY190" s="176">
        <v>0</v>
      </c>
      <c r="AZ190" s="176">
        <v>0</v>
      </c>
      <c r="BA190" s="167"/>
      <c r="BB190" s="184">
        <v>143.19999999999999</v>
      </c>
      <c r="BC190" s="180">
        <v>57.023887660418197</v>
      </c>
      <c r="BD190" s="181" t="s">
        <v>55</v>
      </c>
      <c r="BE190" s="178">
        <v>1.78199648938807</v>
      </c>
      <c r="BF190" s="179">
        <v>52.554703579989301</v>
      </c>
      <c r="BG190" s="168">
        <v>0.02</v>
      </c>
      <c r="BH190" s="168">
        <v>0.02</v>
      </c>
      <c r="BI190" s="176">
        <v>0</v>
      </c>
      <c r="BJ190" s="176">
        <v>0</v>
      </c>
      <c r="BK190" s="169"/>
      <c r="BL190" s="185">
        <v>0.8</v>
      </c>
      <c r="BM190" s="188">
        <v>0.78</v>
      </c>
      <c r="BN190" s="186"/>
      <c r="BO190" s="187">
        <v>0.95</v>
      </c>
      <c r="BP190" s="178">
        <v>1</v>
      </c>
      <c r="BQ190" s="186">
        <v>2.5000000000000001E-3</v>
      </c>
    </row>
    <row r="191" spans="1:69" s="156" customFormat="1" ht="22.35" customHeight="1" x14ac:dyDescent="0.2">
      <c r="A191" s="165" t="s">
        <v>220</v>
      </c>
      <c r="B191" s="165" t="s">
        <v>240</v>
      </c>
      <c r="C191" s="165" t="s">
        <v>255</v>
      </c>
      <c r="D191" s="166">
        <v>3.5167137564444402</v>
      </c>
      <c r="E191" s="167"/>
      <c r="F191" s="168">
        <v>1.2E-2</v>
      </c>
      <c r="G191" s="168">
        <v>0.01</v>
      </c>
      <c r="H191" s="169"/>
      <c r="I191" s="170">
        <v>4</v>
      </c>
      <c r="J191" s="170">
        <v>3</v>
      </c>
      <c r="K191" s="167"/>
      <c r="L191" s="171">
        <v>1714.44687</v>
      </c>
      <c r="M191" s="171">
        <v>292.44690000000003</v>
      </c>
      <c r="N191" s="171">
        <v>2006.8937699999999</v>
      </c>
      <c r="O191" s="166">
        <v>570.67305131739204</v>
      </c>
      <c r="P191" s="172">
        <v>232.833</v>
      </c>
      <c r="Q191" s="178">
        <v>2.4509972869713201</v>
      </c>
      <c r="R191" s="179">
        <v>1083.2794581468299</v>
      </c>
      <c r="S191" s="168">
        <v>0.01</v>
      </c>
      <c r="T191" s="168">
        <v>0.01</v>
      </c>
      <c r="U191" s="175">
        <v>0</v>
      </c>
      <c r="V191" s="176">
        <v>0</v>
      </c>
      <c r="W191" s="167"/>
      <c r="X191" s="175">
        <v>1475.58889</v>
      </c>
      <c r="Y191" s="166">
        <v>419.59311794881103</v>
      </c>
      <c r="Z191" s="177">
        <v>573</v>
      </c>
      <c r="AA191" s="173">
        <v>0.73227420235394602</v>
      </c>
      <c r="AB191" s="174">
        <v>-797.41794619532504</v>
      </c>
      <c r="AC191" s="168"/>
      <c r="AD191" s="168"/>
      <c r="AE191" s="176">
        <v>540</v>
      </c>
      <c r="AF191" s="176">
        <v>943</v>
      </c>
      <c r="AG191" s="167"/>
      <c r="AH191" s="180">
        <v>135.30000000000001</v>
      </c>
      <c r="AI191" s="166">
        <v>38.473418472589699</v>
      </c>
      <c r="AJ191" s="181" t="s">
        <v>53</v>
      </c>
      <c r="AK191" s="173">
        <v>0.61068918210459799</v>
      </c>
      <c r="AL191" s="174">
        <v>-114.611746387968</v>
      </c>
      <c r="AM191" s="168"/>
      <c r="AN191" s="168"/>
      <c r="AO191" s="176">
        <v>87</v>
      </c>
      <c r="AP191" s="176">
        <v>131</v>
      </c>
      <c r="AQ191" s="167"/>
      <c r="AR191" s="180">
        <v>31.4</v>
      </c>
      <c r="AS191" s="166">
        <v>8.9287903920126901</v>
      </c>
      <c r="AT191" s="181" t="s">
        <v>54</v>
      </c>
      <c r="AU191" s="173">
        <v>0.55804939950079302</v>
      </c>
      <c r="AV191" s="174">
        <v>-32.069649876309299</v>
      </c>
      <c r="AW191" s="168"/>
      <c r="AX191" s="168"/>
      <c r="AY191" s="176">
        <v>25</v>
      </c>
      <c r="AZ191" s="176">
        <v>37</v>
      </c>
      <c r="BA191" s="167"/>
      <c r="BB191" s="184">
        <v>108.4</v>
      </c>
      <c r="BC191" s="180">
        <v>30.8242317991775</v>
      </c>
      <c r="BD191" s="181" t="s">
        <v>55</v>
      </c>
      <c r="BE191" s="182">
        <v>0.963257243724298</v>
      </c>
      <c r="BF191" s="183">
        <v>-18.539299752618501</v>
      </c>
      <c r="BG191" s="168">
        <v>2E-3</v>
      </c>
      <c r="BH191" s="168"/>
      <c r="BI191" s="176">
        <v>5</v>
      </c>
      <c r="BJ191" s="176">
        <v>27</v>
      </c>
      <c r="BK191" s="169"/>
      <c r="BL191" s="185">
        <v>0.8</v>
      </c>
      <c r="BM191" s="182">
        <v>0.86</v>
      </c>
      <c r="BN191" s="186">
        <v>2.2499999999999998E-3</v>
      </c>
      <c r="BO191" s="187">
        <v>0.95</v>
      </c>
      <c r="BP191" s="178">
        <v>1</v>
      </c>
      <c r="BQ191" s="186">
        <v>2.5000000000000001E-3</v>
      </c>
    </row>
    <row r="192" spans="1:69" s="156" customFormat="1" ht="22.35" customHeight="1" x14ac:dyDescent="0.2">
      <c r="A192" s="165" t="s">
        <v>220</v>
      </c>
      <c r="B192" s="165" t="s">
        <v>240</v>
      </c>
      <c r="C192" s="165" t="s">
        <v>256</v>
      </c>
      <c r="D192" s="166">
        <v>7.4460326411111097</v>
      </c>
      <c r="E192" s="167"/>
      <c r="F192" s="168">
        <v>3.5999999999999997E-2</v>
      </c>
      <c r="G192" s="168">
        <v>2.1999999999999999E-2</v>
      </c>
      <c r="H192" s="169"/>
      <c r="I192" s="170">
        <v>4</v>
      </c>
      <c r="J192" s="170">
        <v>4</v>
      </c>
      <c r="K192" s="167"/>
      <c r="L192" s="171">
        <v>5951.7796500000004</v>
      </c>
      <c r="M192" s="171">
        <v>3916.5258199999998</v>
      </c>
      <c r="N192" s="171">
        <v>9868.3054699999993</v>
      </c>
      <c r="O192" s="166">
        <v>1325.3105305387701</v>
      </c>
      <c r="P192" s="172">
        <v>247.167</v>
      </c>
      <c r="Q192" s="178">
        <v>5.3620043555117398</v>
      </c>
      <c r="R192" s="179">
        <v>7792.31898581938</v>
      </c>
      <c r="S192" s="168">
        <v>0.01</v>
      </c>
      <c r="T192" s="168">
        <v>0.01</v>
      </c>
      <c r="U192" s="175">
        <v>0</v>
      </c>
      <c r="V192" s="176">
        <v>0</v>
      </c>
      <c r="W192" s="167"/>
      <c r="X192" s="175">
        <v>4314.1630299999997</v>
      </c>
      <c r="Y192" s="166">
        <v>579.39082971253697</v>
      </c>
      <c r="Z192" s="177">
        <v>573</v>
      </c>
      <c r="AA192" s="182">
        <v>1.01115328047563</v>
      </c>
      <c r="AB192" s="183">
        <v>-498.53549138631797</v>
      </c>
      <c r="AC192" s="168">
        <v>8.0000000000000002E-3</v>
      </c>
      <c r="AD192" s="168">
        <v>1E-3</v>
      </c>
      <c r="AE192" s="176">
        <v>0</v>
      </c>
      <c r="AF192" s="176">
        <v>806</v>
      </c>
      <c r="AG192" s="167"/>
      <c r="AH192" s="180">
        <v>420.7</v>
      </c>
      <c r="AI192" s="166">
        <v>56.499886621128503</v>
      </c>
      <c r="AJ192" s="181" t="s">
        <v>53</v>
      </c>
      <c r="AK192" s="188">
        <v>0.89682359716076998</v>
      </c>
      <c r="AL192" s="171">
        <v>-108.44486360792</v>
      </c>
      <c r="AM192" s="168"/>
      <c r="AN192" s="168"/>
      <c r="AO192" s="176">
        <v>49</v>
      </c>
      <c r="AP192" s="176">
        <v>143</v>
      </c>
      <c r="AQ192" s="167"/>
      <c r="AR192" s="180">
        <v>109.8</v>
      </c>
      <c r="AS192" s="166">
        <v>14.746107798906401</v>
      </c>
      <c r="AT192" s="181" t="s">
        <v>54</v>
      </c>
      <c r="AU192" s="188">
        <v>0.92163173743164795</v>
      </c>
      <c r="AV192" s="171">
        <v>-24.585997106773299</v>
      </c>
      <c r="AW192" s="168"/>
      <c r="AX192" s="168"/>
      <c r="AY192" s="176">
        <v>10</v>
      </c>
      <c r="AZ192" s="176">
        <v>34</v>
      </c>
      <c r="BA192" s="167"/>
      <c r="BB192" s="184">
        <v>264.39999999999998</v>
      </c>
      <c r="BC192" s="180">
        <v>35.508842459297298</v>
      </c>
      <c r="BD192" s="181" t="s">
        <v>55</v>
      </c>
      <c r="BE192" s="182">
        <v>1.1096513268530399</v>
      </c>
      <c r="BF192" s="183">
        <v>-4.3719942135466603</v>
      </c>
      <c r="BG192" s="168">
        <v>1.7999999999999999E-2</v>
      </c>
      <c r="BH192" s="168">
        <v>1.0999999999999999E-2</v>
      </c>
      <c r="BI192" s="176">
        <v>0</v>
      </c>
      <c r="BJ192" s="176">
        <v>22</v>
      </c>
      <c r="BK192" s="169"/>
      <c r="BL192" s="185">
        <v>0.8</v>
      </c>
      <c r="BM192" s="188">
        <v>0.79</v>
      </c>
      <c r="BN192" s="186"/>
      <c r="BO192" s="187">
        <v>0.95</v>
      </c>
      <c r="BP192" s="178">
        <v>1</v>
      </c>
      <c r="BQ192" s="186">
        <v>2.5000000000000001E-3</v>
      </c>
    </row>
    <row r="193" spans="1:69" s="156" customFormat="1" ht="22.35" customHeight="1" x14ac:dyDescent="0.2">
      <c r="A193" s="165" t="s">
        <v>220</v>
      </c>
      <c r="B193" s="165" t="s">
        <v>240</v>
      </c>
      <c r="C193" s="165" t="s">
        <v>257</v>
      </c>
      <c r="D193" s="166">
        <v>10.895669111222199</v>
      </c>
      <c r="E193" s="167"/>
      <c r="F193" s="168">
        <v>0.08</v>
      </c>
      <c r="G193" s="168">
        <v>0.08</v>
      </c>
      <c r="H193" s="169"/>
      <c r="I193" s="170">
        <v>6</v>
      </c>
      <c r="J193" s="170">
        <v>6</v>
      </c>
      <c r="K193" s="167"/>
      <c r="L193" s="171">
        <v>11033.85007</v>
      </c>
      <c r="M193" s="171">
        <v>8375.2937600000005</v>
      </c>
      <c r="N193" s="171">
        <v>19409.143830000001</v>
      </c>
      <c r="O193" s="166">
        <v>1781.36318493824</v>
      </c>
      <c r="P193" s="172">
        <v>236.7</v>
      </c>
      <c r="Q193" s="178">
        <v>7.52582672132759</v>
      </c>
      <c r="R193" s="179">
        <v>16500.026326909501</v>
      </c>
      <c r="S193" s="168">
        <v>0.01</v>
      </c>
      <c r="T193" s="168">
        <v>0.01</v>
      </c>
      <c r="U193" s="175">
        <v>0</v>
      </c>
      <c r="V193" s="176">
        <v>0</v>
      </c>
      <c r="W193" s="167"/>
      <c r="X193" s="175">
        <v>16725.804674999999</v>
      </c>
      <c r="Y193" s="166">
        <v>1535.08742824917</v>
      </c>
      <c r="Z193" s="177">
        <v>573</v>
      </c>
      <c r="AA193" s="178">
        <v>2.67903565139471</v>
      </c>
      <c r="AB193" s="179">
        <v>9683.4543189761807</v>
      </c>
      <c r="AC193" s="168">
        <v>0.02</v>
      </c>
      <c r="AD193" s="168">
        <v>0.02</v>
      </c>
      <c r="AE193" s="176">
        <v>0</v>
      </c>
      <c r="AF193" s="176">
        <v>0</v>
      </c>
      <c r="AG193" s="167"/>
      <c r="AH193" s="180">
        <v>2130.4</v>
      </c>
      <c r="AI193" s="166">
        <v>195.52722997119599</v>
      </c>
      <c r="AJ193" s="181" t="s">
        <v>53</v>
      </c>
      <c r="AK193" s="178">
        <v>3.1036068249396198</v>
      </c>
      <c r="AL193" s="179">
        <v>1356.1101702801</v>
      </c>
      <c r="AM193" s="168">
        <v>0.02</v>
      </c>
      <c r="AN193" s="168">
        <v>0.02</v>
      </c>
      <c r="AO193" s="176">
        <v>0</v>
      </c>
      <c r="AP193" s="176">
        <v>0</v>
      </c>
      <c r="AQ193" s="167"/>
      <c r="AR193" s="180">
        <v>719.7</v>
      </c>
      <c r="AS193" s="166">
        <v>66.053768029604498</v>
      </c>
      <c r="AT193" s="181" t="s">
        <v>54</v>
      </c>
      <c r="AU193" s="178">
        <v>4.1283605018502803</v>
      </c>
      <c r="AV193" s="179">
        <v>523.05496388066103</v>
      </c>
      <c r="AW193" s="168">
        <v>0.01</v>
      </c>
      <c r="AX193" s="168">
        <v>0.01</v>
      </c>
      <c r="AY193" s="176">
        <v>0</v>
      </c>
      <c r="AZ193" s="176">
        <v>0</v>
      </c>
      <c r="BA193" s="167"/>
      <c r="BB193" s="184">
        <v>1296.4000000000001</v>
      </c>
      <c r="BC193" s="180">
        <v>118.983055264109</v>
      </c>
      <c r="BD193" s="181" t="s">
        <v>55</v>
      </c>
      <c r="BE193" s="178">
        <v>3.7182204770034102</v>
      </c>
      <c r="BF193" s="179">
        <v>903.10992776132298</v>
      </c>
      <c r="BG193" s="168">
        <v>0.02</v>
      </c>
      <c r="BH193" s="168">
        <v>0.02</v>
      </c>
      <c r="BI193" s="176">
        <v>0</v>
      </c>
      <c r="BJ193" s="176">
        <v>0</v>
      </c>
      <c r="BK193" s="169"/>
      <c r="BL193" s="185">
        <v>0.8</v>
      </c>
      <c r="BM193" s="188">
        <v>0.77</v>
      </c>
      <c r="BN193" s="186"/>
      <c r="BO193" s="187">
        <v>0.95</v>
      </c>
      <c r="BP193" s="178">
        <v>1</v>
      </c>
      <c r="BQ193" s="186">
        <v>2.5000000000000001E-3</v>
      </c>
    </row>
    <row r="194" spans="1:69" s="156" customFormat="1" ht="22.35" customHeight="1" x14ac:dyDescent="0.2">
      <c r="A194" s="165" t="s">
        <v>220</v>
      </c>
      <c r="B194" s="165" t="s">
        <v>240</v>
      </c>
      <c r="C194" s="165" t="s">
        <v>258</v>
      </c>
      <c r="D194" s="166">
        <v>1.7385762385555601</v>
      </c>
      <c r="E194" s="167"/>
      <c r="F194" s="168">
        <v>2.1000000000000001E-2</v>
      </c>
      <c r="G194" s="168">
        <v>9.4999999999999998E-3</v>
      </c>
      <c r="H194" s="169"/>
      <c r="I194" s="170">
        <v>4</v>
      </c>
      <c r="J194" s="170">
        <v>3</v>
      </c>
      <c r="K194" s="167"/>
      <c r="L194" s="171">
        <v>650.51280999999994</v>
      </c>
      <c r="M194" s="171">
        <v>-200.59974</v>
      </c>
      <c r="N194" s="171">
        <v>449.91307</v>
      </c>
      <c r="O194" s="166">
        <v>258.78247960745</v>
      </c>
      <c r="P194" s="172">
        <v>236.7</v>
      </c>
      <c r="Q194" s="182">
        <v>1.09329311198754</v>
      </c>
      <c r="R194" s="183">
        <v>-14.282613111362</v>
      </c>
      <c r="S194" s="168">
        <v>8.0000000000000002E-3</v>
      </c>
      <c r="T194" s="168">
        <v>4.4999999999999997E-3</v>
      </c>
      <c r="U194" s="175">
        <v>0</v>
      </c>
      <c r="V194" s="176">
        <v>44</v>
      </c>
      <c r="W194" s="167"/>
      <c r="X194" s="175">
        <v>1048.0697050000001</v>
      </c>
      <c r="Y194" s="166">
        <v>602.83218058401496</v>
      </c>
      <c r="Z194" s="177">
        <v>573</v>
      </c>
      <c r="AA194" s="182">
        <v>1.05206314238048</v>
      </c>
      <c r="AB194" s="183">
        <v>-75.648615332954904</v>
      </c>
      <c r="AC194" s="168">
        <v>1.2E-2</v>
      </c>
      <c r="AD194" s="168">
        <v>5.0000000000000001E-3</v>
      </c>
      <c r="AE194" s="176">
        <v>0</v>
      </c>
      <c r="AF194" s="176">
        <v>148</v>
      </c>
      <c r="AG194" s="167"/>
      <c r="AH194" s="180">
        <v>77.650000000000006</v>
      </c>
      <c r="AI194" s="166">
        <v>44.662982432402998</v>
      </c>
      <c r="AJ194" s="181" t="s">
        <v>53</v>
      </c>
      <c r="AK194" s="173">
        <v>0.70893622908576104</v>
      </c>
      <c r="AL194" s="174">
        <v>-45.900181816712298</v>
      </c>
      <c r="AM194" s="168"/>
      <c r="AN194" s="168"/>
      <c r="AO194" s="176">
        <v>32</v>
      </c>
      <c r="AP194" s="176">
        <v>54</v>
      </c>
      <c r="AQ194" s="167"/>
      <c r="AR194" s="180">
        <v>8</v>
      </c>
      <c r="AS194" s="166">
        <v>4.6014663162810496</v>
      </c>
      <c r="AT194" s="181" t="s">
        <v>54</v>
      </c>
      <c r="AU194" s="173">
        <v>0.28759164476756599</v>
      </c>
      <c r="AV194" s="174">
        <v>-23.377823953450701</v>
      </c>
      <c r="AW194" s="168"/>
      <c r="AX194" s="168"/>
      <c r="AY194" s="176">
        <v>20</v>
      </c>
      <c r="AZ194" s="176">
        <v>26</v>
      </c>
      <c r="BA194" s="167"/>
      <c r="BB194" s="184">
        <v>52.6</v>
      </c>
      <c r="BC194" s="180">
        <v>30.254641029547901</v>
      </c>
      <c r="BD194" s="181" t="s">
        <v>55</v>
      </c>
      <c r="BE194" s="182">
        <v>0.94545753217337203</v>
      </c>
      <c r="BF194" s="183">
        <v>-10.1556479069015</v>
      </c>
      <c r="BG194" s="168">
        <v>1E-3</v>
      </c>
      <c r="BH194" s="168"/>
      <c r="BI194" s="176">
        <v>4</v>
      </c>
      <c r="BJ194" s="176">
        <v>15</v>
      </c>
      <c r="BK194" s="169"/>
      <c r="BL194" s="185">
        <v>0.8</v>
      </c>
      <c r="BM194" s="188">
        <v>0.75</v>
      </c>
      <c r="BN194" s="186"/>
      <c r="BO194" s="187">
        <v>0.95</v>
      </c>
      <c r="BP194" s="178">
        <v>1</v>
      </c>
      <c r="BQ194" s="186">
        <v>2.5000000000000001E-3</v>
      </c>
    </row>
    <row r="195" spans="1:69" s="156" customFormat="1" ht="22.35" customHeight="1" x14ac:dyDescent="0.2">
      <c r="A195" s="165" t="s">
        <v>220</v>
      </c>
      <c r="B195" s="165" t="s">
        <v>240</v>
      </c>
      <c r="C195" s="165" t="s">
        <v>259</v>
      </c>
      <c r="D195" s="166">
        <v>4.5380946794444403</v>
      </c>
      <c r="E195" s="167"/>
      <c r="F195" s="168">
        <v>0.06</v>
      </c>
      <c r="G195" s="168">
        <v>4.8000000000000001E-2</v>
      </c>
      <c r="H195" s="169"/>
      <c r="I195" s="170">
        <v>5</v>
      </c>
      <c r="J195" s="170">
        <v>5</v>
      </c>
      <c r="K195" s="167"/>
      <c r="L195" s="171">
        <v>3025.4398900000001</v>
      </c>
      <c r="M195" s="171">
        <v>1668.6733999999999</v>
      </c>
      <c r="N195" s="171">
        <v>4694.1132900000002</v>
      </c>
      <c r="O195" s="166">
        <v>1034.3797610178201</v>
      </c>
      <c r="P195" s="172">
        <v>287.5</v>
      </c>
      <c r="Q195" s="178">
        <v>3.5978426470185001</v>
      </c>
      <c r="R195" s="179">
        <v>3222.4091854561698</v>
      </c>
      <c r="S195" s="168">
        <v>0.01</v>
      </c>
      <c r="T195" s="168">
        <v>0.01</v>
      </c>
      <c r="U195" s="175">
        <v>0</v>
      </c>
      <c r="V195" s="176">
        <v>0</v>
      </c>
      <c r="W195" s="167"/>
      <c r="X195" s="175">
        <v>2699.010045</v>
      </c>
      <c r="Y195" s="166">
        <v>594.74520380222998</v>
      </c>
      <c r="Z195" s="177">
        <v>573</v>
      </c>
      <c r="AA195" s="182">
        <v>1.0379497448555499</v>
      </c>
      <c r="AB195" s="183">
        <v>-234.16022249083699</v>
      </c>
      <c r="AC195" s="168">
        <v>0.01</v>
      </c>
      <c r="AD195" s="168">
        <v>4.0000000000000001E-3</v>
      </c>
      <c r="AE195" s="176">
        <v>0</v>
      </c>
      <c r="AF195" s="176">
        <v>422</v>
      </c>
      <c r="AG195" s="167"/>
      <c r="AH195" s="180">
        <v>326.05</v>
      </c>
      <c r="AI195" s="166">
        <v>71.847333083829596</v>
      </c>
      <c r="AJ195" s="181" t="s">
        <v>53</v>
      </c>
      <c r="AK195" s="178">
        <v>1.1404338584734901</v>
      </c>
      <c r="AL195" s="179">
        <v>3.55483969996027</v>
      </c>
      <c r="AM195" s="168">
        <v>0.02</v>
      </c>
      <c r="AN195" s="168">
        <v>1.4E-2</v>
      </c>
      <c r="AO195" s="176">
        <v>0</v>
      </c>
      <c r="AP195" s="176">
        <v>18</v>
      </c>
      <c r="AQ195" s="167"/>
      <c r="AR195" s="180">
        <v>60.4</v>
      </c>
      <c r="AS195" s="166">
        <v>13.3095504317231</v>
      </c>
      <c r="AT195" s="181" t="s">
        <v>54</v>
      </c>
      <c r="AU195" s="188">
        <v>0.83184690198269196</v>
      </c>
      <c r="AV195" s="171">
        <v>-21.503532774613301</v>
      </c>
      <c r="AW195" s="168"/>
      <c r="AX195" s="168"/>
      <c r="AY195" s="176">
        <v>13</v>
      </c>
      <c r="AZ195" s="176">
        <v>27</v>
      </c>
      <c r="BA195" s="167"/>
      <c r="BB195" s="184">
        <v>193.8</v>
      </c>
      <c r="BC195" s="180">
        <v>42.705146915032003</v>
      </c>
      <c r="BD195" s="181" t="s">
        <v>55</v>
      </c>
      <c r="BE195" s="178">
        <v>1.3345358410947501</v>
      </c>
      <c r="BF195" s="179">
        <v>29.9929344507735</v>
      </c>
      <c r="BG195" s="168">
        <v>0.02</v>
      </c>
      <c r="BH195" s="168">
        <v>0.02</v>
      </c>
      <c r="BI195" s="176">
        <v>0</v>
      </c>
      <c r="BJ195" s="176">
        <v>0</v>
      </c>
      <c r="BK195" s="169"/>
      <c r="BL195" s="185">
        <v>0.8</v>
      </c>
      <c r="BM195" s="188">
        <v>0.73</v>
      </c>
      <c r="BN195" s="186"/>
      <c r="BO195" s="187">
        <v>0.95</v>
      </c>
      <c r="BP195" s="178">
        <v>1</v>
      </c>
      <c r="BQ195" s="186">
        <v>2.5000000000000001E-3</v>
      </c>
    </row>
    <row r="196" spans="1:69" s="156" customFormat="1" ht="22.35" customHeight="1" x14ac:dyDescent="0.2">
      <c r="A196" s="165" t="s">
        <v>220</v>
      </c>
      <c r="B196" s="165" t="s">
        <v>260</v>
      </c>
      <c r="C196" s="165" t="s">
        <v>261</v>
      </c>
      <c r="D196" s="166">
        <v>9.6008684323333302</v>
      </c>
      <c r="E196" s="167"/>
      <c r="F196" s="168">
        <v>2.3E-2</v>
      </c>
      <c r="G196" s="168">
        <v>1.6E-2</v>
      </c>
      <c r="H196" s="169"/>
      <c r="I196" s="170">
        <v>3</v>
      </c>
      <c r="J196" s="170">
        <v>3</v>
      </c>
      <c r="K196" s="167"/>
      <c r="L196" s="171">
        <v>4700.5009899999995</v>
      </c>
      <c r="M196" s="171">
        <v>1754.27196</v>
      </c>
      <c r="N196" s="171">
        <v>6454.7729499999996</v>
      </c>
      <c r="O196" s="166">
        <v>672.31136386182902</v>
      </c>
      <c r="P196" s="172">
        <v>270.3</v>
      </c>
      <c r="Q196" s="178">
        <v>2.4872784456597401</v>
      </c>
      <c r="R196" s="179">
        <v>3527.4835263710602</v>
      </c>
      <c r="S196" s="168">
        <v>0.01</v>
      </c>
      <c r="T196" s="168">
        <v>0.01</v>
      </c>
      <c r="U196" s="175">
        <v>0</v>
      </c>
      <c r="V196" s="176">
        <v>0</v>
      </c>
      <c r="W196" s="167"/>
      <c r="X196" s="175">
        <v>5051.8378249999996</v>
      </c>
      <c r="Y196" s="166">
        <v>526.18550713461195</v>
      </c>
      <c r="Z196" s="177">
        <v>573</v>
      </c>
      <c r="AA196" s="188">
        <v>0.91829931437104995</v>
      </c>
      <c r="AB196" s="171">
        <v>-1153.6258810280499</v>
      </c>
      <c r="AC196" s="168"/>
      <c r="AD196" s="168"/>
      <c r="AE196" s="176">
        <v>450</v>
      </c>
      <c r="AF196" s="176">
        <v>1550</v>
      </c>
      <c r="AG196" s="167"/>
      <c r="AH196" s="180">
        <v>476.1</v>
      </c>
      <c r="AI196" s="166">
        <v>49.589264070801498</v>
      </c>
      <c r="AJ196" s="181" t="s">
        <v>53</v>
      </c>
      <c r="AK196" s="188">
        <v>0.78713117572700797</v>
      </c>
      <c r="AL196" s="171">
        <v>-206.176114275336</v>
      </c>
      <c r="AM196" s="168"/>
      <c r="AN196" s="168"/>
      <c r="AO196" s="176">
        <v>129</v>
      </c>
      <c r="AP196" s="176">
        <v>250</v>
      </c>
      <c r="AQ196" s="167"/>
      <c r="AR196" s="180">
        <v>85.8</v>
      </c>
      <c r="AS196" s="166">
        <v>8.9366915716756399</v>
      </c>
      <c r="AT196" s="181" t="s">
        <v>54</v>
      </c>
      <c r="AU196" s="173">
        <v>0.55854322322972805</v>
      </c>
      <c r="AV196" s="174">
        <v>-87.476473466751997</v>
      </c>
      <c r="AW196" s="168"/>
      <c r="AX196" s="168"/>
      <c r="AY196" s="176">
        <v>68</v>
      </c>
      <c r="AZ196" s="176">
        <v>99</v>
      </c>
      <c r="BA196" s="167"/>
      <c r="BB196" s="184">
        <v>326.60000000000002</v>
      </c>
      <c r="BC196" s="180">
        <v>34.017756029245497</v>
      </c>
      <c r="BD196" s="181" t="s">
        <v>55</v>
      </c>
      <c r="BE196" s="182">
        <v>1.06305487591392</v>
      </c>
      <c r="BF196" s="183">
        <v>-19.952946933503899</v>
      </c>
      <c r="BG196" s="168">
        <v>1.2999999999999999E-2</v>
      </c>
      <c r="BH196" s="168">
        <v>6.0000000000000001E-3</v>
      </c>
      <c r="BI196" s="176">
        <v>0</v>
      </c>
      <c r="BJ196" s="176">
        <v>43</v>
      </c>
      <c r="BK196" s="169"/>
      <c r="BL196" s="185">
        <v>0.8</v>
      </c>
      <c r="BM196" s="188">
        <v>0.71</v>
      </c>
      <c r="BN196" s="186"/>
      <c r="BO196" s="187">
        <v>0.95</v>
      </c>
      <c r="BP196" s="178">
        <v>1</v>
      </c>
      <c r="BQ196" s="186">
        <v>2.5000000000000001E-3</v>
      </c>
    </row>
    <row r="197" spans="1:69" s="156" customFormat="1" ht="22.35" customHeight="1" x14ac:dyDescent="0.2">
      <c r="A197" s="165" t="s">
        <v>220</v>
      </c>
      <c r="B197" s="165" t="s">
        <v>260</v>
      </c>
      <c r="C197" s="165" t="s">
        <v>262</v>
      </c>
      <c r="D197" s="166">
        <v>4.5932318577777798</v>
      </c>
      <c r="E197" s="167"/>
      <c r="F197" s="168">
        <v>1.9E-2</v>
      </c>
      <c r="G197" s="168">
        <v>0.01</v>
      </c>
      <c r="H197" s="169"/>
      <c r="I197" s="170">
        <v>5</v>
      </c>
      <c r="J197" s="170">
        <v>3</v>
      </c>
      <c r="K197" s="167"/>
      <c r="L197" s="171">
        <v>1843.14509</v>
      </c>
      <c r="M197" s="171">
        <v>2720.8893200000002</v>
      </c>
      <c r="N197" s="171">
        <v>4564.0344100000002</v>
      </c>
      <c r="O197" s="166">
        <v>993.64337601892703</v>
      </c>
      <c r="P197" s="172">
        <v>214.857</v>
      </c>
      <c r="Q197" s="178">
        <v>4.6246730430887899</v>
      </c>
      <c r="R197" s="179">
        <v>3450.8247265233199</v>
      </c>
      <c r="S197" s="168">
        <v>0.01</v>
      </c>
      <c r="T197" s="168">
        <v>0.01</v>
      </c>
      <c r="U197" s="175">
        <v>0</v>
      </c>
      <c r="V197" s="176">
        <v>0</v>
      </c>
      <c r="W197" s="167"/>
      <c r="X197" s="175">
        <v>2620.7163249999999</v>
      </c>
      <c r="Y197" s="166">
        <v>570.56042589322101</v>
      </c>
      <c r="Z197" s="177">
        <v>573</v>
      </c>
      <c r="AA197" s="182">
        <v>0.99574245356583102</v>
      </c>
      <c r="AB197" s="183">
        <v>-348.091526883521</v>
      </c>
      <c r="AC197" s="168">
        <v>6.0000000000000001E-3</v>
      </c>
      <c r="AD197" s="168">
        <v>0</v>
      </c>
      <c r="AE197" s="176">
        <v>12</v>
      </c>
      <c r="AF197" s="176">
        <v>538</v>
      </c>
      <c r="AG197" s="167"/>
      <c r="AH197" s="180">
        <v>237.65</v>
      </c>
      <c r="AI197" s="166">
        <v>51.7391691424382</v>
      </c>
      <c r="AJ197" s="181" t="s">
        <v>53</v>
      </c>
      <c r="AK197" s="188">
        <v>0.82125665305457396</v>
      </c>
      <c r="AL197" s="171">
        <v>-88.763428741120094</v>
      </c>
      <c r="AM197" s="168"/>
      <c r="AN197" s="168"/>
      <c r="AO197" s="176">
        <v>52</v>
      </c>
      <c r="AP197" s="176">
        <v>110</v>
      </c>
      <c r="AQ197" s="167"/>
      <c r="AR197" s="180">
        <v>29.6</v>
      </c>
      <c r="AS197" s="166">
        <v>6.4442642819952498</v>
      </c>
      <c r="AT197" s="181" t="s">
        <v>54</v>
      </c>
      <c r="AU197" s="173">
        <v>0.402766517624703</v>
      </c>
      <c r="AV197" s="174">
        <v>-53.298648569173402</v>
      </c>
      <c r="AW197" s="168"/>
      <c r="AX197" s="168"/>
      <c r="AY197" s="176">
        <v>44</v>
      </c>
      <c r="AZ197" s="176">
        <v>59</v>
      </c>
      <c r="BA197" s="167"/>
      <c r="BB197" s="184">
        <v>143</v>
      </c>
      <c r="BC197" s="180">
        <v>31.132763254233801</v>
      </c>
      <c r="BD197" s="181" t="s">
        <v>55</v>
      </c>
      <c r="BE197" s="182">
        <v>0.97289885169480494</v>
      </c>
      <c r="BF197" s="183">
        <v>-22.7972971383467</v>
      </c>
      <c r="BG197" s="168">
        <v>3.0000000000000001E-3</v>
      </c>
      <c r="BH197" s="168"/>
      <c r="BI197" s="176">
        <v>4</v>
      </c>
      <c r="BJ197" s="176">
        <v>34</v>
      </c>
      <c r="BK197" s="169"/>
      <c r="BL197" s="185">
        <v>0.8</v>
      </c>
      <c r="BM197" s="182">
        <v>0.81</v>
      </c>
      <c r="BN197" s="186">
        <v>3.7500000000000001E-4</v>
      </c>
      <c r="BO197" s="187">
        <v>0.95</v>
      </c>
      <c r="BP197" s="178">
        <v>1</v>
      </c>
      <c r="BQ197" s="186">
        <v>2.5000000000000001E-3</v>
      </c>
    </row>
    <row r="198" spans="1:69" s="156" customFormat="1" ht="22.35" customHeight="1" x14ac:dyDescent="0.2">
      <c r="A198" s="165" t="s">
        <v>220</v>
      </c>
      <c r="B198" s="165" t="s">
        <v>260</v>
      </c>
      <c r="C198" s="165" t="s">
        <v>263</v>
      </c>
      <c r="D198" s="166">
        <v>1.9563433723333301</v>
      </c>
      <c r="E198" s="167"/>
      <c r="F198" s="168">
        <v>4.2000000000000003E-2</v>
      </c>
      <c r="G198" s="168">
        <v>3.5000000000000003E-2</v>
      </c>
      <c r="H198" s="169"/>
      <c r="I198" s="170">
        <v>5</v>
      </c>
      <c r="J198" s="170">
        <v>5</v>
      </c>
      <c r="K198" s="167"/>
      <c r="L198" s="171">
        <v>568.91088000000002</v>
      </c>
      <c r="M198" s="171">
        <v>1848.5720799999999</v>
      </c>
      <c r="N198" s="171">
        <v>2417.4829599999998</v>
      </c>
      <c r="O198" s="166">
        <v>1235.7150560520799</v>
      </c>
      <c r="P198" s="172">
        <v>241.29400000000001</v>
      </c>
      <c r="Q198" s="178">
        <v>5.1212009252284796</v>
      </c>
      <c r="R198" s="179">
        <v>1885.0061408526699</v>
      </c>
      <c r="S198" s="168">
        <v>0.01</v>
      </c>
      <c r="T198" s="168">
        <v>0.01</v>
      </c>
      <c r="U198" s="175">
        <v>0</v>
      </c>
      <c r="V198" s="176">
        <v>0</v>
      </c>
      <c r="W198" s="167"/>
      <c r="X198" s="175">
        <v>1391.5574449999999</v>
      </c>
      <c r="Y198" s="166">
        <v>711.30531821736804</v>
      </c>
      <c r="Z198" s="177">
        <v>573</v>
      </c>
      <c r="AA198" s="178">
        <v>1.2413705379011699</v>
      </c>
      <c r="AB198" s="179">
        <v>127.08664435258601</v>
      </c>
      <c r="AC198" s="168">
        <v>0.02</v>
      </c>
      <c r="AD198" s="168">
        <v>0.02</v>
      </c>
      <c r="AE198" s="176">
        <v>0</v>
      </c>
      <c r="AF198" s="176">
        <v>0</v>
      </c>
      <c r="AG198" s="167"/>
      <c r="AH198" s="180">
        <v>106.8</v>
      </c>
      <c r="AI198" s="166">
        <v>54.591643527597903</v>
      </c>
      <c r="AJ198" s="181" t="s">
        <v>53</v>
      </c>
      <c r="AK198" s="188">
        <v>0.86653402424758497</v>
      </c>
      <c r="AL198" s="171">
        <v>-32.2255854114958</v>
      </c>
      <c r="AM198" s="168"/>
      <c r="AN198" s="168"/>
      <c r="AO198" s="176">
        <v>17</v>
      </c>
      <c r="AP198" s="176">
        <v>42</v>
      </c>
      <c r="AQ198" s="167"/>
      <c r="AR198" s="180">
        <v>3.8</v>
      </c>
      <c r="AS198" s="166">
        <v>1.94239930154374</v>
      </c>
      <c r="AT198" s="181" t="s">
        <v>54</v>
      </c>
      <c r="AU198" s="173">
        <v>0.121399956346484</v>
      </c>
      <c r="AV198" s="174">
        <v>-31.508085183871898</v>
      </c>
      <c r="AW198" s="168"/>
      <c r="AX198" s="168"/>
      <c r="AY198" s="176">
        <v>28</v>
      </c>
      <c r="AZ198" s="176">
        <v>34</v>
      </c>
      <c r="BA198" s="167"/>
      <c r="BB198" s="184">
        <v>65.8</v>
      </c>
      <c r="BC198" s="180">
        <v>33.634177379362697</v>
      </c>
      <c r="BD198" s="181" t="s">
        <v>55</v>
      </c>
      <c r="BE198" s="182">
        <v>1.0510680431050901</v>
      </c>
      <c r="BF198" s="183">
        <v>-4.8161703677438803</v>
      </c>
      <c r="BG198" s="168">
        <v>1.2E-2</v>
      </c>
      <c r="BH198" s="168">
        <v>5.0000000000000001E-3</v>
      </c>
      <c r="BI198" s="176">
        <v>0</v>
      </c>
      <c r="BJ198" s="176">
        <v>10</v>
      </c>
      <c r="BK198" s="169"/>
      <c r="BL198" s="185">
        <v>0.8</v>
      </c>
      <c r="BM198" s="182">
        <v>0.83</v>
      </c>
      <c r="BN198" s="186">
        <v>1.1249999999999999E-3</v>
      </c>
      <c r="BO198" s="187">
        <v>0.95</v>
      </c>
      <c r="BP198" s="178">
        <v>1</v>
      </c>
      <c r="BQ198" s="186">
        <v>2.5000000000000001E-3</v>
      </c>
    </row>
    <row r="199" spans="1:69" s="156" customFormat="1" ht="22.35" customHeight="1" x14ac:dyDescent="0.2">
      <c r="A199" s="165" t="s">
        <v>220</v>
      </c>
      <c r="B199" s="165" t="s">
        <v>260</v>
      </c>
      <c r="C199" s="165" t="s">
        <v>264</v>
      </c>
      <c r="D199" s="166">
        <v>2.6404956531111101</v>
      </c>
      <c r="E199" s="167"/>
      <c r="F199" s="168">
        <v>0.01</v>
      </c>
      <c r="G199" s="168">
        <v>0.01</v>
      </c>
      <c r="H199" s="169"/>
      <c r="I199" s="170">
        <v>2</v>
      </c>
      <c r="J199" s="170">
        <v>2</v>
      </c>
      <c r="K199" s="167"/>
      <c r="L199" s="171">
        <v>-180.83824999999999</v>
      </c>
      <c r="M199" s="171">
        <v>1708.8622399999999</v>
      </c>
      <c r="N199" s="171">
        <v>1528.0239899999999</v>
      </c>
      <c r="O199" s="166">
        <v>578.68831868730297</v>
      </c>
      <c r="P199" s="172">
        <v>244.16499999999999</v>
      </c>
      <c r="Q199" s="178">
        <v>2.37007072548196</v>
      </c>
      <c r="R199" s="179">
        <v>800.78364135196603</v>
      </c>
      <c r="S199" s="168">
        <v>0.01</v>
      </c>
      <c r="T199" s="168">
        <v>0.01</v>
      </c>
      <c r="U199" s="175">
        <v>0</v>
      </c>
      <c r="V199" s="176">
        <v>0</v>
      </c>
      <c r="W199" s="167"/>
      <c r="X199" s="175">
        <v>1231.4137450000001</v>
      </c>
      <c r="Y199" s="166">
        <v>466.35704306087803</v>
      </c>
      <c r="Z199" s="177">
        <v>573</v>
      </c>
      <c r="AA199" s="188">
        <v>0.81388663710449904</v>
      </c>
      <c r="AB199" s="171">
        <v>-475.25477741444797</v>
      </c>
      <c r="AC199" s="168"/>
      <c r="AD199" s="168"/>
      <c r="AE199" s="176">
        <v>282</v>
      </c>
      <c r="AF199" s="176">
        <v>585</v>
      </c>
      <c r="AG199" s="167"/>
      <c r="AH199" s="180">
        <v>106.7</v>
      </c>
      <c r="AI199" s="166">
        <v>40.409079967347402</v>
      </c>
      <c r="AJ199" s="181" t="s">
        <v>53</v>
      </c>
      <c r="AK199" s="173">
        <v>0.64141396773567205</v>
      </c>
      <c r="AL199" s="174">
        <v>-80.944183092687894</v>
      </c>
      <c r="AM199" s="168"/>
      <c r="AN199" s="168"/>
      <c r="AO199" s="176">
        <v>60</v>
      </c>
      <c r="AP199" s="176">
        <v>93</v>
      </c>
      <c r="AQ199" s="167"/>
      <c r="AR199" s="180">
        <v>11.8</v>
      </c>
      <c r="AS199" s="166">
        <v>4.4688579532774</v>
      </c>
      <c r="AT199" s="181" t="s">
        <v>54</v>
      </c>
      <c r="AU199" s="173">
        <v>0.279303622079837</v>
      </c>
      <c r="AV199" s="174">
        <v>-35.855665547349297</v>
      </c>
      <c r="AW199" s="168"/>
      <c r="AX199" s="168"/>
      <c r="AY199" s="176">
        <v>31</v>
      </c>
      <c r="AZ199" s="176">
        <v>39</v>
      </c>
      <c r="BA199" s="167"/>
      <c r="BB199" s="184">
        <v>75.2</v>
      </c>
      <c r="BC199" s="180">
        <v>28.479501532750898</v>
      </c>
      <c r="BD199" s="181" t="s">
        <v>55</v>
      </c>
      <c r="BE199" s="188">
        <v>0.88998442289846602</v>
      </c>
      <c r="BF199" s="171">
        <v>-20.111331094698599</v>
      </c>
      <c r="BG199" s="168"/>
      <c r="BH199" s="168"/>
      <c r="BI199" s="176">
        <v>10</v>
      </c>
      <c r="BJ199" s="176">
        <v>27</v>
      </c>
      <c r="BK199" s="169"/>
      <c r="BL199" s="185">
        <v>0.8</v>
      </c>
      <c r="BM199" s="188">
        <v>0.74</v>
      </c>
      <c r="BN199" s="186"/>
      <c r="BO199" s="187">
        <v>0.95</v>
      </c>
      <c r="BP199" s="178">
        <v>1</v>
      </c>
      <c r="BQ199" s="186">
        <v>2.5000000000000001E-3</v>
      </c>
    </row>
    <row r="200" spans="1:69" s="156" customFormat="1" ht="22.35" customHeight="1" x14ac:dyDescent="0.2">
      <c r="A200" s="165" t="s">
        <v>220</v>
      </c>
      <c r="B200" s="165" t="s">
        <v>260</v>
      </c>
      <c r="C200" s="165" t="s">
        <v>265</v>
      </c>
      <c r="D200" s="166">
        <v>2.692140728</v>
      </c>
      <c r="E200" s="167"/>
      <c r="F200" s="168">
        <v>5.1999999999999998E-2</v>
      </c>
      <c r="G200" s="168">
        <v>4.2000000000000003E-2</v>
      </c>
      <c r="H200" s="169"/>
      <c r="I200" s="170">
        <v>6</v>
      </c>
      <c r="J200" s="170">
        <v>5</v>
      </c>
      <c r="K200" s="167"/>
      <c r="L200" s="171">
        <v>930.80709999999999</v>
      </c>
      <c r="M200" s="171">
        <v>172.42180999999999</v>
      </c>
      <c r="N200" s="171">
        <v>1103.22891</v>
      </c>
      <c r="O200" s="166">
        <v>409.79615163713697</v>
      </c>
      <c r="P200" s="172">
        <v>217.55099999999999</v>
      </c>
      <c r="Q200" s="178">
        <v>1.8836785472699999</v>
      </c>
      <c r="R200" s="179">
        <v>442.58423032067901</v>
      </c>
      <c r="S200" s="168">
        <v>0.01</v>
      </c>
      <c r="T200" s="168">
        <v>0.01</v>
      </c>
      <c r="U200" s="175">
        <v>0</v>
      </c>
      <c r="V200" s="176">
        <v>0</v>
      </c>
      <c r="W200" s="167"/>
      <c r="X200" s="175">
        <v>1763.72531</v>
      </c>
      <c r="Y200" s="166">
        <v>655.13860091194999</v>
      </c>
      <c r="Z200" s="177">
        <v>573</v>
      </c>
      <c r="AA200" s="178">
        <v>1.14334834365087</v>
      </c>
      <c r="AB200" s="179">
        <v>23.676303301567899</v>
      </c>
      <c r="AC200" s="168">
        <v>0.02</v>
      </c>
      <c r="AD200" s="168">
        <v>1.4E-2</v>
      </c>
      <c r="AE200" s="176">
        <v>0</v>
      </c>
      <c r="AF200" s="176">
        <v>88</v>
      </c>
      <c r="AG200" s="167"/>
      <c r="AH200" s="180">
        <v>163.19999999999999</v>
      </c>
      <c r="AI200" s="166">
        <v>60.6209022814501</v>
      </c>
      <c r="AJ200" s="181" t="s">
        <v>53</v>
      </c>
      <c r="AK200" s="182">
        <v>0.96223654415000204</v>
      </c>
      <c r="AL200" s="183">
        <v>-28.114288694591998</v>
      </c>
      <c r="AM200" s="168">
        <v>2E-3</v>
      </c>
      <c r="AN200" s="168"/>
      <c r="AO200" s="176">
        <v>7</v>
      </c>
      <c r="AP200" s="176">
        <v>41</v>
      </c>
      <c r="AQ200" s="167"/>
      <c r="AR200" s="180">
        <v>24.8</v>
      </c>
      <c r="AS200" s="166">
        <v>9.2119998564948702</v>
      </c>
      <c r="AT200" s="181" t="s">
        <v>54</v>
      </c>
      <c r="AU200" s="173">
        <v>0.57574999103092905</v>
      </c>
      <c r="AV200" s="174">
        <v>-23.787755858943999</v>
      </c>
      <c r="AW200" s="168"/>
      <c r="AX200" s="168"/>
      <c r="AY200" s="176">
        <v>19</v>
      </c>
      <c r="AZ200" s="176">
        <v>27</v>
      </c>
      <c r="BA200" s="167"/>
      <c r="BB200" s="184">
        <v>101.4</v>
      </c>
      <c r="BC200" s="180">
        <v>37.665192961636301</v>
      </c>
      <c r="BD200" s="181" t="s">
        <v>55</v>
      </c>
      <c r="BE200" s="178">
        <v>1.17703728005113</v>
      </c>
      <c r="BF200" s="179">
        <v>4.2244882821119898</v>
      </c>
      <c r="BG200" s="168">
        <v>0.02</v>
      </c>
      <c r="BH200" s="168">
        <v>1.7999999999999999E-2</v>
      </c>
      <c r="BI200" s="176">
        <v>0</v>
      </c>
      <c r="BJ200" s="176">
        <v>2</v>
      </c>
      <c r="BK200" s="169"/>
      <c r="BL200" s="185">
        <v>0.8</v>
      </c>
      <c r="BM200" s="182">
        <v>0.81</v>
      </c>
      <c r="BN200" s="186">
        <v>3.7500000000000001E-4</v>
      </c>
      <c r="BO200" s="187">
        <v>0.95</v>
      </c>
      <c r="BP200" s="178">
        <v>1</v>
      </c>
      <c r="BQ200" s="186">
        <v>2.5000000000000001E-3</v>
      </c>
    </row>
    <row r="201" spans="1:69" s="156" customFormat="1" ht="22.35" customHeight="1" x14ac:dyDescent="0.2">
      <c r="A201" s="165" t="s">
        <v>220</v>
      </c>
      <c r="B201" s="165" t="s">
        <v>260</v>
      </c>
      <c r="C201" s="165" t="s">
        <v>266</v>
      </c>
      <c r="D201" s="166">
        <v>3.8745519713333301</v>
      </c>
      <c r="E201" s="167"/>
      <c r="F201" s="168">
        <v>0.03</v>
      </c>
      <c r="G201" s="168">
        <v>2.8000000000000001E-2</v>
      </c>
      <c r="H201" s="169"/>
      <c r="I201" s="170">
        <v>3</v>
      </c>
      <c r="J201" s="170">
        <v>3</v>
      </c>
      <c r="K201" s="167"/>
      <c r="L201" s="171">
        <v>2511.70298</v>
      </c>
      <c r="M201" s="171">
        <v>2629.79961</v>
      </c>
      <c r="N201" s="171">
        <v>5141.5025900000001</v>
      </c>
      <c r="O201" s="166">
        <v>1326.9928053722001</v>
      </c>
      <c r="P201" s="172">
        <v>234.35599999999999</v>
      </c>
      <c r="Q201" s="178">
        <v>5.6622949929688202</v>
      </c>
      <c r="R201" s="179">
        <v>4117.2509519765999</v>
      </c>
      <c r="S201" s="168">
        <v>0.01</v>
      </c>
      <c r="T201" s="168">
        <v>0.01</v>
      </c>
      <c r="U201" s="175">
        <v>0</v>
      </c>
      <c r="V201" s="176">
        <v>0</v>
      </c>
      <c r="W201" s="167"/>
      <c r="X201" s="175">
        <v>2038.5309199999999</v>
      </c>
      <c r="Y201" s="166">
        <v>526.13332717756498</v>
      </c>
      <c r="Z201" s="177">
        <v>573</v>
      </c>
      <c r="AA201" s="188">
        <v>0.91820824987358596</v>
      </c>
      <c r="AB201" s="171">
        <v>-465.76249935946998</v>
      </c>
      <c r="AC201" s="168"/>
      <c r="AD201" s="168"/>
      <c r="AE201" s="176">
        <v>182</v>
      </c>
      <c r="AF201" s="176">
        <v>626</v>
      </c>
      <c r="AG201" s="167"/>
      <c r="AH201" s="180">
        <v>225</v>
      </c>
      <c r="AI201" s="166">
        <v>58.071230342168199</v>
      </c>
      <c r="AJ201" s="181" t="s">
        <v>53</v>
      </c>
      <c r="AK201" s="188">
        <v>0.92176556098679696</v>
      </c>
      <c r="AL201" s="171">
        <v>-50.341161290831799</v>
      </c>
      <c r="AM201" s="168"/>
      <c r="AN201" s="168"/>
      <c r="AO201" s="176">
        <v>20</v>
      </c>
      <c r="AP201" s="176">
        <v>68</v>
      </c>
      <c r="AQ201" s="167"/>
      <c r="AR201" s="180">
        <v>30.6</v>
      </c>
      <c r="AS201" s="166">
        <v>7.8976873265348804</v>
      </c>
      <c r="AT201" s="181" t="s">
        <v>54</v>
      </c>
      <c r="AU201" s="173">
        <v>0.49360545790843002</v>
      </c>
      <c r="AV201" s="174">
        <v>-39.327913978623997</v>
      </c>
      <c r="AW201" s="168"/>
      <c r="AX201" s="168"/>
      <c r="AY201" s="176">
        <v>32</v>
      </c>
      <c r="AZ201" s="176">
        <v>44</v>
      </c>
      <c r="BA201" s="167"/>
      <c r="BB201" s="184">
        <v>146.19999999999999</v>
      </c>
      <c r="BC201" s="180">
        <v>37.733395004555497</v>
      </c>
      <c r="BD201" s="181" t="s">
        <v>55</v>
      </c>
      <c r="BE201" s="178">
        <v>1.17916859389236</v>
      </c>
      <c r="BF201" s="179">
        <v>6.3441720427521204</v>
      </c>
      <c r="BG201" s="168">
        <v>0.02</v>
      </c>
      <c r="BH201" s="168">
        <v>1.7999999999999999E-2</v>
      </c>
      <c r="BI201" s="176">
        <v>0</v>
      </c>
      <c r="BJ201" s="176">
        <v>3</v>
      </c>
      <c r="BK201" s="169"/>
      <c r="BL201" s="185">
        <v>0.8</v>
      </c>
      <c r="BM201" s="188">
        <v>0.73</v>
      </c>
      <c r="BN201" s="186"/>
      <c r="BO201" s="187">
        <v>0.95</v>
      </c>
      <c r="BP201" s="178">
        <v>1</v>
      </c>
      <c r="BQ201" s="186">
        <v>2.5000000000000001E-3</v>
      </c>
    </row>
    <row r="202" spans="1:69" s="156" customFormat="1" ht="22.35" customHeight="1" x14ac:dyDescent="0.2">
      <c r="A202" s="165" t="s">
        <v>220</v>
      </c>
      <c r="B202" s="165" t="s">
        <v>260</v>
      </c>
      <c r="C202" s="165" t="s">
        <v>267</v>
      </c>
      <c r="D202" s="166">
        <v>3.2393056717777799</v>
      </c>
      <c r="E202" s="167"/>
      <c r="F202" s="168">
        <v>4.4999999999999998E-2</v>
      </c>
      <c r="G202" s="168">
        <v>3.5000000000000003E-2</v>
      </c>
      <c r="H202" s="169"/>
      <c r="I202" s="170">
        <v>5</v>
      </c>
      <c r="J202" s="170">
        <v>4</v>
      </c>
      <c r="K202" s="167"/>
      <c r="L202" s="171">
        <v>2856.1044900000002</v>
      </c>
      <c r="M202" s="171">
        <v>174.29816</v>
      </c>
      <c r="N202" s="171">
        <v>3030.40265</v>
      </c>
      <c r="O202" s="166">
        <v>935.50993856559103</v>
      </c>
      <c r="P202" s="172">
        <v>251.035</v>
      </c>
      <c r="Q202" s="178">
        <v>3.7266115823115999</v>
      </c>
      <c r="R202" s="179">
        <v>2113.1366259729798</v>
      </c>
      <c r="S202" s="168">
        <v>0.01</v>
      </c>
      <c r="T202" s="168">
        <v>0.01</v>
      </c>
      <c r="U202" s="175">
        <v>0</v>
      </c>
      <c r="V202" s="176">
        <v>0</v>
      </c>
      <c r="W202" s="167"/>
      <c r="X202" s="175">
        <v>1944.127105</v>
      </c>
      <c r="Y202" s="166">
        <v>600.167845207715</v>
      </c>
      <c r="Z202" s="177">
        <v>573</v>
      </c>
      <c r="AA202" s="182">
        <v>1.0474133424218399</v>
      </c>
      <c r="AB202" s="183">
        <v>-149.57868011953801</v>
      </c>
      <c r="AC202" s="168">
        <v>1.0999999999999999E-2</v>
      </c>
      <c r="AD202" s="168">
        <v>5.0000000000000001E-3</v>
      </c>
      <c r="AE202" s="176">
        <v>0</v>
      </c>
      <c r="AF202" s="176">
        <v>284</v>
      </c>
      <c r="AG202" s="167"/>
      <c r="AH202" s="180">
        <v>198.65</v>
      </c>
      <c r="AI202" s="166">
        <v>61.324870243251198</v>
      </c>
      <c r="AJ202" s="181" t="s">
        <v>53</v>
      </c>
      <c r="AK202" s="182">
        <v>0.97341063878176504</v>
      </c>
      <c r="AL202" s="183">
        <v>-31.5480182592162</v>
      </c>
      <c r="AM202" s="168">
        <v>4.0000000000000001E-3</v>
      </c>
      <c r="AN202" s="168"/>
      <c r="AO202" s="176">
        <v>6</v>
      </c>
      <c r="AP202" s="176">
        <v>47</v>
      </c>
      <c r="AQ202" s="167"/>
      <c r="AR202" s="180">
        <v>33.1</v>
      </c>
      <c r="AS202" s="166">
        <v>10.2182391394494</v>
      </c>
      <c r="AT202" s="181" t="s">
        <v>54</v>
      </c>
      <c r="AU202" s="173">
        <v>0.63863994621558495</v>
      </c>
      <c r="AV202" s="174">
        <v>-25.362988764245401</v>
      </c>
      <c r="AW202" s="168"/>
      <c r="AX202" s="168"/>
      <c r="AY202" s="176">
        <v>19</v>
      </c>
      <c r="AZ202" s="176">
        <v>30</v>
      </c>
      <c r="BA202" s="167"/>
      <c r="BB202" s="184">
        <v>124.8</v>
      </c>
      <c r="BC202" s="180">
        <v>38.526774761428399</v>
      </c>
      <c r="BD202" s="181" t="s">
        <v>55</v>
      </c>
      <c r="BE202" s="178">
        <v>1.2039617112946399</v>
      </c>
      <c r="BF202" s="179">
        <v>7.8740224715092397</v>
      </c>
      <c r="BG202" s="168">
        <v>0.02</v>
      </c>
      <c r="BH202" s="168">
        <v>0.02</v>
      </c>
      <c r="BI202" s="176">
        <v>0</v>
      </c>
      <c r="BJ202" s="176">
        <v>0</v>
      </c>
      <c r="BK202" s="169"/>
      <c r="BL202" s="185">
        <v>0.8</v>
      </c>
      <c r="BM202" s="188">
        <v>0.74</v>
      </c>
      <c r="BN202" s="186"/>
      <c r="BO202" s="187">
        <v>0.95</v>
      </c>
      <c r="BP202" s="178">
        <v>1</v>
      </c>
      <c r="BQ202" s="186">
        <v>2.5000000000000001E-3</v>
      </c>
    </row>
    <row r="203" spans="1:69" s="156" customFormat="1" ht="22.35" customHeight="1" x14ac:dyDescent="0.2">
      <c r="A203" s="165" t="s">
        <v>220</v>
      </c>
      <c r="B203" s="165" t="s">
        <v>260</v>
      </c>
      <c r="C203" s="165" t="s">
        <v>268</v>
      </c>
      <c r="D203" s="166">
        <v>1.60228521777778</v>
      </c>
      <c r="E203" s="167"/>
      <c r="F203" s="168">
        <v>0.05</v>
      </c>
      <c r="G203" s="168">
        <v>0.05</v>
      </c>
      <c r="H203" s="169"/>
      <c r="I203" s="170">
        <v>4</v>
      </c>
      <c r="J203" s="170">
        <v>4</v>
      </c>
      <c r="K203" s="167"/>
      <c r="L203" s="171">
        <v>1549.00557</v>
      </c>
      <c r="M203" s="171">
        <v>716.06925000000001</v>
      </c>
      <c r="N203" s="171">
        <v>2265.0748199999998</v>
      </c>
      <c r="O203" s="166">
        <v>1413.6526973277901</v>
      </c>
      <c r="P203" s="172">
        <v>221.102</v>
      </c>
      <c r="Q203" s="178">
        <v>6.3936676164294797</v>
      </c>
      <c r="R203" s="179">
        <v>1865.4599901025999</v>
      </c>
      <c r="S203" s="168">
        <v>0.01</v>
      </c>
      <c r="T203" s="168">
        <v>0.01</v>
      </c>
      <c r="U203" s="175">
        <v>0</v>
      </c>
      <c r="V203" s="176">
        <v>0</v>
      </c>
      <c r="W203" s="167"/>
      <c r="X203" s="175">
        <v>1533.7103300000001</v>
      </c>
      <c r="Y203" s="166">
        <v>957.20182211199301</v>
      </c>
      <c r="Z203" s="177">
        <v>573</v>
      </c>
      <c r="AA203" s="178">
        <v>1.6705092881535699</v>
      </c>
      <c r="AB203" s="179">
        <v>498.08289320063898</v>
      </c>
      <c r="AC203" s="168">
        <v>0.02</v>
      </c>
      <c r="AD203" s="168">
        <v>0.02</v>
      </c>
      <c r="AE203" s="176">
        <v>0</v>
      </c>
      <c r="AF203" s="176">
        <v>0</v>
      </c>
      <c r="AG203" s="167"/>
      <c r="AH203" s="180">
        <v>93.7</v>
      </c>
      <c r="AI203" s="166">
        <v>58.478976751688002</v>
      </c>
      <c r="AJ203" s="181" t="s">
        <v>53</v>
      </c>
      <c r="AK203" s="188">
        <v>0.92823772621726997</v>
      </c>
      <c r="AL203" s="171">
        <v>-20.1647967161602</v>
      </c>
      <c r="AM203" s="168"/>
      <c r="AN203" s="168"/>
      <c r="AO203" s="176">
        <v>8</v>
      </c>
      <c r="AP203" s="176">
        <v>28</v>
      </c>
      <c r="AQ203" s="167"/>
      <c r="AR203" s="180">
        <v>6</v>
      </c>
      <c r="AS203" s="166">
        <v>3.74465165965985</v>
      </c>
      <c r="AT203" s="181" t="s">
        <v>54</v>
      </c>
      <c r="AU203" s="173">
        <v>0.23404072872874099</v>
      </c>
      <c r="AV203" s="174">
        <v>-22.918043610453399</v>
      </c>
      <c r="AW203" s="168"/>
      <c r="AX203" s="168"/>
      <c r="AY203" s="176">
        <v>20</v>
      </c>
      <c r="AZ203" s="176">
        <v>25</v>
      </c>
      <c r="BA203" s="167"/>
      <c r="BB203" s="184">
        <v>64.599999999999994</v>
      </c>
      <c r="BC203" s="180">
        <v>40.317416202337697</v>
      </c>
      <c r="BD203" s="181" t="s">
        <v>55</v>
      </c>
      <c r="BE203" s="178">
        <v>1.2599192563230499</v>
      </c>
      <c r="BF203" s="179">
        <v>6.7639127790932401</v>
      </c>
      <c r="BG203" s="168">
        <v>0.02</v>
      </c>
      <c r="BH203" s="168">
        <v>0.02</v>
      </c>
      <c r="BI203" s="176">
        <v>0</v>
      </c>
      <c r="BJ203" s="176">
        <v>0</v>
      </c>
      <c r="BK203" s="169"/>
      <c r="BL203" s="185">
        <v>0.8</v>
      </c>
      <c r="BM203" s="188">
        <v>0.79</v>
      </c>
      <c r="BN203" s="186"/>
      <c r="BO203" s="187">
        <v>0.95</v>
      </c>
      <c r="BP203" s="178">
        <v>1</v>
      </c>
      <c r="BQ203" s="186">
        <v>2.5000000000000001E-3</v>
      </c>
    </row>
    <row r="204" spans="1:69" s="156" customFormat="1" ht="22.35" customHeight="1" x14ac:dyDescent="0.2">
      <c r="A204" s="165" t="s">
        <v>220</v>
      </c>
      <c r="B204" s="165" t="s">
        <v>260</v>
      </c>
      <c r="C204" s="165" t="s">
        <v>269</v>
      </c>
      <c r="D204" s="166">
        <v>2.8902111342222199</v>
      </c>
      <c r="E204" s="167"/>
      <c r="F204" s="168">
        <v>2.9000000000000001E-2</v>
      </c>
      <c r="G204" s="168">
        <v>2.1999999999999999E-2</v>
      </c>
      <c r="H204" s="169"/>
      <c r="I204" s="170">
        <v>4</v>
      </c>
      <c r="J204" s="170">
        <v>4</v>
      </c>
      <c r="K204" s="167"/>
      <c r="L204" s="171">
        <v>1476.6558500000001</v>
      </c>
      <c r="M204" s="171">
        <v>1020.01983</v>
      </c>
      <c r="N204" s="171">
        <v>2496.6756799999998</v>
      </c>
      <c r="O204" s="166">
        <v>863.83851007890996</v>
      </c>
      <c r="P204" s="172">
        <v>220.88900000000001</v>
      </c>
      <c r="Q204" s="178">
        <v>3.9107357545142998</v>
      </c>
      <c r="R204" s="179">
        <v>1776.54260432771</v>
      </c>
      <c r="S204" s="168">
        <v>0.01</v>
      </c>
      <c r="T204" s="168">
        <v>0.01</v>
      </c>
      <c r="U204" s="175">
        <v>0</v>
      </c>
      <c r="V204" s="176">
        <v>0</v>
      </c>
      <c r="W204" s="167"/>
      <c r="X204" s="175">
        <v>1851.9038350000001</v>
      </c>
      <c r="Y204" s="166">
        <v>640.75036355375505</v>
      </c>
      <c r="Z204" s="177">
        <v>573</v>
      </c>
      <c r="AA204" s="182">
        <v>1.1182379817692101</v>
      </c>
      <c r="AB204" s="183">
        <v>-16.1667903377265</v>
      </c>
      <c r="AC204" s="168">
        <v>1.9E-2</v>
      </c>
      <c r="AD204" s="168">
        <v>1.2E-2</v>
      </c>
      <c r="AE204" s="176">
        <v>0</v>
      </c>
      <c r="AF204" s="176">
        <v>136</v>
      </c>
      <c r="AG204" s="167"/>
      <c r="AH204" s="180">
        <v>116.15</v>
      </c>
      <c r="AI204" s="166">
        <v>40.187375456657399</v>
      </c>
      <c r="AJ204" s="181" t="s">
        <v>53</v>
      </c>
      <c r="AK204" s="173">
        <v>0.63789484851837097</v>
      </c>
      <c r="AL204" s="174">
        <v>-89.239964042367902</v>
      </c>
      <c r="AM204" s="168"/>
      <c r="AN204" s="168"/>
      <c r="AO204" s="176">
        <v>66</v>
      </c>
      <c r="AP204" s="176">
        <v>103</v>
      </c>
      <c r="AQ204" s="167"/>
      <c r="AR204" s="180">
        <v>13.5</v>
      </c>
      <c r="AS204" s="166">
        <v>4.6709390328443803</v>
      </c>
      <c r="AT204" s="181" t="s">
        <v>54</v>
      </c>
      <c r="AU204" s="173">
        <v>0.29193368955277399</v>
      </c>
      <c r="AV204" s="174">
        <v>-38.662530550442597</v>
      </c>
      <c r="AW204" s="168"/>
      <c r="AX204" s="168"/>
      <c r="AY204" s="176">
        <v>33</v>
      </c>
      <c r="AZ204" s="176">
        <v>42</v>
      </c>
      <c r="BA204" s="167"/>
      <c r="BB204" s="184">
        <v>72.8</v>
      </c>
      <c r="BC204" s="180">
        <v>25.188471228968201</v>
      </c>
      <c r="BD204" s="181" t="s">
        <v>55</v>
      </c>
      <c r="BE204" s="188">
        <v>0.78713972590525605</v>
      </c>
      <c r="BF204" s="171">
        <v>-31.525061100885299</v>
      </c>
      <c r="BG204" s="168"/>
      <c r="BH204" s="168"/>
      <c r="BI204" s="176">
        <v>20</v>
      </c>
      <c r="BJ204" s="176">
        <v>39</v>
      </c>
      <c r="BK204" s="169"/>
      <c r="BL204" s="185">
        <v>0.8</v>
      </c>
      <c r="BM204" s="182">
        <v>0.82</v>
      </c>
      <c r="BN204" s="186">
        <v>7.5000000000000002E-4</v>
      </c>
      <c r="BO204" s="187">
        <v>0.95</v>
      </c>
      <c r="BP204" s="178">
        <v>1</v>
      </c>
      <c r="BQ204" s="186">
        <v>2.5000000000000001E-3</v>
      </c>
    </row>
    <row r="205" spans="1:69" s="156" customFormat="1" ht="22.35" customHeight="1" x14ac:dyDescent="0.2">
      <c r="A205" s="165" t="s">
        <v>220</v>
      </c>
      <c r="B205" s="165" t="s">
        <v>260</v>
      </c>
      <c r="C205" s="165" t="s">
        <v>270</v>
      </c>
      <c r="D205" s="166">
        <v>2.6579356497777802</v>
      </c>
      <c r="E205" s="167"/>
      <c r="F205" s="168">
        <v>5.6000000000000001E-2</v>
      </c>
      <c r="G205" s="168">
        <v>0.05</v>
      </c>
      <c r="H205" s="169"/>
      <c r="I205" s="170">
        <v>5</v>
      </c>
      <c r="J205" s="170">
        <v>4</v>
      </c>
      <c r="K205" s="167"/>
      <c r="L205" s="171">
        <v>552.70009000000005</v>
      </c>
      <c r="M205" s="171">
        <v>878.19997999999998</v>
      </c>
      <c r="N205" s="171">
        <v>1430.9000699999999</v>
      </c>
      <c r="O205" s="166">
        <v>538.35015536197602</v>
      </c>
      <c r="P205" s="172">
        <v>221.102</v>
      </c>
      <c r="Q205" s="178">
        <v>2.4348497768540098</v>
      </c>
      <c r="R205" s="179">
        <v>768.00279629407601</v>
      </c>
      <c r="S205" s="168">
        <v>0.01</v>
      </c>
      <c r="T205" s="168">
        <v>0.01</v>
      </c>
      <c r="U205" s="175">
        <v>0</v>
      </c>
      <c r="V205" s="176">
        <v>0</v>
      </c>
      <c r="W205" s="167"/>
      <c r="X205" s="175">
        <v>1955.119365</v>
      </c>
      <c r="Y205" s="166">
        <v>735.57814131559599</v>
      </c>
      <c r="Z205" s="177">
        <v>573</v>
      </c>
      <c r="AA205" s="178">
        <v>1.28373148571657</v>
      </c>
      <c r="AB205" s="179">
        <v>237.178605380031</v>
      </c>
      <c r="AC205" s="168">
        <v>0.02</v>
      </c>
      <c r="AD205" s="168">
        <v>0.02</v>
      </c>
      <c r="AE205" s="176">
        <v>0</v>
      </c>
      <c r="AF205" s="176">
        <v>0</v>
      </c>
      <c r="AG205" s="167"/>
      <c r="AH205" s="180">
        <v>166.6</v>
      </c>
      <c r="AI205" s="166">
        <v>62.680223283031303</v>
      </c>
      <c r="AJ205" s="181" t="s">
        <v>53</v>
      </c>
      <c r="AK205" s="182">
        <v>0.99492417909573505</v>
      </c>
      <c r="AL205" s="183">
        <v>-22.283539015808199</v>
      </c>
      <c r="AM205" s="168">
        <v>6.0000000000000001E-3</v>
      </c>
      <c r="AN205" s="168"/>
      <c r="AO205" s="176">
        <v>1</v>
      </c>
      <c r="AP205" s="176">
        <v>35</v>
      </c>
      <c r="AQ205" s="167"/>
      <c r="AR205" s="180">
        <v>17</v>
      </c>
      <c r="AS205" s="166">
        <v>6.39594115132972</v>
      </c>
      <c r="AT205" s="181" t="s">
        <v>54</v>
      </c>
      <c r="AU205" s="173">
        <v>0.399746321958108</v>
      </c>
      <c r="AV205" s="174">
        <v>-30.970422607189398</v>
      </c>
      <c r="AW205" s="168"/>
      <c r="AX205" s="168"/>
      <c r="AY205" s="176">
        <v>26</v>
      </c>
      <c r="AZ205" s="176">
        <v>35</v>
      </c>
      <c r="BA205" s="167"/>
      <c r="BB205" s="184">
        <v>129.4</v>
      </c>
      <c r="BC205" s="180">
        <v>48.684399116592097</v>
      </c>
      <c r="BD205" s="181" t="s">
        <v>55</v>
      </c>
      <c r="BE205" s="178">
        <v>1.5213874723934999</v>
      </c>
      <c r="BF205" s="179">
        <v>33.459154785621301</v>
      </c>
      <c r="BG205" s="168">
        <v>0.02</v>
      </c>
      <c r="BH205" s="168">
        <v>0.02</v>
      </c>
      <c r="BI205" s="176">
        <v>0</v>
      </c>
      <c r="BJ205" s="176">
        <v>0</v>
      </c>
      <c r="BK205" s="169"/>
      <c r="BL205" s="185">
        <v>0.8</v>
      </c>
      <c r="BM205" s="188">
        <v>0.78</v>
      </c>
      <c r="BN205" s="186"/>
      <c r="BO205" s="187">
        <v>0.95</v>
      </c>
      <c r="BP205" s="178">
        <v>1</v>
      </c>
      <c r="BQ205" s="186">
        <v>2.5000000000000001E-3</v>
      </c>
    </row>
    <row r="206" spans="1:69" s="156" customFormat="1" ht="22.35" customHeight="1" x14ac:dyDescent="0.2">
      <c r="A206" s="165" t="s">
        <v>220</v>
      </c>
      <c r="B206" s="165" t="s">
        <v>260</v>
      </c>
      <c r="C206" s="165" t="s">
        <v>271</v>
      </c>
      <c r="D206" s="166">
        <v>1.9523576782222201</v>
      </c>
      <c r="E206" s="167"/>
      <c r="F206" s="168">
        <v>0.01</v>
      </c>
      <c r="G206" s="168">
        <v>0.01</v>
      </c>
      <c r="H206" s="169"/>
      <c r="I206" s="170">
        <v>3</v>
      </c>
      <c r="J206" s="170">
        <v>3</v>
      </c>
      <c r="K206" s="167"/>
      <c r="L206" s="171">
        <v>852.99564999999996</v>
      </c>
      <c r="M206" s="171">
        <v>922.79533000000004</v>
      </c>
      <c r="N206" s="171">
        <v>1775.79098</v>
      </c>
      <c r="O206" s="166">
        <v>909.56232037205405</v>
      </c>
      <c r="P206" s="172">
        <v>214.857</v>
      </c>
      <c r="Q206" s="178">
        <v>4.23333808240855</v>
      </c>
      <c r="R206" s="179">
        <v>1302.6201189804799</v>
      </c>
      <c r="S206" s="168">
        <v>0.01</v>
      </c>
      <c r="T206" s="168">
        <v>0.01</v>
      </c>
      <c r="U206" s="175">
        <v>0</v>
      </c>
      <c r="V206" s="176">
        <v>0</v>
      </c>
      <c r="W206" s="167"/>
      <c r="X206" s="175">
        <v>641.40205500000002</v>
      </c>
      <c r="Y206" s="166">
        <v>328.52692012052199</v>
      </c>
      <c r="Z206" s="177">
        <v>573</v>
      </c>
      <c r="AA206" s="173">
        <v>0.57334541033249897</v>
      </c>
      <c r="AB206" s="174">
        <v>-620.49261617286299</v>
      </c>
      <c r="AC206" s="168"/>
      <c r="AD206" s="168"/>
      <c r="AE206" s="176">
        <v>478</v>
      </c>
      <c r="AF206" s="176">
        <v>702</v>
      </c>
      <c r="AG206" s="167"/>
      <c r="AH206" s="180">
        <v>61</v>
      </c>
      <c r="AI206" s="166">
        <v>31.2442748992313</v>
      </c>
      <c r="AJ206" s="181" t="s">
        <v>53</v>
      </c>
      <c r="AK206" s="173">
        <v>0.495940871416369</v>
      </c>
      <c r="AL206" s="174">
        <v>-77.742346045183794</v>
      </c>
      <c r="AM206" s="168"/>
      <c r="AN206" s="168"/>
      <c r="AO206" s="176">
        <v>62</v>
      </c>
      <c r="AP206" s="176">
        <v>87</v>
      </c>
      <c r="AQ206" s="167"/>
      <c r="AR206" s="180">
        <v>8.6</v>
      </c>
      <c r="AS206" s="166">
        <v>4.4049305595637502</v>
      </c>
      <c r="AT206" s="181" t="s">
        <v>54</v>
      </c>
      <c r="AU206" s="173">
        <v>0.275308159972734</v>
      </c>
      <c r="AV206" s="174">
        <v>-26.636151376554601</v>
      </c>
      <c r="AW206" s="168"/>
      <c r="AX206" s="168"/>
      <c r="AY206" s="176">
        <v>23</v>
      </c>
      <c r="AZ206" s="176">
        <v>29</v>
      </c>
      <c r="BA206" s="167"/>
      <c r="BB206" s="184">
        <v>37.6</v>
      </c>
      <c r="BC206" s="180">
        <v>19.258766167394999</v>
      </c>
      <c r="BD206" s="181" t="s">
        <v>55</v>
      </c>
      <c r="BE206" s="173">
        <v>0.60183644273109405</v>
      </c>
      <c r="BF206" s="174">
        <v>-32.872302753109302</v>
      </c>
      <c r="BG206" s="168"/>
      <c r="BH206" s="168"/>
      <c r="BI206" s="176">
        <v>25</v>
      </c>
      <c r="BJ206" s="176">
        <v>38</v>
      </c>
      <c r="BK206" s="169"/>
      <c r="BL206" s="185">
        <v>0.8</v>
      </c>
      <c r="BM206" s="182">
        <v>0.83</v>
      </c>
      <c r="BN206" s="186">
        <v>1.1249999999999999E-3</v>
      </c>
      <c r="BO206" s="187">
        <v>0.95</v>
      </c>
      <c r="BP206" s="178">
        <v>1</v>
      </c>
      <c r="BQ206" s="186">
        <v>2.5000000000000001E-3</v>
      </c>
    </row>
    <row r="207" spans="1:69" s="156" customFormat="1" ht="22.35" customHeight="1" x14ac:dyDescent="0.2">
      <c r="A207" s="165" t="s">
        <v>220</v>
      </c>
      <c r="B207" s="165" t="s">
        <v>260</v>
      </c>
      <c r="C207" s="165" t="s">
        <v>272</v>
      </c>
      <c r="D207" s="166">
        <v>9.0627591208888898</v>
      </c>
      <c r="E207" s="167"/>
      <c r="F207" s="168">
        <v>5.3999999999999999E-2</v>
      </c>
      <c r="G207" s="168">
        <v>4.3999999999999997E-2</v>
      </c>
      <c r="H207" s="169"/>
      <c r="I207" s="170">
        <v>5</v>
      </c>
      <c r="J207" s="170">
        <v>4</v>
      </c>
      <c r="K207" s="167"/>
      <c r="L207" s="171">
        <v>5901.4167600000001</v>
      </c>
      <c r="M207" s="171">
        <v>2670.9195100000002</v>
      </c>
      <c r="N207" s="171">
        <v>8572.3362699999998</v>
      </c>
      <c r="O207" s="166">
        <v>945.88592233920201</v>
      </c>
      <c r="P207" s="172">
        <v>241.29400000000001</v>
      </c>
      <c r="Q207" s="178">
        <v>3.9200557093802701</v>
      </c>
      <c r="R207" s="179">
        <v>6105.6378275718198</v>
      </c>
      <c r="S207" s="168">
        <v>0.01</v>
      </c>
      <c r="T207" s="168">
        <v>0.01</v>
      </c>
      <c r="U207" s="175">
        <v>0</v>
      </c>
      <c r="V207" s="176">
        <v>0</v>
      </c>
      <c r="W207" s="167"/>
      <c r="X207" s="175">
        <v>5924.877485</v>
      </c>
      <c r="Y207" s="166">
        <v>653.76089179548705</v>
      </c>
      <c r="Z207" s="177">
        <v>573</v>
      </c>
      <c r="AA207" s="178">
        <v>1.14094396473907</v>
      </c>
      <c r="AB207" s="179">
        <v>67.217503768190895</v>
      </c>
      <c r="AC207" s="168">
        <v>0.02</v>
      </c>
      <c r="AD207" s="168">
        <v>1.4E-2</v>
      </c>
      <c r="AE207" s="176">
        <v>0</v>
      </c>
      <c r="AF207" s="176">
        <v>307</v>
      </c>
      <c r="AG207" s="167"/>
      <c r="AH207" s="180">
        <v>555.79999999999995</v>
      </c>
      <c r="AI207" s="166">
        <v>61.327901645198601</v>
      </c>
      <c r="AJ207" s="181" t="s">
        <v>53</v>
      </c>
      <c r="AK207" s="182">
        <v>0.97345875627299305</v>
      </c>
      <c r="AL207" s="183">
        <v>-88.235914166848005</v>
      </c>
      <c r="AM207" s="168">
        <v>4.0000000000000001E-3</v>
      </c>
      <c r="AN207" s="168"/>
      <c r="AO207" s="176">
        <v>16</v>
      </c>
      <c r="AP207" s="176">
        <v>130</v>
      </c>
      <c r="AQ207" s="167"/>
      <c r="AR207" s="180">
        <v>130.4</v>
      </c>
      <c r="AS207" s="166">
        <v>14.3885541103524</v>
      </c>
      <c r="AT207" s="181" t="s">
        <v>54</v>
      </c>
      <c r="AU207" s="188">
        <v>0.89928463189702801</v>
      </c>
      <c r="AV207" s="171">
        <v>-33.164676613802698</v>
      </c>
      <c r="AW207" s="168"/>
      <c r="AX207" s="168"/>
      <c r="AY207" s="176">
        <v>15</v>
      </c>
      <c r="AZ207" s="176">
        <v>44</v>
      </c>
      <c r="BA207" s="167"/>
      <c r="BB207" s="184">
        <v>393.8</v>
      </c>
      <c r="BC207" s="180">
        <v>43.452550679883402</v>
      </c>
      <c r="BD207" s="181" t="s">
        <v>55</v>
      </c>
      <c r="BE207" s="178">
        <v>1.3578922087463601</v>
      </c>
      <c r="BF207" s="179">
        <v>66.670646772394605</v>
      </c>
      <c r="BG207" s="168">
        <v>0.02</v>
      </c>
      <c r="BH207" s="168">
        <v>0.02</v>
      </c>
      <c r="BI207" s="176">
        <v>0</v>
      </c>
      <c r="BJ207" s="176">
        <v>0</v>
      </c>
      <c r="BK207" s="169"/>
      <c r="BL207" s="185">
        <v>0.8</v>
      </c>
      <c r="BM207" s="188">
        <v>0.77</v>
      </c>
      <c r="BN207" s="186"/>
      <c r="BO207" s="187">
        <v>0.95</v>
      </c>
      <c r="BP207" s="178">
        <v>1</v>
      </c>
      <c r="BQ207" s="186">
        <v>2.5000000000000001E-3</v>
      </c>
    </row>
    <row r="208" spans="1:69" s="156" customFormat="1" ht="22.35" customHeight="1" x14ac:dyDescent="0.2">
      <c r="A208" s="165" t="s">
        <v>220</v>
      </c>
      <c r="B208" s="165" t="s">
        <v>260</v>
      </c>
      <c r="C208" s="165" t="s">
        <v>273</v>
      </c>
      <c r="D208" s="166">
        <v>3.7574485252222201</v>
      </c>
      <c r="E208" s="167"/>
      <c r="F208" s="168">
        <v>4.3999999999999997E-2</v>
      </c>
      <c r="G208" s="168">
        <v>3.7999999999999999E-2</v>
      </c>
      <c r="H208" s="169"/>
      <c r="I208" s="170">
        <v>5</v>
      </c>
      <c r="J208" s="170">
        <v>5</v>
      </c>
      <c r="K208" s="167"/>
      <c r="L208" s="171">
        <v>1626.9907499999999</v>
      </c>
      <c r="M208" s="171">
        <v>1675.8057699999999</v>
      </c>
      <c r="N208" s="171">
        <v>3302.7965199999999</v>
      </c>
      <c r="O208" s="166">
        <v>878.99980474241295</v>
      </c>
      <c r="P208" s="172">
        <v>224.04499999999999</v>
      </c>
      <c r="Q208" s="178">
        <v>3.9233181045879699</v>
      </c>
      <c r="R208" s="179">
        <v>2353.2037581479099</v>
      </c>
      <c r="S208" s="168">
        <v>0.01</v>
      </c>
      <c r="T208" s="168">
        <v>0.01</v>
      </c>
      <c r="U208" s="175">
        <v>0</v>
      </c>
      <c r="V208" s="176">
        <v>0</v>
      </c>
      <c r="W208" s="167"/>
      <c r="X208" s="175">
        <v>2952.6717650000001</v>
      </c>
      <c r="Y208" s="166">
        <v>785.81828737770195</v>
      </c>
      <c r="Z208" s="177">
        <v>573</v>
      </c>
      <c r="AA208" s="178">
        <v>1.3714106236958199</v>
      </c>
      <c r="AB208" s="179">
        <v>524.06745541376904</v>
      </c>
      <c r="AC208" s="168">
        <v>0.02</v>
      </c>
      <c r="AD208" s="168">
        <v>0.02</v>
      </c>
      <c r="AE208" s="176">
        <v>0</v>
      </c>
      <c r="AF208" s="176">
        <v>0</v>
      </c>
      <c r="AG208" s="167"/>
      <c r="AH208" s="180">
        <v>197.4</v>
      </c>
      <c r="AI208" s="166">
        <v>52.535649836567103</v>
      </c>
      <c r="AJ208" s="181" t="s">
        <v>53</v>
      </c>
      <c r="AK208" s="188">
        <v>0.83389920375503301</v>
      </c>
      <c r="AL208" s="171">
        <v>-69.619321996391804</v>
      </c>
      <c r="AM208" s="168"/>
      <c r="AN208" s="168"/>
      <c r="AO208" s="176">
        <v>40</v>
      </c>
      <c r="AP208" s="176">
        <v>87</v>
      </c>
      <c r="AQ208" s="167"/>
      <c r="AR208" s="180">
        <v>32.4</v>
      </c>
      <c r="AS208" s="166">
        <v>8.6228726175520407</v>
      </c>
      <c r="AT208" s="181" t="s">
        <v>54</v>
      </c>
      <c r="AU208" s="173">
        <v>0.53892953859700199</v>
      </c>
      <c r="AV208" s="174">
        <v>-35.4144309832106</v>
      </c>
      <c r="AW208" s="168"/>
      <c r="AX208" s="168"/>
      <c r="AY208" s="176">
        <v>28</v>
      </c>
      <c r="AZ208" s="176">
        <v>40</v>
      </c>
      <c r="BA208" s="167"/>
      <c r="BB208" s="184">
        <v>129.4</v>
      </c>
      <c r="BC208" s="180">
        <v>34.438262861457801</v>
      </c>
      <c r="BD208" s="181" t="s">
        <v>55</v>
      </c>
      <c r="BE208" s="182">
        <v>1.0761957144205601</v>
      </c>
      <c r="BF208" s="183">
        <v>-6.2288619664212499</v>
      </c>
      <c r="BG208" s="168">
        <v>1.4E-2</v>
      </c>
      <c r="BH208" s="168">
        <v>8.0000000000000002E-3</v>
      </c>
      <c r="BI208" s="176">
        <v>0</v>
      </c>
      <c r="BJ208" s="176">
        <v>15</v>
      </c>
      <c r="BK208" s="169"/>
      <c r="BL208" s="185">
        <v>0.8</v>
      </c>
      <c r="BM208" s="182">
        <v>0.81</v>
      </c>
      <c r="BN208" s="186">
        <v>3.7500000000000001E-4</v>
      </c>
      <c r="BO208" s="187">
        <v>0.95</v>
      </c>
      <c r="BP208" s="178">
        <v>1</v>
      </c>
      <c r="BQ208" s="186">
        <v>2.5000000000000001E-3</v>
      </c>
    </row>
    <row r="209" spans="1:69" s="156" customFormat="1" ht="22.35" customHeight="1" x14ac:dyDescent="0.2">
      <c r="A209" s="165" t="s">
        <v>220</v>
      </c>
      <c r="B209" s="165" t="s">
        <v>260</v>
      </c>
      <c r="C209" s="165" t="s">
        <v>274</v>
      </c>
      <c r="D209" s="166">
        <v>2.624758167</v>
      </c>
      <c r="E209" s="167"/>
      <c r="F209" s="168">
        <v>5.2999999999999999E-2</v>
      </c>
      <c r="G209" s="168">
        <v>0.04</v>
      </c>
      <c r="H209" s="169"/>
      <c r="I209" s="170">
        <v>5</v>
      </c>
      <c r="J209" s="170">
        <v>5</v>
      </c>
      <c r="K209" s="167"/>
      <c r="L209" s="171">
        <v>1672.1296600000001</v>
      </c>
      <c r="M209" s="171">
        <v>337.89839000000001</v>
      </c>
      <c r="N209" s="171">
        <v>2010.0280499999999</v>
      </c>
      <c r="O209" s="166">
        <v>765.79552176320601</v>
      </c>
      <c r="P209" s="172">
        <v>262.75900000000001</v>
      </c>
      <c r="Q209" s="178">
        <v>2.91444069190096</v>
      </c>
      <c r="R209" s="179">
        <v>1232.07032840329</v>
      </c>
      <c r="S209" s="168">
        <v>0.01</v>
      </c>
      <c r="T209" s="168">
        <v>0.01</v>
      </c>
      <c r="U209" s="175">
        <v>0</v>
      </c>
      <c r="V209" s="176">
        <v>0</v>
      </c>
      <c r="W209" s="167"/>
      <c r="X209" s="175">
        <v>1507.2710400000001</v>
      </c>
      <c r="Y209" s="166">
        <v>574.25139540483997</v>
      </c>
      <c r="Z209" s="177">
        <v>573</v>
      </c>
      <c r="AA209" s="182">
        <v>1.0021839361341001</v>
      </c>
      <c r="AB209" s="183">
        <v>-189.225652691448</v>
      </c>
      <c r="AC209" s="168">
        <v>7.0000000000000001E-3</v>
      </c>
      <c r="AD209" s="168">
        <v>1E-3</v>
      </c>
      <c r="AE209" s="176">
        <v>0</v>
      </c>
      <c r="AF209" s="176">
        <v>298</v>
      </c>
      <c r="AG209" s="167"/>
      <c r="AH209" s="180">
        <v>179.85</v>
      </c>
      <c r="AI209" s="166">
        <v>68.520598301656804</v>
      </c>
      <c r="AJ209" s="181" t="s">
        <v>53</v>
      </c>
      <c r="AK209" s="182">
        <v>1.0876285444707401</v>
      </c>
      <c r="AL209" s="183">
        <v>-6.67581437968804</v>
      </c>
      <c r="AM209" s="168">
        <v>1.6E-2</v>
      </c>
      <c r="AN209" s="168">
        <v>8.9999999999999993E-3</v>
      </c>
      <c r="AO209" s="176">
        <v>0</v>
      </c>
      <c r="AP209" s="176">
        <v>19</v>
      </c>
      <c r="AQ209" s="167"/>
      <c r="AR209" s="180">
        <v>6.6</v>
      </c>
      <c r="AS209" s="166">
        <v>2.5145173688681401</v>
      </c>
      <c r="AT209" s="181" t="s">
        <v>54</v>
      </c>
      <c r="AU209" s="173">
        <v>0.15715733555425901</v>
      </c>
      <c r="AV209" s="174">
        <v>-40.771635398016002</v>
      </c>
      <c r="AW209" s="168"/>
      <c r="AX209" s="168"/>
      <c r="AY209" s="176">
        <v>36</v>
      </c>
      <c r="AZ209" s="176">
        <v>44</v>
      </c>
      <c r="BA209" s="167"/>
      <c r="BB209" s="184">
        <v>111</v>
      </c>
      <c r="BC209" s="180">
        <v>42.2896102946005</v>
      </c>
      <c r="BD209" s="181" t="s">
        <v>55</v>
      </c>
      <c r="BE209" s="178">
        <v>1.3215503217062701</v>
      </c>
      <c r="BF209" s="179">
        <v>16.256729203968</v>
      </c>
      <c r="BG209" s="168">
        <v>0.02</v>
      </c>
      <c r="BH209" s="168">
        <v>0.02</v>
      </c>
      <c r="BI209" s="176">
        <v>0</v>
      </c>
      <c r="BJ209" s="176">
        <v>0</v>
      </c>
      <c r="BK209" s="169"/>
      <c r="BL209" s="185">
        <v>0.8</v>
      </c>
      <c r="BM209" s="188">
        <v>0.75</v>
      </c>
      <c r="BN209" s="186"/>
      <c r="BO209" s="187">
        <v>0.95</v>
      </c>
      <c r="BP209" s="178">
        <v>1</v>
      </c>
      <c r="BQ209" s="186">
        <v>2.5000000000000001E-3</v>
      </c>
    </row>
    <row r="210" spans="1:69" s="156" customFormat="1" ht="22.35" customHeight="1" x14ac:dyDescent="0.2">
      <c r="A210" s="165" t="s">
        <v>275</v>
      </c>
      <c r="B210" s="165" t="s">
        <v>276</v>
      </c>
      <c r="C210" s="165" t="s">
        <v>277</v>
      </c>
      <c r="D210" s="166">
        <v>3.8480691394444402</v>
      </c>
      <c r="E210" s="167"/>
      <c r="F210" s="168">
        <v>5.2999999999999999E-2</v>
      </c>
      <c r="G210" s="168">
        <v>0.05</v>
      </c>
      <c r="H210" s="169"/>
      <c r="I210" s="170">
        <v>5</v>
      </c>
      <c r="J210" s="170">
        <v>4</v>
      </c>
      <c r="K210" s="167"/>
      <c r="L210" s="171">
        <v>3957.7535800000001</v>
      </c>
      <c r="M210" s="171">
        <v>785.94921999999997</v>
      </c>
      <c r="N210" s="171">
        <v>4743.7028</v>
      </c>
      <c r="O210" s="166">
        <v>1232.7488483444599</v>
      </c>
      <c r="P210" s="172">
        <v>287.5</v>
      </c>
      <c r="Q210" s="178">
        <v>4.2878220811981196</v>
      </c>
      <c r="R210" s="179">
        <v>3495.7739780781699</v>
      </c>
      <c r="S210" s="168">
        <v>0.01</v>
      </c>
      <c r="T210" s="168">
        <v>0.01</v>
      </c>
      <c r="U210" s="175">
        <v>0</v>
      </c>
      <c r="V210" s="176">
        <v>0</v>
      </c>
      <c r="W210" s="167"/>
      <c r="X210" s="175">
        <v>3606.0383400000001</v>
      </c>
      <c r="Y210" s="166">
        <v>937.10331320102296</v>
      </c>
      <c r="Z210" s="177">
        <v>573</v>
      </c>
      <c r="AA210" s="178">
        <v>1.63543335637177</v>
      </c>
      <c r="AB210" s="179">
        <v>1118.8619401349199</v>
      </c>
      <c r="AC210" s="168">
        <v>0.02</v>
      </c>
      <c r="AD210" s="168">
        <v>0.02</v>
      </c>
      <c r="AE210" s="176">
        <v>0</v>
      </c>
      <c r="AF210" s="176">
        <v>0</v>
      </c>
      <c r="AG210" s="167"/>
      <c r="AH210" s="180">
        <v>235.75</v>
      </c>
      <c r="AI210" s="166">
        <v>61.264491737805898</v>
      </c>
      <c r="AJ210" s="181" t="s">
        <v>53</v>
      </c>
      <c r="AK210" s="182">
        <v>0.97245224980644296</v>
      </c>
      <c r="AL210" s="183">
        <v>-37.709185325479702</v>
      </c>
      <c r="AM210" s="168">
        <v>3.0000000000000001E-3</v>
      </c>
      <c r="AN210" s="168"/>
      <c r="AO210" s="176">
        <v>7</v>
      </c>
      <c r="AP210" s="176">
        <v>56</v>
      </c>
      <c r="AQ210" s="167"/>
      <c r="AR210" s="180">
        <v>42.7</v>
      </c>
      <c r="AS210" s="166">
        <v>11.096474219318401</v>
      </c>
      <c r="AT210" s="181" t="s">
        <v>54</v>
      </c>
      <c r="AU210" s="173">
        <v>0.69352963870739903</v>
      </c>
      <c r="AV210" s="174">
        <v>-26.749951828693298</v>
      </c>
      <c r="AW210" s="168"/>
      <c r="AX210" s="168"/>
      <c r="AY210" s="176">
        <v>19</v>
      </c>
      <c r="AZ210" s="176">
        <v>32</v>
      </c>
      <c r="BA210" s="167"/>
      <c r="BB210" s="184">
        <v>188.6</v>
      </c>
      <c r="BC210" s="180">
        <v>49.011593390244698</v>
      </c>
      <c r="BD210" s="181" t="s">
        <v>55</v>
      </c>
      <c r="BE210" s="178">
        <v>1.5316122934451499</v>
      </c>
      <c r="BF210" s="179">
        <v>49.700096342613499</v>
      </c>
      <c r="BG210" s="168">
        <v>0.02</v>
      </c>
      <c r="BH210" s="168">
        <v>0.02</v>
      </c>
      <c r="BI210" s="176">
        <v>0</v>
      </c>
      <c r="BJ210" s="176">
        <v>0</v>
      </c>
      <c r="BK210" s="169"/>
      <c r="BL210" s="185">
        <v>0.8</v>
      </c>
      <c r="BM210" s="188">
        <v>0.78</v>
      </c>
      <c r="BN210" s="186"/>
      <c r="BO210" s="187">
        <v>0.95</v>
      </c>
      <c r="BP210" s="178">
        <v>1</v>
      </c>
      <c r="BQ210" s="186">
        <v>2.5000000000000001E-3</v>
      </c>
    </row>
    <row r="211" spans="1:69" s="156" customFormat="1" ht="22.35" customHeight="1" x14ac:dyDescent="0.2">
      <c r="A211" s="165" t="s">
        <v>275</v>
      </c>
      <c r="B211" s="165" t="s">
        <v>276</v>
      </c>
      <c r="C211" s="165" t="s">
        <v>278</v>
      </c>
      <c r="D211" s="166">
        <v>2.98956710155556</v>
      </c>
      <c r="E211" s="167"/>
      <c r="F211" s="168">
        <v>2.3E-2</v>
      </c>
      <c r="G211" s="168">
        <v>1.2E-2</v>
      </c>
      <c r="H211" s="169"/>
      <c r="I211" s="170">
        <v>5</v>
      </c>
      <c r="J211" s="170">
        <v>4</v>
      </c>
      <c r="K211" s="167"/>
      <c r="L211" s="171">
        <v>1169.6177299999999</v>
      </c>
      <c r="M211" s="171">
        <v>1166.05223</v>
      </c>
      <c r="N211" s="171">
        <v>2335.6699600000002</v>
      </c>
      <c r="O211" s="166">
        <v>781.27363616781997</v>
      </c>
      <c r="P211" s="172">
        <v>222.37200000000001</v>
      </c>
      <c r="Q211" s="178">
        <v>3.5133633558533499</v>
      </c>
      <c r="R211" s="179">
        <v>1585.7800545079799</v>
      </c>
      <c r="S211" s="168">
        <v>0.01</v>
      </c>
      <c r="T211" s="168">
        <v>0.01</v>
      </c>
      <c r="U211" s="175">
        <v>0</v>
      </c>
      <c r="V211" s="176">
        <v>0</v>
      </c>
      <c r="W211" s="167"/>
      <c r="X211" s="175">
        <v>1749.3936249999999</v>
      </c>
      <c r="Y211" s="166">
        <v>585.16620151785196</v>
      </c>
      <c r="Z211" s="177">
        <v>573</v>
      </c>
      <c r="AA211" s="182">
        <v>1.0212324633819401</v>
      </c>
      <c r="AB211" s="183">
        <v>-182.89513368782701</v>
      </c>
      <c r="AC211" s="168">
        <v>8.9999999999999993E-3</v>
      </c>
      <c r="AD211" s="168">
        <v>2E-3</v>
      </c>
      <c r="AE211" s="176">
        <v>0</v>
      </c>
      <c r="AF211" s="176">
        <v>307</v>
      </c>
      <c r="AG211" s="167"/>
      <c r="AH211" s="180">
        <v>127.55</v>
      </c>
      <c r="AI211" s="166">
        <v>42.665040009850301</v>
      </c>
      <c r="AJ211" s="181" t="s">
        <v>53</v>
      </c>
      <c r="AK211" s="173">
        <v>0.67722285729921095</v>
      </c>
      <c r="AL211" s="174">
        <v>-84.900596504944403</v>
      </c>
      <c r="AM211" s="168"/>
      <c r="AN211" s="168"/>
      <c r="AO211" s="176">
        <v>61</v>
      </c>
      <c r="AP211" s="176">
        <v>99</v>
      </c>
      <c r="AQ211" s="167"/>
      <c r="AR211" s="180">
        <v>5</v>
      </c>
      <c r="AS211" s="166">
        <v>1.6724829482497201</v>
      </c>
      <c r="AT211" s="181" t="s">
        <v>54</v>
      </c>
      <c r="AU211" s="173">
        <v>0.10453018426560801</v>
      </c>
      <c r="AV211" s="174">
        <v>-48.9557070488748</v>
      </c>
      <c r="AW211" s="168"/>
      <c r="AX211" s="168"/>
      <c r="AY211" s="176">
        <v>43</v>
      </c>
      <c r="AZ211" s="176">
        <v>53</v>
      </c>
      <c r="BA211" s="167"/>
      <c r="BB211" s="184">
        <v>93.8</v>
      </c>
      <c r="BC211" s="180">
        <v>31.375780109164701</v>
      </c>
      <c r="BD211" s="181" t="s">
        <v>55</v>
      </c>
      <c r="BE211" s="182">
        <v>0.98049312841139702</v>
      </c>
      <c r="BF211" s="183">
        <v>-14.111414097749501</v>
      </c>
      <c r="BG211" s="168">
        <v>4.0000000000000001E-3</v>
      </c>
      <c r="BH211" s="168"/>
      <c r="BI211" s="176">
        <v>2</v>
      </c>
      <c r="BJ211" s="176">
        <v>21</v>
      </c>
      <c r="BK211" s="169"/>
      <c r="BL211" s="185">
        <v>0.8</v>
      </c>
      <c r="BM211" s="182">
        <v>0.81</v>
      </c>
      <c r="BN211" s="186">
        <v>3.7500000000000001E-4</v>
      </c>
      <c r="BO211" s="187">
        <v>0.95</v>
      </c>
      <c r="BP211" s="178">
        <v>1</v>
      </c>
      <c r="BQ211" s="186">
        <v>2.5000000000000001E-3</v>
      </c>
    </row>
    <row r="212" spans="1:69" s="156" customFormat="1" ht="22.35" customHeight="1" x14ac:dyDescent="0.2">
      <c r="A212" s="165" t="s">
        <v>275</v>
      </c>
      <c r="B212" s="165" t="s">
        <v>276</v>
      </c>
      <c r="C212" s="165" t="s">
        <v>279</v>
      </c>
      <c r="D212" s="166">
        <v>3.33559711066667</v>
      </c>
      <c r="E212" s="167"/>
      <c r="F212" s="168">
        <v>0.03</v>
      </c>
      <c r="G212" s="168">
        <v>0.03</v>
      </c>
      <c r="H212" s="169"/>
      <c r="I212" s="170">
        <v>3</v>
      </c>
      <c r="J212" s="170">
        <v>3</v>
      </c>
      <c r="K212" s="167"/>
      <c r="L212" s="171">
        <v>1686.6592800000001</v>
      </c>
      <c r="M212" s="171">
        <v>-112.52217</v>
      </c>
      <c r="N212" s="171">
        <v>1574.1371099999999</v>
      </c>
      <c r="O212" s="166">
        <v>471.92063602830802</v>
      </c>
      <c r="P212" s="172">
        <v>230.685</v>
      </c>
      <c r="Q212" s="178">
        <v>2.0457361164718502</v>
      </c>
      <c r="R212" s="179">
        <v>706.17244643316894</v>
      </c>
      <c r="S212" s="168">
        <v>0.01</v>
      </c>
      <c r="T212" s="168">
        <v>0.01</v>
      </c>
      <c r="U212" s="175">
        <v>0</v>
      </c>
      <c r="V212" s="176">
        <v>0</v>
      </c>
      <c r="W212" s="167"/>
      <c r="X212" s="175">
        <v>2755.0279700000001</v>
      </c>
      <c r="Y212" s="166">
        <v>825.94746265665401</v>
      </c>
      <c r="Z212" s="177">
        <v>573</v>
      </c>
      <c r="AA212" s="178">
        <v>1.44144408840603</v>
      </c>
      <c r="AB212" s="179">
        <v>599.08479110326198</v>
      </c>
      <c r="AC212" s="168">
        <v>0.02</v>
      </c>
      <c r="AD212" s="168">
        <v>0.02</v>
      </c>
      <c r="AE212" s="176">
        <v>0</v>
      </c>
      <c r="AF212" s="176">
        <v>0</v>
      </c>
      <c r="AG212" s="167"/>
      <c r="AH212" s="180">
        <v>135.5</v>
      </c>
      <c r="AI212" s="166">
        <v>40.622411971366198</v>
      </c>
      <c r="AJ212" s="181" t="s">
        <v>53</v>
      </c>
      <c r="AK212" s="173">
        <v>0.64480019002168498</v>
      </c>
      <c r="AL212" s="174">
        <v>-101.54087307241601</v>
      </c>
      <c r="AM212" s="168"/>
      <c r="AN212" s="168"/>
      <c r="AO212" s="176">
        <v>75</v>
      </c>
      <c r="AP212" s="176">
        <v>117</v>
      </c>
      <c r="AQ212" s="167"/>
      <c r="AR212" s="180">
        <v>12</v>
      </c>
      <c r="AS212" s="166">
        <v>3.5975567797519901</v>
      </c>
      <c r="AT212" s="181" t="s">
        <v>54</v>
      </c>
      <c r="AU212" s="173">
        <v>0.22484729873449899</v>
      </c>
      <c r="AV212" s="174">
        <v>-48.200856653312101</v>
      </c>
      <c r="AW212" s="168"/>
      <c r="AX212" s="168"/>
      <c r="AY212" s="176">
        <v>42</v>
      </c>
      <c r="AZ212" s="176">
        <v>53</v>
      </c>
      <c r="BA212" s="167"/>
      <c r="BB212" s="184">
        <v>94.2</v>
      </c>
      <c r="BC212" s="180">
        <v>28.240820721053101</v>
      </c>
      <c r="BD212" s="181" t="s">
        <v>55</v>
      </c>
      <c r="BE212" s="188">
        <v>0.88252564753290896</v>
      </c>
      <c r="BF212" s="171">
        <v>-26.2017133066241</v>
      </c>
      <c r="BG212" s="168"/>
      <c r="BH212" s="168"/>
      <c r="BI212" s="176">
        <v>13</v>
      </c>
      <c r="BJ212" s="176">
        <v>34</v>
      </c>
      <c r="BK212" s="169"/>
      <c r="BL212" s="185">
        <v>0.8</v>
      </c>
      <c r="BM212" s="188">
        <v>0.75</v>
      </c>
      <c r="BN212" s="186"/>
      <c r="BO212" s="187">
        <v>0.95</v>
      </c>
      <c r="BP212" s="178">
        <v>1</v>
      </c>
      <c r="BQ212" s="186">
        <v>2.5000000000000001E-3</v>
      </c>
    </row>
    <row r="213" spans="1:69" s="156" customFormat="1" ht="22.35" customHeight="1" x14ac:dyDescent="0.2">
      <c r="A213" s="165" t="s">
        <v>275</v>
      </c>
      <c r="B213" s="165" t="s">
        <v>276</v>
      </c>
      <c r="C213" s="165" t="s">
        <v>280</v>
      </c>
      <c r="D213" s="166">
        <v>3.7485562538888901</v>
      </c>
      <c r="E213" s="167"/>
      <c r="F213" s="168">
        <v>3.4000000000000002E-2</v>
      </c>
      <c r="G213" s="168">
        <v>2.1000000000000001E-2</v>
      </c>
      <c r="H213" s="169"/>
      <c r="I213" s="170">
        <v>4</v>
      </c>
      <c r="J213" s="170">
        <v>3</v>
      </c>
      <c r="K213" s="167"/>
      <c r="L213" s="171">
        <v>1771.6225300000001</v>
      </c>
      <c r="M213" s="171">
        <v>1679.1724899999999</v>
      </c>
      <c r="N213" s="171">
        <v>3450.79502</v>
      </c>
      <c r="O213" s="166">
        <v>920.56642245131604</v>
      </c>
      <c r="P213" s="172">
        <v>260.827</v>
      </c>
      <c r="Q213" s="178">
        <v>3.52941383542086</v>
      </c>
      <c r="R213" s="179">
        <v>2347.92157866669</v>
      </c>
      <c r="S213" s="168">
        <v>0.01</v>
      </c>
      <c r="T213" s="168">
        <v>0.01</v>
      </c>
      <c r="U213" s="175">
        <v>0</v>
      </c>
      <c r="V213" s="176">
        <v>0</v>
      </c>
      <c r="W213" s="167"/>
      <c r="X213" s="175">
        <v>1955.822195</v>
      </c>
      <c r="Y213" s="166">
        <v>521.75345987430705</v>
      </c>
      <c r="Z213" s="177">
        <v>573</v>
      </c>
      <c r="AA213" s="188">
        <v>0.910564502398442</v>
      </c>
      <c r="AB213" s="171">
        <v>-467.03464836356102</v>
      </c>
      <c r="AC213" s="168"/>
      <c r="AD213" s="168"/>
      <c r="AE213" s="176">
        <v>193</v>
      </c>
      <c r="AF213" s="176">
        <v>622</v>
      </c>
      <c r="AG213" s="167"/>
      <c r="AH213" s="180">
        <v>234.2</v>
      </c>
      <c r="AI213" s="166">
        <v>62.477387062561</v>
      </c>
      <c r="AJ213" s="181" t="s">
        <v>53</v>
      </c>
      <c r="AK213" s="182">
        <v>0.99170455654858802</v>
      </c>
      <c r="AL213" s="183">
        <v>-32.187401626360099</v>
      </c>
      <c r="AM213" s="168">
        <v>6.0000000000000001E-3</v>
      </c>
      <c r="AN213" s="168"/>
      <c r="AO213" s="176">
        <v>2</v>
      </c>
      <c r="AP213" s="176">
        <v>50</v>
      </c>
      <c r="AQ213" s="167"/>
      <c r="AR213" s="180">
        <v>26</v>
      </c>
      <c r="AS213" s="166">
        <v>6.9360036875601496</v>
      </c>
      <c r="AT213" s="181" t="s">
        <v>54</v>
      </c>
      <c r="AU213" s="173">
        <v>0.43350023047250902</v>
      </c>
      <c r="AV213" s="174">
        <v>-41.653943270186701</v>
      </c>
      <c r="AW213" s="168"/>
      <c r="AX213" s="168"/>
      <c r="AY213" s="176">
        <v>34</v>
      </c>
      <c r="AZ213" s="176">
        <v>46</v>
      </c>
      <c r="BA213" s="167"/>
      <c r="BB213" s="184">
        <v>133</v>
      </c>
      <c r="BC213" s="180">
        <v>35.4803265555961</v>
      </c>
      <c r="BD213" s="181" t="s">
        <v>55</v>
      </c>
      <c r="BE213" s="182">
        <v>1.1087602048623799</v>
      </c>
      <c r="BF213" s="183">
        <v>-2.3078865403734001</v>
      </c>
      <c r="BG213" s="168">
        <v>1.7999999999999999E-2</v>
      </c>
      <c r="BH213" s="168">
        <v>1.0999999999999999E-2</v>
      </c>
      <c r="BI213" s="176">
        <v>0</v>
      </c>
      <c r="BJ213" s="176">
        <v>11</v>
      </c>
      <c r="BK213" s="169"/>
      <c r="BL213" s="185">
        <v>0.8</v>
      </c>
      <c r="BM213" s="188">
        <v>0.79</v>
      </c>
      <c r="BN213" s="186"/>
      <c r="BO213" s="187">
        <v>0.95</v>
      </c>
      <c r="BP213" s="178">
        <v>1</v>
      </c>
      <c r="BQ213" s="186">
        <v>2.5000000000000001E-3</v>
      </c>
    </row>
    <row r="214" spans="1:69" s="156" customFormat="1" ht="22.35" customHeight="1" x14ac:dyDescent="0.2">
      <c r="A214" s="165" t="s">
        <v>275</v>
      </c>
      <c r="B214" s="165" t="s">
        <v>276</v>
      </c>
      <c r="C214" s="165" t="s">
        <v>281</v>
      </c>
      <c r="D214" s="166">
        <v>3.10896044855556</v>
      </c>
      <c r="E214" s="167"/>
      <c r="F214" s="168">
        <v>2.5000000000000001E-2</v>
      </c>
      <c r="G214" s="168">
        <v>1.7999999999999999E-2</v>
      </c>
      <c r="H214" s="169"/>
      <c r="I214" s="170">
        <v>4</v>
      </c>
      <c r="J214" s="170">
        <v>4</v>
      </c>
      <c r="K214" s="167"/>
      <c r="L214" s="171">
        <v>1539.0305000000001</v>
      </c>
      <c r="M214" s="171">
        <v>2455.2160699999999</v>
      </c>
      <c r="N214" s="171">
        <v>3994.2465699999998</v>
      </c>
      <c r="O214" s="166">
        <v>1284.75309869437</v>
      </c>
      <c r="P214" s="172">
        <v>237.98699999999999</v>
      </c>
      <c r="Q214" s="178">
        <v>5.3984171349459</v>
      </c>
      <c r="R214" s="179">
        <v>3159.6482019350001</v>
      </c>
      <c r="S214" s="168">
        <v>0.01</v>
      </c>
      <c r="T214" s="168">
        <v>0.01</v>
      </c>
      <c r="U214" s="175">
        <v>0</v>
      </c>
      <c r="V214" s="176">
        <v>0</v>
      </c>
      <c r="W214" s="167"/>
      <c r="X214" s="175">
        <v>1923.5525950000001</v>
      </c>
      <c r="Y214" s="166">
        <v>618.71246895202398</v>
      </c>
      <c r="Z214" s="177">
        <v>573</v>
      </c>
      <c r="AA214" s="182">
        <v>1.0797774327260501</v>
      </c>
      <c r="AB214" s="183">
        <v>-85.905337161195106</v>
      </c>
      <c r="AC214" s="168">
        <v>1.4999999999999999E-2</v>
      </c>
      <c r="AD214" s="168">
        <v>8.0000000000000002E-3</v>
      </c>
      <c r="AE214" s="176">
        <v>0</v>
      </c>
      <c r="AF214" s="176">
        <v>215</v>
      </c>
      <c r="AG214" s="167"/>
      <c r="AH214" s="180">
        <v>82.5</v>
      </c>
      <c r="AI214" s="166">
        <v>26.536201204595599</v>
      </c>
      <c r="AJ214" s="181" t="s">
        <v>53</v>
      </c>
      <c r="AK214" s="173">
        <v>0.421209542930089</v>
      </c>
      <c r="AL214" s="174">
        <v>-138.43516531615199</v>
      </c>
      <c r="AM214" s="168"/>
      <c r="AN214" s="168"/>
      <c r="AO214" s="176">
        <v>114</v>
      </c>
      <c r="AP214" s="176">
        <v>153</v>
      </c>
      <c r="AQ214" s="167"/>
      <c r="AR214" s="180">
        <v>5.8</v>
      </c>
      <c r="AS214" s="166">
        <v>1.8655753574139899</v>
      </c>
      <c r="AT214" s="181" t="s">
        <v>54</v>
      </c>
      <c r="AU214" s="173">
        <v>0.116598459838374</v>
      </c>
      <c r="AV214" s="174">
        <v>-50.310518175530802</v>
      </c>
      <c r="AW214" s="168"/>
      <c r="AX214" s="168"/>
      <c r="AY214" s="176">
        <v>44</v>
      </c>
      <c r="AZ214" s="176">
        <v>54</v>
      </c>
      <c r="BA214" s="167"/>
      <c r="BB214" s="184">
        <v>62.6</v>
      </c>
      <c r="BC214" s="180">
        <v>20.1353478231234</v>
      </c>
      <c r="BD214" s="181" t="s">
        <v>55</v>
      </c>
      <c r="BE214" s="173">
        <v>0.62922961947260803</v>
      </c>
      <c r="BF214" s="174">
        <v>-49.621036351061498</v>
      </c>
      <c r="BG214" s="168"/>
      <c r="BH214" s="168"/>
      <c r="BI214" s="176">
        <v>37</v>
      </c>
      <c r="BJ214" s="176">
        <v>57</v>
      </c>
      <c r="BK214" s="169"/>
      <c r="BL214" s="185">
        <v>0.8</v>
      </c>
      <c r="BM214" s="182">
        <v>0.88</v>
      </c>
      <c r="BN214" s="186">
        <v>3.0000000000000001E-3</v>
      </c>
      <c r="BO214" s="187">
        <v>0.95</v>
      </c>
      <c r="BP214" s="178">
        <v>1</v>
      </c>
      <c r="BQ214" s="186">
        <v>2.5000000000000001E-3</v>
      </c>
    </row>
    <row r="215" spans="1:69" s="156" customFormat="1" ht="22.35" customHeight="1" x14ac:dyDescent="0.2">
      <c r="A215" s="165" t="s">
        <v>275</v>
      </c>
      <c r="B215" s="165" t="s">
        <v>276</v>
      </c>
      <c r="C215" s="165" t="s">
        <v>282</v>
      </c>
      <c r="D215" s="166">
        <v>3.74723678633333</v>
      </c>
      <c r="E215" s="167"/>
      <c r="F215" s="168">
        <v>0.03</v>
      </c>
      <c r="G215" s="168">
        <v>0.03</v>
      </c>
      <c r="H215" s="169"/>
      <c r="I215" s="170">
        <v>4</v>
      </c>
      <c r="J215" s="170">
        <v>4</v>
      </c>
      <c r="K215" s="167"/>
      <c r="L215" s="171">
        <v>1384.8727699999999</v>
      </c>
      <c r="M215" s="171">
        <v>4676.69499</v>
      </c>
      <c r="N215" s="171">
        <v>6061.5677599999999</v>
      </c>
      <c r="O215" s="166">
        <v>1617.61001656136</v>
      </c>
      <c r="P215" s="172">
        <v>287.5</v>
      </c>
      <c r="Q215" s="178">
        <v>5.6264696228221203</v>
      </c>
      <c r="R215" s="179">
        <v>4846.3388701921003</v>
      </c>
      <c r="S215" s="168">
        <v>0.01</v>
      </c>
      <c r="T215" s="168">
        <v>0.01</v>
      </c>
      <c r="U215" s="175">
        <v>0</v>
      </c>
      <c r="V215" s="176">
        <v>0</v>
      </c>
      <c r="W215" s="167"/>
      <c r="X215" s="175">
        <v>2006.0844500000001</v>
      </c>
      <c r="Y215" s="166">
        <v>535.35032995951997</v>
      </c>
      <c r="Z215" s="177">
        <v>573</v>
      </c>
      <c r="AA215" s="188">
        <v>0.93429376956286103</v>
      </c>
      <c r="AB215" s="171">
        <v>-415.91956342583001</v>
      </c>
      <c r="AC215" s="168"/>
      <c r="AD215" s="168"/>
      <c r="AE215" s="176">
        <v>142</v>
      </c>
      <c r="AF215" s="176">
        <v>571</v>
      </c>
      <c r="AG215" s="167"/>
      <c r="AH215" s="180">
        <v>133.94999999999999</v>
      </c>
      <c r="AI215" s="166">
        <v>35.746339940014799</v>
      </c>
      <c r="AJ215" s="181" t="s">
        <v>53</v>
      </c>
      <c r="AK215" s="173">
        <v>0.567402221270076</v>
      </c>
      <c r="AL215" s="174">
        <v>-132.34363498399199</v>
      </c>
      <c r="AM215" s="168"/>
      <c r="AN215" s="168"/>
      <c r="AO215" s="176">
        <v>103</v>
      </c>
      <c r="AP215" s="176">
        <v>150</v>
      </c>
      <c r="AQ215" s="167"/>
      <c r="AR215" s="180">
        <v>36.200000000000003</v>
      </c>
      <c r="AS215" s="166">
        <v>9.6604517045803409</v>
      </c>
      <c r="AT215" s="181" t="s">
        <v>54</v>
      </c>
      <c r="AU215" s="173">
        <v>0.60377823153627097</v>
      </c>
      <c r="AV215" s="174">
        <v>-31.4301295197439</v>
      </c>
      <c r="AW215" s="168"/>
      <c r="AX215" s="168"/>
      <c r="AY215" s="176">
        <v>24</v>
      </c>
      <c r="AZ215" s="176">
        <v>36</v>
      </c>
      <c r="BA215" s="167"/>
      <c r="BB215" s="184">
        <v>154</v>
      </c>
      <c r="BC215" s="180">
        <v>41.096949240479901</v>
      </c>
      <c r="BD215" s="181" t="s">
        <v>55</v>
      </c>
      <c r="BE215" s="178">
        <v>1.284279663765</v>
      </c>
      <c r="BF215" s="179">
        <v>18.739740960512101</v>
      </c>
      <c r="BG215" s="168">
        <v>0.02</v>
      </c>
      <c r="BH215" s="168">
        <v>0.02</v>
      </c>
      <c r="BI215" s="176">
        <v>0</v>
      </c>
      <c r="BJ215" s="176">
        <v>0</v>
      </c>
      <c r="BK215" s="169"/>
      <c r="BL215" s="185">
        <v>0.8</v>
      </c>
      <c r="BM215" s="182">
        <v>0.84</v>
      </c>
      <c r="BN215" s="186">
        <v>1.5E-3</v>
      </c>
      <c r="BO215" s="187">
        <v>0.95</v>
      </c>
      <c r="BP215" s="178">
        <v>1</v>
      </c>
      <c r="BQ215" s="186">
        <v>2.5000000000000001E-3</v>
      </c>
    </row>
    <row r="216" spans="1:69" s="156" customFormat="1" ht="22.35" customHeight="1" x14ac:dyDescent="0.2">
      <c r="A216" s="165" t="s">
        <v>275</v>
      </c>
      <c r="B216" s="165" t="s">
        <v>276</v>
      </c>
      <c r="C216" s="165" t="s">
        <v>283</v>
      </c>
      <c r="D216" s="166">
        <v>4.8968438782222199</v>
      </c>
      <c r="E216" s="167"/>
      <c r="F216" s="168">
        <v>4.4999999999999998E-2</v>
      </c>
      <c r="G216" s="168">
        <v>3.7999999999999999E-2</v>
      </c>
      <c r="H216" s="169"/>
      <c r="I216" s="170">
        <v>4</v>
      </c>
      <c r="J216" s="170">
        <v>4</v>
      </c>
      <c r="K216" s="167"/>
      <c r="L216" s="171">
        <v>3967.29547</v>
      </c>
      <c r="M216" s="171">
        <v>4434.3383999999996</v>
      </c>
      <c r="N216" s="171">
        <v>8401.6338699999997</v>
      </c>
      <c r="O216" s="166">
        <v>1715.7242662696799</v>
      </c>
      <c r="P216" s="172">
        <v>287.5</v>
      </c>
      <c r="Q216" s="178">
        <v>5.9677365783293199</v>
      </c>
      <c r="R216" s="179">
        <v>6813.5874002925302</v>
      </c>
      <c r="S216" s="168">
        <v>0.01</v>
      </c>
      <c r="T216" s="168">
        <v>0.01</v>
      </c>
      <c r="U216" s="175">
        <v>0</v>
      </c>
      <c r="V216" s="176">
        <v>0</v>
      </c>
      <c r="W216" s="167"/>
      <c r="X216" s="175">
        <v>3033.18986</v>
      </c>
      <c r="Y216" s="166">
        <v>619.41730948163001</v>
      </c>
      <c r="Z216" s="177">
        <v>573</v>
      </c>
      <c r="AA216" s="182">
        <v>1.08100752091035</v>
      </c>
      <c r="AB216" s="183">
        <v>-131.855799625663</v>
      </c>
      <c r="AC216" s="168">
        <v>1.4999999999999999E-2</v>
      </c>
      <c r="AD216" s="168">
        <v>8.0000000000000002E-3</v>
      </c>
      <c r="AE216" s="176">
        <v>0</v>
      </c>
      <c r="AF216" s="176">
        <v>334</v>
      </c>
      <c r="AG216" s="167"/>
      <c r="AH216" s="180">
        <v>216.1</v>
      </c>
      <c r="AI216" s="166">
        <v>44.1304655353754</v>
      </c>
      <c r="AJ216" s="181" t="s">
        <v>53</v>
      </c>
      <c r="AK216" s="173">
        <v>0.70048357992659405</v>
      </c>
      <c r="AL216" s="174">
        <v>-131.88931336198399</v>
      </c>
      <c r="AM216" s="168"/>
      <c r="AN216" s="168"/>
      <c r="AO216" s="176">
        <v>93</v>
      </c>
      <c r="AP216" s="176">
        <v>155</v>
      </c>
      <c r="AQ216" s="167"/>
      <c r="AR216" s="180">
        <v>56.3</v>
      </c>
      <c r="AS216" s="166">
        <v>11.497201340313</v>
      </c>
      <c r="AT216" s="181" t="s">
        <v>54</v>
      </c>
      <c r="AU216" s="173">
        <v>0.71857508376956203</v>
      </c>
      <c r="AV216" s="174">
        <v>-32.078238314154603</v>
      </c>
      <c r="AW216" s="168"/>
      <c r="AX216" s="168"/>
      <c r="AY216" s="176">
        <v>23</v>
      </c>
      <c r="AZ216" s="176">
        <v>38</v>
      </c>
      <c r="BA216" s="167"/>
      <c r="BB216" s="184">
        <v>192.2</v>
      </c>
      <c r="BC216" s="180">
        <v>39.249770827853602</v>
      </c>
      <c r="BD216" s="181" t="s">
        <v>55</v>
      </c>
      <c r="BE216" s="178">
        <v>1.22655533837042</v>
      </c>
      <c r="BF216" s="179">
        <v>15.4435233716908</v>
      </c>
      <c r="BG216" s="168">
        <v>0.02</v>
      </c>
      <c r="BH216" s="168">
        <v>0.02</v>
      </c>
      <c r="BI216" s="176">
        <v>0</v>
      </c>
      <c r="BJ216" s="176">
        <v>0</v>
      </c>
      <c r="BK216" s="169"/>
      <c r="BL216" s="185">
        <v>0.8</v>
      </c>
      <c r="BM216" s="188">
        <v>0.74</v>
      </c>
      <c r="BN216" s="186"/>
      <c r="BO216" s="187">
        <v>0.95</v>
      </c>
      <c r="BP216" s="178">
        <v>1</v>
      </c>
      <c r="BQ216" s="186">
        <v>2.5000000000000001E-3</v>
      </c>
    </row>
    <row r="217" spans="1:69" s="156" customFormat="1" ht="22.35" customHeight="1" x14ac:dyDescent="0.2">
      <c r="A217" s="165" t="s">
        <v>275</v>
      </c>
      <c r="B217" s="165" t="s">
        <v>276</v>
      </c>
      <c r="C217" s="165" t="s">
        <v>284</v>
      </c>
      <c r="D217" s="166">
        <v>2.87505723911111</v>
      </c>
      <c r="E217" s="167"/>
      <c r="F217" s="168">
        <v>0.03</v>
      </c>
      <c r="G217" s="168">
        <v>2.3E-2</v>
      </c>
      <c r="H217" s="169"/>
      <c r="I217" s="170">
        <v>3</v>
      </c>
      <c r="J217" s="170">
        <v>3</v>
      </c>
      <c r="K217" s="167"/>
      <c r="L217" s="171">
        <v>836.24391000000003</v>
      </c>
      <c r="M217" s="171">
        <v>1667.4358199999999</v>
      </c>
      <c r="N217" s="171">
        <v>2503.6797299999998</v>
      </c>
      <c r="O217" s="166">
        <v>870.82778594490503</v>
      </c>
      <c r="P217" s="172">
        <v>287.5</v>
      </c>
      <c r="Q217" s="178">
        <v>3.0289662119822802</v>
      </c>
      <c r="R217" s="179">
        <v>1571.29866735627</v>
      </c>
      <c r="S217" s="168">
        <v>0.01</v>
      </c>
      <c r="T217" s="168">
        <v>0.01</v>
      </c>
      <c r="U217" s="175">
        <v>0</v>
      </c>
      <c r="V217" s="176">
        <v>0</v>
      </c>
      <c r="W217" s="167"/>
      <c r="X217" s="175">
        <v>1864.3534649999999</v>
      </c>
      <c r="Y217" s="166">
        <v>648.45786012121505</v>
      </c>
      <c r="Z217" s="177">
        <v>573</v>
      </c>
      <c r="AA217" s="178">
        <v>1.1316891101591899</v>
      </c>
      <c r="AB217" s="179">
        <v>6.0774688439687496</v>
      </c>
      <c r="AC217" s="168">
        <v>0.02</v>
      </c>
      <c r="AD217" s="168">
        <v>1.2999999999999999E-2</v>
      </c>
      <c r="AE217" s="176">
        <v>0</v>
      </c>
      <c r="AF217" s="176">
        <v>113</v>
      </c>
      <c r="AG217" s="167"/>
      <c r="AH217" s="180">
        <v>113.05</v>
      </c>
      <c r="AI217" s="166">
        <v>39.320956279448502</v>
      </c>
      <c r="AJ217" s="181" t="s">
        <v>53</v>
      </c>
      <c r="AK217" s="173">
        <v>0.62414216316585003</v>
      </c>
      <c r="AL217" s="174">
        <v>-91.263067640192006</v>
      </c>
      <c r="AM217" s="168"/>
      <c r="AN217" s="168"/>
      <c r="AO217" s="176">
        <v>69</v>
      </c>
      <c r="AP217" s="176">
        <v>105</v>
      </c>
      <c r="AQ217" s="167"/>
      <c r="AR217" s="180">
        <v>22.6</v>
      </c>
      <c r="AS217" s="166">
        <v>7.8607130642683503</v>
      </c>
      <c r="AT217" s="181" t="s">
        <v>54</v>
      </c>
      <c r="AU217" s="173">
        <v>0.491294566516772</v>
      </c>
      <c r="AV217" s="174">
        <v>-29.289033051477301</v>
      </c>
      <c r="AW217" s="168"/>
      <c r="AX217" s="168"/>
      <c r="AY217" s="176">
        <v>24</v>
      </c>
      <c r="AZ217" s="176">
        <v>33</v>
      </c>
      <c r="BA217" s="167"/>
      <c r="BB217" s="184">
        <v>73</v>
      </c>
      <c r="BC217" s="180">
        <v>25.390798835910999</v>
      </c>
      <c r="BD217" s="181" t="s">
        <v>55</v>
      </c>
      <c r="BE217" s="188">
        <v>0.79346246362221995</v>
      </c>
      <c r="BF217" s="171">
        <v>-30.7780661029546</v>
      </c>
      <c r="BG217" s="168"/>
      <c r="BH217" s="168"/>
      <c r="BI217" s="176">
        <v>20</v>
      </c>
      <c r="BJ217" s="176">
        <v>38</v>
      </c>
      <c r="BK217" s="169"/>
      <c r="BL217" s="185">
        <v>0.8</v>
      </c>
      <c r="BM217" s="188">
        <v>0.73</v>
      </c>
      <c r="BN217" s="186"/>
      <c r="BO217" s="187">
        <v>0.95</v>
      </c>
      <c r="BP217" s="178">
        <v>1</v>
      </c>
      <c r="BQ217" s="186">
        <v>2.5000000000000001E-3</v>
      </c>
    </row>
    <row r="218" spans="1:69" s="156" customFormat="1" ht="22.35" customHeight="1" x14ac:dyDescent="0.2">
      <c r="A218" s="165" t="s">
        <v>275</v>
      </c>
      <c r="B218" s="165" t="s">
        <v>276</v>
      </c>
      <c r="C218" s="165" t="s">
        <v>285</v>
      </c>
      <c r="D218" s="166">
        <v>2.5461804328888902</v>
      </c>
      <c r="E218" s="167"/>
      <c r="F218" s="168">
        <v>3.4000000000000002E-2</v>
      </c>
      <c r="G218" s="168">
        <v>0.03</v>
      </c>
      <c r="H218" s="169"/>
      <c r="I218" s="170">
        <v>5</v>
      </c>
      <c r="J218" s="170">
        <v>4</v>
      </c>
      <c r="K218" s="167"/>
      <c r="L218" s="171">
        <v>2781.8018000000002</v>
      </c>
      <c r="M218" s="171">
        <v>2311.0637299999999</v>
      </c>
      <c r="N218" s="171">
        <v>5092.86553</v>
      </c>
      <c r="O218" s="166">
        <v>2000.1982044224801</v>
      </c>
      <c r="P218" s="172">
        <v>271.947</v>
      </c>
      <c r="Q218" s="178">
        <v>7.3551030326588602</v>
      </c>
      <c r="R218" s="179">
        <v>4311.8088551537603</v>
      </c>
      <c r="S218" s="168">
        <v>0.01</v>
      </c>
      <c r="T218" s="168">
        <v>0.01</v>
      </c>
      <c r="U218" s="175">
        <v>0</v>
      </c>
      <c r="V218" s="176">
        <v>0</v>
      </c>
      <c r="W218" s="167"/>
      <c r="X218" s="175">
        <v>2381.077405</v>
      </c>
      <c r="Y218" s="166">
        <v>935.15658758654297</v>
      </c>
      <c r="Z218" s="177">
        <v>573</v>
      </c>
      <c r="AA218" s="178">
        <v>1.6320359294704101</v>
      </c>
      <c r="AB218" s="179">
        <v>735.36895928486297</v>
      </c>
      <c r="AC218" s="168">
        <v>0.02</v>
      </c>
      <c r="AD218" s="168">
        <v>0.02</v>
      </c>
      <c r="AE218" s="176">
        <v>0</v>
      </c>
      <c r="AF218" s="176">
        <v>0</v>
      </c>
      <c r="AG218" s="167"/>
      <c r="AH218" s="180">
        <v>135.85</v>
      </c>
      <c r="AI218" s="166">
        <v>53.354427771587602</v>
      </c>
      <c r="AJ218" s="181" t="s">
        <v>53</v>
      </c>
      <c r="AK218" s="188">
        <v>0.84689567891409001</v>
      </c>
      <c r="AL218" s="171">
        <v>-45.091766282816103</v>
      </c>
      <c r="AM218" s="168"/>
      <c r="AN218" s="168"/>
      <c r="AO218" s="176">
        <v>25</v>
      </c>
      <c r="AP218" s="176">
        <v>57</v>
      </c>
      <c r="AQ218" s="167"/>
      <c r="AR218" s="180">
        <v>17.8</v>
      </c>
      <c r="AS218" s="166">
        <v>6.9908635578524896</v>
      </c>
      <c r="AT218" s="181" t="s">
        <v>54</v>
      </c>
      <c r="AU218" s="173">
        <v>0.43692897236578099</v>
      </c>
      <c r="AV218" s="174">
        <v>-28.153464452778699</v>
      </c>
      <c r="AW218" s="168"/>
      <c r="AX218" s="168"/>
      <c r="AY218" s="176">
        <v>23</v>
      </c>
      <c r="AZ218" s="176">
        <v>32</v>
      </c>
      <c r="BA218" s="167"/>
      <c r="BB218" s="184">
        <v>79.599999999999994</v>
      </c>
      <c r="BC218" s="180">
        <v>31.262513438486401</v>
      </c>
      <c r="BD218" s="181" t="s">
        <v>55</v>
      </c>
      <c r="BE218" s="182">
        <v>0.97695354495270004</v>
      </c>
      <c r="BF218" s="183">
        <v>-12.306928905557401</v>
      </c>
      <c r="BG218" s="168">
        <v>4.0000000000000001E-3</v>
      </c>
      <c r="BH218" s="168"/>
      <c r="BI218" s="176">
        <v>2</v>
      </c>
      <c r="BJ218" s="176">
        <v>19</v>
      </c>
      <c r="BK218" s="169"/>
      <c r="BL218" s="185">
        <v>0.8</v>
      </c>
      <c r="BM218" s="182">
        <v>0.82</v>
      </c>
      <c r="BN218" s="186">
        <v>7.5000000000000002E-4</v>
      </c>
      <c r="BO218" s="187">
        <v>0.95</v>
      </c>
      <c r="BP218" s="178">
        <v>1</v>
      </c>
      <c r="BQ218" s="186">
        <v>2.5000000000000001E-3</v>
      </c>
    </row>
    <row r="219" spans="1:69" s="156" customFormat="1" ht="22.35" customHeight="1" x14ac:dyDescent="0.2">
      <c r="A219" s="165" t="s">
        <v>275</v>
      </c>
      <c r="B219" s="165" t="s">
        <v>276</v>
      </c>
      <c r="C219" s="165" t="s">
        <v>286</v>
      </c>
      <c r="D219" s="166">
        <v>3.79118941177778</v>
      </c>
      <c r="E219" s="167"/>
      <c r="F219" s="168">
        <v>0.03</v>
      </c>
      <c r="G219" s="168">
        <v>0.03</v>
      </c>
      <c r="H219" s="169"/>
      <c r="I219" s="170">
        <v>3</v>
      </c>
      <c r="J219" s="170">
        <v>3</v>
      </c>
      <c r="K219" s="167"/>
      <c r="L219" s="171">
        <v>2348.2290200000002</v>
      </c>
      <c r="M219" s="171">
        <v>2795.8460700000001</v>
      </c>
      <c r="N219" s="171">
        <v>5144.0750900000003</v>
      </c>
      <c r="O219" s="166">
        <v>1356.8499305308601</v>
      </c>
      <c r="P219" s="172">
        <v>272.346</v>
      </c>
      <c r="Q219" s="178">
        <v>4.9820813616901303</v>
      </c>
      <c r="R219" s="179">
        <v>3979.3978637028399</v>
      </c>
      <c r="S219" s="168">
        <v>0.01</v>
      </c>
      <c r="T219" s="168">
        <v>0.01</v>
      </c>
      <c r="U219" s="175">
        <v>0</v>
      </c>
      <c r="V219" s="176">
        <v>0</v>
      </c>
      <c r="W219" s="167"/>
      <c r="X219" s="175">
        <v>1605.4983549999999</v>
      </c>
      <c r="Y219" s="166">
        <v>423.48144094629799</v>
      </c>
      <c r="Z219" s="177">
        <v>573</v>
      </c>
      <c r="AA219" s="173">
        <v>0.73906010636352104</v>
      </c>
      <c r="AB219" s="174">
        <v>-844.91417416609795</v>
      </c>
      <c r="AC219" s="168"/>
      <c r="AD219" s="168"/>
      <c r="AE219" s="176">
        <v>567</v>
      </c>
      <c r="AF219" s="176">
        <v>1002</v>
      </c>
      <c r="AG219" s="167"/>
      <c r="AH219" s="180">
        <v>90.9</v>
      </c>
      <c r="AI219" s="166">
        <v>23.976644299967798</v>
      </c>
      <c r="AJ219" s="181" t="s">
        <v>53</v>
      </c>
      <c r="AK219" s="173">
        <v>0.38058165555504497</v>
      </c>
      <c r="AL219" s="174">
        <v>-178.517084358576</v>
      </c>
      <c r="AM219" s="168"/>
      <c r="AN219" s="168"/>
      <c r="AO219" s="176">
        <v>148</v>
      </c>
      <c r="AP219" s="176">
        <v>196</v>
      </c>
      <c r="AQ219" s="167"/>
      <c r="AR219" s="180">
        <v>33</v>
      </c>
      <c r="AS219" s="166">
        <v>8.7043923201203306</v>
      </c>
      <c r="AT219" s="181" t="s">
        <v>54</v>
      </c>
      <c r="AU219" s="173">
        <v>0.544024520007521</v>
      </c>
      <c r="AV219" s="174">
        <v>-35.4233865037654</v>
      </c>
      <c r="AW219" s="168"/>
      <c r="AX219" s="168"/>
      <c r="AY219" s="176">
        <v>28</v>
      </c>
      <c r="AZ219" s="176">
        <v>40</v>
      </c>
      <c r="BA219" s="167"/>
      <c r="BB219" s="184">
        <v>186.4</v>
      </c>
      <c r="BC219" s="180">
        <v>49.166628135467597</v>
      </c>
      <c r="BD219" s="181" t="s">
        <v>55</v>
      </c>
      <c r="BE219" s="178">
        <v>1.53645712923336</v>
      </c>
      <c r="BF219" s="179">
        <v>49.553226992469199</v>
      </c>
      <c r="BG219" s="168">
        <v>0.02</v>
      </c>
      <c r="BH219" s="168">
        <v>0.02</v>
      </c>
      <c r="BI219" s="176">
        <v>0</v>
      </c>
      <c r="BJ219" s="176">
        <v>0</v>
      </c>
      <c r="BK219" s="169"/>
      <c r="BL219" s="185">
        <v>0.8</v>
      </c>
      <c r="BM219" s="188">
        <v>0.75</v>
      </c>
      <c r="BN219" s="186"/>
      <c r="BO219" s="187">
        <v>0.95</v>
      </c>
      <c r="BP219" s="178">
        <v>1</v>
      </c>
      <c r="BQ219" s="186">
        <v>2.5000000000000001E-3</v>
      </c>
    </row>
    <row r="220" spans="1:69" s="156" customFormat="1" ht="22.35" customHeight="1" x14ac:dyDescent="0.2">
      <c r="A220" s="165" t="s">
        <v>275</v>
      </c>
      <c r="B220" s="165" t="s">
        <v>276</v>
      </c>
      <c r="C220" s="165" t="s">
        <v>287</v>
      </c>
      <c r="D220" s="166">
        <v>4.0983728111111102</v>
      </c>
      <c r="E220" s="167"/>
      <c r="F220" s="168">
        <v>2.9000000000000001E-2</v>
      </c>
      <c r="G220" s="168">
        <v>2.1999999999999999E-2</v>
      </c>
      <c r="H220" s="169"/>
      <c r="I220" s="170">
        <v>3</v>
      </c>
      <c r="J220" s="170">
        <v>3</v>
      </c>
      <c r="K220" s="167"/>
      <c r="L220" s="171">
        <v>2801.6782199999998</v>
      </c>
      <c r="M220" s="171">
        <v>2542.6162100000001</v>
      </c>
      <c r="N220" s="171">
        <v>5344.2944299999999</v>
      </c>
      <c r="O220" s="166">
        <v>1304.00397336013</v>
      </c>
      <c r="P220" s="172">
        <v>276.21300000000002</v>
      </c>
      <c r="Q220" s="178">
        <v>4.7210086902503896</v>
      </c>
      <c r="R220" s="179">
        <v>4067.3715280173101</v>
      </c>
      <c r="S220" s="168">
        <v>0.01</v>
      </c>
      <c r="T220" s="168">
        <v>0.01</v>
      </c>
      <c r="U220" s="175">
        <v>0</v>
      </c>
      <c r="V220" s="176">
        <v>0</v>
      </c>
      <c r="W220" s="167"/>
      <c r="X220" s="175">
        <v>1909.044155</v>
      </c>
      <c r="Y220" s="166">
        <v>465.80539228261102</v>
      </c>
      <c r="Z220" s="177">
        <v>573</v>
      </c>
      <c r="AA220" s="188">
        <v>0.81292389578117197</v>
      </c>
      <c r="AB220" s="171">
        <v>-739.91452122479905</v>
      </c>
      <c r="AC220" s="168"/>
      <c r="AD220" s="168"/>
      <c r="AE220" s="176">
        <v>440</v>
      </c>
      <c r="AF220" s="176">
        <v>909</v>
      </c>
      <c r="AG220" s="167"/>
      <c r="AH220" s="180">
        <v>151.94999999999999</v>
      </c>
      <c r="AI220" s="166">
        <v>37.075690036799003</v>
      </c>
      <c r="AJ220" s="181" t="s">
        <v>53</v>
      </c>
      <c r="AK220" s="173">
        <v>0.58850301645712599</v>
      </c>
      <c r="AL220" s="174">
        <v>-139.29676544879999</v>
      </c>
      <c r="AM220" s="168"/>
      <c r="AN220" s="168"/>
      <c r="AO220" s="176">
        <v>107</v>
      </c>
      <c r="AP220" s="176">
        <v>158</v>
      </c>
      <c r="AQ220" s="167"/>
      <c r="AR220" s="180">
        <v>27.8</v>
      </c>
      <c r="AS220" s="166">
        <v>6.7831798816914199</v>
      </c>
      <c r="AT220" s="181" t="s">
        <v>54</v>
      </c>
      <c r="AU220" s="173">
        <v>0.42394874260571402</v>
      </c>
      <c r="AV220" s="174">
        <v>-46.167432494933301</v>
      </c>
      <c r="AW220" s="168"/>
      <c r="AX220" s="168"/>
      <c r="AY220" s="176">
        <v>38</v>
      </c>
      <c r="AZ220" s="176">
        <v>51</v>
      </c>
      <c r="BA220" s="167"/>
      <c r="BB220" s="184">
        <v>146.80000000000001</v>
      </c>
      <c r="BC220" s="180">
        <v>35.819093763751802</v>
      </c>
      <c r="BD220" s="181" t="s">
        <v>55</v>
      </c>
      <c r="BE220" s="182">
        <v>1.11934668011724</v>
      </c>
      <c r="BF220" s="183">
        <v>-1.1348649898665999</v>
      </c>
      <c r="BG220" s="168">
        <v>1.9E-2</v>
      </c>
      <c r="BH220" s="168">
        <v>1.2E-2</v>
      </c>
      <c r="BI220" s="176">
        <v>0</v>
      </c>
      <c r="BJ220" s="176">
        <v>11</v>
      </c>
      <c r="BK220" s="169"/>
      <c r="BL220" s="185">
        <v>0.8</v>
      </c>
      <c r="BM220" s="188">
        <v>0.77</v>
      </c>
      <c r="BN220" s="186"/>
      <c r="BO220" s="187">
        <v>0.95</v>
      </c>
      <c r="BP220" s="178">
        <v>1</v>
      </c>
      <c r="BQ220" s="186">
        <v>2.5000000000000001E-3</v>
      </c>
    </row>
    <row r="221" spans="1:69" s="156" customFormat="1" ht="22.35" customHeight="1" x14ac:dyDescent="0.2">
      <c r="A221" s="165" t="s">
        <v>275</v>
      </c>
      <c r="B221" s="165" t="s">
        <v>276</v>
      </c>
      <c r="C221" s="165" t="s">
        <v>288</v>
      </c>
      <c r="D221" s="166">
        <v>3.0671238162222201</v>
      </c>
      <c r="E221" s="167"/>
      <c r="F221" s="168">
        <v>1.4999999999999999E-2</v>
      </c>
      <c r="G221" s="168">
        <v>0.01</v>
      </c>
      <c r="H221" s="169"/>
      <c r="I221" s="170">
        <v>4</v>
      </c>
      <c r="J221" s="170">
        <v>3</v>
      </c>
      <c r="K221" s="167"/>
      <c r="L221" s="171">
        <v>726.80858999999998</v>
      </c>
      <c r="M221" s="171">
        <v>1383.4301800000001</v>
      </c>
      <c r="N221" s="171">
        <v>2110.2387699999999</v>
      </c>
      <c r="O221" s="166">
        <v>688.01877473573302</v>
      </c>
      <c r="P221" s="172">
        <v>259.01299999999998</v>
      </c>
      <c r="Q221" s="178">
        <v>2.6563098174058202</v>
      </c>
      <c r="R221" s="179">
        <v>1214.1274365393999</v>
      </c>
      <c r="S221" s="168">
        <v>0.01</v>
      </c>
      <c r="T221" s="168">
        <v>0.01</v>
      </c>
      <c r="U221" s="175">
        <v>0</v>
      </c>
      <c r="V221" s="176">
        <v>0</v>
      </c>
      <c r="W221" s="167"/>
      <c r="X221" s="175">
        <v>1133.07945</v>
      </c>
      <c r="Y221" s="166">
        <v>369.427358624085</v>
      </c>
      <c r="Z221" s="177">
        <v>573</v>
      </c>
      <c r="AA221" s="173">
        <v>0.64472488416070695</v>
      </c>
      <c r="AB221" s="174">
        <v>-849.33762587233502</v>
      </c>
      <c r="AC221" s="168"/>
      <c r="AD221" s="168"/>
      <c r="AE221" s="176">
        <v>625</v>
      </c>
      <c r="AF221" s="176">
        <v>976</v>
      </c>
      <c r="AG221" s="167"/>
      <c r="AH221" s="180">
        <v>103.25</v>
      </c>
      <c r="AI221" s="166">
        <v>33.663460031806899</v>
      </c>
      <c r="AJ221" s="181" t="s">
        <v>53</v>
      </c>
      <c r="AK221" s="173">
        <v>0.53434063542550703</v>
      </c>
      <c r="AL221" s="174">
        <v>-114.712086876016</v>
      </c>
      <c r="AM221" s="168"/>
      <c r="AN221" s="168"/>
      <c r="AO221" s="176">
        <v>90</v>
      </c>
      <c r="AP221" s="176">
        <v>129</v>
      </c>
      <c r="AQ221" s="167"/>
      <c r="AR221" s="180">
        <v>16.600000000000001</v>
      </c>
      <c r="AS221" s="166">
        <v>5.4122366733946299</v>
      </c>
      <c r="AT221" s="181" t="s">
        <v>54</v>
      </c>
      <c r="AU221" s="173">
        <v>0.33826479208716398</v>
      </c>
      <c r="AV221" s="174">
        <v>-38.755450635178597</v>
      </c>
      <c r="AW221" s="168"/>
      <c r="AX221" s="168"/>
      <c r="AY221" s="176">
        <v>33</v>
      </c>
      <c r="AZ221" s="176">
        <v>43</v>
      </c>
      <c r="BA221" s="167"/>
      <c r="BB221" s="184">
        <v>96.8</v>
      </c>
      <c r="BC221" s="180">
        <v>31.560512649674699</v>
      </c>
      <c r="BD221" s="181" t="s">
        <v>55</v>
      </c>
      <c r="BE221" s="182">
        <v>0.98626602030233401</v>
      </c>
      <c r="BF221" s="183">
        <v>-13.9109012703573</v>
      </c>
      <c r="BG221" s="168">
        <v>5.0000000000000001E-3</v>
      </c>
      <c r="BH221" s="168"/>
      <c r="BI221" s="176">
        <v>2</v>
      </c>
      <c r="BJ221" s="176">
        <v>21</v>
      </c>
      <c r="BK221" s="169"/>
      <c r="BL221" s="185">
        <v>0.8</v>
      </c>
      <c r="BM221" s="182">
        <v>0.81</v>
      </c>
      <c r="BN221" s="186">
        <v>3.7500000000000001E-4</v>
      </c>
      <c r="BO221" s="187">
        <v>0.95</v>
      </c>
      <c r="BP221" s="178">
        <v>1</v>
      </c>
      <c r="BQ221" s="186">
        <v>2.5000000000000001E-3</v>
      </c>
    </row>
    <row r="222" spans="1:69" s="156" customFormat="1" ht="22.35" customHeight="1" x14ac:dyDescent="0.2">
      <c r="A222" s="165" t="s">
        <v>275</v>
      </c>
      <c r="B222" s="165" t="s">
        <v>276</v>
      </c>
      <c r="C222" s="165" t="s">
        <v>289</v>
      </c>
      <c r="D222" s="166">
        <v>7.3002462538888899</v>
      </c>
      <c r="E222" s="167"/>
      <c r="F222" s="168">
        <v>2.1999999999999999E-2</v>
      </c>
      <c r="G222" s="168">
        <v>1.4999999999999999E-2</v>
      </c>
      <c r="H222" s="169"/>
      <c r="I222" s="170">
        <v>3</v>
      </c>
      <c r="J222" s="170">
        <v>3</v>
      </c>
      <c r="K222" s="167"/>
      <c r="L222" s="171">
        <v>3938.4114199999999</v>
      </c>
      <c r="M222" s="171">
        <v>2776.41653</v>
      </c>
      <c r="N222" s="171">
        <v>6714.8279499999999</v>
      </c>
      <c r="O222" s="166">
        <v>919.80841693154798</v>
      </c>
      <c r="P222" s="172">
        <v>287.5</v>
      </c>
      <c r="Q222" s="178">
        <v>3.1993336241097299</v>
      </c>
      <c r="R222" s="179">
        <v>4347.3580898638302</v>
      </c>
      <c r="S222" s="168">
        <v>0.01</v>
      </c>
      <c r="T222" s="168">
        <v>0.01</v>
      </c>
      <c r="U222" s="175">
        <v>0</v>
      </c>
      <c r="V222" s="176">
        <v>0</v>
      </c>
      <c r="W222" s="167"/>
      <c r="X222" s="175">
        <v>3161.955645</v>
      </c>
      <c r="Y222" s="166">
        <v>433.12999795254899</v>
      </c>
      <c r="Z222" s="177">
        <v>573</v>
      </c>
      <c r="AA222" s="188">
        <v>0.75589877478629897</v>
      </c>
      <c r="AB222" s="171">
        <v>-1556.5147197235599</v>
      </c>
      <c r="AC222" s="168"/>
      <c r="AD222" s="168"/>
      <c r="AE222" s="176">
        <v>1022</v>
      </c>
      <c r="AF222" s="176">
        <v>1858</v>
      </c>
      <c r="AG222" s="167"/>
      <c r="AH222" s="180">
        <v>259.39999999999998</v>
      </c>
      <c r="AI222" s="166">
        <v>35.533047924488301</v>
      </c>
      <c r="AJ222" s="181" t="s">
        <v>53</v>
      </c>
      <c r="AK222" s="173">
        <v>0.56401663372203603</v>
      </c>
      <c r="AL222" s="174">
        <v>-259.38469978635999</v>
      </c>
      <c r="AM222" s="168"/>
      <c r="AN222" s="168"/>
      <c r="AO222" s="176">
        <v>201</v>
      </c>
      <c r="AP222" s="176">
        <v>293</v>
      </c>
      <c r="AQ222" s="167"/>
      <c r="AR222" s="180">
        <v>59.8</v>
      </c>
      <c r="AS222" s="166">
        <v>8.1915044945427908</v>
      </c>
      <c r="AT222" s="181" t="s">
        <v>54</v>
      </c>
      <c r="AU222" s="173">
        <v>0.51196903090892398</v>
      </c>
      <c r="AV222" s="174">
        <v>-71.954844390186693</v>
      </c>
      <c r="AW222" s="168"/>
      <c r="AX222" s="168"/>
      <c r="AY222" s="176">
        <v>58</v>
      </c>
      <c r="AZ222" s="176">
        <v>81</v>
      </c>
      <c r="BA222" s="167"/>
      <c r="BB222" s="184">
        <v>245.4</v>
      </c>
      <c r="BC222" s="180">
        <v>33.615304397337802</v>
      </c>
      <c r="BD222" s="181" t="s">
        <v>55</v>
      </c>
      <c r="BE222" s="182">
        <v>1.0504782624168101</v>
      </c>
      <c r="BF222" s="183">
        <v>-18.1096887803734</v>
      </c>
      <c r="BG222" s="168">
        <v>1.2E-2</v>
      </c>
      <c r="BH222" s="168">
        <v>5.0000000000000001E-3</v>
      </c>
      <c r="BI222" s="176">
        <v>0</v>
      </c>
      <c r="BJ222" s="176">
        <v>35</v>
      </c>
      <c r="BK222" s="169"/>
      <c r="BL222" s="185">
        <v>0.8</v>
      </c>
      <c r="BM222" s="173">
        <v>0.65</v>
      </c>
      <c r="BN222" s="186"/>
      <c r="BO222" s="187">
        <v>0.95</v>
      </c>
      <c r="BP222" s="178">
        <v>1</v>
      </c>
      <c r="BQ222" s="186">
        <v>2.5000000000000001E-3</v>
      </c>
    </row>
    <row r="223" spans="1:69" s="156" customFormat="1" ht="22.35" customHeight="1" x14ac:dyDescent="0.2">
      <c r="A223" s="165" t="s">
        <v>275</v>
      </c>
      <c r="B223" s="165" t="s">
        <v>276</v>
      </c>
      <c r="C223" s="165" t="s">
        <v>290</v>
      </c>
      <c r="D223" s="166">
        <v>2.9612506945555599</v>
      </c>
      <c r="E223" s="167"/>
      <c r="F223" s="168">
        <v>0.06</v>
      </c>
      <c r="G223" s="168">
        <v>5.3999999999999999E-2</v>
      </c>
      <c r="H223" s="169"/>
      <c r="I223" s="170">
        <v>6</v>
      </c>
      <c r="J223" s="170">
        <v>6</v>
      </c>
      <c r="K223" s="167"/>
      <c r="L223" s="171">
        <v>1491.6829600000001</v>
      </c>
      <c r="M223" s="171">
        <v>1014.85838</v>
      </c>
      <c r="N223" s="171">
        <v>2506.5413400000002</v>
      </c>
      <c r="O223" s="166">
        <v>846.44685592085602</v>
      </c>
      <c r="P223" s="172">
        <v>273.31099999999998</v>
      </c>
      <c r="Q223" s="178">
        <v>3.09700983831919</v>
      </c>
      <c r="R223" s="179">
        <v>1593.60312568213</v>
      </c>
      <c r="S223" s="168">
        <v>0.01</v>
      </c>
      <c r="T223" s="168">
        <v>0.01</v>
      </c>
      <c r="U223" s="175">
        <v>0</v>
      </c>
      <c r="V223" s="176">
        <v>0</v>
      </c>
      <c r="W223" s="167"/>
      <c r="X223" s="175">
        <v>1927.5988</v>
      </c>
      <c r="Y223" s="166">
        <v>650.94076754258299</v>
      </c>
      <c r="Z223" s="177">
        <v>573</v>
      </c>
      <c r="AA223" s="178">
        <v>1.13602228192423</v>
      </c>
      <c r="AB223" s="179">
        <v>13.612181078181001</v>
      </c>
      <c r="AC223" s="168">
        <v>0.02</v>
      </c>
      <c r="AD223" s="168">
        <v>1.4E-2</v>
      </c>
      <c r="AE223" s="176">
        <v>0</v>
      </c>
      <c r="AF223" s="176">
        <v>109</v>
      </c>
      <c r="AG223" s="167"/>
      <c r="AH223" s="180">
        <v>148.65</v>
      </c>
      <c r="AI223" s="166">
        <v>50.198384173721699</v>
      </c>
      <c r="AJ223" s="181" t="s">
        <v>53</v>
      </c>
      <c r="AK223" s="188">
        <v>0.79679974878923299</v>
      </c>
      <c r="AL223" s="171">
        <v>-61.788319357896299</v>
      </c>
      <c r="AM223" s="168"/>
      <c r="AN223" s="168"/>
      <c r="AO223" s="176">
        <v>38</v>
      </c>
      <c r="AP223" s="176">
        <v>76</v>
      </c>
      <c r="AQ223" s="167"/>
      <c r="AR223" s="180">
        <v>69</v>
      </c>
      <c r="AS223" s="166">
        <v>23.300965408589299</v>
      </c>
      <c r="AT223" s="181" t="s">
        <v>54</v>
      </c>
      <c r="AU223" s="178">
        <v>1.4563103380368301</v>
      </c>
      <c r="AV223" s="179">
        <v>15.555347464661301</v>
      </c>
      <c r="AW223" s="168">
        <v>0.01</v>
      </c>
      <c r="AX223" s="168">
        <v>0.01</v>
      </c>
      <c r="AY223" s="176">
        <v>0</v>
      </c>
      <c r="AZ223" s="176">
        <v>0</v>
      </c>
      <c r="BA223" s="167"/>
      <c r="BB223" s="184">
        <v>236.4</v>
      </c>
      <c r="BC223" s="180">
        <v>79.831133660731993</v>
      </c>
      <c r="BD223" s="181" t="s">
        <v>55</v>
      </c>
      <c r="BE223" s="178">
        <v>2.4947229268978699</v>
      </c>
      <c r="BF223" s="179">
        <v>129.51069492932299</v>
      </c>
      <c r="BG223" s="168">
        <v>0.02</v>
      </c>
      <c r="BH223" s="168">
        <v>0.02</v>
      </c>
      <c r="BI223" s="176">
        <v>0</v>
      </c>
      <c r="BJ223" s="176">
        <v>0</v>
      </c>
      <c r="BK223" s="169"/>
      <c r="BL223" s="185">
        <v>0.8</v>
      </c>
      <c r="BM223" s="182">
        <v>0.81</v>
      </c>
      <c r="BN223" s="186">
        <v>3.7500000000000001E-4</v>
      </c>
      <c r="BO223" s="187">
        <v>0.95</v>
      </c>
      <c r="BP223" s="178">
        <v>1</v>
      </c>
      <c r="BQ223" s="186">
        <v>2.5000000000000001E-3</v>
      </c>
    </row>
    <row r="224" spans="1:69" s="156" customFormat="1" ht="22.35" customHeight="1" x14ac:dyDescent="0.2">
      <c r="A224" s="165" t="s">
        <v>275</v>
      </c>
      <c r="B224" s="165" t="s">
        <v>276</v>
      </c>
      <c r="C224" s="165" t="s">
        <v>291</v>
      </c>
      <c r="D224" s="166">
        <v>3.1521611030000001</v>
      </c>
      <c r="E224" s="167"/>
      <c r="F224" s="168">
        <v>3.4000000000000002E-2</v>
      </c>
      <c r="G224" s="168">
        <v>0.03</v>
      </c>
      <c r="H224" s="169"/>
      <c r="I224" s="170">
        <v>4</v>
      </c>
      <c r="J224" s="170">
        <v>3</v>
      </c>
      <c r="K224" s="167"/>
      <c r="L224" s="171">
        <v>1335.1375700000001</v>
      </c>
      <c r="M224" s="171">
        <v>1078.3626899999999</v>
      </c>
      <c r="N224" s="171">
        <v>2413.5002599999998</v>
      </c>
      <c r="O224" s="166">
        <v>765.66526301685701</v>
      </c>
      <c r="P224" s="172">
        <v>216.041</v>
      </c>
      <c r="Q224" s="178">
        <v>3.54407387031562</v>
      </c>
      <c r="R224" s="179">
        <v>1645.33673042956</v>
      </c>
      <c r="S224" s="168">
        <v>0.01</v>
      </c>
      <c r="T224" s="168">
        <v>0.01</v>
      </c>
      <c r="U224" s="175">
        <v>0</v>
      </c>
      <c r="V224" s="176">
        <v>0</v>
      </c>
      <c r="W224" s="167"/>
      <c r="X224" s="175">
        <v>1664.660545</v>
      </c>
      <c r="Y224" s="166">
        <v>528.10135351765405</v>
      </c>
      <c r="Z224" s="177">
        <v>573</v>
      </c>
      <c r="AA224" s="188">
        <v>0.92164285081614905</v>
      </c>
      <c r="AB224" s="171">
        <v>-372.71987095743202</v>
      </c>
      <c r="AC224" s="168"/>
      <c r="AD224" s="168"/>
      <c r="AE224" s="176">
        <v>142</v>
      </c>
      <c r="AF224" s="176">
        <v>503</v>
      </c>
      <c r="AG224" s="167"/>
      <c r="AH224" s="180">
        <v>194.05</v>
      </c>
      <c r="AI224" s="166">
        <v>61.560939831189799</v>
      </c>
      <c r="AJ224" s="181" t="s">
        <v>53</v>
      </c>
      <c r="AK224" s="182">
        <v>0.97715777509825097</v>
      </c>
      <c r="AL224" s="183">
        <v>-29.955176623591999</v>
      </c>
      <c r="AM224" s="168">
        <v>4.0000000000000001E-3</v>
      </c>
      <c r="AN224" s="168"/>
      <c r="AO224" s="176">
        <v>5</v>
      </c>
      <c r="AP224" s="176">
        <v>45</v>
      </c>
      <c r="AQ224" s="167"/>
      <c r="AR224" s="180">
        <v>8</v>
      </c>
      <c r="AS224" s="166">
        <v>2.5379413483613402</v>
      </c>
      <c r="AT224" s="181" t="s">
        <v>54</v>
      </c>
      <c r="AU224" s="173">
        <v>0.15862133427258401</v>
      </c>
      <c r="AV224" s="174">
        <v>-48.890203586943997</v>
      </c>
      <c r="AW224" s="168"/>
      <c r="AX224" s="168"/>
      <c r="AY224" s="176">
        <v>43</v>
      </c>
      <c r="AZ224" s="176">
        <v>53</v>
      </c>
      <c r="BA224" s="167"/>
      <c r="BB224" s="184">
        <v>129.6</v>
      </c>
      <c r="BC224" s="180">
        <v>41.114649843453797</v>
      </c>
      <c r="BD224" s="181" t="s">
        <v>55</v>
      </c>
      <c r="BE224" s="178">
        <v>1.2848328076079301</v>
      </c>
      <c r="BF224" s="179">
        <v>15.819592826112</v>
      </c>
      <c r="BG224" s="168">
        <v>0.02</v>
      </c>
      <c r="BH224" s="168">
        <v>0.02</v>
      </c>
      <c r="BI224" s="176">
        <v>0</v>
      </c>
      <c r="BJ224" s="176">
        <v>0</v>
      </c>
      <c r="BK224" s="169"/>
      <c r="BL224" s="185">
        <v>0.8</v>
      </c>
      <c r="BM224" s="188">
        <v>0.72</v>
      </c>
      <c r="BN224" s="186"/>
      <c r="BO224" s="187">
        <v>0.95</v>
      </c>
      <c r="BP224" s="178">
        <v>1</v>
      </c>
      <c r="BQ224" s="186">
        <v>2.5000000000000001E-3</v>
      </c>
    </row>
    <row r="225" spans="1:69" s="156" customFormat="1" ht="22.35" customHeight="1" x14ac:dyDescent="0.2">
      <c r="A225" s="165" t="s">
        <v>275</v>
      </c>
      <c r="B225" s="165" t="s">
        <v>276</v>
      </c>
      <c r="C225" s="165" t="s">
        <v>292</v>
      </c>
      <c r="D225" s="166">
        <v>7.7095109328888896</v>
      </c>
      <c r="E225" s="167"/>
      <c r="F225" s="168">
        <v>5.1999999999999998E-2</v>
      </c>
      <c r="G225" s="168">
        <v>4.2000000000000003E-2</v>
      </c>
      <c r="H225" s="169"/>
      <c r="I225" s="170">
        <v>5</v>
      </c>
      <c r="J225" s="170">
        <v>5</v>
      </c>
      <c r="K225" s="167"/>
      <c r="L225" s="171">
        <v>3303.6810300000002</v>
      </c>
      <c r="M225" s="171">
        <v>866.84661000000006</v>
      </c>
      <c r="N225" s="171">
        <v>4170.5276400000002</v>
      </c>
      <c r="O225" s="166">
        <v>540.95878147191797</v>
      </c>
      <c r="P225" s="172">
        <v>287.5</v>
      </c>
      <c r="Q225" s="178">
        <v>1.88159576164145</v>
      </c>
      <c r="R225" s="179">
        <v>1670.3332444641301</v>
      </c>
      <c r="S225" s="168">
        <v>0.01</v>
      </c>
      <c r="T225" s="168">
        <v>0.01</v>
      </c>
      <c r="U225" s="175">
        <v>0</v>
      </c>
      <c r="V225" s="176">
        <v>0</v>
      </c>
      <c r="W225" s="167"/>
      <c r="X225" s="175">
        <v>4890.3975</v>
      </c>
      <c r="Y225" s="166">
        <v>634.33303909557901</v>
      </c>
      <c r="Z225" s="177">
        <v>573</v>
      </c>
      <c r="AA225" s="182">
        <v>1.1070384626449901</v>
      </c>
      <c r="AB225" s="183">
        <v>-92.598634407137098</v>
      </c>
      <c r="AC225" s="168">
        <v>1.7999999999999999E-2</v>
      </c>
      <c r="AD225" s="168">
        <v>1.0999999999999999E-2</v>
      </c>
      <c r="AE225" s="176">
        <v>0</v>
      </c>
      <c r="AF225" s="176">
        <v>411</v>
      </c>
      <c r="AG225" s="167"/>
      <c r="AH225" s="180">
        <v>254.1</v>
      </c>
      <c r="AI225" s="166">
        <v>32.959289144529997</v>
      </c>
      <c r="AJ225" s="181" t="s">
        <v>53</v>
      </c>
      <c r="AK225" s="173">
        <v>0.52316331975444397</v>
      </c>
      <c r="AL225" s="174">
        <v>-293.76868493481601</v>
      </c>
      <c r="AM225" s="168"/>
      <c r="AN225" s="168"/>
      <c r="AO225" s="176">
        <v>232</v>
      </c>
      <c r="AP225" s="176">
        <v>329</v>
      </c>
      <c r="AQ225" s="167"/>
      <c r="AR225" s="180">
        <v>125.5</v>
      </c>
      <c r="AS225" s="166">
        <v>16.2785942055825</v>
      </c>
      <c r="AT225" s="181" t="s">
        <v>54</v>
      </c>
      <c r="AU225" s="182">
        <v>1.01741213784891</v>
      </c>
      <c r="AV225" s="183">
        <v>-13.6412533167787</v>
      </c>
      <c r="AW225" s="168">
        <v>4.0000000000000001E-3</v>
      </c>
      <c r="AX225" s="168">
        <v>1E-3</v>
      </c>
      <c r="AY225" s="176">
        <v>0</v>
      </c>
      <c r="AZ225" s="176">
        <v>23</v>
      </c>
      <c r="BA225" s="167"/>
      <c r="BB225" s="184">
        <v>299.39999999999998</v>
      </c>
      <c r="BC225" s="180">
        <v>38.835148248218303</v>
      </c>
      <c r="BD225" s="181" t="s">
        <v>55</v>
      </c>
      <c r="BE225" s="178">
        <v>1.21359838275682</v>
      </c>
      <c r="BF225" s="179">
        <v>21.117493366442702</v>
      </c>
      <c r="BG225" s="168">
        <v>0.02</v>
      </c>
      <c r="BH225" s="168">
        <v>0.02</v>
      </c>
      <c r="BI225" s="176">
        <v>0</v>
      </c>
      <c r="BJ225" s="176">
        <v>0</v>
      </c>
      <c r="BK225" s="169"/>
      <c r="BL225" s="185">
        <v>0.8</v>
      </c>
      <c r="BM225" s="188">
        <v>0.78</v>
      </c>
      <c r="BN225" s="186"/>
      <c r="BO225" s="187">
        <v>0.95</v>
      </c>
      <c r="BP225" s="178">
        <v>1</v>
      </c>
      <c r="BQ225" s="186">
        <v>2.5000000000000001E-3</v>
      </c>
    </row>
    <row r="226" spans="1:69" s="156" customFormat="1" ht="22.35" customHeight="1" x14ac:dyDescent="0.2">
      <c r="A226" s="165" t="s">
        <v>275</v>
      </c>
      <c r="B226" s="165" t="s">
        <v>276</v>
      </c>
      <c r="C226" s="165" t="s">
        <v>293</v>
      </c>
      <c r="D226" s="166">
        <v>2.83696294222222</v>
      </c>
      <c r="E226" s="167"/>
      <c r="F226" s="168">
        <v>2.1000000000000001E-2</v>
      </c>
      <c r="G226" s="168">
        <v>1.4E-2</v>
      </c>
      <c r="H226" s="169"/>
      <c r="I226" s="170">
        <v>4</v>
      </c>
      <c r="J226" s="170">
        <v>4</v>
      </c>
      <c r="K226" s="167"/>
      <c r="L226" s="171">
        <v>800.65576999999996</v>
      </c>
      <c r="M226" s="171">
        <v>1982.27098</v>
      </c>
      <c r="N226" s="171">
        <v>2782.9267500000001</v>
      </c>
      <c r="O226" s="166">
        <v>980.95280293654605</v>
      </c>
      <c r="P226" s="172">
        <v>287.5</v>
      </c>
      <c r="Q226" s="178">
        <v>3.4120097493445098</v>
      </c>
      <c r="R226" s="179">
        <v>1862.8996678373301</v>
      </c>
      <c r="S226" s="168">
        <v>0.01</v>
      </c>
      <c r="T226" s="168">
        <v>0.01</v>
      </c>
      <c r="U226" s="175">
        <v>0</v>
      </c>
      <c r="V226" s="176">
        <v>0</v>
      </c>
      <c r="W226" s="167"/>
      <c r="X226" s="175">
        <v>1693.9432850000001</v>
      </c>
      <c r="Y226" s="166">
        <v>597.09743112580702</v>
      </c>
      <c r="Z226" s="177">
        <v>573</v>
      </c>
      <c r="AA226" s="182">
        <v>1.0420548536226999</v>
      </c>
      <c r="AB226" s="183">
        <v>-139.710690927679</v>
      </c>
      <c r="AC226" s="168">
        <v>1.0999999999999999E-2</v>
      </c>
      <c r="AD226" s="168">
        <v>4.0000000000000001E-3</v>
      </c>
      <c r="AE226" s="176">
        <v>0</v>
      </c>
      <c r="AF226" s="176">
        <v>257</v>
      </c>
      <c r="AG226" s="167"/>
      <c r="AH226" s="180">
        <v>115</v>
      </c>
      <c r="AI226" s="166">
        <v>40.536306727334001</v>
      </c>
      <c r="AJ226" s="181" t="s">
        <v>53</v>
      </c>
      <c r="AK226" s="173">
        <v>0.64343344011641301</v>
      </c>
      <c r="AL226" s="174">
        <v>-86.605934526079807</v>
      </c>
      <c r="AM226" s="168"/>
      <c r="AN226" s="168"/>
      <c r="AO226" s="176">
        <v>64</v>
      </c>
      <c r="AP226" s="176">
        <v>100</v>
      </c>
      <c r="AQ226" s="167"/>
      <c r="AR226" s="180">
        <v>7.6</v>
      </c>
      <c r="AS226" s="166">
        <v>2.6789211402412101</v>
      </c>
      <c r="AT226" s="181" t="s">
        <v>54</v>
      </c>
      <c r="AU226" s="173">
        <v>0.16743257126507599</v>
      </c>
      <c r="AV226" s="174">
        <v>-43.601507181226602</v>
      </c>
      <c r="AW226" s="168"/>
      <c r="AX226" s="168"/>
      <c r="AY226" s="176">
        <v>38</v>
      </c>
      <c r="AZ226" s="176">
        <v>47</v>
      </c>
      <c r="BA226" s="167"/>
      <c r="BB226" s="184">
        <v>72.400000000000006</v>
      </c>
      <c r="BC226" s="180">
        <v>25.520248757034601</v>
      </c>
      <c r="BD226" s="181" t="s">
        <v>55</v>
      </c>
      <c r="BE226" s="188">
        <v>0.79750777365733205</v>
      </c>
      <c r="BF226" s="171">
        <v>-30.0030143624532</v>
      </c>
      <c r="BG226" s="168"/>
      <c r="BH226" s="168"/>
      <c r="BI226" s="176">
        <v>19</v>
      </c>
      <c r="BJ226" s="176">
        <v>37</v>
      </c>
      <c r="BK226" s="169"/>
      <c r="BL226" s="185">
        <v>0.8</v>
      </c>
      <c r="BM226" s="182">
        <v>0.86</v>
      </c>
      <c r="BN226" s="186">
        <v>2.2499999999999998E-3</v>
      </c>
      <c r="BO226" s="187">
        <v>0.95</v>
      </c>
      <c r="BP226" s="178">
        <v>1</v>
      </c>
      <c r="BQ226" s="186">
        <v>2.5000000000000001E-3</v>
      </c>
    </row>
    <row r="227" spans="1:69" s="156" customFormat="1" ht="22.35" customHeight="1" x14ac:dyDescent="0.2">
      <c r="A227" s="165" t="s">
        <v>275</v>
      </c>
      <c r="B227" s="165" t="s">
        <v>276</v>
      </c>
      <c r="C227" s="165" t="s">
        <v>294</v>
      </c>
      <c r="D227" s="166">
        <v>2.9777762321111099</v>
      </c>
      <c r="E227" s="167"/>
      <c r="F227" s="168">
        <v>0.05</v>
      </c>
      <c r="G227" s="168">
        <v>4.2999999999999997E-2</v>
      </c>
      <c r="H227" s="169"/>
      <c r="I227" s="170">
        <v>5</v>
      </c>
      <c r="J227" s="170">
        <v>5</v>
      </c>
      <c r="K227" s="167"/>
      <c r="L227" s="171">
        <v>2867.4492300000002</v>
      </c>
      <c r="M227" s="171">
        <v>1012.44673</v>
      </c>
      <c r="N227" s="171">
        <v>3879.8959599999998</v>
      </c>
      <c r="O227" s="166">
        <v>1302.9508121398801</v>
      </c>
      <c r="P227" s="172">
        <v>252.76900000000001</v>
      </c>
      <c r="Q227" s="178">
        <v>5.1547096840984397</v>
      </c>
      <c r="R227" s="179">
        <v>3030.86218097245</v>
      </c>
      <c r="S227" s="168">
        <v>0.01</v>
      </c>
      <c r="T227" s="168">
        <v>0.01</v>
      </c>
      <c r="U227" s="175">
        <v>0</v>
      </c>
      <c r="V227" s="176">
        <v>0</v>
      </c>
      <c r="W227" s="167"/>
      <c r="X227" s="175">
        <v>2484.4627399999999</v>
      </c>
      <c r="Y227" s="166">
        <v>834.33493531467502</v>
      </c>
      <c r="Z227" s="177">
        <v>573</v>
      </c>
      <c r="AA227" s="178">
        <v>1.4560819115439401</v>
      </c>
      <c r="AB227" s="179">
        <v>559.79493903237699</v>
      </c>
      <c r="AC227" s="168">
        <v>0.02</v>
      </c>
      <c r="AD227" s="168">
        <v>0.02</v>
      </c>
      <c r="AE227" s="176">
        <v>0</v>
      </c>
      <c r="AF227" s="176">
        <v>0</v>
      </c>
      <c r="AG227" s="167"/>
      <c r="AH227" s="180">
        <v>140.65</v>
      </c>
      <c r="AI227" s="166">
        <v>47.233233472444397</v>
      </c>
      <c r="AJ227" s="181" t="s">
        <v>53</v>
      </c>
      <c r="AK227" s="188">
        <v>0.749733864641975</v>
      </c>
      <c r="AL227" s="171">
        <v>-70.962690158743897</v>
      </c>
      <c r="AM227" s="168"/>
      <c r="AN227" s="168"/>
      <c r="AO227" s="176">
        <v>47</v>
      </c>
      <c r="AP227" s="176">
        <v>85</v>
      </c>
      <c r="AQ227" s="167"/>
      <c r="AR227" s="180">
        <v>11.3</v>
      </c>
      <c r="AS227" s="166">
        <v>3.7947780891476901</v>
      </c>
      <c r="AT227" s="181" t="s">
        <v>54</v>
      </c>
      <c r="AU227" s="173">
        <v>0.23717363057173099</v>
      </c>
      <c r="AV227" s="174">
        <v>-42.442905437141299</v>
      </c>
      <c r="AW227" s="168"/>
      <c r="AX227" s="168"/>
      <c r="AY227" s="176">
        <v>37</v>
      </c>
      <c r="AZ227" s="176">
        <v>46</v>
      </c>
      <c r="BA227" s="167"/>
      <c r="BB227" s="184">
        <v>107.4</v>
      </c>
      <c r="BC227" s="180">
        <v>36.067182900394798</v>
      </c>
      <c r="BD227" s="181" t="s">
        <v>55</v>
      </c>
      <c r="BE227" s="178">
        <v>1.1270994656373401</v>
      </c>
      <c r="BF227" s="179">
        <v>-8.5810874282628902E-2</v>
      </c>
      <c r="BG227" s="168">
        <v>0.02</v>
      </c>
      <c r="BH227" s="168">
        <v>1.2999999999999999E-2</v>
      </c>
      <c r="BI227" s="176">
        <v>0</v>
      </c>
      <c r="BJ227" s="176">
        <v>7</v>
      </c>
      <c r="BK227" s="169"/>
      <c r="BL227" s="185">
        <v>0.8</v>
      </c>
      <c r="BM227" s="182">
        <v>0.81</v>
      </c>
      <c r="BN227" s="186">
        <v>3.7500000000000001E-4</v>
      </c>
      <c r="BO227" s="187">
        <v>0.95</v>
      </c>
      <c r="BP227" s="178">
        <v>1</v>
      </c>
      <c r="BQ227" s="186">
        <v>2.5000000000000001E-3</v>
      </c>
    </row>
    <row r="228" spans="1:69" s="156" customFormat="1" ht="22.35" customHeight="1" x14ac:dyDescent="0.2">
      <c r="A228" s="165" t="s">
        <v>275</v>
      </c>
      <c r="B228" s="165" t="s">
        <v>276</v>
      </c>
      <c r="C228" s="165" t="s">
        <v>295</v>
      </c>
      <c r="D228" s="166">
        <v>3.3124110478888902</v>
      </c>
      <c r="E228" s="167"/>
      <c r="F228" s="168">
        <v>1.4E-2</v>
      </c>
      <c r="G228" s="168">
        <v>0.01</v>
      </c>
      <c r="H228" s="169"/>
      <c r="I228" s="170">
        <v>4</v>
      </c>
      <c r="J228" s="170">
        <v>3</v>
      </c>
      <c r="K228" s="167"/>
      <c r="L228" s="171">
        <v>1722.8988899999999</v>
      </c>
      <c r="M228" s="171">
        <v>466.94522000000001</v>
      </c>
      <c r="N228" s="171">
        <v>2189.84411</v>
      </c>
      <c r="O228" s="166">
        <v>661.10276724129994</v>
      </c>
      <c r="P228" s="172">
        <v>266.572</v>
      </c>
      <c r="Q228" s="178">
        <v>2.4800157827577598</v>
      </c>
      <c r="R228" s="179">
        <v>1193.8245792963601</v>
      </c>
      <c r="S228" s="168">
        <v>0.01</v>
      </c>
      <c r="T228" s="168">
        <v>0.01</v>
      </c>
      <c r="U228" s="175">
        <v>0</v>
      </c>
      <c r="V228" s="176">
        <v>0</v>
      </c>
      <c r="W228" s="167"/>
      <c r="X228" s="175">
        <v>1582.5174549999999</v>
      </c>
      <c r="Y228" s="166">
        <v>477.75394784067998</v>
      </c>
      <c r="Z228" s="177">
        <v>573</v>
      </c>
      <c r="AA228" s="188">
        <v>0.83377652328216401</v>
      </c>
      <c r="AB228" s="171">
        <v>-558.43955133669704</v>
      </c>
      <c r="AC228" s="168"/>
      <c r="AD228" s="168"/>
      <c r="AE228" s="176">
        <v>316</v>
      </c>
      <c r="AF228" s="176">
        <v>696</v>
      </c>
      <c r="AG228" s="167"/>
      <c r="AH228" s="180">
        <v>158.35</v>
      </c>
      <c r="AI228" s="166">
        <v>47.8050573164589</v>
      </c>
      <c r="AJ228" s="181" t="s">
        <v>53</v>
      </c>
      <c r="AK228" s="188">
        <v>0.758810433594585</v>
      </c>
      <c r="AL228" s="171">
        <v>-77.043178707176097</v>
      </c>
      <c r="AM228" s="168"/>
      <c r="AN228" s="168"/>
      <c r="AO228" s="176">
        <v>51</v>
      </c>
      <c r="AP228" s="176">
        <v>93</v>
      </c>
      <c r="AQ228" s="167"/>
      <c r="AR228" s="180">
        <v>29.8</v>
      </c>
      <c r="AS228" s="166">
        <v>8.9964680014554794</v>
      </c>
      <c r="AT228" s="181" t="s">
        <v>54</v>
      </c>
      <c r="AU228" s="173">
        <v>0.56227925009096802</v>
      </c>
      <c r="AV228" s="174">
        <v>-29.9823945922987</v>
      </c>
      <c r="AW228" s="168"/>
      <c r="AX228" s="168"/>
      <c r="AY228" s="176">
        <v>24</v>
      </c>
      <c r="AZ228" s="176">
        <v>34</v>
      </c>
      <c r="BA228" s="167"/>
      <c r="BB228" s="184">
        <v>103.8</v>
      </c>
      <c r="BC228" s="180">
        <v>31.336690555405301</v>
      </c>
      <c r="BD228" s="181" t="s">
        <v>55</v>
      </c>
      <c r="BE228" s="182">
        <v>0.979271579856416</v>
      </c>
      <c r="BF228" s="183">
        <v>-15.764789184597401</v>
      </c>
      <c r="BG228" s="168">
        <v>4.0000000000000001E-3</v>
      </c>
      <c r="BH228" s="168"/>
      <c r="BI228" s="176">
        <v>3</v>
      </c>
      <c r="BJ228" s="176">
        <v>24</v>
      </c>
      <c r="BK228" s="169"/>
      <c r="BL228" s="185">
        <v>0.8</v>
      </c>
      <c r="BM228" s="182">
        <v>0.83</v>
      </c>
      <c r="BN228" s="186">
        <v>1.1249999999999999E-3</v>
      </c>
      <c r="BO228" s="187">
        <v>0.95</v>
      </c>
      <c r="BP228" s="178">
        <v>1</v>
      </c>
      <c r="BQ228" s="186">
        <v>2.5000000000000001E-3</v>
      </c>
    </row>
    <row r="229" spans="1:69" s="156" customFormat="1" ht="22.35" customHeight="1" x14ac:dyDescent="0.2">
      <c r="A229" s="165" t="s">
        <v>275</v>
      </c>
      <c r="B229" s="165" t="s">
        <v>276</v>
      </c>
      <c r="C229" s="165" t="s">
        <v>296</v>
      </c>
      <c r="D229" s="166">
        <v>3.82718426455556</v>
      </c>
      <c r="E229" s="167"/>
      <c r="F229" s="168">
        <v>0.01</v>
      </c>
      <c r="G229" s="168">
        <v>0.01</v>
      </c>
      <c r="H229" s="169"/>
      <c r="I229" s="170">
        <v>2</v>
      </c>
      <c r="J229" s="170">
        <v>2</v>
      </c>
      <c r="K229" s="167"/>
      <c r="L229" s="171">
        <v>1200.98542</v>
      </c>
      <c r="M229" s="171">
        <v>1674.2430300000001</v>
      </c>
      <c r="N229" s="171">
        <v>2875.2284500000001</v>
      </c>
      <c r="O229" s="166">
        <v>751.26470304243298</v>
      </c>
      <c r="P229" s="172">
        <v>255.06700000000001</v>
      </c>
      <c r="Q229" s="178">
        <v>2.9453622108796198</v>
      </c>
      <c r="R229" s="179">
        <v>1774.08792486526</v>
      </c>
      <c r="S229" s="168">
        <v>0.01</v>
      </c>
      <c r="T229" s="168">
        <v>0.01</v>
      </c>
      <c r="U229" s="175">
        <v>0</v>
      </c>
      <c r="V229" s="176">
        <v>0</v>
      </c>
      <c r="W229" s="167"/>
      <c r="X229" s="175">
        <v>1718.21694</v>
      </c>
      <c r="Y229" s="166">
        <v>448.950670056001</v>
      </c>
      <c r="Z229" s="177">
        <v>573</v>
      </c>
      <c r="AA229" s="188">
        <v>0.78350902278534196</v>
      </c>
      <c r="AB229" s="171">
        <v>-755.46064628989905</v>
      </c>
      <c r="AC229" s="168"/>
      <c r="AD229" s="168"/>
      <c r="AE229" s="176">
        <v>475</v>
      </c>
      <c r="AF229" s="176">
        <v>914</v>
      </c>
      <c r="AG229" s="167"/>
      <c r="AH229" s="180">
        <v>109.4</v>
      </c>
      <c r="AI229" s="166">
        <v>28.5849837472365</v>
      </c>
      <c r="AJ229" s="181" t="s">
        <v>53</v>
      </c>
      <c r="AK229" s="173">
        <v>0.45372990074978597</v>
      </c>
      <c r="AL229" s="174">
        <v>-162.575022576376</v>
      </c>
      <c r="AM229" s="168"/>
      <c r="AN229" s="168"/>
      <c r="AO229" s="176">
        <v>132</v>
      </c>
      <c r="AP229" s="176">
        <v>180</v>
      </c>
      <c r="AQ229" s="167"/>
      <c r="AR229" s="180">
        <v>10</v>
      </c>
      <c r="AS229" s="166">
        <v>2.61288699700517</v>
      </c>
      <c r="AT229" s="181" t="s">
        <v>54</v>
      </c>
      <c r="AU229" s="173">
        <v>0.16330543731282299</v>
      </c>
      <c r="AV229" s="174">
        <v>-59.073021606698802</v>
      </c>
      <c r="AW229" s="168"/>
      <c r="AX229" s="168"/>
      <c r="AY229" s="176">
        <v>52</v>
      </c>
      <c r="AZ229" s="176">
        <v>64</v>
      </c>
      <c r="BA229" s="167"/>
      <c r="BB229" s="184">
        <v>98.6</v>
      </c>
      <c r="BC229" s="180">
        <v>25.763065790471</v>
      </c>
      <c r="BD229" s="181" t="s">
        <v>55</v>
      </c>
      <c r="BE229" s="188">
        <v>0.80509580595221697</v>
      </c>
      <c r="BF229" s="171">
        <v>-39.546043213397503</v>
      </c>
      <c r="BG229" s="168"/>
      <c r="BH229" s="168"/>
      <c r="BI229" s="176">
        <v>24</v>
      </c>
      <c r="BJ229" s="176">
        <v>49</v>
      </c>
      <c r="BK229" s="169"/>
      <c r="BL229" s="185">
        <v>0.8</v>
      </c>
      <c r="BM229" s="188">
        <v>0.78</v>
      </c>
      <c r="BN229" s="186"/>
      <c r="BO229" s="187">
        <v>0.95</v>
      </c>
      <c r="BP229" s="178">
        <v>1</v>
      </c>
      <c r="BQ229" s="186">
        <v>2.5000000000000001E-3</v>
      </c>
    </row>
    <row r="230" spans="1:69" s="156" customFormat="1" ht="22.35" customHeight="1" x14ac:dyDescent="0.2">
      <c r="A230" s="165" t="s">
        <v>275</v>
      </c>
      <c r="B230" s="165" t="s">
        <v>276</v>
      </c>
      <c r="C230" s="165" t="s">
        <v>297</v>
      </c>
      <c r="D230" s="166">
        <v>6.0225891787777801</v>
      </c>
      <c r="E230" s="167"/>
      <c r="F230" s="168">
        <v>0.04</v>
      </c>
      <c r="G230" s="168">
        <v>3.3000000000000002E-2</v>
      </c>
      <c r="H230" s="169"/>
      <c r="I230" s="170">
        <v>5</v>
      </c>
      <c r="J230" s="170">
        <v>5</v>
      </c>
      <c r="K230" s="167"/>
      <c r="L230" s="171">
        <v>4027.0110100000002</v>
      </c>
      <c r="M230" s="171">
        <v>3758.2711399999998</v>
      </c>
      <c r="N230" s="171">
        <v>7785.28215</v>
      </c>
      <c r="O230" s="166">
        <v>1292.6802607479101</v>
      </c>
      <c r="P230" s="172">
        <v>287.5</v>
      </c>
      <c r="Q230" s="178">
        <v>4.4962791678188196</v>
      </c>
      <c r="R230" s="179">
        <v>5832.1564793223697</v>
      </c>
      <c r="S230" s="168">
        <v>0.01</v>
      </c>
      <c r="T230" s="168">
        <v>0.01</v>
      </c>
      <c r="U230" s="175">
        <v>0</v>
      </c>
      <c r="V230" s="176">
        <v>0</v>
      </c>
      <c r="W230" s="167"/>
      <c r="X230" s="175">
        <v>3554.1274349999999</v>
      </c>
      <c r="Y230" s="166">
        <v>590.13280326739402</v>
      </c>
      <c r="Z230" s="177">
        <v>573</v>
      </c>
      <c r="AA230" s="182">
        <v>1.02990018022233</v>
      </c>
      <c r="AB230" s="183">
        <v>-338.53694516794599</v>
      </c>
      <c r="AC230" s="168">
        <v>0.01</v>
      </c>
      <c r="AD230" s="168">
        <v>3.0000000000000001E-3</v>
      </c>
      <c r="AE230" s="176">
        <v>0</v>
      </c>
      <c r="AF230" s="176">
        <v>588</v>
      </c>
      <c r="AG230" s="167"/>
      <c r="AH230" s="180">
        <v>329.85</v>
      </c>
      <c r="AI230" s="166">
        <v>54.768802953107901</v>
      </c>
      <c r="AJ230" s="181" t="s">
        <v>53</v>
      </c>
      <c r="AK230" s="188">
        <v>0.86934607862075997</v>
      </c>
      <c r="AL230" s="171">
        <v>-98.139277400664199</v>
      </c>
      <c r="AM230" s="168"/>
      <c r="AN230" s="168"/>
      <c r="AO230" s="176">
        <v>50</v>
      </c>
      <c r="AP230" s="176">
        <v>126</v>
      </c>
      <c r="AQ230" s="167"/>
      <c r="AR230" s="180">
        <v>47.7</v>
      </c>
      <c r="AS230" s="166">
        <v>7.9201816003130103</v>
      </c>
      <c r="AT230" s="181" t="s">
        <v>54</v>
      </c>
      <c r="AU230" s="173">
        <v>0.49501135001956298</v>
      </c>
      <c r="AV230" s="174">
        <v>-60.995689498581399</v>
      </c>
      <c r="AW230" s="168"/>
      <c r="AX230" s="168"/>
      <c r="AY230" s="176">
        <v>49</v>
      </c>
      <c r="AZ230" s="176">
        <v>68</v>
      </c>
      <c r="BA230" s="167"/>
      <c r="BB230" s="184">
        <v>244.2</v>
      </c>
      <c r="BC230" s="180">
        <v>40.547344796570997</v>
      </c>
      <c r="BD230" s="181" t="s">
        <v>55</v>
      </c>
      <c r="BE230" s="178">
        <v>1.2671045248928401</v>
      </c>
      <c r="BF230" s="179">
        <v>26.808621002837199</v>
      </c>
      <c r="BG230" s="168">
        <v>0.02</v>
      </c>
      <c r="BH230" s="168">
        <v>0.02</v>
      </c>
      <c r="BI230" s="176">
        <v>0</v>
      </c>
      <c r="BJ230" s="176">
        <v>0</v>
      </c>
      <c r="BK230" s="169"/>
      <c r="BL230" s="185">
        <v>0.8</v>
      </c>
      <c r="BM230" s="182">
        <v>0.82</v>
      </c>
      <c r="BN230" s="186">
        <v>7.5000000000000002E-4</v>
      </c>
      <c r="BO230" s="187">
        <v>0.95</v>
      </c>
      <c r="BP230" s="178">
        <v>1</v>
      </c>
      <c r="BQ230" s="186">
        <v>2.5000000000000001E-3</v>
      </c>
    </row>
    <row r="231" spans="1:69" s="156" customFormat="1" ht="22.35" customHeight="1" x14ac:dyDescent="0.2">
      <c r="A231" s="165" t="s">
        <v>275</v>
      </c>
      <c r="B231" s="165" t="s">
        <v>276</v>
      </c>
      <c r="C231" s="165" t="s">
        <v>298</v>
      </c>
      <c r="D231" s="166">
        <v>5.7046753833333304</v>
      </c>
      <c r="E231" s="167"/>
      <c r="F231" s="168">
        <v>0.03</v>
      </c>
      <c r="G231" s="168">
        <v>0.03</v>
      </c>
      <c r="H231" s="169"/>
      <c r="I231" s="170">
        <v>3</v>
      </c>
      <c r="J231" s="170">
        <v>3</v>
      </c>
      <c r="K231" s="167"/>
      <c r="L231" s="171">
        <v>3269.0573199999999</v>
      </c>
      <c r="M231" s="171">
        <v>2157.2912200000001</v>
      </c>
      <c r="N231" s="171">
        <v>5426.34854</v>
      </c>
      <c r="O231" s="166">
        <v>951.21074826685401</v>
      </c>
      <c r="P231" s="172">
        <v>221.803</v>
      </c>
      <c r="Q231" s="178">
        <v>4.2885386954498097</v>
      </c>
      <c r="R231" s="179">
        <v>3999.0742193521801</v>
      </c>
      <c r="S231" s="168">
        <v>0.01</v>
      </c>
      <c r="T231" s="168">
        <v>0.01</v>
      </c>
      <c r="U231" s="175">
        <v>0</v>
      </c>
      <c r="V231" s="176">
        <v>0</v>
      </c>
      <c r="W231" s="167"/>
      <c r="X231" s="175">
        <v>2980.2418750000002</v>
      </c>
      <c r="Y231" s="166">
        <v>522.42093979738399</v>
      </c>
      <c r="Z231" s="177">
        <v>573</v>
      </c>
      <c r="AA231" s="188">
        <v>0.91172938882614896</v>
      </c>
      <c r="AB231" s="171">
        <v>-706.94083096519796</v>
      </c>
      <c r="AC231" s="168"/>
      <c r="AD231" s="168"/>
      <c r="AE231" s="176">
        <v>289</v>
      </c>
      <c r="AF231" s="176">
        <v>943</v>
      </c>
      <c r="AG231" s="167"/>
      <c r="AH231" s="180">
        <v>271.64999999999998</v>
      </c>
      <c r="AI231" s="166">
        <v>47.618835734921397</v>
      </c>
      <c r="AJ231" s="181" t="s">
        <v>53</v>
      </c>
      <c r="AK231" s="188">
        <v>0.75585453547494397</v>
      </c>
      <c r="AL231" s="171">
        <v>-133.7470514412</v>
      </c>
      <c r="AM231" s="168"/>
      <c r="AN231" s="168"/>
      <c r="AO231" s="176">
        <v>88</v>
      </c>
      <c r="AP231" s="176">
        <v>160</v>
      </c>
      <c r="AQ231" s="167"/>
      <c r="AR231" s="180">
        <v>21.6</v>
      </c>
      <c r="AS231" s="166">
        <v>3.7863679435829298</v>
      </c>
      <c r="AT231" s="181" t="s">
        <v>54</v>
      </c>
      <c r="AU231" s="173">
        <v>0.236647996473933</v>
      </c>
      <c r="AV231" s="174">
        <v>-81.357981318399993</v>
      </c>
      <c r="AW231" s="168"/>
      <c r="AX231" s="168"/>
      <c r="AY231" s="176">
        <v>70</v>
      </c>
      <c r="AZ231" s="176">
        <v>88</v>
      </c>
      <c r="BA231" s="167"/>
      <c r="BB231" s="184">
        <v>253.6</v>
      </c>
      <c r="BC231" s="180">
        <v>44.4547643746589</v>
      </c>
      <c r="BD231" s="181" t="s">
        <v>55</v>
      </c>
      <c r="BE231" s="178">
        <v>1.38921138670809</v>
      </c>
      <c r="BF231" s="179">
        <v>47.684037363200098</v>
      </c>
      <c r="BG231" s="168">
        <v>0.02</v>
      </c>
      <c r="BH231" s="168">
        <v>0.02</v>
      </c>
      <c r="BI231" s="176">
        <v>0</v>
      </c>
      <c r="BJ231" s="176">
        <v>0</v>
      </c>
      <c r="BK231" s="169"/>
      <c r="BL231" s="185">
        <v>0.8</v>
      </c>
      <c r="BM231" s="188">
        <v>0.78</v>
      </c>
      <c r="BN231" s="186"/>
      <c r="BO231" s="187">
        <v>0.95</v>
      </c>
      <c r="BP231" s="178">
        <v>1</v>
      </c>
      <c r="BQ231" s="186">
        <v>2.5000000000000001E-3</v>
      </c>
    </row>
    <row r="232" spans="1:69" s="156" customFormat="1" ht="22.35" customHeight="1" x14ac:dyDescent="0.2">
      <c r="A232" s="165" t="s">
        <v>275</v>
      </c>
      <c r="B232" s="165" t="s">
        <v>299</v>
      </c>
      <c r="C232" s="165" t="s">
        <v>300</v>
      </c>
      <c r="D232" s="166">
        <v>2.4562906796666701</v>
      </c>
      <c r="E232" s="167"/>
      <c r="F232" s="168">
        <v>5.8000000000000003E-2</v>
      </c>
      <c r="G232" s="168">
        <v>5.1999999999999998E-2</v>
      </c>
      <c r="H232" s="169"/>
      <c r="I232" s="170">
        <v>6</v>
      </c>
      <c r="J232" s="170">
        <v>6</v>
      </c>
      <c r="K232" s="167"/>
      <c r="L232" s="171">
        <v>663.61536000000001</v>
      </c>
      <c r="M232" s="171">
        <v>562.12004000000002</v>
      </c>
      <c r="N232" s="171">
        <v>1225.7354</v>
      </c>
      <c r="O232" s="166">
        <v>499.01887026104703</v>
      </c>
      <c r="P232" s="172">
        <v>232.92099999999999</v>
      </c>
      <c r="Q232" s="178">
        <v>2.1424382956498</v>
      </c>
      <c r="R232" s="179">
        <v>580.38214338233297</v>
      </c>
      <c r="S232" s="168">
        <v>0.01</v>
      </c>
      <c r="T232" s="168">
        <v>0.01</v>
      </c>
      <c r="U232" s="175">
        <v>0</v>
      </c>
      <c r="V232" s="176">
        <v>0</v>
      </c>
      <c r="W232" s="167"/>
      <c r="X232" s="175">
        <v>2007.19829</v>
      </c>
      <c r="Y232" s="166">
        <v>817.16643173209002</v>
      </c>
      <c r="Z232" s="177">
        <v>573</v>
      </c>
      <c r="AA232" s="178">
        <v>1.42611942710661</v>
      </c>
      <c r="AB232" s="179">
        <v>419.58954694152601</v>
      </c>
      <c r="AC232" s="168">
        <v>0.02</v>
      </c>
      <c r="AD232" s="168">
        <v>0.02</v>
      </c>
      <c r="AE232" s="176">
        <v>0</v>
      </c>
      <c r="AF232" s="176">
        <v>0</v>
      </c>
      <c r="AG232" s="167"/>
      <c r="AH232" s="180">
        <v>157.19999999999999</v>
      </c>
      <c r="AI232" s="166">
        <v>63.9989400689877</v>
      </c>
      <c r="AJ232" s="181" t="s">
        <v>53</v>
      </c>
      <c r="AK232" s="182">
        <v>1.0158561915712301</v>
      </c>
      <c r="AL232" s="183">
        <v>-17.3538408598322</v>
      </c>
      <c r="AM232" s="168">
        <v>8.0000000000000002E-3</v>
      </c>
      <c r="AN232" s="168">
        <v>2E-3</v>
      </c>
      <c r="AO232" s="176">
        <v>0</v>
      </c>
      <c r="AP232" s="176">
        <v>29</v>
      </c>
      <c r="AQ232" s="167"/>
      <c r="AR232" s="180">
        <v>9</v>
      </c>
      <c r="AS232" s="166">
        <v>3.6640614543313599</v>
      </c>
      <c r="AT232" s="181" t="s">
        <v>54</v>
      </c>
      <c r="AU232" s="173">
        <v>0.22900384089570999</v>
      </c>
      <c r="AV232" s="174">
        <v>-35.331134186624098</v>
      </c>
      <c r="AW232" s="168"/>
      <c r="AX232" s="168"/>
      <c r="AY232" s="176">
        <v>31</v>
      </c>
      <c r="AZ232" s="176">
        <v>39</v>
      </c>
      <c r="BA232" s="167"/>
      <c r="BB232" s="184">
        <v>98.6</v>
      </c>
      <c r="BC232" s="180">
        <v>40.141828821896802</v>
      </c>
      <c r="BD232" s="181" t="s">
        <v>55</v>
      </c>
      <c r="BE232" s="178">
        <v>1.2544321506842799</v>
      </c>
      <c r="BF232" s="179">
        <v>9.9377316267518694</v>
      </c>
      <c r="BG232" s="168">
        <v>0.02</v>
      </c>
      <c r="BH232" s="168">
        <v>0.02</v>
      </c>
      <c r="BI232" s="176">
        <v>0</v>
      </c>
      <c r="BJ232" s="176">
        <v>0</v>
      </c>
      <c r="BK232" s="169"/>
      <c r="BL232" s="185">
        <v>0.8</v>
      </c>
      <c r="BM232" s="182">
        <v>0.85</v>
      </c>
      <c r="BN232" s="186">
        <v>1.8749999999999999E-3</v>
      </c>
      <c r="BO232" s="187">
        <v>0.95</v>
      </c>
      <c r="BP232" s="178">
        <v>1</v>
      </c>
      <c r="BQ232" s="186">
        <v>2.5000000000000001E-3</v>
      </c>
    </row>
    <row r="233" spans="1:69" s="156" customFormat="1" ht="22.35" customHeight="1" x14ac:dyDescent="0.2">
      <c r="A233" s="165" t="s">
        <v>275</v>
      </c>
      <c r="B233" s="165" t="s">
        <v>299</v>
      </c>
      <c r="C233" s="165" t="s">
        <v>301</v>
      </c>
      <c r="D233" s="166">
        <v>3.3263409928888898</v>
      </c>
      <c r="E233" s="167"/>
      <c r="F233" s="168">
        <v>4.2999999999999997E-2</v>
      </c>
      <c r="G233" s="168">
        <v>3.5000000000000003E-2</v>
      </c>
      <c r="H233" s="169"/>
      <c r="I233" s="170">
        <v>5</v>
      </c>
      <c r="J233" s="170">
        <v>4</v>
      </c>
      <c r="K233" s="167"/>
      <c r="L233" s="171">
        <v>857.91168000000005</v>
      </c>
      <c r="M233" s="171">
        <v>1899.1649299999999</v>
      </c>
      <c r="N233" s="171">
        <v>2757.0766100000001</v>
      </c>
      <c r="O233" s="166">
        <v>828.86168793101103</v>
      </c>
      <c r="P233" s="172">
        <v>222.845</v>
      </c>
      <c r="Q233" s="178">
        <v>3.7194538263412298</v>
      </c>
      <c r="R233" s="179">
        <v>1920.93706874395</v>
      </c>
      <c r="S233" s="168">
        <v>0.01</v>
      </c>
      <c r="T233" s="168">
        <v>0.01</v>
      </c>
      <c r="U233" s="175">
        <v>0</v>
      </c>
      <c r="V233" s="176">
        <v>0</v>
      </c>
      <c r="W233" s="167"/>
      <c r="X233" s="175">
        <v>1992.8008400000001</v>
      </c>
      <c r="Y233" s="166">
        <v>599.09697901094501</v>
      </c>
      <c r="Z233" s="177">
        <v>573</v>
      </c>
      <c r="AA233" s="182">
        <v>1.04554446598769</v>
      </c>
      <c r="AB233" s="183">
        <v>-157.159702707777</v>
      </c>
      <c r="AC233" s="168">
        <v>1.0999999999999999E-2</v>
      </c>
      <c r="AD233" s="168">
        <v>5.0000000000000001E-3</v>
      </c>
      <c r="AE233" s="176">
        <v>0</v>
      </c>
      <c r="AF233" s="176">
        <v>295</v>
      </c>
      <c r="AG233" s="167"/>
      <c r="AH233" s="180">
        <v>201.15</v>
      </c>
      <c r="AI233" s="166">
        <v>60.471851932806103</v>
      </c>
      <c r="AJ233" s="181" t="s">
        <v>53</v>
      </c>
      <c r="AK233" s="182">
        <v>0.95987066560009604</v>
      </c>
      <c r="AL233" s="183">
        <v>-35.233096318656102</v>
      </c>
      <c r="AM233" s="168">
        <v>2E-3</v>
      </c>
      <c r="AN233" s="168"/>
      <c r="AO233" s="176">
        <v>9</v>
      </c>
      <c r="AP233" s="176">
        <v>51</v>
      </c>
      <c r="AQ233" s="167"/>
      <c r="AR233" s="180">
        <v>29.2</v>
      </c>
      <c r="AS233" s="166">
        <v>8.7784144988214603</v>
      </c>
      <c r="AT233" s="181" t="s">
        <v>54</v>
      </c>
      <c r="AU233" s="173">
        <v>0.54865090617634105</v>
      </c>
      <c r="AV233" s="174">
        <v>-30.833802239658699</v>
      </c>
      <c r="AW233" s="168"/>
      <c r="AX233" s="168"/>
      <c r="AY233" s="176">
        <v>25</v>
      </c>
      <c r="AZ233" s="176">
        <v>35</v>
      </c>
      <c r="BA233" s="167"/>
      <c r="BB233" s="184">
        <v>161.6</v>
      </c>
      <c r="BC233" s="180">
        <v>48.5819103770393</v>
      </c>
      <c r="BD233" s="181" t="s">
        <v>55</v>
      </c>
      <c r="BE233" s="178">
        <v>1.5181846992824799</v>
      </c>
      <c r="BF233" s="179">
        <v>41.532395520682599</v>
      </c>
      <c r="BG233" s="168">
        <v>0.02</v>
      </c>
      <c r="BH233" s="168">
        <v>0.02</v>
      </c>
      <c r="BI233" s="176">
        <v>0</v>
      </c>
      <c r="BJ233" s="176">
        <v>0</v>
      </c>
      <c r="BK233" s="169"/>
      <c r="BL233" s="185">
        <v>0.8</v>
      </c>
      <c r="BM233" s="188">
        <v>0.72</v>
      </c>
      <c r="BN233" s="186"/>
      <c r="BO233" s="187">
        <v>0.95</v>
      </c>
      <c r="BP233" s="178">
        <v>1</v>
      </c>
      <c r="BQ233" s="186">
        <v>2.5000000000000001E-3</v>
      </c>
    </row>
    <row r="234" spans="1:69" s="156" customFormat="1" ht="22.35" customHeight="1" x14ac:dyDescent="0.2">
      <c r="A234" s="165" t="s">
        <v>275</v>
      </c>
      <c r="B234" s="165" t="s">
        <v>299</v>
      </c>
      <c r="C234" s="165" t="s">
        <v>302</v>
      </c>
      <c r="D234" s="166">
        <v>2.2747145523333301</v>
      </c>
      <c r="E234" s="167"/>
      <c r="F234" s="168">
        <v>3.5999999999999997E-2</v>
      </c>
      <c r="G234" s="168">
        <v>0.03</v>
      </c>
      <c r="H234" s="169"/>
      <c r="I234" s="170">
        <v>5</v>
      </c>
      <c r="J234" s="170">
        <v>4</v>
      </c>
      <c r="K234" s="167"/>
      <c r="L234" s="171">
        <v>1182.6841899999999</v>
      </c>
      <c r="M234" s="171">
        <v>881.21898999999996</v>
      </c>
      <c r="N234" s="171">
        <v>2063.9031799999998</v>
      </c>
      <c r="O234" s="166">
        <v>907.32403231997205</v>
      </c>
      <c r="P234" s="172">
        <v>212.5</v>
      </c>
      <c r="Q234" s="178">
        <v>4.2697601520939896</v>
      </c>
      <c r="R234" s="179">
        <v>1518.6541018057001</v>
      </c>
      <c r="S234" s="168">
        <v>0.01</v>
      </c>
      <c r="T234" s="168">
        <v>0.01</v>
      </c>
      <c r="U234" s="175">
        <v>0</v>
      </c>
      <c r="V234" s="176">
        <v>0</v>
      </c>
      <c r="W234" s="167"/>
      <c r="X234" s="175">
        <v>1700.1726249999999</v>
      </c>
      <c r="Y234" s="166">
        <v>747.42240658548303</v>
      </c>
      <c r="Z234" s="177">
        <v>573</v>
      </c>
      <c r="AA234" s="178">
        <v>1.30440210573383</v>
      </c>
      <c r="AB234" s="179">
        <v>229.92452238666601</v>
      </c>
      <c r="AC234" s="168">
        <v>0.02</v>
      </c>
      <c r="AD234" s="168">
        <v>0.02</v>
      </c>
      <c r="AE234" s="176">
        <v>0</v>
      </c>
      <c r="AF234" s="176">
        <v>0</v>
      </c>
      <c r="AG234" s="167"/>
      <c r="AH234" s="180">
        <v>123.8</v>
      </c>
      <c r="AI234" s="166">
        <v>54.424411130183202</v>
      </c>
      <c r="AJ234" s="181" t="s">
        <v>53</v>
      </c>
      <c r="AK234" s="188">
        <v>0.86387954174893999</v>
      </c>
      <c r="AL234" s="171">
        <v>-37.850314947015796</v>
      </c>
      <c r="AM234" s="168"/>
      <c r="AN234" s="168"/>
      <c r="AO234" s="176">
        <v>20</v>
      </c>
      <c r="AP234" s="176">
        <v>49</v>
      </c>
      <c r="AQ234" s="167"/>
      <c r="AR234" s="180">
        <v>19.600000000000001</v>
      </c>
      <c r="AS234" s="166">
        <v>8.6164657362810306</v>
      </c>
      <c r="AT234" s="181" t="s">
        <v>54</v>
      </c>
      <c r="AU234" s="173">
        <v>0.53852910851756397</v>
      </c>
      <c r="AV234" s="174">
        <v>-21.454048240511899</v>
      </c>
      <c r="AW234" s="168"/>
      <c r="AX234" s="168"/>
      <c r="AY234" s="176">
        <v>17</v>
      </c>
      <c r="AZ234" s="176">
        <v>25</v>
      </c>
      <c r="BA234" s="167"/>
      <c r="BB234" s="184">
        <v>72.599999999999994</v>
      </c>
      <c r="BC234" s="180">
        <v>31.916092472142999</v>
      </c>
      <c r="BD234" s="181" t="s">
        <v>55</v>
      </c>
      <c r="BE234" s="182">
        <v>0.99737788975446795</v>
      </c>
      <c r="BF234" s="183">
        <v>-9.5080964810238804</v>
      </c>
      <c r="BG234" s="168">
        <v>6.0000000000000001E-3</v>
      </c>
      <c r="BH234" s="168">
        <v>0</v>
      </c>
      <c r="BI234" s="176">
        <v>1</v>
      </c>
      <c r="BJ234" s="176">
        <v>15</v>
      </c>
      <c r="BK234" s="169"/>
      <c r="BL234" s="185">
        <v>0.8</v>
      </c>
      <c r="BM234" s="182">
        <v>0.82</v>
      </c>
      <c r="BN234" s="186">
        <v>7.5000000000000002E-4</v>
      </c>
      <c r="BO234" s="187">
        <v>0.95</v>
      </c>
      <c r="BP234" s="178">
        <v>1</v>
      </c>
      <c r="BQ234" s="186">
        <v>2.5000000000000001E-3</v>
      </c>
    </row>
    <row r="235" spans="1:69" s="156" customFormat="1" ht="22.35" customHeight="1" x14ac:dyDescent="0.2">
      <c r="A235" s="165" t="s">
        <v>275</v>
      </c>
      <c r="B235" s="165" t="s">
        <v>299</v>
      </c>
      <c r="C235" s="165" t="s">
        <v>303</v>
      </c>
      <c r="D235" s="166">
        <v>2.9376340330000001</v>
      </c>
      <c r="E235" s="167"/>
      <c r="F235" s="168">
        <v>7.0000000000000007E-2</v>
      </c>
      <c r="G235" s="168">
        <v>6.0999999999999999E-2</v>
      </c>
      <c r="H235" s="169"/>
      <c r="I235" s="170">
        <v>5</v>
      </c>
      <c r="J235" s="170">
        <v>5</v>
      </c>
      <c r="K235" s="167"/>
      <c r="L235" s="171">
        <v>966.06984</v>
      </c>
      <c r="M235" s="171">
        <v>1954.53693</v>
      </c>
      <c r="N235" s="171">
        <v>2920.6067699999999</v>
      </c>
      <c r="O235" s="166">
        <v>994.20374940897204</v>
      </c>
      <c r="P235" s="172">
        <v>229.05500000000001</v>
      </c>
      <c r="Q235" s="178">
        <v>4.3404586208944202</v>
      </c>
      <c r="R235" s="179">
        <v>2161.5983968523001</v>
      </c>
      <c r="S235" s="168">
        <v>0.01</v>
      </c>
      <c r="T235" s="168">
        <v>0.01</v>
      </c>
      <c r="U235" s="175">
        <v>0</v>
      </c>
      <c r="V235" s="176">
        <v>0</v>
      </c>
      <c r="W235" s="167"/>
      <c r="X235" s="175">
        <v>1937.27088</v>
      </c>
      <c r="Y235" s="166">
        <v>659.46637948689602</v>
      </c>
      <c r="Z235" s="177">
        <v>573</v>
      </c>
      <c r="AA235" s="178">
        <v>1.1509011858410101</v>
      </c>
      <c r="AB235" s="179">
        <v>38.548748574647803</v>
      </c>
      <c r="AC235" s="168">
        <v>0.02</v>
      </c>
      <c r="AD235" s="168">
        <v>1.4999999999999999E-2</v>
      </c>
      <c r="AE235" s="176">
        <v>0</v>
      </c>
      <c r="AF235" s="176">
        <v>83</v>
      </c>
      <c r="AG235" s="167"/>
      <c r="AH235" s="180">
        <v>215</v>
      </c>
      <c r="AI235" s="166">
        <v>73.188149914111506</v>
      </c>
      <c r="AJ235" s="181" t="s">
        <v>53</v>
      </c>
      <c r="AK235" s="178">
        <v>1.1617166653033599</v>
      </c>
      <c r="AL235" s="179">
        <v>6.2399750788879702</v>
      </c>
      <c r="AM235" s="168">
        <v>0.02</v>
      </c>
      <c r="AN235" s="168">
        <v>1.6E-2</v>
      </c>
      <c r="AO235" s="176">
        <v>0</v>
      </c>
      <c r="AP235" s="176">
        <v>8</v>
      </c>
      <c r="AQ235" s="167"/>
      <c r="AR235" s="180">
        <v>25.1</v>
      </c>
      <c r="AS235" s="166">
        <v>8.5442909899730193</v>
      </c>
      <c r="AT235" s="181" t="s">
        <v>54</v>
      </c>
      <c r="AU235" s="173">
        <v>0.53401818687331404</v>
      </c>
      <c r="AV235" s="174">
        <v>-27.918419027584001</v>
      </c>
      <c r="AW235" s="168"/>
      <c r="AX235" s="168"/>
      <c r="AY235" s="176">
        <v>22</v>
      </c>
      <c r="AZ235" s="176">
        <v>32</v>
      </c>
      <c r="BA235" s="167"/>
      <c r="BB235" s="184">
        <v>127.6</v>
      </c>
      <c r="BC235" s="180">
        <v>43.436315949026202</v>
      </c>
      <c r="BD235" s="181" t="s">
        <v>55</v>
      </c>
      <c r="BE235" s="178">
        <v>1.3573848734070699</v>
      </c>
      <c r="BF235" s="179">
        <v>21.563161944832</v>
      </c>
      <c r="BG235" s="168">
        <v>0.02</v>
      </c>
      <c r="BH235" s="168">
        <v>0.02</v>
      </c>
      <c r="BI235" s="176">
        <v>0</v>
      </c>
      <c r="BJ235" s="176">
        <v>0</v>
      </c>
      <c r="BK235" s="169"/>
      <c r="BL235" s="185">
        <v>0.8</v>
      </c>
      <c r="BM235" s="188">
        <v>0.76</v>
      </c>
      <c r="BN235" s="186"/>
      <c r="BO235" s="187">
        <v>0.95</v>
      </c>
      <c r="BP235" s="178">
        <v>1</v>
      </c>
      <c r="BQ235" s="186">
        <v>2.5000000000000001E-3</v>
      </c>
    </row>
    <row r="236" spans="1:69" s="156" customFormat="1" ht="22.35" customHeight="1" x14ac:dyDescent="0.2">
      <c r="A236" s="165" t="s">
        <v>275</v>
      </c>
      <c r="B236" s="165" t="s">
        <v>299</v>
      </c>
      <c r="C236" s="165" t="s">
        <v>304</v>
      </c>
      <c r="D236" s="166">
        <v>3.2454949072222199</v>
      </c>
      <c r="E236" s="167"/>
      <c r="F236" s="168">
        <v>0.01</v>
      </c>
      <c r="G236" s="168">
        <v>0.01</v>
      </c>
      <c r="H236" s="169"/>
      <c r="I236" s="170">
        <v>2</v>
      </c>
      <c r="J236" s="170">
        <v>2</v>
      </c>
      <c r="K236" s="167"/>
      <c r="L236" s="171">
        <v>1451.7116100000001</v>
      </c>
      <c r="M236" s="171">
        <v>-89.693820000000002</v>
      </c>
      <c r="N236" s="171">
        <v>1362.0177900000001</v>
      </c>
      <c r="O236" s="166">
        <v>419.66412794828102</v>
      </c>
      <c r="P236" s="172">
        <v>242.61199999999999</v>
      </c>
      <c r="Q236" s="178">
        <v>1.7297748171907401</v>
      </c>
      <c r="R236" s="179">
        <v>473.83509023383499</v>
      </c>
      <c r="S236" s="168">
        <v>0.01</v>
      </c>
      <c r="T236" s="168">
        <v>0.01</v>
      </c>
      <c r="U236" s="175">
        <v>0</v>
      </c>
      <c r="V236" s="176">
        <v>0</v>
      </c>
      <c r="W236" s="167"/>
      <c r="X236" s="175">
        <v>1261.249305</v>
      </c>
      <c r="Y236" s="166">
        <v>388.61540105742699</v>
      </c>
      <c r="Z236" s="177">
        <v>573</v>
      </c>
      <c r="AA236" s="173">
        <v>0.67821186921016896</v>
      </c>
      <c r="AB236" s="174">
        <v>-836.45685531363904</v>
      </c>
      <c r="AC236" s="168"/>
      <c r="AD236" s="168"/>
      <c r="AE236" s="176">
        <v>599</v>
      </c>
      <c r="AF236" s="176">
        <v>971</v>
      </c>
      <c r="AG236" s="167"/>
      <c r="AH236" s="180">
        <v>140.30000000000001</v>
      </c>
      <c r="AI236" s="166">
        <v>43.229154261739701</v>
      </c>
      <c r="AJ236" s="181" t="s">
        <v>53</v>
      </c>
      <c r="AK236" s="173">
        <v>0.68617705177364596</v>
      </c>
      <c r="AL236" s="174">
        <v>-90.337850086839794</v>
      </c>
      <c r="AM236" s="168"/>
      <c r="AN236" s="168"/>
      <c r="AO236" s="176">
        <v>65</v>
      </c>
      <c r="AP236" s="176">
        <v>106</v>
      </c>
      <c r="AQ236" s="167"/>
      <c r="AR236" s="180">
        <v>11.8</v>
      </c>
      <c r="AS236" s="166">
        <v>3.6358091253637101</v>
      </c>
      <c r="AT236" s="181" t="s">
        <v>54</v>
      </c>
      <c r="AU236" s="173">
        <v>0.227238070335232</v>
      </c>
      <c r="AV236" s="174">
        <v>-46.774692085546597</v>
      </c>
      <c r="AW236" s="168"/>
      <c r="AX236" s="168"/>
      <c r="AY236" s="176">
        <v>41</v>
      </c>
      <c r="AZ236" s="176">
        <v>51</v>
      </c>
      <c r="BA236" s="167"/>
      <c r="BB236" s="184">
        <v>80</v>
      </c>
      <c r="BC236" s="180">
        <v>24.649553392296301</v>
      </c>
      <c r="BD236" s="181" t="s">
        <v>55</v>
      </c>
      <c r="BE236" s="188">
        <v>0.77029854350925997</v>
      </c>
      <c r="BF236" s="171">
        <v>-37.149384171093303</v>
      </c>
      <c r="BG236" s="168"/>
      <c r="BH236" s="168"/>
      <c r="BI236" s="176">
        <v>24</v>
      </c>
      <c r="BJ236" s="176">
        <v>45</v>
      </c>
      <c r="BK236" s="169"/>
      <c r="BL236" s="185">
        <v>0.8</v>
      </c>
      <c r="BM236" s="188">
        <v>0.74</v>
      </c>
      <c r="BN236" s="186"/>
      <c r="BO236" s="187">
        <v>0.95</v>
      </c>
      <c r="BP236" s="178">
        <v>1</v>
      </c>
      <c r="BQ236" s="186">
        <v>2.5000000000000001E-3</v>
      </c>
    </row>
    <row r="237" spans="1:69" s="156" customFormat="1" ht="22.35" customHeight="1" x14ac:dyDescent="0.2">
      <c r="A237" s="165" t="s">
        <v>275</v>
      </c>
      <c r="B237" s="165" t="s">
        <v>299</v>
      </c>
      <c r="C237" s="165" t="s">
        <v>305</v>
      </c>
      <c r="D237" s="166">
        <v>2.8560806016666702</v>
      </c>
      <c r="E237" s="167"/>
      <c r="F237" s="168">
        <v>5.3999999999999999E-2</v>
      </c>
      <c r="G237" s="168">
        <v>0.04</v>
      </c>
      <c r="H237" s="169"/>
      <c r="I237" s="170">
        <v>7</v>
      </c>
      <c r="J237" s="170">
        <v>7</v>
      </c>
      <c r="K237" s="167"/>
      <c r="L237" s="171">
        <v>973.97928000000002</v>
      </c>
      <c r="M237" s="171">
        <v>1974.6358499999999</v>
      </c>
      <c r="N237" s="171">
        <v>2948.6151300000001</v>
      </c>
      <c r="O237" s="166">
        <v>1032.3991305705199</v>
      </c>
      <c r="P237" s="172">
        <v>215.88200000000001</v>
      </c>
      <c r="Q237" s="178">
        <v>4.7822381234680096</v>
      </c>
      <c r="R237" s="179">
        <v>2253.11695931752</v>
      </c>
      <c r="S237" s="168">
        <v>0.01</v>
      </c>
      <c r="T237" s="168">
        <v>0.01</v>
      </c>
      <c r="U237" s="175">
        <v>0</v>
      </c>
      <c r="V237" s="176">
        <v>0</v>
      </c>
      <c r="W237" s="167"/>
      <c r="X237" s="175">
        <v>1644.2448199999999</v>
      </c>
      <c r="Y237" s="166">
        <v>575.69972606532895</v>
      </c>
      <c r="Z237" s="177">
        <v>573</v>
      </c>
      <c r="AA237" s="182">
        <v>1.00471156381384</v>
      </c>
      <c r="AB237" s="183">
        <v>-201.76574040364201</v>
      </c>
      <c r="AC237" s="168">
        <v>7.0000000000000001E-3</v>
      </c>
      <c r="AD237" s="168">
        <v>1E-3</v>
      </c>
      <c r="AE237" s="176">
        <v>0</v>
      </c>
      <c r="AF237" s="176">
        <v>320</v>
      </c>
      <c r="AG237" s="167"/>
      <c r="AH237" s="180">
        <v>181.5</v>
      </c>
      <c r="AI237" s="166">
        <v>63.548626706853298</v>
      </c>
      <c r="AJ237" s="181" t="s">
        <v>53</v>
      </c>
      <c r="AK237" s="182">
        <v>1.0087083604262399</v>
      </c>
      <c r="AL237" s="183">
        <v>-21.464511876840302</v>
      </c>
      <c r="AM237" s="168">
        <v>7.0000000000000001E-3</v>
      </c>
      <c r="AN237" s="168">
        <v>1E-3</v>
      </c>
      <c r="AO237" s="176">
        <v>0</v>
      </c>
      <c r="AP237" s="176">
        <v>35</v>
      </c>
      <c r="AQ237" s="167"/>
      <c r="AR237" s="180">
        <v>52.8</v>
      </c>
      <c r="AS237" s="166">
        <v>18.486873223811902</v>
      </c>
      <c r="AT237" s="181" t="s">
        <v>54</v>
      </c>
      <c r="AU237" s="178">
        <v>1.1554295764882401</v>
      </c>
      <c r="AV237" s="179">
        <v>1.2534573011199399</v>
      </c>
      <c r="AW237" s="168">
        <v>0.01</v>
      </c>
      <c r="AX237" s="168">
        <v>8.0000000000000002E-3</v>
      </c>
      <c r="AY237" s="176">
        <v>0</v>
      </c>
      <c r="AZ237" s="176">
        <v>3</v>
      </c>
      <c r="BA237" s="167"/>
      <c r="BB237" s="184">
        <v>131.6</v>
      </c>
      <c r="BC237" s="180">
        <v>46.077130989652296</v>
      </c>
      <c r="BD237" s="181" t="s">
        <v>55</v>
      </c>
      <c r="BE237" s="178">
        <v>1.43991034342663</v>
      </c>
      <c r="BF237" s="179">
        <v>28.506914602239899</v>
      </c>
      <c r="BG237" s="168">
        <v>0.02</v>
      </c>
      <c r="BH237" s="168">
        <v>0.02</v>
      </c>
      <c r="BI237" s="176">
        <v>0</v>
      </c>
      <c r="BJ237" s="176">
        <v>0</v>
      </c>
      <c r="BK237" s="169"/>
      <c r="BL237" s="185">
        <v>0.8</v>
      </c>
      <c r="BM237" s="182">
        <v>0.81</v>
      </c>
      <c r="BN237" s="186">
        <v>3.7500000000000001E-4</v>
      </c>
      <c r="BO237" s="187">
        <v>0.95</v>
      </c>
      <c r="BP237" s="178">
        <v>1</v>
      </c>
      <c r="BQ237" s="186">
        <v>2.5000000000000001E-3</v>
      </c>
    </row>
    <row r="238" spans="1:69" s="156" customFormat="1" ht="22.35" customHeight="1" x14ac:dyDescent="0.2">
      <c r="A238" s="165" t="s">
        <v>275</v>
      </c>
      <c r="B238" s="165" t="s">
        <v>299</v>
      </c>
      <c r="C238" s="165" t="s">
        <v>306</v>
      </c>
      <c r="D238" s="166">
        <v>9.2014397199999998</v>
      </c>
      <c r="E238" s="167"/>
      <c r="F238" s="168">
        <v>3.7999999999999999E-2</v>
      </c>
      <c r="G238" s="168">
        <v>3.1E-2</v>
      </c>
      <c r="H238" s="169"/>
      <c r="I238" s="170">
        <v>5</v>
      </c>
      <c r="J238" s="170">
        <v>4</v>
      </c>
      <c r="K238" s="167"/>
      <c r="L238" s="171">
        <v>6164.6352299999999</v>
      </c>
      <c r="M238" s="171">
        <v>-1823.66967</v>
      </c>
      <c r="N238" s="171">
        <v>4340.9655599999996</v>
      </c>
      <c r="O238" s="166">
        <v>471.77025466619</v>
      </c>
      <c r="P238" s="172">
        <v>232.92099999999999</v>
      </c>
      <c r="Q238" s="178">
        <v>2.0254517826481502</v>
      </c>
      <c r="R238" s="179">
        <v>1923.42632572705</v>
      </c>
      <c r="S238" s="168">
        <v>0.01</v>
      </c>
      <c r="T238" s="168">
        <v>0.01</v>
      </c>
      <c r="U238" s="175">
        <v>0</v>
      </c>
      <c r="V238" s="176">
        <v>0</v>
      </c>
      <c r="W238" s="167"/>
      <c r="X238" s="175">
        <v>5286.7493850000001</v>
      </c>
      <c r="Y238" s="166">
        <v>574.55675914594804</v>
      </c>
      <c r="Z238" s="177">
        <v>573</v>
      </c>
      <c r="AA238" s="182">
        <v>1.0027168571482501</v>
      </c>
      <c r="AB238" s="183">
        <v>-660.54596938368002</v>
      </c>
      <c r="AC238" s="168">
        <v>7.0000000000000001E-3</v>
      </c>
      <c r="AD238" s="168">
        <v>1E-3</v>
      </c>
      <c r="AE238" s="176">
        <v>0</v>
      </c>
      <c r="AF238" s="176">
        <v>1041</v>
      </c>
      <c r="AG238" s="167"/>
      <c r="AH238" s="180">
        <v>550.29999999999995</v>
      </c>
      <c r="AI238" s="166">
        <v>59.8058582945322</v>
      </c>
      <c r="AJ238" s="181" t="s">
        <v>53</v>
      </c>
      <c r="AK238" s="182">
        <v>0.94929933800844701</v>
      </c>
      <c r="AL238" s="183">
        <v>-103.59111226208</v>
      </c>
      <c r="AM238" s="168">
        <v>1E-3</v>
      </c>
      <c r="AN238" s="168"/>
      <c r="AO238" s="176">
        <v>30</v>
      </c>
      <c r="AP238" s="176">
        <v>146</v>
      </c>
      <c r="AQ238" s="167"/>
      <c r="AR238" s="180">
        <v>48.8</v>
      </c>
      <c r="AS238" s="166">
        <v>5.3035178716575899</v>
      </c>
      <c r="AT238" s="181" t="s">
        <v>54</v>
      </c>
      <c r="AU238" s="173">
        <v>0.33146986697859898</v>
      </c>
      <c r="AV238" s="174">
        <v>-117.26758406656</v>
      </c>
      <c r="AW238" s="168"/>
      <c r="AX238" s="168"/>
      <c r="AY238" s="176">
        <v>99</v>
      </c>
      <c r="AZ238" s="176">
        <v>128</v>
      </c>
      <c r="BA238" s="167"/>
      <c r="BB238" s="184">
        <v>362</v>
      </c>
      <c r="BC238" s="180">
        <v>39.341669457787802</v>
      </c>
      <c r="BD238" s="181" t="s">
        <v>55</v>
      </c>
      <c r="BE238" s="178">
        <v>1.2294271705558699</v>
      </c>
      <c r="BF238" s="179">
        <v>29.864831866879999</v>
      </c>
      <c r="BG238" s="168">
        <v>0.02</v>
      </c>
      <c r="BH238" s="168">
        <v>0.02</v>
      </c>
      <c r="BI238" s="176">
        <v>0</v>
      </c>
      <c r="BJ238" s="176">
        <v>0</v>
      </c>
      <c r="BK238" s="169"/>
      <c r="BL238" s="185">
        <v>0.8</v>
      </c>
      <c r="BM238" s="188">
        <v>0.77</v>
      </c>
      <c r="BN238" s="186"/>
      <c r="BO238" s="187">
        <v>0.95</v>
      </c>
      <c r="BP238" s="178">
        <v>1</v>
      </c>
      <c r="BQ238" s="186">
        <v>2.5000000000000001E-3</v>
      </c>
    </row>
    <row r="239" spans="1:69" s="156" customFormat="1" ht="22.35" customHeight="1" x14ac:dyDescent="0.2">
      <c r="A239" s="165" t="s">
        <v>275</v>
      </c>
      <c r="B239" s="165" t="s">
        <v>299</v>
      </c>
      <c r="C239" s="165" t="s">
        <v>307</v>
      </c>
      <c r="D239" s="166">
        <v>2.4944492774444398</v>
      </c>
      <c r="E239" s="167"/>
      <c r="F239" s="168">
        <v>4.5999999999999999E-2</v>
      </c>
      <c r="G239" s="168">
        <v>3.5999999999999997E-2</v>
      </c>
      <c r="H239" s="169"/>
      <c r="I239" s="170">
        <v>4</v>
      </c>
      <c r="J239" s="170">
        <v>4</v>
      </c>
      <c r="K239" s="167"/>
      <c r="L239" s="171">
        <v>2035.1780699999999</v>
      </c>
      <c r="M239" s="171">
        <v>-8.9952400000000008</v>
      </c>
      <c r="N239" s="171">
        <v>2026.18283</v>
      </c>
      <c r="O239" s="166">
        <v>812.27662086431303</v>
      </c>
      <c r="P239" s="172">
        <v>245.339</v>
      </c>
      <c r="Q239" s="178">
        <v>3.3108336663323499</v>
      </c>
      <c r="R239" s="179">
        <v>1335.8629702373501</v>
      </c>
      <c r="S239" s="168">
        <v>0.01</v>
      </c>
      <c r="T239" s="168">
        <v>0.01</v>
      </c>
      <c r="U239" s="175">
        <v>0</v>
      </c>
      <c r="V239" s="176">
        <v>0</v>
      </c>
      <c r="W239" s="167"/>
      <c r="X239" s="175">
        <v>1667.977535</v>
      </c>
      <c r="Y239" s="166">
        <v>668.67566724340804</v>
      </c>
      <c r="Z239" s="177">
        <v>573</v>
      </c>
      <c r="AA239" s="178">
        <v>1.16697324126249</v>
      </c>
      <c r="AB239" s="179">
        <v>55.705211219450803</v>
      </c>
      <c r="AC239" s="168">
        <v>0.02</v>
      </c>
      <c r="AD239" s="168">
        <v>1.7000000000000001E-2</v>
      </c>
      <c r="AE239" s="176">
        <v>0</v>
      </c>
      <c r="AF239" s="176">
        <v>48</v>
      </c>
      <c r="AG239" s="167"/>
      <c r="AH239" s="180">
        <v>87.7</v>
      </c>
      <c r="AI239" s="166">
        <v>35.158061057007501</v>
      </c>
      <c r="AJ239" s="181" t="s">
        <v>53</v>
      </c>
      <c r="AK239" s="173">
        <v>0.55806446122234099</v>
      </c>
      <c r="AL239" s="174">
        <v>-89.565543452311701</v>
      </c>
      <c r="AM239" s="168"/>
      <c r="AN239" s="168"/>
      <c r="AO239" s="176">
        <v>70</v>
      </c>
      <c r="AP239" s="176">
        <v>101</v>
      </c>
      <c r="AQ239" s="167"/>
      <c r="AR239" s="180">
        <v>11</v>
      </c>
      <c r="AS239" s="166">
        <v>4.4097910105710696</v>
      </c>
      <c r="AT239" s="181" t="s">
        <v>54</v>
      </c>
      <c r="AU239" s="173">
        <v>0.27561193816069202</v>
      </c>
      <c r="AV239" s="174">
        <v>-34.019820559317303</v>
      </c>
      <c r="AW239" s="168"/>
      <c r="AX239" s="168"/>
      <c r="AY239" s="176">
        <v>29</v>
      </c>
      <c r="AZ239" s="176">
        <v>37</v>
      </c>
      <c r="BA239" s="167"/>
      <c r="BB239" s="184">
        <v>87</v>
      </c>
      <c r="BC239" s="180">
        <v>34.877437992698397</v>
      </c>
      <c r="BD239" s="181" t="s">
        <v>55</v>
      </c>
      <c r="BE239" s="182">
        <v>1.08991993727183</v>
      </c>
      <c r="BF239" s="183">
        <v>-3.0396411186345098</v>
      </c>
      <c r="BG239" s="168">
        <v>1.6E-2</v>
      </c>
      <c r="BH239" s="168">
        <v>8.9999999999999993E-3</v>
      </c>
      <c r="BI239" s="176">
        <v>0</v>
      </c>
      <c r="BJ239" s="176">
        <v>9</v>
      </c>
      <c r="BK239" s="169"/>
      <c r="BL239" s="185">
        <v>0.8</v>
      </c>
      <c r="BM239" s="188">
        <v>0.79</v>
      </c>
      <c r="BN239" s="186"/>
      <c r="BO239" s="187">
        <v>0.95</v>
      </c>
      <c r="BP239" s="178">
        <v>1</v>
      </c>
      <c r="BQ239" s="186">
        <v>2.5000000000000001E-3</v>
      </c>
    </row>
    <row r="240" spans="1:69" s="156" customFormat="1" ht="22.35" customHeight="1" x14ac:dyDescent="0.2">
      <c r="A240" s="165" t="s">
        <v>275</v>
      </c>
      <c r="B240" s="165" t="s">
        <v>299</v>
      </c>
      <c r="C240" s="165" t="s">
        <v>308</v>
      </c>
      <c r="D240" s="166">
        <v>2.6001805638888902</v>
      </c>
      <c r="E240" s="167"/>
      <c r="F240" s="168"/>
      <c r="G240" s="168"/>
      <c r="H240" s="169"/>
      <c r="I240" s="170">
        <v>1</v>
      </c>
      <c r="J240" s="170">
        <v>1</v>
      </c>
      <c r="K240" s="167"/>
      <c r="L240" s="171"/>
      <c r="M240" s="171">
        <v>72.353960000000001</v>
      </c>
      <c r="N240" s="171">
        <v>72.353960000000001</v>
      </c>
      <c r="O240" s="166">
        <v>27.8265136678761</v>
      </c>
      <c r="P240" s="172">
        <v>217.09100000000001</v>
      </c>
      <c r="Q240" s="173">
        <v>0.12817902938341999</v>
      </c>
      <c r="R240" s="174">
        <v>-564.37474104098897</v>
      </c>
      <c r="S240" s="168"/>
      <c r="T240" s="168"/>
      <c r="U240" s="175">
        <v>493</v>
      </c>
      <c r="V240" s="176">
        <v>606</v>
      </c>
      <c r="W240" s="167"/>
      <c r="X240" s="175">
        <v>1076.60023</v>
      </c>
      <c r="Y240" s="166">
        <v>414.04825686021297</v>
      </c>
      <c r="Z240" s="177">
        <v>573</v>
      </c>
      <c r="AA240" s="173">
        <v>0.72259730691136603</v>
      </c>
      <c r="AB240" s="174">
        <v>-604.01087638620095</v>
      </c>
      <c r="AC240" s="168"/>
      <c r="AD240" s="168"/>
      <c r="AE240" s="176">
        <v>414</v>
      </c>
      <c r="AF240" s="176">
        <v>712</v>
      </c>
      <c r="AG240" s="167"/>
      <c r="AH240" s="180">
        <v>96.2</v>
      </c>
      <c r="AI240" s="166">
        <v>36.997430615403502</v>
      </c>
      <c r="AJ240" s="181" t="s">
        <v>53</v>
      </c>
      <c r="AK240" s="173">
        <v>0.58726080341910403</v>
      </c>
      <c r="AL240" s="174">
        <v>-88.579231592200102</v>
      </c>
      <c r="AM240" s="168"/>
      <c r="AN240" s="168"/>
      <c r="AO240" s="176">
        <v>68</v>
      </c>
      <c r="AP240" s="176">
        <v>101</v>
      </c>
      <c r="AQ240" s="167"/>
      <c r="AR240" s="180">
        <v>18.399999999999999</v>
      </c>
      <c r="AS240" s="166">
        <v>7.0764316353786398</v>
      </c>
      <c r="AT240" s="181" t="s">
        <v>54</v>
      </c>
      <c r="AU240" s="173">
        <v>0.44227697721116499</v>
      </c>
      <c r="AV240" s="174">
        <v>-28.5280588170667</v>
      </c>
      <c r="AW240" s="168"/>
      <c r="AX240" s="168"/>
      <c r="AY240" s="176">
        <v>24</v>
      </c>
      <c r="AZ240" s="176">
        <v>32</v>
      </c>
      <c r="BA240" s="167"/>
      <c r="BB240" s="184">
        <v>72.400000000000006</v>
      </c>
      <c r="BC240" s="180">
        <v>27.844220130511601</v>
      </c>
      <c r="BD240" s="181" t="s">
        <v>55</v>
      </c>
      <c r="BE240" s="188">
        <v>0.87013187907848699</v>
      </c>
      <c r="BF240" s="171">
        <v>-21.456117634133399</v>
      </c>
      <c r="BG240" s="168"/>
      <c r="BH240" s="168"/>
      <c r="BI240" s="176">
        <v>11</v>
      </c>
      <c r="BJ240" s="176">
        <v>28</v>
      </c>
      <c r="BK240" s="169"/>
      <c r="BL240" s="185">
        <v>0.8</v>
      </c>
      <c r="BM240" s="173"/>
      <c r="BN240" s="186"/>
      <c r="BO240" s="187">
        <v>0.95</v>
      </c>
      <c r="BP240" s="178">
        <v>1</v>
      </c>
      <c r="BQ240" s="186">
        <v>2.5000000000000001E-3</v>
      </c>
    </row>
    <row r="241" spans="1:69" s="156" customFormat="1" ht="22.35" customHeight="1" x14ac:dyDescent="0.2">
      <c r="A241" s="165" t="s">
        <v>275</v>
      </c>
      <c r="B241" s="165" t="s">
        <v>299</v>
      </c>
      <c r="C241" s="165" t="s">
        <v>309</v>
      </c>
      <c r="D241" s="166">
        <v>3.3634437715555601</v>
      </c>
      <c r="E241" s="167"/>
      <c r="F241" s="168">
        <v>3.3000000000000002E-2</v>
      </c>
      <c r="G241" s="168">
        <v>0.03</v>
      </c>
      <c r="H241" s="169"/>
      <c r="I241" s="170">
        <v>4</v>
      </c>
      <c r="J241" s="170">
        <v>3</v>
      </c>
      <c r="K241" s="167"/>
      <c r="L241" s="171">
        <v>6714.7305999999999</v>
      </c>
      <c r="M241" s="171">
        <v>-1838.99776</v>
      </c>
      <c r="N241" s="171">
        <v>4875.7328399999997</v>
      </c>
      <c r="O241" s="166">
        <v>1449.6251970179401</v>
      </c>
      <c r="P241" s="172">
        <v>217.09100000000001</v>
      </c>
      <c r="Q241" s="178">
        <v>6.6775002050658001</v>
      </c>
      <c r="R241" s="179">
        <v>4052.0972765974502</v>
      </c>
      <c r="S241" s="168">
        <v>0.01</v>
      </c>
      <c r="T241" s="168">
        <v>0.01</v>
      </c>
      <c r="U241" s="175">
        <v>0</v>
      </c>
      <c r="V241" s="176">
        <v>0</v>
      </c>
      <c r="W241" s="167"/>
      <c r="X241" s="175">
        <v>1745.763205</v>
      </c>
      <c r="Y241" s="166">
        <v>519.04040131837996</v>
      </c>
      <c r="Z241" s="177">
        <v>573</v>
      </c>
      <c r="AA241" s="188">
        <v>0.90582967071270404</v>
      </c>
      <c r="AB241" s="171">
        <v>-428.17849608230699</v>
      </c>
      <c r="AC241" s="168"/>
      <c r="AD241" s="168"/>
      <c r="AE241" s="176">
        <v>182</v>
      </c>
      <c r="AF241" s="176">
        <v>567</v>
      </c>
      <c r="AG241" s="167"/>
      <c r="AH241" s="180">
        <v>205.7</v>
      </c>
      <c r="AI241" s="166">
        <v>61.157555758652101</v>
      </c>
      <c r="AJ241" s="181" t="s">
        <v>53</v>
      </c>
      <c r="AK241" s="182">
        <v>0.970754853311938</v>
      </c>
      <c r="AL241" s="183">
        <v>-33.319768181824301</v>
      </c>
      <c r="AM241" s="168">
        <v>3.0000000000000001E-3</v>
      </c>
      <c r="AN241" s="168"/>
      <c r="AO241" s="176">
        <v>7</v>
      </c>
      <c r="AP241" s="176">
        <v>49</v>
      </c>
      <c r="AQ241" s="167"/>
      <c r="AR241" s="180">
        <v>21.5</v>
      </c>
      <c r="AS241" s="166">
        <v>6.3922578940739898</v>
      </c>
      <c r="AT241" s="181" t="s">
        <v>54</v>
      </c>
      <c r="AU241" s="173">
        <v>0.39951611837962397</v>
      </c>
      <c r="AV241" s="174">
        <v>-39.203433189034797</v>
      </c>
      <c r="AW241" s="168"/>
      <c r="AX241" s="168"/>
      <c r="AY241" s="176">
        <v>33</v>
      </c>
      <c r="AZ241" s="176">
        <v>44</v>
      </c>
      <c r="BA241" s="167"/>
      <c r="BB241" s="184">
        <v>140</v>
      </c>
      <c r="BC241" s="180">
        <v>41.624004891644603</v>
      </c>
      <c r="BD241" s="181" t="s">
        <v>55</v>
      </c>
      <c r="BE241" s="178">
        <v>1.3007501528638901</v>
      </c>
      <c r="BF241" s="179">
        <v>18.593133621930502</v>
      </c>
      <c r="BG241" s="168">
        <v>0.02</v>
      </c>
      <c r="BH241" s="168">
        <v>0.02</v>
      </c>
      <c r="BI241" s="176">
        <v>0</v>
      </c>
      <c r="BJ241" s="176">
        <v>0</v>
      </c>
      <c r="BK241" s="169"/>
      <c r="BL241" s="185">
        <v>0.8</v>
      </c>
      <c r="BM241" s="188">
        <v>0.79</v>
      </c>
      <c r="BN241" s="186"/>
      <c r="BO241" s="187">
        <v>0.95</v>
      </c>
      <c r="BP241" s="178">
        <v>1</v>
      </c>
      <c r="BQ241" s="186">
        <v>2.5000000000000001E-3</v>
      </c>
    </row>
    <row r="242" spans="1:69" s="156" customFormat="1" ht="22.35" customHeight="1" x14ac:dyDescent="0.2">
      <c r="A242" s="165" t="s">
        <v>275</v>
      </c>
      <c r="B242" s="165" t="s">
        <v>299</v>
      </c>
      <c r="C242" s="165" t="s">
        <v>310</v>
      </c>
      <c r="D242" s="166">
        <v>2.3177117403333298</v>
      </c>
      <c r="E242" s="167"/>
      <c r="F242" s="168">
        <v>4.9000000000000002E-2</v>
      </c>
      <c r="G242" s="168">
        <v>3.6999999999999998E-2</v>
      </c>
      <c r="H242" s="169"/>
      <c r="I242" s="170">
        <v>5</v>
      </c>
      <c r="J242" s="170">
        <v>4</v>
      </c>
      <c r="K242" s="167"/>
      <c r="L242" s="171">
        <v>200.47361000000001</v>
      </c>
      <c r="M242" s="171">
        <v>802.49548000000004</v>
      </c>
      <c r="N242" s="171">
        <v>1002.9690900000001</v>
      </c>
      <c r="O242" s="166">
        <v>432.741083606779</v>
      </c>
      <c r="P242" s="172">
        <v>215.88200000000001</v>
      </c>
      <c r="Q242" s="178">
        <v>2.00452600775784</v>
      </c>
      <c r="R242" s="179">
        <v>438.57175659475001</v>
      </c>
      <c r="S242" s="168">
        <v>0.01</v>
      </c>
      <c r="T242" s="168">
        <v>0.01</v>
      </c>
      <c r="U242" s="175">
        <v>0</v>
      </c>
      <c r="V242" s="176">
        <v>0</v>
      </c>
      <c r="W242" s="167"/>
      <c r="X242" s="175">
        <v>1311.5705350000001</v>
      </c>
      <c r="Y242" s="166">
        <v>565.89027538488006</v>
      </c>
      <c r="Z242" s="177">
        <v>573</v>
      </c>
      <c r="AA242" s="182">
        <v>0.987592103638534</v>
      </c>
      <c r="AB242" s="183">
        <v>-186.46854209400601</v>
      </c>
      <c r="AC242" s="168">
        <v>5.0000000000000001E-3</v>
      </c>
      <c r="AD242" s="168"/>
      <c r="AE242" s="176">
        <v>17</v>
      </c>
      <c r="AF242" s="176">
        <v>283</v>
      </c>
      <c r="AG242" s="167"/>
      <c r="AH242" s="180">
        <v>156.19999999999999</v>
      </c>
      <c r="AI242" s="166">
        <v>67.394058235013901</v>
      </c>
      <c r="AJ242" s="181" t="s">
        <v>53</v>
      </c>
      <c r="AK242" s="182">
        <v>1.06974695611133</v>
      </c>
      <c r="AL242" s="183">
        <v>-8.5058671150477796</v>
      </c>
      <c r="AM242" s="168">
        <v>1.4E-2</v>
      </c>
      <c r="AN242" s="168">
        <v>7.0000000000000001E-3</v>
      </c>
      <c r="AO242" s="176">
        <v>0</v>
      </c>
      <c r="AP242" s="176">
        <v>20</v>
      </c>
      <c r="AQ242" s="167"/>
      <c r="AR242" s="180">
        <v>26.8</v>
      </c>
      <c r="AS242" s="166">
        <v>11.5631290697719</v>
      </c>
      <c r="AT242" s="181" t="s">
        <v>54</v>
      </c>
      <c r="AU242" s="173">
        <v>0.72269556686074399</v>
      </c>
      <c r="AV242" s="174">
        <v>-15.0300614895359</v>
      </c>
      <c r="AW242" s="168"/>
      <c r="AX242" s="168"/>
      <c r="AY242" s="176">
        <v>11</v>
      </c>
      <c r="AZ242" s="176">
        <v>18</v>
      </c>
      <c r="BA242" s="167"/>
      <c r="BB242" s="184">
        <v>111.2</v>
      </c>
      <c r="BC242" s="180">
        <v>47.9783564387551</v>
      </c>
      <c r="BD242" s="181" t="s">
        <v>55</v>
      </c>
      <c r="BE242" s="178">
        <v>1.4993236387111</v>
      </c>
      <c r="BF242" s="179">
        <v>27.539877020928099</v>
      </c>
      <c r="BG242" s="168">
        <v>0.02</v>
      </c>
      <c r="BH242" s="168">
        <v>0.02</v>
      </c>
      <c r="BI242" s="176">
        <v>0</v>
      </c>
      <c r="BJ242" s="176">
        <v>0</v>
      </c>
      <c r="BK242" s="169"/>
      <c r="BL242" s="185">
        <v>0.8</v>
      </c>
      <c r="BM242" s="188">
        <v>0.79</v>
      </c>
      <c r="BN242" s="186"/>
      <c r="BO242" s="187">
        <v>0.95</v>
      </c>
      <c r="BP242" s="178">
        <v>1</v>
      </c>
      <c r="BQ242" s="186">
        <v>2.5000000000000001E-3</v>
      </c>
    </row>
    <row r="243" spans="1:69" s="156" customFormat="1" ht="22.35" customHeight="1" x14ac:dyDescent="0.2">
      <c r="A243" s="165" t="s">
        <v>275</v>
      </c>
      <c r="B243" s="165" t="s">
        <v>299</v>
      </c>
      <c r="C243" s="165" t="s">
        <v>311</v>
      </c>
      <c r="D243" s="166">
        <v>2.7902735091111102</v>
      </c>
      <c r="E243" s="167"/>
      <c r="F243" s="168">
        <v>4.7E-2</v>
      </c>
      <c r="G243" s="168">
        <v>0.04</v>
      </c>
      <c r="H243" s="169"/>
      <c r="I243" s="170">
        <v>5</v>
      </c>
      <c r="J243" s="170">
        <v>5</v>
      </c>
      <c r="K243" s="167"/>
      <c r="L243" s="171">
        <v>1101.8741500000001</v>
      </c>
      <c r="M243" s="171">
        <v>1662.6083599999999</v>
      </c>
      <c r="N243" s="171">
        <v>2764.4825099999998</v>
      </c>
      <c r="O243" s="166">
        <v>990.75682042391304</v>
      </c>
      <c r="P243" s="172">
        <v>245.339</v>
      </c>
      <c r="Q243" s="178">
        <v>4.03831767645549</v>
      </c>
      <c r="R243" s="179">
        <v>1992.29554475436</v>
      </c>
      <c r="S243" s="168">
        <v>0.01</v>
      </c>
      <c r="T243" s="168">
        <v>0.01</v>
      </c>
      <c r="U243" s="175">
        <v>0</v>
      </c>
      <c r="V243" s="176">
        <v>0</v>
      </c>
      <c r="W243" s="167"/>
      <c r="X243" s="175">
        <v>2011.78565</v>
      </c>
      <c r="Y243" s="166">
        <v>720.99944447413304</v>
      </c>
      <c r="Z243" s="177">
        <v>573</v>
      </c>
      <c r="AA243" s="178">
        <v>1.2582887338117501</v>
      </c>
      <c r="AB243" s="179">
        <v>208.309109027088</v>
      </c>
      <c r="AC243" s="168">
        <v>0.02</v>
      </c>
      <c r="AD243" s="168">
        <v>0.02</v>
      </c>
      <c r="AE243" s="176">
        <v>0</v>
      </c>
      <c r="AF243" s="176">
        <v>0</v>
      </c>
      <c r="AG243" s="167"/>
      <c r="AH243" s="180">
        <v>117.55</v>
      </c>
      <c r="AI243" s="166">
        <v>42.128486550211903</v>
      </c>
      <c r="AJ243" s="181" t="s">
        <v>53</v>
      </c>
      <c r="AK243" s="173">
        <v>0.66870613571764903</v>
      </c>
      <c r="AL243" s="174">
        <v>-80.737996651472002</v>
      </c>
      <c r="AM243" s="168"/>
      <c r="AN243" s="168"/>
      <c r="AO243" s="176">
        <v>59</v>
      </c>
      <c r="AP243" s="176">
        <v>94</v>
      </c>
      <c r="AQ243" s="167"/>
      <c r="AR243" s="180">
        <v>12.8</v>
      </c>
      <c r="AS243" s="166">
        <v>4.5873639118903604</v>
      </c>
      <c r="AT243" s="181" t="s">
        <v>54</v>
      </c>
      <c r="AU243" s="173">
        <v>0.28671024449314703</v>
      </c>
      <c r="AV243" s="174">
        <v>-37.558856292437298</v>
      </c>
      <c r="AW243" s="168"/>
      <c r="AX243" s="168"/>
      <c r="AY243" s="176">
        <v>32</v>
      </c>
      <c r="AZ243" s="176">
        <v>41</v>
      </c>
      <c r="BA243" s="167"/>
      <c r="BB243" s="184">
        <v>98.2</v>
      </c>
      <c r="BC243" s="180">
        <v>35.1936825115339</v>
      </c>
      <c r="BD243" s="181" t="s">
        <v>55</v>
      </c>
      <c r="BE243" s="182">
        <v>1.0998025784854299</v>
      </c>
      <c r="BF243" s="183">
        <v>-2.5177125848746398</v>
      </c>
      <c r="BG243" s="168">
        <v>1.7000000000000001E-2</v>
      </c>
      <c r="BH243" s="168">
        <v>0.01</v>
      </c>
      <c r="BI243" s="176">
        <v>0</v>
      </c>
      <c r="BJ243" s="176">
        <v>9</v>
      </c>
      <c r="BK243" s="169"/>
      <c r="BL243" s="185">
        <v>0.8</v>
      </c>
      <c r="BM243" s="182">
        <v>0.88</v>
      </c>
      <c r="BN243" s="186">
        <v>3.0000000000000001E-3</v>
      </c>
      <c r="BO243" s="187">
        <v>0.95</v>
      </c>
      <c r="BP243" s="178">
        <v>1</v>
      </c>
      <c r="BQ243" s="186">
        <v>2.5000000000000001E-3</v>
      </c>
    </row>
    <row r="244" spans="1:69" s="156" customFormat="1" ht="22.35" customHeight="1" x14ac:dyDescent="0.2">
      <c r="A244" s="165" t="s">
        <v>275</v>
      </c>
      <c r="B244" s="165" t="s">
        <v>299</v>
      </c>
      <c r="C244" s="165" t="s">
        <v>312</v>
      </c>
      <c r="D244" s="166">
        <v>3.578419974</v>
      </c>
      <c r="E244" s="167"/>
      <c r="F244" s="168">
        <v>2.7E-2</v>
      </c>
      <c r="G244" s="168">
        <v>1.4999999999999999E-2</v>
      </c>
      <c r="H244" s="169"/>
      <c r="I244" s="170">
        <v>4</v>
      </c>
      <c r="J244" s="170">
        <v>4</v>
      </c>
      <c r="K244" s="167"/>
      <c r="L244" s="171">
        <v>1773.9681</v>
      </c>
      <c r="M244" s="171">
        <v>1852.9472499999999</v>
      </c>
      <c r="N244" s="171">
        <v>3626.9153500000002</v>
      </c>
      <c r="O244" s="166">
        <v>1013.55217563963</v>
      </c>
      <c r="P244" s="172">
        <v>213.536</v>
      </c>
      <c r="Q244" s="178">
        <v>4.7465166325098798</v>
      </c>
      <c r="R244" s="179">
        <v>2764.9863120232199</v>
      </c>
      <c r="S244" s="168">
        <v>0.01</v>
      </c>
      <c r="T244" s="168">
        <v>0.01</v>
      </c>
      <c r="U244" s="175">
        <v>0</v>
      </c>
      <c r="V244" s="176">
        <v>0</v>
      </c>
      <c r="W244" s="167"/>
      <c r="X244" s="175">
        <v>2053.3313600000001</v>
      </c>
      <c r="Y244" s="166">
        <v>573.80949550892501</v>
      </c>
      <c r="Z244" s="177">
        <v>573</v>
      </c>
      <c r="AA244" s="182">
        <v>1.0014127321272701</v>
      </c>
      <c r="AB244" s="183">
        <v>-259.55891967505602</v>
      </c>
      <c r="AC244" s="168">
        <v>7.0000000000000001E-3</v>
      </c>
      <c r="AD244" s="168">
        <v>1E-3</v>
      </c>
      <c r="AE244" s="176">
        <v>0</v>
      </c>
      <c r="AF244" s="176">
        <v>408</v>
      </c>
      <c r="AG244" s="167"/>
      <c r="AH244" s="180">
        <v>173.55</v>
      </c>
      <c r="AI244" s="166">
        <v>48.4990585959657</v>
      </c>
      <c r="AJ244" s="181" t="s">
        <v>53</v>
      </c>
      <c r="AK244" s="188">
        <v>0.76982632692009001</v>
      </c>
      <c r="AL244" s="171">
        <v>-80.746837032336103</v>
      </c>
      <c r="AM244" s="168"/>
      <c r="AN244" s="168"/>
      <c r="AO244" s="176">
        <v>52</v>
      </c>
      <c r="AP244" s="176">
        <v>97</v>
      </c>
      <c r="AQ244" s="167"/>
      <c r="AR244" s="180">
        <v>39.799999999999997</v>
      </c>
      <c r="AS244" s="166">
        <v>11.1222272089855</v>
      </c>
      <c r="AT244" s="181" t="s">
        <v>54</v>
      </c>
      <c r="AU244" s="173">
        <v>0.69513920056159395</v>
      </c>
      <c r="AV244" s="174">
        <v>-24.783323690751999</v>
      </c>
      <c r="AW244" s="168"/>
      <c r="AX244" s="168"/>
      <c r="AY244" s="176">
        <v>18</v>
      </c>
      <c r="AZ244" s="176">
        <v>29</v>
      </c>
      <c r="BA244" s="167"/>
      <c r="BB244" s="184">
        <v>118.8</v>
      </c>
      <c r="BC244" s="180">
        <v>33.199009859986901</v>
      </c>
      <c r="BD244" s="181" t="s">
        <v>55</v>
      </c>
      <c r="BE244" s="182">
        <v>1.03746905812459</v>
      </c>
      <c r="BF244" s="183">
        <v>-10.366647381504</v>
      </c>
      <c r="BG244" s="168">
        <v>0.01</v>
      </c>
      <c r="BH244" s="168">
        <v>4.0000000000000001E-3</v>
      </c>
      <c r="BI244" s="176">
        <v>0</v>
      </c>
      <c r="BJ244" s="176">
        <v>19</v>
      </c>
      <c r="BK244" s="169"/>
      <c r="BL244" s="185">
        <v>0.8</v>
      </c>
      <c r="BM244" s="188">
        <v>0.8</v>
      </c>
      <c r="BN244" s="186">
        <v>0</v>
      </c>
      <c r="BO244" s="187">
        <v>0.95</v>
      </c>
      <c r="BP244" s="178">
        <v>1</v>
      </c>
      <c r="BQ244" s="186">
        <v>2.5000000000000001E-3</v>
      </c>
    </row>
    <row r="245" spans="1:69" s="156" customFormat="1" ht="22.35" customHeight="1" x14ac:dyDescent="0.2">
      <c r="A245" s="165" t="s">
        <v>275</v>
      </c>
      <c r="B245" s="165" t="s">
        <v>299</v>
      </c>
      <c r="C245" s="165" t="s">
        <v>313</v>
      </c>
      <c r="D245" s="166">
        <v>3.0802030008888899</v>
      </c>
      <c r="E245" s="167"/>
      <c r="F245" s="168">
        <v>2E-3</v>
      </c>
      <c r="G245" s="168"/>
      <c r="H245" s="169"/>
      <c r="I245" s="170">
        <v>3</v>
      </c>
      <c r="J245" s="170">
        <v>2</v>
      </c>
      <c r="K245" s="167"/>
      <c r="L245" s="171">
        <v>1055.4539299999999</v>
      </c>
      <c r="M245" s="171">
        <v>-544.33495000000005</v>
      </c>
      <c r="N245" s="171">
        <v>511.11898000000002</v>
      </c>
      <c r="O245" s="166">
        <v>165.93678398874999</v>
      </c>
      <c r="P245" s="172">
        <v>252.38499999999999</v>
      </c>
      <c r="Q245" s="173">
        <v>0.65747482611387398</v>
      </c>
      <c r="R245" s="174">
        <v>-365.78487477989898</v>
      </c>
      <c r="S245" s="168"/>
      <c r="T245" s="168"/>
      <c r="U245" s="175">
        <v>267</v>
      </c>
      <c r="V245" s="176">
        <v>422</v>
      </c>
      <c r="W245" s="167"/>
      <c r="X245" s="175">
        <v>1093.5487700000001</v>
      </c>
      <c r="Y245" s="166">
        <v>355.024902477019</v>
      </c>
      <c r="Z245" s="177">
        <v>573</v>
      </c>
      <c r="AA245" s="173">
        <v>0.61958970763877697</v>
      </c>
      <c r="AB245" s="174">
        <v>-897.32195840652901</v>
      </c>
      <c r="AC245" s="168"/>
      <c r="AD245" s="168"/>
      <c r="AE245" s="176">
        <v>672</v>
      </c>
      <c r="AF245" s="176">
        <v>1025</v>
      </c>
      <c r="AG245" s="167"/>
      <c r="AH245" s="180">
        <v>82.6</v>
      </c>
      <c r="AI245" s="166">
        <v>26.816414364950301</v>
      </c>
      <c r="AJ245" s="181" t="s">
        <v>53</v>
      </c>
      <c r="AK245" s="173">
        <v>0.42565737087222799</v>
      </c>
      <c r="AL245" s="174">
        <v>-136.291546055168</v>
      </c>
      <c r="AM245" s="168"/>
      <c r="AN245" s="168"/>
      <c r="AO245" s="176">
        <v>112</v>
      </c>
      <c r="AP245" s="176">
        <v>151</v>
      </c>
      <c r="AQ245" s="167"/>
      <c r="AR245" s="180">
        <v>15.3</v>
      </c>
      <c r="AS245" s="166">
        <v>4.9672050821276104</v>
      </c>
      <c r="AT245" s="181" t="s">
        <v>54</v>
      </c>
      <c r="AU245" s="173">
        <v>0.31045031763297598</v>
      </c>
      <c r="AV245" s="174">
        <v>-40.291503760042701</v>
      </c>
      <c r="AW245" s="168"/>
      <c r="AX245" s="168"/>
      <c r="AY245" s="176">
        <v>34</v>
      </c>
      <c r="AZ245" s="176">
        <v>44</v>
      </c>
      <c r="BA245" s="167"/>
      <c r="BB245" s="184">
        <v>94.4</v>
      </c>
      <c r="BC245" s="180">
        <v>30.647330702800399</v>
      </c>
      <c r="BD245" s="181" t="s">
        <v>55</v>
      </c>
      <c r="BE245" s="182">
        <v>0.95772908446251304</v>
      </c>
      <c r="BF245" s="183">
        <v>-16.783007520085398</v>
      </c>
      <c r="BG245" s="168">
        <v>2E-3</v>
      </c>
      <c r="BH245" s="168"/>
      <c r="BI245" s="176">
        <v>5</v>
      </c>
      <c r="BJ245" s="176">
        <v>24</v>
      </c>
      <c r="BK245" s="169"/>
      <c r="BL245" s="185">
        <v>0.8</v>
      </c>
      <c r="BM245" s="182">
        <v>0.81</v>
      </c>
      <c r="BN245" s="186">
        <v>3.7500000000000001E-4</v>
      </c>
      <c r="BO245" s="187">
        <v>0.95</v>
      </c>
      <c r="BP245" s="178">
        <v>1</v>
      </c>
      <c r="BQ245" s="186">
        <v>2.5000000000000001E-3</v>
      </c>
    </row>
    <row r="246" spans="1:69" s="156" customFormat="1" ht="22.35" customHeight="1" x14ac:dyDescent="0.2">
      <c r="A246" s="165" t="s">
        <v>275</v>
      </c>
      <c r="B246" s="165" t="s">
        <v>299</v>
      </c>
      <c r="C246" s="165" t="s">
        <v>314</v>
      </c>
      <c r="D246" s="166">
        <v>6.0121721623333304</v>
      </c>
      <c r="E246" s="167"/>
      <c r="F246" s="168">
        <v>3.9E-2</v>
      </c>
      <c r="G246" s="168">
        <v>2.7E-2</v>
      </c>
      <c r="H246" s="169"/>
      <c r="I246" s="170">
        <v>5</v>
      </c>
      <c r="J246" s="170">
        <v>5</v>
      </c>
      <c r="K246" s="167"/>
      <c r="L246" s="171">
        <v>5328.52934</v>
      </c>
      <c r="M246" s="171">
        <v>176.88517999999999</v>
      </c>
      <c r="N246" s="171">
        <v>5505.4145200000003</v>
      </c>
      <c r="O246" s="166">
        <v>915.71138872100096</v>
      </c>
      <c r="P246" s="172">
        <v>220.02799999999999</v>
      </c>
      <c r="Q246" s="178">
        <v>4.1617948112103997</v>
      </c>
      <c r="R246" s="179">
        <v>4013.24398774978</v>
      </c>
      <c r="S246" s="168">
        <v>0.01</v>
      </c>
      <c r="T246" s="168">
        <v>0.01</v>
      </c>
      <c r="U246" s="175">
        <v>0</v>
      </c>
      <c r="V246" s="176">
        <v>0</v>
      </c>
      <c r="W246" s="167"/>
      <c r="X246" s="175">
        <v>3540.284095</v>
      </c>
      <c r="Y246" s="166">
        <v>588.85274729491596</v>
      </c>
      <c r="Z246" s="177">
        <v>573</v>
      </c>
      <c r="AA246" s="182">
        <v>1.02766622564558</v>
      </c>
      <c r="AB246" s="183">
        <v>-345.64730909117401</v>
      </c>
      <c r="AC246" s="168">
        <v>8.9999999999999993E-3</v>
      </c>
      <c r="AD246" s="168">
        <v>3.0000000000000001E-3</v>
      </c>
      <c r="AE246" s="176">
        <v>0</v>
      </c>
      <c r="AF246" s="176">
        <v>594</v>
      </c>
      <c r="AG246" s="167"/>
      <c r="AH246" s="180">
        <v>326.75</v>
      </c>
      <c r="AI246" s="166">
        <v>54.348077729229203</v>
      </c>
      <c r="AJ246" s="181" t="s">
        <v>53</v>
      </c>
      <c r="AK246" s="188">
        <v>0.86266790046395603</v>
      </c>
      <c r="AL246" s="171">
        <v>-100.499002544056</v>
      </c>
      <c r="AM246" s="168"/>
      <c r="AN246" s="168"/>
      <c r="AO246" s="176">
        <v>53</v>
      </c>
      <c r="AP246" s="176">
        <v>128</v>
      </c>
      <c r="AQ246" s="167"/>
      <c r="AR246" s="180">
        <v>32.799999999999997</v>
      </c>
      <c r="AS246" s="166">
        <v>5.4555989273717502</v>
      </c>
      <c r="AT246" s="181" t="s">
        <v>54</v>
      </c>
      <c r="AU246" s="173">
        <v>0.340974932960734</v>
      </c>
      <c r="AV246" s="174">
        <v>-75.707683185791893</v>
      </c>
      <c r="AW246" s="168"/>
      <c r="AX246" s="168"/>
      <c r="AY246" s="176">
        <v>64</v>
      </c>
      <c r="AZ246" s="176">
        <v>83</v>
      </c>
      <c r="BA246" s="167"/>
      <c r="BB246" s="184">
        <v>220.2</v>
      </c>
      <c r="BC246" s="180">
        <v>36.625697677050503</v>
      </c>
      <c r="BD246" s="181" t="s">
        <v>55</v>
      </c>
      <c r="BE246" s="178">
        <v>1.14455305240783</v>
      </c>
      <c r="BF246" s="179">
        <v>3.1846336284161199</v>
      </c>
      <c r="BG246" s="168">
        <v>0.02</v>
      </c>
      <c r="BH246" s="168">
        <v>1.4E-2</v>
      </c>
      <c r="BI246" s="176">
        <v>0</v>
      </c>
      <c r="BJ246" s="176">
        <v>11</v>
      </c>
      <c r="BK246" s="169"/>
      <c r="BL246" s="185">
        <v>0.8</v>
      </c>
      <c r="BM246" s="182">
        <v>0.81</v>
      </c>
      <c r="BN246" s="186">
        <v>3.7500000000000001E-4</v>
      </c>
      <c r="BO246" s="187">
        <v>0.95</v>
      </c>
      <c r="BP246" s="178">
        <v>1</v>
      </c>
      <c r="BQ246" s="186">
        <v>2.5000000000000001E-3</v>
      </c>
    </row>
    <row r="247" spans="1:69" s="156" customFormat="1" ht="22.35" customHeight="1" x14ac:dyDescent="0.2">
      <c r="A247" s="165" t="s">
        <v>275</v>
      </c>
      <c r="B247" s="165" t="s">
        <v>299</v>
      </c>
      <c r="C247" s="165" t="s">
        <v>315</v>
      </c>
      <c r="D247" s="166">
        <v>8.5561773496666707</v>
      </c>
      <c r="E247" s="167"/>
      <c r="F247" s="168">
        <v>1.2999999999999999E-2</v>
      </c>
      <c r="G247" s="168">
        <v>0.01</v>
      </c>
      <c r="H247" s="169"/>
      <c r="I247" s="170">
        <v>3</v>
      </c>
      <c r="J247" s="170">
        <v>2</v>
      </c>
      <c r="K247" s="167"/>
      <c r="L247" s="171">
        <v>3658.4410800000001</v>
      </c>
      <c r="M247" s="171">
        <v>2924.7774599999998</v>
      </c>
      <c r="N247" s="171">
        <v>6583.2185399999998</v>
      </c>
      <c r="O247" s="166">
        <v>769.41118340148398</v>
      </c>
      <c r="P247" s="172">
        <v>215.38300000000001</v>
      </c>
      <c r="Q247" s="178">
        <v>3.57229300084725</v>
      </c>
      <c r="R247" s="179">
        <v>4504.4779351955303</v>
      </c>
      <c r="S247" s="168">
        <v>0.01</v>
      </c>
      <c r="T247" s="168">
        <v>0.01</v>
      </c>
      <c r="U247" s="175">
        <v>0</v>
      </c>
      <c r="V247" s="176">
        <v>0</v>
      </c>
      <c r="W247" s="167"/>
      <c r="X247" s="175">
        <v>4750.6509349999997</v>
      </c>
      <c r="Y247" s="166">
        <v>555.23053588704295</v>
      </c>
      <c r="Z247" s="177">
        <v>573</v>
      </c>
      <c r="AA247" s="182">
        <v>0.96898871882555404</v>
      </c>
      <c r="AB247" s="183">
        <v>-779.58295789295505</v>
      </c>
      <c r="AC247" s="168">
        <v>3.0000000000000001E-3</v>
      </c>
      <c r="AD247" s="168"/>
      <c r="AE247" s="176">
        <v>153</v>
      </c>
      <c r="AF247" s="176">
        <v>1133</v>
      </c>
      <c r="AG247" s="167"/>
      <c r="AH247" s="180">
        <v>281.39999999999998</v>
      </c>
      <c r="AI247" s="166">
        <v>32.888518844336801</v>
      </c>
      <c r="AJ247" s="181" t="s">
        <v>53</v>
      </c>
      <c r="AK247" s="173">
        <v>0.52203998165613996</v>
      </c>
      <c r="AL247" s="174">
        <v>-326.63618717671199</v>
      </c>
      <c r="AM247" s="168"/>
      <c r="AN247" s="168"/>
      <c r="AO247" s="176">
        <v>258</v>
      </c>
      <c r="AP247" s="176">
        <v>366</v>
      </c>
      <c r="AQ247" s="167"/>
      <c r="AR247" s="180">
        <v>68.5</v>
      </c>
      <c r="AS247" s="166">
        <v>8.0059116589803505</v>
      </c>
      <c r="AT247" s="181" t="s">
        <v>54</v>
      </c>
      <c r="AU247" s="173">
        <v>0.50036947868627202</v>
      </c>
      <c r="AV247" s="174">
        <v>-85.921888806784096</v>
      </c>
      <c r="AW247" s="168"/>
      <c r="AX247" s="168"/>
      <c r="AY247" s="176">
        <v>69</v>
      </c>
      <c r="AZ247" s="176">
        <v>96</v>
      </c>
      <c r="BA247" s="167"/>
      <c r="BB247" s="184">
        <v>246.6</v>
      </c>
      <c r="BC247" s="180">
        <v>28.821281972329299</v>
      </c>
      <c r="BD247" s="181" t="s">
        <v>55</v>
      </c>
      <c r="BE247" s="188">
        <v>0.90066506163529003</v>
      </c>
      <c r="BF247" s="171">
        <v>-62.243777613568199</v>
      </c>
      <c r="BG247" s="168"/>
      <c r="BH247" s="168"/>
      <c r="BI247" s="176">
        <v>28</v>
      </c>
      <c r="BJ247" s="176">
        <v>82</v>
      </c>
      <c r="BK247" s="169"/>
      <c r="BL247" s="185">
        <v>0.8</v>
      </c>
      <c r="BM247" s="188">
        <v>0.78</v>
      </c>
      <c r="BN247" s="186"/>
      <c r="BO247" s="187">
        <v>0.95</v>
      </c>
      <c r="BP247" s="178">
        <v>1</v>
      </c>
      <c r="BQ247" s="186">
        <v>2.5000000000000001E-3</v>
      </c>
    </row>
    <row r="248" spans="1:69" s="156" customFormat="1" ht="22.35" customHeight="1" x14ac:dyDescent="0.2">
      <c r="A248" s="165" t="s">
        <v>275</v>
      </c>
      <c r="B248" s="165" t="s">
        <v>299</v>
      </c>
      <c r="C248" s="165" t="s">
        <v>316</v>
      </c>
      <c r="D248" s="166">
        <v>7.66372503566667</v>
      </c>
      <c r="E248" s="167"/>
      <c r="F248" s="168">
        <v>0.01</v>
      </c>
      <c r="G248" s="168">
        <v>0.01</v>
      </c>
      <c r="H248" s="169"/>
      <c r="I248" s="170">
        <v>2</v>
      </c>
      <c r="J248" s="170">
        <v>2</v>
      </c>
      <c r="K248" s="167"/>
      <c r="L248" s="171">
        <v>4709.9885000000004</v>
      </c>
      <c r="M248" s="171">
        <v>2122.2646100000002</v>
      </c>
      <c r="N248" s="171">
        <v>6832.2531099999997</v>
      </c>
      <c r="O248" s="166">
        <v>891.50551177175203</v>
      </c>
      <c r="P248" s="172">
        <v>245.339</v>
      </c>
      <c r="Q248" s="178">
        <v>3.6337700560112798</v>
      </c>
      <c r="R248" s="179">
        <v>4711.3755119993202</v>
      </c>
      <c r="S248" s="168">
        <v>0.01</v>
      </c>
      <c r="T248" s="168">
        <v>0.01</v>
      </c>
      <c r="U248" s="175">
        <v>0</v>
      </c>
      <c r="V248" s="176">
        <v>0</v>
      </c>
      <c r="W248" s="167"/>
      <c r="X248" s="175">
        <v>3473.5426699999998</v>
      </c>
      <c r="Y248" s="166">
        <v>453.24468895142701</v>
      </c>
      <c r="Z248" s="177">
        <v>573</v>
      </c>
      <c r="AA248" s="188">
        <v>0.79100294755920897</v>
      </c>
      <c r="AB248" s="171">
        <v>-1479.86002445294</v>
      </c>
      <c r="AC248" s="168"/>
      <c r="AD248" s="168"/>
      <c r="AE248" s="176">
        <v>918</v>
      </c>
      <c r="AF248" s="176">
        <v>1797</v>
      </c>
      <c r="AG248" s="167"/>
      <c r="AH248" s="180">
        <v>316.8</v>
      </c>
      <c r="AI248" s="166">
        <v>41.337599995514701</v>
      </c>
      <c r="AJ248" s="181" t="s">
        <v>53</v>
      </c>
      <c r="AK248" s="173">
        <v>0.65615238088118499</v>
      </c>
      <c r="AL248" s="174">
        <v>-227.81495593461599</v>
      </c>
      <c r="AM248" s="168"/>
      <c r="AN248" s="168"/>
      <c r="AO248" s="176">
        <v>167</v>
      </c>
      <c r="AP248" s="176">
        <v>263</v>
      </c>
      <c r="AQ248" s="167"/>
      <c r="AR248" s="180">
        <v>35.4</v>
      </c>
      <c r="AS248" s="166">
        <v>4.6191636358624297</v>
      </c>
      <c r="AT248" s="181" t="s">
        <v>54</v>
      </c>
      <c r="AU248" s="173">
        <v>0.28869772724140202</v>
      </c>
      <c r="AV248" s="174">
        <v>-102.91490944371201</v>
      </c>
      <c r="AW248" s="168"/>
      <c r="AX248" s="168"/>
      <c r="AY248" s="176">
        <v>88</v>
      </c>
      <c r="AZ248" s="176">
        <v>112</v>
      </c>
      <c r="BA248" s="167"/>
      <c r="BB248" s="184">
        <v>185.2</v>
      </c>
      <c r="BC248" s="180">
        <v>24.165793936771799</v>
      </c>
      <c r="BD248" s="181" t="s">
        <v>55</v>
      </c>
      <c r="BE248" s="188">
        <v>0.75518106052411904</v>
      </c>
      <c r="BF248" s="171">
        <v>-91.429818887424105</v>
      </c>
      <c r="BG248" s="168"/>
      <c r="BH248" s="168"/>
      <c r="BI248" s="176">
        <v>61</v>
      </c>
      <c r="BJ248" s="176">
        <v>110</v>
      </c>
      <c r="BK248" s="169"/>
      <c r="BL248" s="185">
        <v>0.8</v>
      </c>
      <c r="BM248" s="188">
        <v>0.76</v>
      </c>
      <c r="BN248" s="186"/>
      <c r="BO248" s="187">
        <v>0.95</v>
      </c>
      <c r="BP248" s="178">
        <v>1</v>
      </c>
      <c r="BQ248" s="186">
        <v>2.5000000000000001E-3</v>
      </c>
    </row>
    <row r="249" spans="1:69" s="156" customFormat="1" ht="22.35" customHeight="1" x14ac:dyDescent="0.2">
      <c r="A249" s="165" t="s">
        <v>275</v>
      </c>
      <c r="B249" s="165" t="s">
        <v>299</v>
      </c>
      <c r="C249" s="165" t="s">
        <v>317</v>
      </c>
      <c r="D249" s="166">
        <v>4.1744710626666697</v>
      </c>
      <c r="E249" s="167"/>
      <c r="F249" s="168">
        <v>1.4E-2</v>
      </c>
      <c r="G249" s="168">
        <v>0.01</v>
      </c>
      <c r="H249" s="169"/>
      <c r="I249" s="170">
        <v>5</v>
      </c>
      <c r="J249" s="170">
        <v>3</v>
      </c>
      <c r="K249" s="167"/>
      <c r="L249" s="171">
        <v>1576.8494000000001</v>
      </c>
      <c r="M249" s="171">
        <v>979.00465999999994</v>
      </c>
      <c r="N249" s="171">
        <v>2555.8540600000001</v>
      </c>
      <c r="O249" s="166">
        <v>612.258181128057</v>
      </c>
      <c r="P249" s="172">
        <v>233.489</v>
      </c>
      <c r="Q249" s="178">
        <v>2.6222142419045702</v>
      </c>
      <c r="R249" s="179">
        <v>1456.4002725833</v>
      </c>
      <c r="S249" s="168">
        <v>0.01</v>
      </c>
      <c r="T249" s="168">
        <v>0.01</v>
      </c>
      <c r="U249" s="175">
        <v>0</v>
      </c>
      <c r="V249" s="176">
        <v>0</v>
      </c>
      <c r="W249" s="167"/>
      <c r="X249" s="175">
        <v>2326.9833149999999</v>
      </c>
      <c r="Y249" s="166">
        <v>557.43189497965204</v>
      </c>
      <c r="Z249" s="177">
        <v>573</v>
      </c>
      <c r="AA249" s="182">
        <v>0.97283053225070104</v>
      </c>
      <c r="AB249" s="183">
        <v>-371.16100952822597</v>
      </c>
      <c r="AC249" s="168">
        <v>3.0000000000000001E-3</v>
      </c>
      <c r="AD249" s="168"/>
      <c r="AE249" s="176">
        <v>65</v>
      </c>
      <c r="AF249" s="176">
        <v>544</v>
      </c>
      <c r="AG249" s="167"/>
      <c r="AH249" s="180">
        <v>148.69999999999999</v>
      </c>
      <c r="AI249" s="166">
        <v>35.621279383120203</v>
      </c>
      <c r="AJ249" s="181" t="s">
        <v>53</v>
      </c>
      <c r="AK249" s="173">
        <v>0.56541713306539998</v>
      </c>
      <c r="AL249" s="174">
        <v>-147.95461159734401</v>
      </c>
      <c r="AM249" s="168"/>
      <c r="AN249" s="168"/>
      <c r="AO249" s="176">
        <v>115</v>
      </c>
      <c r="AP249" s="176">
        <v>167</v>
      </c>
      <c r="AQ249" s="167"/>
      <c r="AR249" s="180">
        <v>29.6</v>
      </c>
      <c r="AS249" s="166">
        <v>7.0907186936136997</v>
      </c>
      <c r="AT249" s="181" t="s">
        <v>54</v>
      </c>
      <c r="AU249" s="173">
        <v>0.44316991835085601</v>
      </c>
      <c r="AV249" s="174">
        <v>-45.740853739008102</v>
      </c>
      <c r="AW249" s="168"/>
      <c r="AX249" s="168"/>
      <c r="AY249" s="176">
        <v>38</v>
      </c>
      <c r="AZ249" s="176">
        <v>51</v>
      </c>
      <c r="BA249" s="167"/>
      <c r="BB249" s="184">
        <v>127.4</v>
      </c>
      <c r="BC249" s="180">
        <v>30.518836539404901</v>
      </c>
      <c r="BD249" s="181" t="s">
        <v>55</v>
      </c>
      <c r="BE249" s="182">
        <v>0.95371364185640395</v>
      </c>
      <c r="BF249" s="183">
        <v>-23.281707478016099</v>
      </c>
      <c r="BG249" s="168">
        <v>1E-3</v>
      </c>
      <c r="BH249" s="168"/>
      <c r="BI249" s="176">
        <v>7</v>
      </c>
      <c r="BJ249" s="176">
        <v>33</v>
      </c>
      <c r="BK249" s="169"/>
      <c r="BL249" s="185">
        <v>0.8</v>
      </c>
      <c r="BM249" s="182">
        <v>0.82</v>
      </c>
      <c r="BN249" s="186">
        <v>7.5000000000000002E-4</v>
      </c>
      <c r="BO249" s="187">
        <v>0.95</v>
      </c>
      <c r="BP249" s="178">
        <v>1</v>
      </c>
      <c r="BQ249" s="186">
        <v>2.5000000000000001E-3</v>
      </c>
    </row>
    <row r="250" spans="1:69" s="156" customFormat="1" ht="22.35" customHeight="1" x14ac:dyDescent="0.2">
      <c r="A250" s="165" t="s">
        <v>275</v>
      </c>
      <c r="B250" s="165" t="s">
        <v>318</v>
      </c>
      <c r="C250" s="165" t="s">
        <v>319</v>
      </c>
      <c r="D250" s="166">
        <v>2.5533062174444399</v>
      </c>
      <c r="E250" s="167"/>
      <c r="F250" s="168">
        <v>6.0499999999999998E-2</v>
      </c>
      <c r="G250" s="168">
        <v>5.5E-2</v>
      </c>
      <c r="H250" s="169"/>
      <c r="I250" s="170">
        <v>5</v>
      </c>
      <c r="J250" s="170">
        <v>4</v>
      </c>
      <c r="K250" s="167"/>
      <c r="L250" s="171">
        <v>865.56267000000003</v>
      </c>
      <c r="M250" s="171">
        <v>-285.71821</v>
      </c>
      <c r="N250" s="171">
        <v>579.84446000000003</v>
      </c>
      <c r="O250" s="166">
        <v>227.09554225750301</v>
      </c>
      <c r="P250" s="172">
        <v>240.12899999999999</v>
      </c>
      <c r="Q250" s="182">
        <v>0.94572309990672898</v>
      </c>
      <c r="R250" s="183">
        <v>-111.758135880872</v>
      </c>
      <c r="S250" s="168">
        <v>5.0000000000000001E-4</v>
      </c>
      <c r="T250" s="168"/>
      <c r="U250" s="175">
        <v>34</v>
      </c>
      <c r="V250" s="176">
        <v>156</v>
      </c>
      <c r="W250" s="167"/>
      <c r="X250" s="175">
        <v>1679.8045549999999</v>
      </c>
      <c r="Y250" s="166">
        <v>657.89388813743005</v>
      </c>
      <c r="Z250" s="177">
        <v>573</v>
      </c>
      <c r="AA250" s="178">
        <v>1.1481568728401901</v>
      </c>
      <c r="AB250" s="179">
        <v>29.4904011920908</v>
      </c>
      <c r="AC250" s="168">
        <v>0.02</v>
      </c>
      <c r="AD250" s="168">
        <v>1.4999999999999999E-2</v>
      </c>
      <c r="AE250" s="176">
        <v>0</v>
      </c>
      <c r="AF250" s="176">
        <v>76</v>
      </c>
      <c r="AG250" s="167"/>
      <c r="AH250" s="180">
        <v>224.05</v>
      </c>
      <c r="AI250" s="166">
        <v>87.748973651992003</v>
      </c>
      <c r="AJ250" s="181" t="s">
        <v>53</v>
      </c>
      <c r="AK250" s="178">
        <v>1.3928408516189199</v>
      </c>
      <c r="AL250" s="179">
        <v>42.601846963528303</v>
      </c>
      <c r="AM250" s="168">
        <v>0.02</v>
      </c>
      <c r="AN250" s="168">
        <v>0.02</v>
      </c>
      <c r="AO250" s="176">
        <v>0</v>
      </c>
      <c r="AP250" s="176">
        <v>0</v>
      </c>
      <c r="AQ250" s="167"/>
      <c r="AR250" s="180">
        <v>11.8</v>
      </c>
      <c r="AS250" s="166">
        <v>4.6214590006405096</v>
      </c>
      <c r="AT250" s="181" t="s">
        <v>54</v>
      </c>
      <c r="AU250" s="173">
        <v>0.28884118754003202</v>
      </c>
      <c r="AV250" s="174">
        <v>-34.282070612437302</v>
      </c>
      <c r="AW250" s="168"/>
      <c r="AX250" s="168"/>
      <c r="AY250" s="176">
        <v>30</v>
      </c>
      <c r="AZ250" s="176">
        <v>38</v>
      </c>
      <c r="BA250" s="167"/>
      <c r="BB250" s="184">
        <v>99.6</v>
      </c>
      <c r="BC250" s="180">
        <v>39.008247157948702</v>
      </c>
      <c r="BD250" s="181" t="s">
        <v>55</v>
      </c>
      <c r="BE250" s="178">
        <v>1.2190077236859</v>
      </c>
      <c r="BF250" s="179">
        <v>7.4358587751255003</v>
      </c>
      <c r="BG250" s="168">
        <v>0.02</v>
      </c>
      <c r="BH250" s="168">
        <v>0.02</v>
      </c>
      <c r="BI250" s="176">
        <v>0</v>
      </c>
      <c r="BJ250" s="176">
        <v>0</v>
      </c>
      <c r="BK250" s="169"/>
      <c r="BL250" s="185">
        <v>0.8</v>
      </c>
      <c r="BM250" s="188">
        <v>0.76</v>
      </c>
      <c r="BN250" s="186"/>
      <c r="BO250" s="187">
        <v>0.95</v>
      </c>
      <c r="BP250" s="178">
        <v>1</v>
      </c>
      <c r="BQ250" s="186">
        <v>2.5000000000000001E-3</v>
      </c>
    </row>
    <row r="251" spans="1:69" s="156" customFormat="1" ht="22.35" customHeight="1" x14ac:dyDescent="0.2">
      <c r="A251" s="165" t="s">
        <v>275</v>
      </c>
      <c r="B251" s="165" t="s">
        <v>318</v>
      </c>
      <c r="C251" s="165" t="s">
        <v>320</v>
      </c>
      <c r="D251" s="166">
        <v>2.2514665105555598</v>
      </c>
      <c r="E251" s="167"/>
      <c r="F251" s="168">
        <v>0.01</v>
      </c>
      <c r="G251" s="168">
        <v>0.01</v>
      </c>
      <c r="H251" s="169"/>
      <c r="I251" s="170">
        <v>3</v>
      </c>
      <c r="J251" s="170">
        <v>3</v>
      </c>
      <c r="K251" s="167"/>
      <c r="L251" s="171">
        <v>928.72492</v>
      </c>
      <c r="M251" s="171">
        <v>699.00931000000003</v>
      </c>
      <c r="N251" s="171">
        <v>1627.73423</v>
      </c>
      <c r="O251" s="166">
        <v>722.96621884833303</v>
      </c>
      <c r="P251" s="172">
        <v>255.477</v>
      </c>
      <c r="Q251" s="178">
        <v>2.8298681245213202</v>
      </c>
      <c r="R251" s="179">
        <v>978.91098783899497</v>
      </c>
      <c r="S251" s="168">
        <v>0.01</v>
      </c>
      <c r="T251" s="168">
        <v>0.01</v>
      </c>
      <c r="U251" s="175">
        <v>0</v>
      </c>
      <c r="V251" s="176">
        <v>0</v>
      </c>
      <c r="W251" s="167"/>
      <c r="X251" s="175">
        <v>1100.9779599999999</v>
      </c>
      <c r="Y251" s="166">
        <v>489.00481301333298</v>
      </c>
      <c r="Z251" s="177">
        <v>573</v>
      </c>
      <c r="AA251" s="188">
        <v>0.853411541035484</v>
      </c>
      <c r="AB251" s="171">
        <v>-354.24391029852302</v>
      </c>
      <c r="AC251" s="168"/>
      <c r="AD251" s="168"/>
      <c r="AE251" s="176">
        <v>190</v>
      </c>
      <c r="AF251" s="176">
        <v>448</v>
      </c>
      <c r="AG251" s="167"/>
      <c r="AH251" s="180">
        <v>63.3</v>
      </c>
      <c r="AI251" s="166">
        <v>28.115008463697102</v>
      </c>
      <c r="AJ251" s="181" t="s">
        <v>53</v>
      </c>
      <c r="AK251" s="173">
        <v>0.44626997561423998</v>
      </c>
      <c r="AL251" s="174">
        <v>-96.698216106120299</v>
      </c>
      <c r="AM251" s="168"/>
      <c r="AN251" s="168"/>
      <c r="AO251" s="176">
        <v>79</v>
      </c>
      <c r="AP251" s="176">
        <v>107</v>
      </c>
      <c r="AQ251" s="167"/>
      <c r="AR251" s="180">
        <v>7.8</v>
      </c>
      <c r="AS251" s="166">
        <v>3.4644086258584101</v>
      </c>
      <c r="AT251" s="181" t="s">
        <v>54</v>
      </c>
      <c r="AU251" s="173">
        <v>0.21652553911615099</v>
      </c>
      <c r="AV251" s="174">
        <v>-32.834467582506697</v>
      </c>
      <c r="AW251" s="168"/>
      <c r="AX251" s="168"/>
      <c r="AY251" s="176">
        <v>29</v>
      </c>
      <c r="AZ251" s="176">
        <v>36</v>
      </c>
      <c r="BA251" s="167"/>
      <c r="BB251" s="184">
        <v>61.6</v>
      </c>
      <c r="BC251" s="180">
        <v>27.359945045240799</v>
      </c>
      <c r="BD251" s="181" t="s">
        <v>55</v>
      </c>
      <c r="BE251" s="188">
        <v>0.85499828266377398</v>
      </c>
      <c r="BF251" s="171">
        <v>-19.668935165013501</v>
      </c>
      <c r="BG251" s="168"/>
      <c r="BH251" s="168"/>
      <c r="BI251" s="176">
        <v>11</v>
      </c>
      <c r="BJ251" s="176">
        <v>25</v>
      </c>
      <c r="BK251" s="169"/>
      <c r="BL251" s="185">
        <v>0.8</v>
      </c>
      <c r="BM251" s="182">
        <v>0.91</v>
      </c>
      <c r="BN251" s="186">
        <v>4.1250000000000002E-3</v>
      </c>
      <c r="BO251" s="187">
        <v>0.95</v>
      </c>
      <c r="BP251" s="178">
        <v>1</v>
      </c>
      <c r="BQ251" s="186">
        <v>2.5000000000000001E-3</v>
      </c>
    </row>
    <row r="252" spans="1:69" s="156" customFormat="1" ht="22.35" customHeight="1" x14ac:dyDescent="0.2">
      <c r="A252" s="165" t="s">
        <v>275</v>
      </c>
      <c r="B252" s="165" t="s">
        <v>318</v>
      </c>
      <c r="C252" s="165" t="s">
        <v>321</v>
      </c>
      <c r="D252" s="166">
        <v>2.8395425426666701</v>
      </c>
      <c r="E252" s="167"/>
      <c r="F252" s="168">
        <v>0.01</v>
      </c>
      <c r="G252" s="168">
        <v>0.01</v>
      </c>
      <c r="H252" s="169"/>
      <c r="I252" s="170">
        <v>3</v>
      </c>
      <c r="J252" s="170">
        <v>3</v>
      </c>
      <c r="K252" s="167"/>
      <c r="L252" s="171">
        <v>249.59396000000001</v>
      </c>
      <c r="M252" s="171">
        <v>1960.3300899999999</v>
      </c>
      <c r="N252" s="171">
        <v>2209.9240500000001</v>
      </c>
      <c r="O252" s="166">
        <v>778.26763177304599</v>
      </c>
      <c r="P252" s="172">
        <v>222.37200000000001</v>
      </c>
      <c r="Q252" s="178">
        <v>3.4998454471473299</v>
      </c>
      <c r="R252" s="179">
        <v>1497.665647152</v>
      </c>
      <c r="S252" s="168">
        <v>0.01</v>
      </c>
      <c r="T252" s="168">
        <v>0.01</v>
      </c>
      <c r="U252" s="175">
        <v>0</v>
      </c>
      <c r="V252" s="176">
        <v>0</v>
      </c>
      <c r="W252" s="167"/>
      <c r="X252" s="175">
        <v>907.42178000000001</v>
      </c>
      <c r="Y252" s="166">
        <v>319.56618587859703</v>
      </c>
      <c r="Z252" s="177">
        <v>573</v>
      </c>
      <c r="AA252" s="173">
        <v>0.55770713067818001</v>
      </c>
      <c r="AB252" s="174">
        <v>-927.899505197346</v>
      </c>
      <c r="AC252" s="168"/>
      <c r="AD252" s="168"/>
      <c r="AE252" s="176">
        <v>720</v>
      </c>
      <c r="AF252" s="176">
        <v>1046</v>
      </c>
      <c r="AG252" s="167"/>
      <c r="AH252" s="180">
        <v>110.8</v>
      </c>
      <c r="AI252" s="166">
        <v>39.020369772641502</v>
      </c>
      <c r="AJ252" s="181" t="s">
        <v>53</v>
      </c>
      <c r="AK252" s="173">
        <v>0.61937094877208698</v>
      </c>
      <c r="AL252" s="174">
        <v>-90.989251252064193</v>
      </c>
      <c r="AM252" s="168"/>
      <c r="AN252" s="168"/>
      <c r="AO252" s="176">
        <v>69</v>
      </c>
      <c r="AP252" s="176">
        <v>104</v>
      </c>
      <c r="AQ252" s="167"/>
      <c r="AR252" s="180">
        <v>7</v>
      </c>
      <c r="AS252" s="166">
        <v>2.4651858159611102</v>
      </c>
      <c r="AT252" s="181" t="s">
        <v>54</v>
      </c>
      <c r="AU252" s="173">
        <v>0.154074113497569</v>
      </c>
      <c r="AV252" s="174">
        <v>-44.248063810048102</v>
      </c>
      <c r="AW252" s="168"/>
      <c r="AX252" s="168"/>
      <c r="AY252" s="176">
        <v>39</v>
      </c>
      <c r="AZ252" s="176">
        <v>48</v>
      </c>
      <c r="BA252" s="167"/>
      <c r="BB252" s="184">
        <v>53.4</v>
      </c>
      <c r="BC252" s="180">
        <v>18.8058460817604</v>
      </c>
      <c r="BD252" s="181" t="s">
        <v>55</v>
      </c>
      <c r="BE252" s="173">
        <v>0.58768269005501295</v>
      </c>
      <c r="BF252" s="174">
        <v>-49.096127620096098</v>
      </c>
      <c r="BG252" s="168"/>
      <c r="BH252" s="168"/>
      <c r="BI252" s="176">
        <v>38</v>
      </c>
      <c r="BJ252" s="176">
        <v>56</v>
      </c>
      <c r="BK252" s="169"/>
      <c r="BL252" s="185">
        <v>0.8</v>
      </c>
      <c r="BM252" s="182">
        <v>0.83</v>
      </c>
      <c r="BN252" s="186">
        <v>1.1249999999999999E-3</v>
      </c>
      <c r="BO252" s="187">
        <v>0.95</v>
      </c>
      <c r="BP252" s="178">
        <v>1</v>
      </c>
      <c r="BQ252" s="186">
        <v>2.5000000000000001E-3</v>
      </c>
    </row>
    <row r="253" spans="1:69" s="156" customFormat="1" ht="22.35" customHeight="1" x14ac:dyDescent="0.2">
      <c r="A253" s="165" t="s">
        <v>275</v>
      </c>
      <c r="B253" s="165" t="s">
        <v>318</v>
      </c>
      <c r="C253" s="165" t="s">
        <v>322</v>
      </c>
      <c r="D253" s="166">
        <v>2.59845626488889</v>
      </c>
      <c r="E253" s="167"/>
      <c r="F253" s="168">
        <v>4.3999999999999997E-2</v>
      </c>
      <c r="G253" s="168">
        <v>3.4000000000000002E-2</v>
      </c>
      <c r="H253" s="169"/>
      <c r="I253" s="170">
        <v>6</v>
      </c>
      <c r="J253" s="170">
        <v>5</v>
      </c>
      <c r="K253" s="167"/>
      <c r="L253" s="171">
        <v>836.37577999999996</v>
      </c>
      <c r="M253" s="171">
        <v>129.16586000000001</v>
      </c>
      <c r="N253" s="171">
        <v>965.54164000000003</v>
      </c>
      <c r="O253" s="166">
        <v>371.58279438706899</v>
      </c>
      <c r="P253" s="172">
        <v>286.47199999999998</v>
      </c>
      <c r="Q253" s="178">
        <v>1.29709987149554</v>
      </c>
      <c r="R253" s="179">
        <v>125.87540160599799</v>
      </c>
      <c r="S253" s="168">
        <v>0.01</v>
      </c>
      <c r="T253" s="168">
        <v>0.01</v>
      </c>
      <c r="U253" s="175">
        <v>0</v>
      </c>
      <c r="V253" s="176">
        <v>0</v>
      </c>
      <c r="W253" s="167"/>
      <c r="X253" s="175">
        <v>1981.6294949999999</v>
      </c>
      <c r="Y253" s="166">
        <v>762.61799044931604</v>
      </c>
      <c r="Z253" s="177">
        <v>573</v>
      </c>
      <c r="AA253" s="178">
        <v>1.33092144930073</v>
      </c>
      <c r="AB253" s="179">
        <v>302.132878926655</v>
      </c>
      <c r="AC253" s="168">
        <v>0.02</v>
      </c>
      <c r="AD253" s="168">
        <v>0.02</v>
      </c>
      <c r="AE253" s="176">
        <v>0</v>
      </c>
      <c r="AF253" s="176">
        <v>0</v>
      </c>
      <c r="AG253" s="167"/>
      <c r="AH253" s="180">
        <v>157.9</v>
      </c>
      <c r="AI253" s="166">
        <v>60.7668491995003</v>
      </c>
      <c r="AJ253" s="181" t="s">
        <v>53</v>
      </c>
      <c r="AK253" s="182">
        <v>0.96455316189683105</v>
      </c>
      <c r="AL253" s="183">
        <v>-26.7566960080641</v>
      </c>
      <c r="AM253" s="168">
        <v>3.0000000000000001E-3</v>
      </c>
      <c r="AN253" s="168"/>
      <c r="AO253" s="176">
        <v>6</v>
      </c>
      <c r="AP253" s="176">
        <v>39</v>
      </c>
      <c r="AQ253" s="167"/>
      <c r="AR253" s="180">
        <v>21.6</v>
      </c>
      <c r="AS253" s="166">
        <v>8.3126278828955495</v>
      </c>
      <c r="AT253" s="181" t="s">
        <v>54</v>
      </c>
      <c r="AU253" s="173">
        <v>0.51953924268097196</v>
      </c>
      <c r="AV253" s="174">
        <v>-25.296938668714699</v>
      </c>
      <c r="AW253" s="168"/>
      <c r="AX253" s="168"/>
      <c r="AY253" s="176">
        <v>20</v>
      </c>
      <c r="AZ253" s="176">
        <v>29</v>
      </c>
      <c r="BA253" s="167"/>
      <c r="BB253" s="184">
        <v>86.8</v>
      </c>
      <c r="BC253" s="180">
        <v>33.404449084969201</v>
      </c>
      <c r="BD253" s="181" t="s">
        <v>55</v>
      </c>
      <c r="BE253" s="182">
        <v>1.04388903390529</v>
      </c>
      <c r="BF253" s="183">
        <v>-6.9938773374294003</v>
      </c>
      <c r="BG253" s="168">
        <v>1.0999999999999999E-2</v>
      </c>
      <c r="BH253" s="168">
        <v>4.0000000000000001E-3</v>
      </c>
      <c r="BI253" s="176">
        <v>0</v>
      </c>
      <c r="BJ253" s="176">
        <v>13</v>
      </c>
      <c r="BK253" s="169"/>
      <c r="BL253" s="185">
        <v>0.8</v>
      </c>
      <c r="BM253" s="182">
        <v>0.86</v>
      </c>
      <c r="BN253" s="186">
        <v>2.2499999999999998E-3</v>
      </c>
      <c r="BO253" s="187">
        <v>0.95</v>
      </c>
      <c r="BP253" s="178">
        <v>1</v>
      </c>
      <c r="BQ253" s="186">
        <v>2.5000000000000001E-3</v>
      </c>
    </row>
    <row r="254" spans="1:69" s="156" customFormat="1" ht="22.35" customHeight="1" x14ac:dyDescent="0.2">
      <c r="A254" s="165" t="s">
        <v>275</v>
      </c>
      <c r="B254" s="165" t="s">
        <v>318</v>
      </c>
      <c r="C254" s="165" t="s">
        <v>323</v>
      </c>
      <c r="D254" s="166">
        <v>3.4220960403333298</v>
      </c>
      <c r="E254" s="167"/>
      <c r="F254" s="168">
        <v>0.05</v>
      </c>
      <c r="G254" s="168">
        <v>0.05</v>
      </c>
      <c r="H254" s="169"/>
      <c r="I254" s="170">
        <v>4</v>
      </c>
      <c r="J254" s="170">
        <v>4</v>
      </c>
      <c r="K254" s="167"/>
      <c r="L254" s="171">
        <v>2508.60232</v>
      </c>
      <c r="M254" s="171">
        <v>1934.23802</v>
      </c>
      <c r="N254" s="171">
        <v>4442.8403399999997</v>
      </c>
      <c r="O254" s="166">
        <v>1298.2804362110301</v>
      </c>
      <c r="P254" s="172">
        <v>237.096</v>
      </c>
      <c r="Q254" s="178">
        <v>5.4757584953395702</v>
      </c>
      <c r="R254" s="179">
        <v>3527.6203010254299</v>
      </c>
      <c r="S254" s="168">
        <v>0.01</v>
      </c>
      <c r="T254" s="168">
        <v>0.01</v>
      </c>
      <c r="U254" s="175">
        <v>0</v>
      </c>
      <c r="V254" s="176">
        <v>0</v>
      </c>
      <c r="W254" s="167"/>
      <c r="X254" s="175">
        <v>2449.4453050000002</v>
      </c>
      <c r="Y254" s="166">
        <v>715.77339622572595</v>
      </c>
      <c r="Z254" s="177">
        <v>573</v>
      </c>
      <c r="AA254" s="178">
        <v>1.2491682307604299</v>
      </c>
      <c r="AB254" s="179">
        <v>237.594061906794</v>
      </c>
      <c r="AC254" s="168">
        <v>0.02</v>
      </c>
      <c r="AD254" s="168">
        <v>0.02</v>
      </c>
      <c r="AE254" s="176">
        <v>0</v>
      </c>
      <c r="AF254" s="176">
        <v>0</v>
      </c>
      <c r="AG254" s="167"/>
      <c r="AH254" s="180">
        <v>120.25</v>
      </c>
      <c r="AI254" s="166">
        <v>35.139282645114399</v>
      </c>
      <c r="AJ254" s="181" t="s">
        <v>53</v>
      </c>
      <c r="AK254" s="173">
        <v>0.55776639119229299</v>
      </c>
      <c r="AL254" s="174">
        <v>-122.937833010248</v>
      </c>
      <c r="AM254" s="168"/>
      <c r="AN254" s="168"/>
      <c r="AO254" s="176">
        <v>96</v>
      </c>
      <c r="AP254" s="176">
        <v>139</v>
      </c>
      <c r="AQ254" s="167"/>
      <c r="AR254" s="180">
        <v>15</v>
      </c>
      <c r="AS254" s="166">
        <v>4.3832785004300803</v>
      </c>
      <c r="AT254" s="181" t="s">
        <v>54</v>
      </c>
      <c r="AU254" s="173">
        <v>0.27395490627688002</v>
      </c>
      <c r="AV254" s="174">
        <v>-46.761989335935901</v>
      </c>
      <c r="AW254" s="168"/>
      <c r="AX254" s="168"/>
      <c r="AY254" s="176">
        <v>40</v>
      </c>
      <c r="AZ254" s="176">
        <v>51</v>
      </c>
      <c r="BA254" s="167"/>
      <c r="BB254" s="184">
        <v>147.6</v>
      </c>
      <c r="BC254" s="180">
        <v>43.131460444231998</v>
      </c>
      <c r="BD254" s="181" t="s">
        <v>55</v>
      </c>
      <c r="BE254" s="178">
        <v>1.3478581388822499</v>
      </c>
      <c r="BF254" s="179">
        <v>24.0760213281281</v>
      </c>
      <c r="BG254" s="168">
        <v>0.02</v>
      </c>
      <c r="BH254" s="168">
        <v>0.02</v>
      </c>
      <c r="BI254" s="176">
        <v>0</v>
      </c>
      <c r="BJ254" s="176">
        <v>0</v>
      </c>
      <c r="BK254" s="169"/>
      <c r="BL254" s="185">
        <v>0.8</v>
      </c>
      <c r="BM254" s="188">
        <v>0.77</v>
      </c>
      <c r="BN254" s="186"/>
      <c r="BO254" s="187">
        <v>0.95</v>
      </c>
      <c r="BP254" s="178">
        <v>1</v>
      </c>
      <c r="BQ254" s="186">
        <v>2.5000000000000001E-3</v>
      </c>
    </row>
    <row r="255" spans="1:69" s="156" customFormat="1" ht="22.35" customHeight="1" x14ac:dyDescent="0.2">
      <c r="A255" s="165" t="s">
        <v>275</v>
      </c>
      <c r="B255" s="165" t="s">
        <v>318</v>
      </c>
      <c r="C255" s="165" t="s">
        <v>324</v>
      </c>
      <c r="D255" s="166">
        <v>2.6425147733333301</v>
      </c>
      <c r="E255" s="167"/>
      <c r="F255" s="168">
        <v>0.08</v>
      </c>
      <c r="G255" s="168">
        <v>0.08</v>
      </c>
      <c r="H255" s="169"/>
      <c r="I255" s="170">
        <v>6</v>
      </c>
      <c r="J255" s="170">
        <v>6</v>
      </c>
      <c r="K255" s="167"/>
      <c r="L255" s="171">
        <v>2477.3892099999998</v>
      </c>
      <c r="M255" s="171">
        <v>897.73473000000001</v>
      </c>
      <c r="N255" s="171">
        <v>3375.1239399999999</v>
      </c>
      <c r="O255" s="166">
        <v>1277.2393835068499</v>
      </c>
      <c r="P255" s="172">
        <v>265.19900000000001</v>
      </c>
      <c r="Q255" s="178">
        <v>4.8161545990250696</v>
      </c>
      <c r="R255" s="179">
        <v>2584.6302533789999</v>
      </c>
      <c r="S255" s="168">
        <v>0.01</v>
      </c>
      <c r="T255" s="168">
        <v>0.01</v>
      </c>
      <c r="U255" s="175">
        <v>0</v>
      </c>
      <c r="V255" s="176">
        <v>0</v>
      </c>
      <c r="W255" s="167"/>
      <c r="X255" s="175">
        <v>2014.3644300000001</v>
      </c>
      <c r="Y255" s="166">
        <v>762.29069760659502</v>
      </c>
      <c r="Z255" s="177">
        <v>573</v>
      </c>
      <c r="AA255" s="178">
        <v>1.3303502576031301</v>
      </c>
      <c r="AB255" s="179">
        <v>306.39086134464202</v>
      </c>
      <c r="AC255" s="168">
        <v>0.02</v>
      </c>
      <c r="AD255" s="168">
        <v>0.02</v>
      </c>
      <c r="AE255" s="176">
        <v>0</v>
      </c>
      <c r="AF255" s="176">
        <v>0</v>
      </c>
      <c r="AG255" s="167"/>
      <c r="AH255" s="180">
        <v>199.8</v>
      </c>
      <c r="AI255" s="166">
        <v>75.609794887907995</v>
      </c>
      <c r="AJ255" s="181" t="s">
        <v>53</v>
      </c>
      <c r="AK255" s="178">
        <v>1.2001554744112399</v>
      </c>
      <c r="AL255" s="179">
        <v>12.0123301478403</v>
      </c>
      <c r="AM255" s="168">
        <v>0.02</v>
      </c>
      <c r="AN255" s="168">
        <v>0.02</v>
      </c>
      <c r="AO255" s="176">
        <v>0</v>
      </c>
      <c r="AP255" s="176">
        <v>0</v>
      </c>
      <c r="AQ255" s="167"/>
      <c r="AR255" s="180">
        <v>56.2</v>
      </c>
      <c r="AS255" s="166">
        <v>21.267619983485599</v>
      </c>
      <c r="AT255" s="181" t="s">
        <v>54</v>
      </c>
      <c r="AU255" s="178">
        <v>1.3292262489678499</v>
      </c>
      <c r="AV255" s="179">
        <v>8.5078933708800601</v>
      </c>
      <c r="AW255" s="168">
        <v>0.01</v>
      </c>
      <c r="AX255" s="168">
        <v>0.01</v>
      </c>
      <c r="AY255" s="176">
        <v>0</v>
      </c>
      <c r="AZ255" s="176">
        <v>0</v>
      </c>
      <c r="BA255" s="167"/>
      <c r="BB255" s="184">
        <v>169.8</v>
      </c>
      <c r="BC255" s="180">
        <v>64.256972832666506</v>
      </c>
      <c r="BD255" s="181" t="s">
        <v>55</v>
      </c>
      <c r="BE255" s="178">
        <v>2.0080304010208301</v>
      </c>
      <c r="BF255" s="179">
        <v>74.415786741760101</v>
      </c>
      <c r="BG255" s="168">
        <v>0.02</v>
      </c>
      <c r="BH255" s="168">
        <v>0.02</v>
      </c>
      <c r="BI255" s="176">
        <v>0</v>
      </c>
      <c r="BJ255" s="176">
        <v>0</v>
      </c>
      <c r="BK255" s="169"/>
      <c r="BL255" s="185">
        <v>0.8</v>
      </c>
      <c r="BM255" s="188">
        <v>0.78</v>
      </c>
      <c r="BN255" s="186"/>
      <c r="BO255" s="187">
        <v>0.95</v>
      </c>
      <c r="BP255" s="178">
        <v>1</v>
      </c>
      <c r="BQ255" s="186">
        <v>2.5000000000000001E-3</v>
      </c>
    </row>
    <row r="256" spans="1:69" s="156" customFormat="1" ht="22.35" customHeight="1" x14ac:dyDescent="0.2">
      <c r="A256" s="165" t="s">
        <v>275</v>
      </c>
      <c r="B256" s="165" t="s">
        <v>318</v>
      </c>
      <c r="C256" s="165" t="s">
        <v>325</v>
      </c>
      <c r="D256" s="166">
        <v>3.04966082633333</v>
      </c>
      <c r="E256" s="167"/>
      <c r="F256" s="168">
        <v>3.1E-2</v>
      </c>
      <c r="G256" s="168">
        <v>1.7999999999999999E-2</v>
      </c>
      <c r="H256" s="169"/>
      <c r="I256" s="170">
        <v>5</v>
      </c>
      <c r="J256" s="170">
        <v>4</v>
      </c>
      <c r="K256" s="167"/>
      <c r="L256" s="171">
        <v>1040.4178999999999</v>
      </c>
      <c r="M256" s="171">
        <v>2375.69355</v>
      </c>
      <c r="N256" s="171">
        <v>3416.1114499999999</v>
      </c>
      <c r="O256" s="166">
        <v>1120.16110791811</v>
      </c>
      <c r="P256" s="172">
        <v>266.08300000000003</v>
      </c>
      <c r="Q256" s="178">
        <v>4.2098183947043202</v>
      </c>
      <c r="R256" s="179">
        <v>2500.7812969351298</v>
      </c>
      <c r="S256" s="168">
        <v>0.01</v>
      </c>
      <c r="T256" s="168">
        <v>0.01</v>
      </c>
      <c r="U256" s="175">
        <v>0</v>
      </c>
      <c r="V256" s="176">
        <v>0</v>
      </c>
      <c r="W256" s="167"/>
      <c r="X256" s="175">
        <v>1893.91904</v>
      </c>
      <c r="Y256" s="166">
        <v>621.02612318271997</v>
      </c>
      <c r="Z256" s="177">
        <v>573</v>
      </c>
      <c r="AA256" s="182">
        <v>1.08381522370457</v>
      </c>
      <c r="AB256" s="183">
        <v>-77.210937135590001</v>
      </c>
      <c r="AC256" s="168">
        <v>1.4999999999999999E-2</v>
      </c>
      <c r="AD256" s="168">
        <v>8.0000000000000002E-3</v>
      </c>
      <c r="AE256" s="176">
        <v>0</v>
      </c>
      <c r="AF256" s="176">
        <v>204</v>
      </c>
      <c r="AG256" s="167"/>
      <c r="AH256" s="180">
        <v>117.75</v>
      </c>
      <c r="AI256" s="166">
        <v>38.610851076699298</v>
      </c>
      <c r="AJ256" s="181" t="s">
        <v>53</v>
      </c>
      <c r="AK256" s="173">
        <v>0.61287065201110003</v>
      </c>
      <c r="AL256" s="174">
        <v>-98.971096962551798</v>
      </c>
      <c r="AM256" s="168"/>
      <c r="AN256" s="168"/>
      <c r="AO256" s="176">
        <v>75</v>
      </c>
      <c r="AP256" s="176">
        <v>113</v>
      </c>
      <c r="AQ256" s="167"/>
      <c r="AR256" s="180">
        <v>5.5</v>
      </c>
      <c r="AS256" s="166">
        <v>1.8034792434976299</v>
      </c>
      <c r="AT256" s="181" t="s">
        <v>54</v>
      </c>
      <c r="AU256" s="173">
        <v>0.11271745271860199</v>
      </c>
      <c r="AV256" s="174">
        <v>-49.540278593663999</v>
      </c>
      <c r="AW256" s="168"/>
      <c r="AX256" s="168"/>
      <c r="AY256" s="176">
        <v>44</v>
      </c>
      <c r="AZ256" s="176">
        <v>54</v>
      </c>
      <c r="BA256" s="167"/>
      <c r="BB256" s="184">
        <v>97.4</v>
      </c>
      <c r="BC256" s="180">
        <v>31.937977875758001</v>
      </c>
      <c r="BD256" s="181" t="s">
        <v>55</v>
      </c>
      <c r="BE256" s="182">
        <v>0.99806180861743898</v>
      </c>
      <c r="BF256" s="183">
        <v>-12.680557187327899</v>
      </c>
      <c r="BG256" s="168">
        <v>6.0000000000000001E-3</v>
      </c>
      <c r="BH256" s="168">
        <v>0</v>
      </c>
      <c r="BI256" s="176">
        <v>1</v>
      </c>
      <c r="BJ256" s="176">
        <v>20</v>
      </c>
      <c r="BK256" s="169"/>
      <c r="BL256" s="185">
        <v>0.8</v>
      </c>
      <c r="BM256" s="182">
        <v>0.85</v>
      </c>
      <c r="BN256" s="186">
        <v>1.8749999999999999E-3</v>
      </c>
      <c r="BO256" s="187">
        <v>0.95</v>
      </c>
      <c r="BP256" s="178">
        <v>1</v>
      </c>
      <c r="BQ256" s="186">
        <v>2.5000000000000001E-3</v>
      </c>
    </row>
    <row r="257" spans="1:69" s="156" customFormat="1" ht="22.35" customHeight="1" x14ac:dyDescent="0.2">
      <c r="A257" s="165" t="s">
        <v>275</v>
      </c>
      <c r="B257" s="165" t="s">
        <v>318</v>
      </c>
      <c r="C257" s="165" t="s">
        <v>326</v>
      </c>
      <c r="D257" s="166">
        <v>2.8493458841111101</v>
      </c>
      <c r="E257" s="167"/>
      <c r="F257" s="168">
        <v>0.05</v>
      </c>
      <c r="G257" s="168">
        <v>4.4999999999999998E-2</v>
      </c>
      <c r="H257" s="169"/>
      <c r="I257" s="170">
        <v>5</v>
      </c>
      <c r="J257" s="170">
        <v>5</v>
      </c>
      <c r="K257" s="167"/>
      <c r="L257" s="171">
        <v>1897.5000700000001</v>
      </c>
      <c r="M257" s="171">
        <v>2468.8782200000001</v>
      </c>
      <c r="N257" s="171">
        <v>4366.3782899999997</v>
      </c>
      <c r="O257" s="166">
        <v>1532.4142689549799</v>
      </c>
      <c r="P257" s="172">
        <v>263.75299999999999</v>
      </c>
      <c r="Q257" s="178">
        <v>5.8100354079573702</v>
      </c>
      <c r="R257" s="179">
        <v>3518.65975383163</v>
      </c>
      <c r="S257" s="168">
        <v>0.01</v>
      </c>
      <c r="T257" s="168">
        <v>0.01</v>
      </c>
      <c r="U257" s="175">
        <v>0</v>
      </c>
      <c r="V257" s="176">
        <v>0</v>
      </c>
      <c r="W257" s="167"/>
      <c r="X257" s="175">
        <v>1879.9676400000001</v>
      </c>
      <c r="Y257" s="166">
        <v>659.78919950832096</v>
      </c>
      <c r="Z257" s="177">
        <v>573</v>
      </c>
      <c r="AA257" s="178">
        <v>1.1514645715677501</v>
      </c>
      <c r="AB257" s="179">
        <v>38.310023880088501</v>
      </c>
      <c r="AC257" s="168">
        <v>0.02</v>
      </c>
      <c r="AD257" s="168">
        <v>1.4999999999999999E-2</v>
      </c>
      <c r="AE257" s="176">
        <v>0</v>
      </c>
      <c r="AF257" s="176">
        <v>80</v>
      </c>
      <c r="AG257" s="167"/>
      <c r="AH257" s="180">
        <v>162.75</v>
      </c>
      <c r="AI257" s="166">
        <v>57.118372643892599</v>
      </c>
      <c r="AJ257" s="181" t="s">
        <v>53</v>
      </c>
      <c r="AK257" s="188">
        <v>0.90664083561734199</v>
      </c>
      <c r="AL257" s="171">
        <v>-39.735915908472002</v>
      </c>
      <c r="AM257" s="168"/>
      <c r="AN257" s="168"/>
      <c r="AO257" s="176">
        <v>17</v>
      </c>
      <c r="AP257" s="176">
        <v>53</v>
      </c>
      <c r="AQ257" s="167"/>
      <c r="AR257" s="180">
        <v>29.9</v>
      </c>
      <c r="AS257" s="166">
        <v>10.4936365103065</v>
      </c>
      <c r="AT257" s="181" t="s">
        <v>54</v>
      </c>
      <c r="AU257" s="173">
        <v>0.65585228189415801</v>
      </c>
      <c r="AV257" s="174">
        <v>-21.5249945164373</v>
      </c>
      <c r="AW257" s="168"/>
      <c r="AX257" s="168"/>
      <c r="AY257" s="176">
        <v>16</v>
      </c>
      <c r="AZ257" s="176">
        <v>25</v>
      </c>
      <c r="BA257" s="167"/>
      <c r="BB257" s="184">
        <v>112</v>
      </c>
      <c r="BC257" s="180">
        <v>39.307267195797003</v>
      </c>
      <c r="BD257" s="181" t="s">
        <v>55</v>
      </c>
      <c r="BE257" s="178">
        <v>1.2283520998686599</v>
      </c>
      <c r="BF257" s="179">
        <v>9.1500109671253504</v>
      </c>
      <c r="BG257" s="168">
        <v>0.02</v>
      </c>
      <c r="BH257" s="168">
        <v>0.02</v>
      </c>
      <c r="BI257" s="176">
        <v>0</v>
      </c>
      <c r="BJ257" s="176">
        <v>0</v>
      </c>
      <c r="BK257" s="169"/>
      <c r="BL257" s="185">
        <v>0.8</v>
      </c>
      <c r="BM257" s="182">
        <v>0.87</v>
      </c>
      <c r="BN257" s="186">
        <v>2.6250000000000002E-3</v>
      </c>
      <c r="BO257" s="187">
        <v>0.95</v>
      </c>
      <c r="BP257" s="178">
        <v>1</v>
      </c>
      <c r="BQ257" s="186">
        <v>2.5000000000000001E-3</v>
      </c>
    </row>
    <row r="258" spans="1:69" s="156" customFormat="1" ht="22.35" customHeight="1" x14ac:dyDescent="0.2">
      <c r="A258" s="165" t="s">
        <v>275</v>
      </c>
      <c r="B258" s="165" t="s">
        <v>318</v>
      </c>
      <c r="C258" s="165" t="s">
        <v>327</v>
      </c>
      <c r="D258" s="166">
        <v>7.8533208782222204</v>
      </c>
      <c r="E258" s="167"/>
      <c r="F258" s="168">
        <v>3.2000000000000001E-2</v>
      </c>
      <c r="G258" s="168">
        <v>1.7999999999999999E-2</v>
      </c>
      <c r="H258" s="169"/>
      <c r="I258" s="170">
        <v>5</v>
      </c>
      <c r="J258" s="170">
        <v>5</v>
      </c>
      <c r="K258" s="167"/>
      <c r="L258" s="171">
        <v>3798.9518400000002</v>
      </c>
      <c r="M258" s="171">
        <v>-820.45537999999999</v>
      </c>
      <c r="N258" s="171">
        <v>2978.4964599999998</v>
      </c>
      <c r="O258" s="166">
        <v>379.265855322373</v>
      </c>
      <c r="P258" s="172">
        <v>267.36500000000001</v>
      </c>
      <c r="Q258" s="178">
        <v>1.4185321763221499</v>
      </c>
      <c r="R258" s="179">
        <v>610.03132190856195</v>
      </c>
      <c r="S258" s="168">
        <v>0.01</v>
      </c>
      <c r="T258" s="168">
        <v>0.01</v>
      </c>
      <c r="U258" s="175">
        <v>0</v>
      </c>
      <c r="V258" s="176">
        <v>0</v>
      </c>
      <c r="W258" s="167"/>
      <c r="X258" s="175">
        <v>4831.8079799999996</v>
      </c>
      <c r="Y258" s="166">
        <v>615.25666083489898</v>
      </c>
      <c r="Z258" s="177">
        <v>573</v>
      </c>
      <c r="AA258" s="182">
        <v>1.07374635398761</v>
      </c>
      <c r="AB258" s="183">
        <v>-244.13884971366301</v>
      </c>
      <c r="AC258" s="168">
        <v>1.4E-2</v>
      </c>
      <c r="AD258" s="168">
        <v>7.0000000000000001E-3</v>
      </c>
      <c r="AE258" s="176">
        <v>0</v>
      </c>
      <c r="AF258" s="176">
        <v>569</v>
      </c>
      <c r="AG258" s="167"/>
      <c r="AH258" s="180">
        <v>416.3</v>
      </c>
      <c r="AI258" s="166">
        <v>53.009421931864203</v>
      </c>
      <c r="AJ258" s="181" t="s">
        <v>53</v>
      </c>
      <c r="AK258" s="188">
        <v>0.84141939574387603</v>
      </c>
      <c r="AL258" s="171">
        <v>-141.788394889984</v>
      </c>
      <c r="AM258" s="168"/>
      <c r="AN258" s="168"/>
      <c r="AO258" s="176">
        <v>79</v>
      </c>
      <c r="AP258" s="176">
        <v>178</v>
      </c>
      <c r="AQ258" s="167"/>
      <c r="AR258" s="180">
        <v>61.6</v>
      </c>
      <c r="AS258" s="166">
        <v>7.8438154960433204</v>
      </c>
      <c r="AT258" s="181" t="s">
        <v>54</v>
      </c>
      <c r="AU258" s="173">
        <v>0.49023846850270802</v>
      </c>
      <c r="AV258" s="174">
        <v>-80.136735210154598</v>
      </c>
      <c r="AW258" s="168"/>
      <c r="AX258" s="168"/>
      <c r="AY258" s="176">
        <v>65</v>
      </c>
      <c r="AZ258" s="176">
        <v>90</v>
      </c>
      <c r="BA258" s="167"/>
      <c r="BB258" s="184">
        <v>254.2</v>
      </c>
      <c r="BC258" s="180">
        <v>32.368472387893</v>
      </c>
      <c r="BD258" s="181" t="s">
        <v>55</v>
      </c>
      <c r="BE258" s="182">
        <v>1.01151476212166</v>
      </c>
      <c r="BF258" s="183">
        <v>-29.273470420309302</v>
      </c>
      <c r="BG258" s="168">
        <v>8.0000000000000002E-3</v>
      </c>
      <c r="BH258" s="168">
        <v>1E-3</v>
      </c>
      <c r="BI258" s="176">
        <v>0</v>
      </c>
      <c r="BJ258" s="176">
        <v>48</v>
      </c>
      <c r="BK258" s="169"/>
      <c r="BL258" s="185">
        <v>0.8</v>
      </c>
      <c r="BM258" s="182">
        <v>0.81</v>
      </c>
      <c r="BN258" s="186">
        <v>3.7500000000000001E-4</v>
      </c>
      <c r="BO258" s="187">
        <v>0.95</v>
      </c>
      <c r="BP258" s="178">
        <v>1</v>
      </c>
      <c r="BQ258" s="186">
        <v>2.5000000000000001E-3</v>
      </c>
    </row>
    <row r="259" spans="1:69" s="156" customFormat="1" ht="22.35" customHeight="1" x14ac:dyDescent="0.2">
      <c r="A259" s="165" t="s">
        <v>275</v>
      </c>
      <c r="B259" s="165" t="s">
        <v>318</v>
      </c>
      <c r="C259" s="165" t="s">
        <v>328</v>
      </c>
      <c r="D259" s="166">
        <v>8.9100383940000007</v>
      </c>
      <c r="E259" s="167"/>
      <c r="F259" s="168">
        <v>7.0000000000000001E-3</v>
      </c>
      <c r="G259" s="168">
        <v>3.0000000000000001E-3</v>
      </c>
      <c r="H259" s="169"/>
      <c r="I259" s="170">
        <v>3</v>
      </c>
      <c r="J259" s="170">
        <v>2</v>
      </c>
      <c r="K259" s="167"/>
      <c r="L259" s="171">
        <v>4377.8224399999999</v>
      </c>
      <c r="M259" s="171">
        <v>-1876.41165</v>
      </c>
      <c r="N259" s="171">
        <v>2501.4107899999999</v>
      </c>
      <c r="O259" s="166">
        <v>280.74074200223902</v>
      </c>
      <c r="P259" s="172">
        <v>266.08300000000003</v>
      </c>
      <c r="Q259" s="182">
        <v>1.05508710440817</v>
      </c>
      <c r="R259" s="183">
        <v>-172.86260347751201</v>
      </c>
      <c r="S259" s="168">
        <v>6.0000000000000001E-3</v>
      </c>
      <c r="T259" s="168">
        <v>3.0000000000000001E-3</v>
      </c>
      <c r="U259" s="175">
        <v>0</v>
      </c>
      <c r="V259" s="176">
        <v>344</v>
      </c>
      <c r="W259" s="167"/>
      <c r="X259" s="175">
        <v>3622.8774749999998</v>
      </c>
      <c r="Y259" s="166">
        <v>406.606269782141</v>
      </c>
      <c r="Z259" s="177">
        <v>573</v>
      </c>
      <c r="AA259" s="173">
        <v>0.70960954586761105</v>
      </c>
      <c r="AB259" s="174">
        <v>-2136.0723807315399</v>
      </c>
      <c r="AC259" s="168"/>
      <c r="AD259" s="168"/>
      <c r="AE259" s="176">
        <v>1483</v>
      </c>
      <c r="AF259" s="176">
        <v>2504</v>
      </c>
      <c r="AG259" s="167"/>
      <c r="AH259" s="180">
        <v>413.95</v>
      </c>
      <c r="AI259" s="166">
        <v>46.458834597026303</v>
      </c>
      <c r="AJ259" s="181" t="s">
        <v>53</v>
      </c>
      <c r="AK259" s="173">
        <v>0.73744181900041705</v>
      </c>
      <c r="AL259" s="174">
        <v>-219.23296843121599</v>
      </c>
      <c r="AM259" s="168"/>
      <c r="AN259" s="168"/>
      <c r="AO259" s="176">
        <v>148</v>
      </c>
      <c r="AP259" s="176">
        <v>260</v>
      </c>
      <c r="AQ259" s="167"/>
      <c r="AR259" s="180">
        <v>60.6</v>
      </c>
      <c r="AS259" s="166">
        <v>6.8013174938514203</v>
      </c>
      <c r="AT259" s="181" t="s">
        <v>54</v>
      </c>
      <c r="AU259" s="173">
        <v>0.42508234336571399</v>
      </c>
      <c r="AV259" s="174">
        <v>-100.20837293491201</v>
      </c>
      <c r="AW259" s="168"/>
      <c r="AX259" s="168"/>
      <c r="AY259" s="176">
        <v>82</v>
      </c>
      <c r="AZ259" s="176">
        <v>111</v>
      </c>
      <c r="BA259" s="167"/>
      <c r="BB259" s="184">
        <v>271.2</v>
      </c>
      <c r="BC259" s="180">
        <v>30.437579279414301</v>
      </c>
      <c r="BD259" s="181" t="s">
        <v>55</v>
      </c>
      <c r="BE259" s="182">
        <v>0.95117435248169602</v>
      </c>
      <c r="BF259" s="183">
        <v>-50.416745869824098</v>
      </c>
      <c r="BG259" s="168">
        <v>1E-3</v>
      </c>
      <c r="BH259" s="168"/>
      <c r="BI259" s="176">
        <v>14</v>
      </c>
      <c r="BJ259" s="176">
        <v>71</v>
      </c>
      <c r="BK259" s="169"/>
      <c r="BL259" s="185">
        <v>0.8</v>
      </c>
      <c r="BM259" s="188">
        <v>0.73</v>
      </c>
      <c r="BN259" s="186"/>
      <c r="BO259" s="187">
        <v>0.95</v>
      </c>
      <c r="BP259" s="178">
        <v>1</v>
      </c>
      <c r="BQ259" s="186">
        <v>2.5000000000000001E-3</v>
      </c>
    </row>
    <row r="260" spans="1:69" s="156" customFormat="1" ht="22.35" customHeight="1" x14ac:dyDescent="0.2">
      <c r="A260" s="165" t="s">
        <v>275</v>
      </c>
      <c r="B260" s="165" t="s">
        <v>318</v>
      </c>
      <c r="C260" s="165" t="s">
        <v>329</v>
      </c>
      <c r="D260" s="166">
        <v>3.7235578407777798</v>
      </c>
      <c r="E260" s="167"/>
      <c r="F260" s="168">
        <v>5.8000000000000003E-2</v>
      </c>
      <c r="G260" s="168">
        <v>5.0999999999999997E-2</v>
      </c>
      <c r="H260" s="169"/>
      <c r="I260" s="170">
        <v>5</v>
      </c>
      <c r="J260" s="170">
        <v>5</v>
      </c>
      <c r="K260" s="167"/>
      <c r="L260" s="171">
        <v>1155.0283400000001</v>
      </c>
      <c r="M260" s="171">
        <v>1796.3663200000001</v>
      </c>
      <c r="N260" s="171">
        <v>2951.3946599999999</v>
      </c>
      <c r="O260" s="166">
        <v>792.62758528373297</v>
      </c>
      <c r="P260" s="172">
        <v>287.5</v>
      </c>
      <c r="Q260" s="178">
        <v>2.7569655140303699</v>
      </c>
      <c r="R260" s="179">
        <v>1743.8448522357701</v>
      </c>
      <c r="S260" s="168">
        <v>0.01</v>
      </c>
      <c r="T260" s="168">
        <v>0.01</v>
      </c>
      <c r="U260" s="175">
        <v>0</v>
      </c>
      <c r="V260" s="176">
        <v>0</v>
      </c>
      <c r="W260" s="167"/>
      <c r="X260" s="175">
        <v>2855.3015350000001</v>
      </c>
      <c r="Y260" s="166">
        <v>766.82078192280301</v>
      </c>
      <c r="Z260" s="177">
        <v>573</v>
      </c>
      <c r="AA260" s="178">
        <v>1.3382561639141399</v>
      </c>
      <c r="AB260" s="179">
        <v>448.60226596032601</v>
      </c>
      <c r="AC260" s="168">
        <v>0.02</v>
      </c>
      <c r="AD260" s="168">
        <v>0.02</v>
      </c>
      <c r="AE260" s="176">
        <v>0</v>
      </c>
      <c r="AF260" s="176">
        <v>0</v>
      </c>
      <c r="AG260" s="167"/>
      <c r="AH260" s="180">
        <v>237.05</v>
      </c>
      <c r="AI260" s="166">
        <v>63.662231160745101</v>
      </c>
      <c r="AJ260" s="181" t="s">
        <v>53</v>
      </c>
      <c r="AK260" s="182">
        <v>1.0105116057261101</v>
      </c>
      <c r="AL260" s="183">
        <v>-27.560914397032199</v>
      </c>
      <c r="AM260" s="168">
        <v>8.0000000000000002E-3</v>
      </c>
      <c r="AN260" s="168">
        <v>1E-3</v>
      </c>
      <c r="AO260" s="176">
        <v>0</v>
      </c>
      <c r="AP260" s="176">
        <v>45</v>
      </c>
      <c r="AQ260" s="167"/>
      <c r="AR260" s="180">
        <v>29.2</v>
      </c>
      <c r="AS260" s="166">
        <v>7.8419622438040903</v>
      </c>
      <c r="AT260" s="181" t="s">
        <v>54</v>
      </c>
      <c r="AU260" s="173">
        <v>0.49012264023775598</v>
      </c>
      <c r="AV260" s="174">
        <v>-38.002771910357403</v>
      </c>
      <c r="AW260" s="168"/>
      <c r="AX260" s="168"/>
      <c r="AY260" s="176">
        <v>31</v>
      </c>
      <c r="AZ260" s="176">
        <v>43</v>
      </c>
      <c r="BA260" s="167"/>
      <c r="BB260" s="184">
        <v>153.80000000000001</v>
      </c>
      <c r="BC260" s="180">
        <v>41.304581955379</v>
      </c>
      <c r="BD260" s="181" t="s">
        <v>55</v>
      </c>
      <c r="BE260" s="178">
        <v>1.2907681861056</v>
      </c>
      <c r="BF260" s="179">
        <v>19.3944561792852</v>
      </c>
      <c r="BG260" s="168">
        <v>0.02</v>
      </c>
      <c r="BH260" s="168">
        <v>0.02</v>
      </c>
      <c r="BI260" s="176">
        <v>0</v>
      </c>
      <c r="BJ260" s="176">
        <v>0</v>
      </c>
      <c r="BK260" s="169"/>
      <c r="BL260" s="185">
        <v>0.8</v>
      </c>
      <c r="BM260" s="188">
        <v>0.78</v>
      </c>
      <c r="BN260" s="186"/>
      <c r="BO260" s="187">
        <v>0.95</v>
      </c>
      <c r="BP260" s="178">
        <v>1</v>
      </c>
      <c r="BQ260" s="186">
        <v>2.5000000000000001E-3</v>
      </c>
    </row>
    <row r="261" spans="1:69" s="156" customFormat="1" ht="22.35" customHeight="1" x14ac:dyDescent="0.2">
      <c r="A261" s="165" t="s">
        <v>275</v>
      </c>
      <c r="B261" s="165" t="s">
        <v>318</v>
      </c>
      <c r="C261" s="165" t="s">
        <v>330</v>
      </c>
      <c r="D261" s="166">
        <v>2.4875433197777799</v>
      </c>
      <c r="E261" s="167"/>
      <c r="F261" s="168">
        <v>3.9E-2</v>
      </c>
      <c r="G261" s="168">
        <v>2.5999999999999999E-2</v>
      </c>
      <c r="H261" s="169"/>
      <c r="I261" s="170">
        <v>6</v>
      </c>
      <c r="J261" s="170">
        <v>5</v>
      </c>
      <c r="K261" s="167"/>
      <c r="L261" s="171">
        <v>376.62234000000001</v>
      </c>
      <c r="M261" s="171">
        <v>870.14558999999997</v>
      </c>
      <c r="N261" s="171">
        <v>1246.76793</v>
      </c>
      <c r="O261" s="166">
        <v>501.20450972141401</v>
      </c>
      <c r="P261" s="172">
        <v>263.75299999999999</v>
      </c>
      <c r="Q261" s="178">
        <v>1.90027984410192</v>
      </c>
      <c r="R261" s="179">
        <v>506.69049908631803</v>
      </c>
      <c r="S261" s="168">
        <v>0.01</v>
      </c>
      <c r="T261" s="168">
        <v>0.01</v>
      </c>
      <c r="U261" s="175">
        <v>0</v>
      </c>
      <c r="V261" s="176">
        <v>0</v>
      </c>
      <c r="W261" s="167"/>
      <c r="X261" s="175">
        <v>1340.597765</v>
      </c>
      <c r="Y261" s="166">
        <v>538.92438951365102</v>
      </c>
      <c r="Z261" s="177">
        <v>573</v>
      </c>
      <c r="AA261" s="182">
        <v>0.94053122079171203</v>
      </c>
      <c r="AB261" s="183">
        <v>-267.21093447844999</v>
      </c>
      <c r="AC261" s="168">
        <v>1E-3</v>
      </c>
      <c r="AD261" s="168"/>
      <c r="AE261" s="176">
        <v>85</v>
      </c>
      <c r="AF261" s="176">
        <v>370</v>
      </c>
      <c r="AG261" s="167"/>
      <c r="AH261" s="180">
        <v>159.6</v>
      </c>
      <c r="AI261" s="166">
        <v>64.159686680052502</v>
      </c>
      <c r="AJ261" s="181" t="s">
        <v>53</v>
      </c>
      <c r="AK261" s="182">
        <v>1.0184077250801999</v>
      </c>
      <c r="AL261" s="183">
        <v>-17.1747784766882</v>
      </c>
      <c r="AM261" s="168">
        <v>8.0000000000000002E-3</v>
      </c>
      <c r="AN261" s="168">
        <v>2E-3</v>
      </c>
      <c r="AO261" s="176">
        <v>0</v>
      </c>
      <c r="AP261" s="176">
        <v>29</v>
      </c>
      <c r="AQ261" s="167"/>
      <c r="AR261" s="180">
        <v>16.399999999999999</v>
      </c>
      <c r="AS261" s="166">
        <v>6.5928500097297098</v>
      </c>
      <c r="AT261" s="181" t="s">
        <v>54</v>
      </c>
      <c r="AU261" s="173">
        <v>0.41205312560810697</v>
      </c>
      <c r="AV261" s="174">
        <v>-28.495181835349399</v>
      </c>
      <c r="AW261" s="168"/>
      <c r="AX261" s="168"/>
      <c r="AY261" s="176">
        <v>24</v>
      </c>
      <c r="AZ261" s="176">
        <v>32</v>
      </c>
      <c r="BA261" s="167"/>
      <c r="BB261" s="184">
        <v>90.6</v>
      </c>
      <c r="BC261" s="180">
        <v>36.421476273262897</v>
      </c>
      <c r="BD261" s="181" t="s">
        <v>55</v>
      </c>
      <c r="BE261" s="178">
        <v>1.13817113353947</v>
      </c>
      <c r="BF261" s="179">
        <v>0.80963632930124196</v>
      </c>
      <c r="BG261" s="168">
        <v>0.02</v>
      </c>
      <c r="BH261" s="168">
        <v>1.4E-2</v>
      </c>
      <c r="BI261" s="176">
        <v>0</v>
      </c>
      <c r="BJ261" s="176">
        <v>5</v>
      </c>
      <c r="BK261" s="169"/>
      <c r="BL261" s="185">
        <v>0.8</v>
      </c>
      <c r="BM261" s="182">
        <v>0.9</v>
      </c>
      <c r="BN261" s="186">
        <v>3.7499999999999999E-3</v>
      </c>
      <c r="BO261" s="187">
        <v>0.95</v>
      </c>
      <c r="BP261" s="178">
        <v>1</v>
      </c>
      <c r="BQ261" s="186">
        <v>2.5000000000000001E-3</v>
      </c>
    </row>
    <row r="262" spans="1:69" s="156" customFormat="1" ht="22.35" customHeight="1" x14ac:dyDescent="0.2">
      <c r="A262" s="165" t="s">
        <v>275</v>
      </c>
      <c r="B262" s="165" t="s">
        <v>318</v>
      </c>
      <c r="C262" s="165" t="s">
        <v>331</v>
      </c>
      <c r="D262" s="166">
        <v>2.6455275504444402</v>
      </c>
      <c r="E262" s="167"/>
      <c r="F262" s="168">
        <v>6.0499999999999998E-2</v>
      </c>
      <c r="G262" s="168">
        <v>0.06</v>
      </c>
      <c r="H262" s="169"/>
      <c r="I262" s="170">
        <v>6</v>
      </c>
      <c r="J262" s="170">
        <v>5</v>
      </c>
      <c r="K262" s="167"/>
      <c r="L262" s="171">
        <v>419.31195000000002</v>
      </c>
      <c r="M262" s="171">
        <v>245.77679000000001</v>
      </c>
      <c r="N262" s="171">
        <v>665.08874000000003</v>
      </c>
      <c r="O262" s="166">
        <v>251.401177012224</v>
      </c>
      <c r="P262" s="172">
        <v>266.08300000000003</v>
      </c>
      <c r="Q262" s="182">
        <v>0.94482239381029298</v>
      </c>
      <c r="R262" s="183">
        <v>-128.94419532713599</v>
      </c>
      <c r="S262" s="168">
        <v>5.0000000000000001E-4</v>
      </c>
      <c r="T262" s="168"/>
      <c r="U262" s="175">
        <v>39</v>
      </c>
      <c r="V262" s="176">
        <v>180</v>
      </c>
      <c r="W262" s="167"/>
      <c r="X262" s="175">
        <v>1961.8183650000001</v>
      </c>
      <c r="Y262" s="166">
        <v>741.56036087033704</v>
      </c>
      <c r="Z262" s="177">
        <v>573</v>
      </c>
      <c r="AA262" s="178">
        <v>1.29417165945958</v>
      </c>
      <c r="AB262" s="179">
        <v>251.89750593553899</v>
      </c>
      <c r="AC262" s="168">
        <v>0.02</v>
      </c>
      <c r="AD262" s="168">
        <v>0.02</v>
      </c>
      <c r="AE262" s="176">
        <v>0</v>
      </c>
      <c r="AF262" s="176">
        <v>0</v>
      </c>
      <c r="AG262" s="167"/>
      <c r="AH262" s="180">
        <v>275.95</v>
      </c>
      <c r="AI262" s="166">
        <v>104.308118036284</v>
      </c>
      <c r="AJ262" s="181" t="s">
        <v>53</v>
      </c>
      <c r="AK262" s="178">
        <v>1.65568441327435</v>
      </c>
      <c r="AL262" s="179">
        <v>87.948230155216294</v>
      </c>
      <c r="AM262" s="168">
        <v>0.02</v>
      </c>
      <c r="AN262" s="168">
        <v>0.02</v>
      </c>
      <c r="AO262" s="176">
        <v>0</v>
      </c>
      <c r="AP262" s="176">
        <v>0</v>
      </c>
      <c r="AQ262" s="167"/>
      <c r="AR262" s="180">
        <v>31.2</v>
      </c>
      <c r="AS262" s="166">
        <v>11.793488975292799</v>
      </c>
      <c r="AT262" s="181" t="s">
        <v>54</v>
      </c>
      <c r="AU262" s="173">
        <v>0.73709306095580096</v>
      </c>
      <c r="AV262" s="174">
        <v>-16.5464812304213</v>
      </c>
      <c r="AW262" s="168"/>
      <c r="AX262" s="168"/>
      <c r="AY262" s="176">
        <v>12</v>
      </c>
      <c r="AZ262" s="176">
        <v>20</v>
      </c>
      <c r="BA262" s="167"/>
      <c r="BB262" s="184">
        <v>172.8</v>
      </c>
      <c r="BC262" s="180">
        <v>65.317785093929501</v>
      </c>
      <c r="BD262" s="181" t="s">
        <v>55</v>
      </c>
      <c r="BE262" s="178">
        <v>2.0411807841853</v>
      </c>
      <c r="BF262" s="179">
        <v>77.307037539157506</v>
      </c>
      <c r="BG262" s="168">
        <v>0.02</v>
      </c>
      <c r="BH262" s="168">
        <v>0.02</v>
      </c>
      <c r="BI262" s="176">
        <v>0</v>
      </c>
      <c r="BJ262" s="176">
        <v>0</v>
      </c>
      <c r="BK262" s="169"/>
      <c r="BL262" s="185">
        <v>0.8</v>
      </c>
      <c r="BM262" s="182">
        <v>0.81</v>
      </c>
      <c r="BN262" s="186">
        <v>3.7500000000000001E-4</v>
      </c>
      <c r="BO262" s="187">
        <v>0.95</v>
      </c>
      <c r="BP262" s="178">
        <v>1</v>
      </c>
      <c r="BQ262" s="186">
        <v>2.5000000000000001E-3</v>
      </c>
    </row>
    <row r="263" spans="1:69" s="156" customFormat="1" ht="22.35" customHeight="1" x14ac:dyDescent="0.2">
      <c r="A263" s="165" t="s">
        <v>275</v>
      </c>
      <c r="B263" s="165" t="s">
        <v>318</v>
      </c>
      <c r="C263" s="165" t="s">
        <v>332</v>
      </c>
      <c r="D263" s="166">
        <v>2.5458872463333302</v>
      </c>
      <c r="E263" s="167"/>
      <c r="F263" s="168">
        <v>2.5999999999999999E-2</v>
      </c>
      <c r="G263" s="168">
        <v>1.9E-2</v>
      </c>
      <c r="H263" s="169"/>
      <c r="I263" s="170">
        <v>3</v>
      </c>
      <c r="J263" s="170">
        <v>3</v>
      </c>
      <c r="K263" s="167"/>
      <c r="L263" s="171">
        <v>1152.6405999999999</v>
      </c>
      <c r="M263" s="171">
        <v>1126.96967</v>
      </c>
      <c r="N263" s="171">
        <v>2279.6102700000001</v>
      </c>
      <c r="O263" s="166">
        <v>895.40896726010396</v>
      </c>
      <c r="P263" s="172">
        <v>287.5</v>
      </c>
      <c r="Q263" s="178">
        <v>3.1144659730786199</v>
      </c>
      <c r="R263" s="179">
        <v>1453.9790360141001</v>
      </c>
      <c r="S263" s="168">
        <v>0.01</v>
      </c>
      <c r="T263" s="168">
        <v>0.01</v>
      </c>
      <c r="U263" s="175">
        <v>0</v>
      </c>
      <c r="V263" s="176">
        <v>0</v>
      </c>
      <c r="W263" s="167"/>
      <c r="X263" s="175">
        <v>1336.977995</v>
      </c>
      <c r="Y263" s="166">
        <v>525.15208476948806</v>
      </c>
      <c r="Z263" s="177">
        <v>573</v>
      </c>
      <c r="AA263" s="188">
        <v>0.91649578493802297</v>
      </c>
      <c r="AB263" s="171">
        <v>-308.54095134406998</v>
      </c>
      <c r="AC263" s="168"/>
      <c r="AD263" s="168"/>
      <c r="AE263" s="176">
        <v>122</v>
      </c>
      <c r="AF263" s="176">
        <v>414</v>
      </c>
      <c r="AG263" s="167"/>
      <c r="AH263" s="180">
        <v>122.45</v>
      </c>
      <c r="AI263" s="166">
        <v>48.097181120788598</v>
      </c>
      <c r="AJ263" s="181" t="s">
        <v>53</v>
      </c>
      <c r="AK263" s="188">
        <v>0.76344731937759602</v>
      </c>
      <c r="AL263" s="171">
        <v>-58.470931273431802</v>
      </c>
      <c r="AM263" s="168"/>
      <c r="AN263" s="168"/>
      <c r="AO263" s="176">
        <v>38</v>
      </c>
      <c r="AP263" s="176">
        <v>71</v>
      </c>
      <c r="AQ263" s="167"/>
      <c r="AR263" s="180">
        <v>9.8000000000000007</v>
      </c>
      <c r="AS263" s="166">
        <v>3.8493456511533499</v>
      </c>
      <c r="AT263" s="181" t="s">
        <v>54</v>
      </c>
      <c r="AU263" s="173">
        <v>0.24058410319708401</v>
      </c>
      <c r="AV263" s="174">
        <v>-36.148173021823901</v>
      </c>
      <c r="AW263" s="168"/>
      <c r="AX263" s="168"/>
      <c r="AY263" s="176">
        <v>31</v>
      </c>
      <c r="AZ263" s="176">
        <v>40</v>
      </c>
      <c r="BA263" s="167"/>
      <c r="BB263" s="184">
        <v>88.6</v>
      </c>
      <c r="BC263" s="180">
        <v>34.801227009406801</v>
      </c>
      <c r="BD263" s="181" t="s">
        <v>55</v>
      </c>
      <c r="BE263" s="182">
        <v>1.0875383440439601</v>
      </c>
      <c r="BF263" s="183">
        <v>-3.29634604364789</v>
      </c>
      <c r="BG263" s="168">
        <v>1.6E-2</v>
      </c>
      <c r="BH263" s="168">
        <v>8.9999999999999993E-3</v>
      </c>
      <c r="BI263" s="176">
        <v>0</v>
      </c>
      <c r="BJ263" s="176">
        <v>10</v>
      </c>
      <c r="BK263" s="169"/>
      <c r="BL263" s="185">
        <v>0.8</v>
      </c>
      <c r="BM263" s="188">
        <v>0.8</v>
      </c>
      <c r="BN263" s="186">
        <v>0</v>
      </c>
      <c r="BO263" s="187">
        <v>0.95</v>
      </c>
      <c r="BP263" s="178">
        <v>1</v>
      </c>
      <c r="BQ263" s="186">
        <v>2.5000000000000001E-3</v>
      </c>
    </row>
    <row r="264" spans="1:69" s="156" customFormat="1" ht="22.35" customHeight="1" x14ac:dyDescent="0.2">
      <c r="A264" s="165" t="s">
        <v>275</v>
      </c>
      <c r="B264" s="165" t="s">
        <v>318</v>
      </c>
      <c r="C264" s="165" t="s">
        <v>333</v>
      </c>
      <c r="D264" s="166">
        <v>2.3152426593333302</v>
      </c>
      <c r="E264" s="167"/>
      <c r="F264" s="168">
        <v>2.5999999999999999E-2</v>
      </c>
      <c r="G264" s="168">
        <v>1.9E-2</v>
      </c>
      <c r="H264" s="169"/>
      <c r="I264" s="170">
        <v>4</v>
      </c>
      <c r="J264" s="170">
        <v>4</v>
      </c>
      <c r="K264" s="167"/>
      <c r="L264" s="171">
        <v>2295.4466000000002</v>
      </c>
      <c r="M264" s="171">
        <v>-1240.36961</v>
      </c>
      <c r="N264" s="171">
        <v>1055.07699</v>
      </c>
      <c r="O264" s="166">
        <v>455.70903151197399</v>
      </c>
      <c r="P264" s="172">
        <v>247.95</v>
      </c>
      <c r="Q264" s="178">
        <v>1.8379069631456899</v>
      </c>
      <c r="R264" s="179">
        <v>407.532327193443</v>
      </c>
      <c r="S264" s="168">
        <v>0.01</v>
      </c>
      <c r="T264" s="168">
        <v>0.01</v>
      </c>
      <c r="U264" s="175">
        <v>0</v>
      </c>
      <c r="V264" s="176">
        <v>0</v>
      </c>
      <c r="W264" s="167"/>
      <c r="X264" s="175">
        <v>1449.6372449999999</v>
      </c>
      <c r="Y264" s="166">
        <v>626.12756341377099</v>
      </c>
      <c r="Z264" s="177">
        <v>573</v>
      </c>
      <c r="AA264" s="182">
        <v>1.0927182607570201</v>
      </c>
      <c r="AB264" s="183">
        <v>-46.805956404141902</v>
      </c>
      <c r="AC264" s="168">
        <v>1.6E-2</v>
      </c>
      <c r="AD264" s="168">
        <v>8.9999999999999993E-3</v>
      </c>
      <c r="AE264" s="176">
        <v>0</v>
      </c>
      <c r="AF264" s="176">
        <v>143</v>
      </c>
      <c r="AG264" s="167"/>
      <c r="AH264" s="180">
        <v>69.349999999999994</v>
      </c>
      <c r="AI264" s="166">
        <v>29.953663699324299</v>
      </c>
      <c r="AJ264" s="181" t="s">
        <v>53</v>
      </c>
      <c r="AK264" s="173">
        <v>0.47545497935435399</v>
      </c>
      <c r="AL264" s="174">
        <v>-95.180404342863795</v>
      </c>
      <c r="AM264" s="168"/>
      <c r="AN264" s="168"/>
      <c r="AO264" s="176">
        <v>77</v>
      </c>
      <c r="AP264" s="176">
        <v>106</v>
      </c>
      <c r="AQ264" s="167"/>
      <c r="AR264" s="180">
        <v>6</v>
      </c>
      <c r="AS264" s="166">
        <v>2.5915210121982102</v>
      </c>
      <c r="AT264" s="181" t="s">
        <v>54</v>
      </c>
      <c r="AU264" s="173">
        <v>0.161970063262388</v>
      </c>
      <c r="AV264" s="174">
        <v>-35.785499515647899</v>
      </c>
      <c r="AW264" s="168"/>
      <c r="AX264" s="168"/>
      <c r="AY264" s="176">
        <v>32</v>
      </c>
      <c r="AZ264" s="176">
        <v>39</v>
      </c>
      <c r="BA264" s="167"/>
      <c r="BB264" s="184">
        <v>62</v>
      </c>
      <c r="BC264" s="180">
        <v>26.779050459381502</v>
      </c>
      <c r="BD264" s="181" t="s">
        <v>55</v>
      </c>
      <c r="BE264" s="188">
        <v>0.83684532685567303</v>
      </c>
      <c r="BF264" s="171">
        <v>-21.570999031295901</v>
      </c>
      <c r="BG264" s="168"/>
      <c r="BH264" s="168"/>
      <c r="BI264" s="176">
        <v>13</v>
      </c>
      <c r="BJ264" s="176">
        <v>27</v>
      </c>
      <c r="BK264" s="169"/>
      <c r="BL264" s="185">
        <v>0.8</v>
      </c>
      <c r="BM264" s="182">
        <v>0.86</v>
      </c>
      <c r="BN264" s="186">
        <v>2.2499999999999998E-3</v>
      </c>
      <c r="BO264" s="187">
        <v>0.95</v>
      </c>
      <c r="BP264" s="178">
        <v>1</v>
      </c>
      <c r="BQ264" s="186">
        <v>2.5000000000000001E-3</v>
      </c>
    </row>
    <row r="265" spans="1:69" s="156" customFormat="1" ht="22.35" customHeight="1" x14ac:dyDescent="0.2">
      <c r="A265" s="165" t="s">
        <v>275</v>
      </c>
      <c r="B265" s="165" t="s">
        <v>318</v>
      </c>
      <c r="C265" s="165" t="s">
        <v>334</v>
      </c>
      <c r="D265" s="166">
        <v>8.72427697</v>
      </c>
      <c r="E265" s="167"/>
      <c r="F265" s="168">
        <v>1.4E-2</v>
      </c>
      <c r="G265" s="168">
        <v>0.01</v>
      </c>
      <c r="H265" s="169"/>
      <c r="I265" s="170">
        <v>3</v>
      </c>
      <c r="J265" s="170">
        <v>2</v>
      </c>
      <c r="K265" s="167"/>
      <c r="L265" s="171">
        <v>9807.5955400000003</v>
      </c>
      <c r="M265" s="171">
        <v>1071.95589</v>
      </c>
      <c r="N265" s="171">
        <v>10879.55143</v>
      </c>
      <c r="O265" s="166">
        <v>1247.0433329216</v>
      </c>
      <c r="P265" s="172">
        <v>287.5</v>
      </c>
      <c r="Q265" s="178">
        <v>4.3375420275533898</v>
      </c>
      <c r="R265" s="179">
        <v>8050.2684086290001</v>
      </c>
      <c r="S265" s="168">
        <v>0.01</v>
      </c>
      <c r="T265" s="168">
        <v>0.01</v>
      </c>
      <c r="U265" s="175">
        <v>0</v>
      </c>
      <c r="V265" s="176">
        <v>0</v>
      </c>
      <c r="W265" s="167"/>
      <c r="X265" s="175">
        <v>3499.9886000000001</v>
      </c>
      <c r="Y265" s="166">
        <v>401.178070347301</v>
      </c>
      <c r="Z265" s="177">
        <v>573</v>
      </c>
      <c r="AA265" s="173">
        <v>0.70013624842460898</v>
      </c>
      <c r="AB265" s="174">
        <v>-2138.8954738976799</v>
      </c>
      <c r="AC265" s="168"/>
      <c r="AD265" s="168"/>
      <c r="AE265" s="176">
        <v>1500</v>
      </c>
      <c r="AF265" s="176">
        <v>2499</v>
      </c>
      <c r="AG265" s="167"/>
      <c r="AH265" s="180">
        <v>493.75</v>
      </c>
      <c r="AI265" s="166">
        <v>56.594947833252903</v>
      </c>
      <c r="AJ265" s="181" t="s">
        <v>53</v>
      </c>
      <c r="AK265" s="188">
        <v>0.89833250528972897</v>
      </c>
      <c r="AL265" s="171">
        <v>-126.23201859608</v>
      </c>
      <c r="AM265" s="168"/>
      <c r="AN265" s="168"/>
      <c r="AO265" s="176">
        <v>56</v>
      </c>
      <c r="AP265" s="176">
        <v>166</v>
      </c>
      <c r="AQ265" s="167"/>
      <c r="AR265" s="180">
        <v>24.6</v>
      </c>
      <c r="AS265" s="166">
        <v>2.8197179072365</v>
      </c>
      <c r="AT265" s="181" t="s">
        <v>54</v>
      </c>
      <c r="AU265" s="173">
        <v>0.176232369202281</v>
      </c>
      <c r="AV265" s="174">
        <v>-132.85575075456001</v>
      </c>
      <c r="AW265" s="168"/>
      <c r="AX265" s="168"/>
      <c r="AY265" s="176">
        <v>115</v>
      </c>
      <c r="AZ265" s="176">
        <v>143</v>
      </c>
      <c r="BA265" s="167"/>
      <c r="BB265" s="184">
        <v>273</v>
      </c>
      <c r="BC265" s="180">
        <v>31.2919914095758</v>
      </c>
      <c r="BD265" s="181" t="s">
        <v>55</v>
      </c>
      <c r="BE265" s="182">
        <v>0.97787473154924398</v>
      </c>
      <c r="BF265" s="183">
        <v>-41.9115015091201</v>
      </c>
      <c r="BG265" s="168">
        <v>4.0000000000000001E-3</v>
      </c>
      <c r="BH265" s="168"/>
      <c r="BI265" s="176">
        <v>7</v>
      </c>
      <c r="BJ265" s="176">
        <v>63</v>
      </c>
      <c r="BK265" s="169"/>
      <c r="BL265" s="185">
        <v>0.8</v>
      </c>
      <c r="BM265" s="188">
        <v>0.73</v>
      </c>
      <c r="BN265" s="186"/>
      <c r="BO265" s="187">
        <v>0.95</v>
      </c>
      <c r="BP265" s="178">
        <v>1</v>
      </c>
      <c r="BQ265" s="186">
        <v>2.5000000000000001E-3</v>
      </c>
    </row>
    <row r="266" spans="1:69" s="156" customFormat="1" ht="22.35" customHeight="1" x14ac:dyDescent="0.2">
      <c r="A266" s="165" t="s">
        <v>275</v>
      </c>
      <c r="B266" s="165" t="s">
        <v>318</v>
      </c>
      <c r="C266" s="165" t="s">
        <v>335</v>
      </c>
      <c r="D266" s="166">
        <v>1.9537440934444401</v>
      </c>
      <c r="E266" s="167"/>
      <c r="F266" s="168">
        <v>0.08</v>
      </c>
      <c r="G266" s="168">
        <v>0.08</v>
      </c>
      <c r="H266" s="169"/>
      <c r="I266" s="170">
        <v>7</v>
      </c>
      <c r="J266" s="170">
        <v>7</v>
      </c>
      <c r="K266" s="167"/>
      <c r="L266" s="171">
        <v>1543.88888</v>
      </c>
      <c r="M266" s="171">
        <v>3158.0844299999999</v>
      </c>
      <c r="N266" s="171">
        <v>4701.9733100000003</v>
      </c>
      <c r="O266" s="166">
        <v>2406.64748560311</v>
      </c>
      <c r="P266" s="172">
        <v>242.66300000000001</v>
      </c>
      <c r="Q266" s="178">
        <v>9.9176532293885291</v>
      </c>
      <c r="R266" s="179">
        <v>4167.1869274752098</v>
      </c>
      <c r="S266" s="168">
        <v>0.01</v>
      </c>
      <c r="T266" s="168">
        <v>0.01</v>
      </c>
      <c r="U266" s="175">
        <v>0</v>
      </c>
      <c r="V266" s="176">
        <v>0</v>
      </c>
      <c r="W266" s="167"/>
      <c r="X266" s="175">
        <v>1774.436095</v>
      </c>
      <c r="Y266" s="166">
        <v>908.223395762991</v>
      </c>
      <c r="Z266" s="177">
        <v>573</v>
      </c>
      <c r="AA266" s="178">
        <v>1.5850321042984099</v>
      </c>
      <c r="AB266" s="179">
        <v>511.64532266674701</v>
      </c>
      <c r="AC266" s="168">
        <v>0.02</v>
      </c>
      <c r="AD266" s="168">
        <v>0.02</v>
      </c>
      <c r="AE266" s="176">
        <v>0</v>
      </c>
      <c r="AF266" s="176">
        <v>0</v>
      </c>
      <c r="AG266" s="167"/>
      <c r="AH266" s="180">
        <v>163.5</v>
      </c>
      <c r="AI266" s="166">
        <v>83.685473726372194</v>
      </c>
      <c r="AJ266" s="181" t="s">
        <v>53</v>
      </c>
      <c r="AK266" s="178">
        <v>1.3283408527995599</v>
      </c>
      <c r="AL266" s="179">
        <v>24.659129743464302</v>
      </c>
      <c r="AM266" s="168">
        <v>0.02</v>
      </c>
      <c r="AN266" s="168">
        <v>0.02</v>
      </c>
      <c r="AO266" s="176">
        <v>0</v>
      </c>
      <c r="AP266" s="176">
        <v>0</v>
      </c>
      <c r="AQ266" s="167"/>
      <c r="AR266" s="180">
        <v>43.7</v>
      </c>
      <c r="AS266" s="166">
        <v>22.367310103011999</v>
      </c>
      <c r="AT266" s="181" t="s">
        <v>54</v>
      </c>
      <c r="AU266" s="178">
        <v>1.3979568814382499</v>
      </c>
      <c r="AV266" s="179">
        <v>8.4388266015147497</v>
      </c>
      <c r="AW266" s="168">
        <v>0.01</v>
      </c>
      <c r="AX266" s="168">
        <v>0.01</v>
      </c>
      <c r="AY266" s="176">
        <v>0</v>
      </c>
      <c r="AZ266" s="176">
        <v>0</v>
      </c>
      <c r="BA266" s="167"/>
      <c r="BB266" s="184">
        <v>102.8</v>
      </c>
      <c r="BC266" s="180">
        <v>52.616921706856701</v>
      </c>
      <c r="BD266" s="181" t="s">
        <v>55</v>
      </c>
      <c r="BE266" s="178">
        <v>1.6442788033392699</v>
      </c>
      <c r="BF266" s="179">
        <v>32.277653203029502</v>
      </c>
      <c r="BG266" s="168">
        <v>0.02</v>
      </c>
      <c r="BH266" s="168">
        <v>0.02</v>
      </c>
      <c r="BI266" s="176">
        <v>0</v>
      </c>
      <c r="BJ266" s="176">
        <v>0</v>
      </c>
      <c r="BK266" s="169"/>
      <c r="BL266" s="185">
        <v>0.8</v>
      </c>
      <c r="BM266" s="182">
        <v>0.87</v>
      </c>
      <c r="BN266" s="186">
        <v>2.6250000000000002E-3</v>
      </c>
      <c r="BO266" s="187">
        <v>0.95</v>
      </c>
      <c r="BP266" s="178">
        <v>1</v>
      </c>
      <c r="BQ266" s="186">
        <v>2.5000000000000001E-3</v>
      </c>
    </row>
    <row r="267" spans="1:69" s="156" customFormat="1" ht="22.35" customHeight="1" x14ac:dyDescent="0.2">
      <c r="A267" s="165" t="s">
        <v>275</v>
      </c>
      <c r="B267" s="165" t="s">
        <v>318</v>
      </c>
      <c r="C267" s="165" t="s">
        <v>336</v>
      </c>
      <c r="D267" s="166">
        <v>1.6595588506666701</v>
      </c>
      <c r="E267" s="167"/>
      <c r="F267" s="168"/>
      <c r="G267" s="168"/>
      <c r="H267" s="169"/>
      <c r="I267" s="170">
        <v>1</v>
      </c>
      <c r="J267" s="170">
        <v>1</v>
      </c>
      <c r="K267" s="167"/>
      <c r="L267" s="171"/>
      <c r="M267" s="171">
        <v>149.07517000000001</v>
      </c>
      <c r="N267" s="171">
        <v>149.07517000000001</v>
      </c>
      <c r="O267" s="166">
        <v>89.828191353451899</v>
      </c>
      <c r="P267" s="172">
        <v>287.5</v>
      </c>
      <c r="Q267" s="173">
        <v>0.31244588296852799</v>
      </c>
      <c r="R267" s="174">
        <v>-389.119765271201</v>
      </c>
      <c r="S267" s="168"/>
      <c r="T267" s="168"/>
      <c r="U267" s="175">
        <v>329</v>
      </c>
      <c r="V267" s="176">
        <v>424</v>
      </c>
      <c r="W267" s="167"/>
      <c r="X267" s="175">
        <v>186.24148</v>
      </c>
      <c r="Y267" s="166">
        <v>112.223486335049</v>
      </c>
      <c r="Z267" s="177">
        <v>573</v>
      </c>
      <c r="AA267" s="173">
        <v>0.19585250669293</v>
      </c>
      <c r="AB267" s="174">
        <v>-886.40442577529802</v>
      </c>
      <c r="AC267" s="168"/>
      <c r="AD267" s="168"/>
      <c r="AE267" s="176">
        <v>765</v>
      </c>
      <c r="AF267" s="176">
        <v>955</v>
      </c>
      <c r="AG267" s="167"/>
      <c r="AH267" s="180">
        <v>13.8</v>
      </c>
      <c r="AI267" s="166">
        <v>8.3154628680123999</v>
      </c>
      <c r="AJ267" s="181" t="s">
        <v>53</v>
      </c>
      <c r="AK267" s="173">
        <v>0.13199147409543499</v>
      </c>
      <c r="AL267" s="174">
        <v>-104.13489016377601</v>
      </c>
      <c r="AM267" s="168"/>
      <c r="AN267" s="168"/>
      <c r="AO267" s="176">
        <v>91</v>
      </c>
      <c r="AP267" s="176">
        <v>112</v>
      </c>
      <c r="AQ267" s="167"/>
      <c r="AR267" s="180"/>
      <c r="AS267" s="166" t="s">
        <v>145</v>
      </c>
      <c r="AT267" s="181" t="s">
        <v>54</v>
      </c>
      <c r="AU267" s="173"/>
      <c r="AV267" s="174"/>
      <c r="AW267" s="168"/>
      <c r="AX267" s="168"/>
      <c r="AY267" s="176">
        <v>27</v>
      </c>
      <c r="AZ267" s="176">
        <v>32</v>
      </c>
      <c r="BA267" s="167"/>
      <c r="BB267" s="184">
        <v>1</v>
      </c>
      <c r="BC267" s="180">
        <v>0.60256977304437698</v>
      </c>
      <c r="BD267" s="181" t="s">
        <v>55</v>
      </c>
      <c r="BE267" s="173">
        <v>1.8830305407636801E-2</v>
      </c>
      <c r="BF267" s="174">
        <v>-58.903436273664099</v>
      </c>
      <c r="BG267" s="168"/>
      <c r="BH267" s="168"/>
      <c r="BI267" s="176">
        <v>53</v>
      </c>
      <c r="BJ267" s="176">
        <v>63</v>
      </c>
      <c r="BK267" s="169"/>
      <c r="BL267" s="185">
        <v>0.8</v>
      </c>
      <c r="BM267" s="173"/>
      <c r="BN267" s="186"/>
      <c r="BO267" s="187">
        <v>0.95</v>
      </c>
      <c r="BP267" s="178">
        <v>1</v>
      </c>
      <c r="BQ267" s="186">
        <v>2.5000000000000001E-3</v>
      </c>
    </row>
    <row r="268" spans="1:69" s="156" customFormat="1" ht="22.35" customHeight="1" x14ac:dyDescent="0.2">
      <c r="A268" s="165" t="s">
        <v>275</v>
      </c>
      <c r="B268" s="165" t="s">
        <v>318</v>
      </c>
      <c r="C268" s="165" t="s">
        <v>337</v>
      </c>
      <c r="D268" s="166">
        <v>1.9110045248888901</v>
      </c>
      <c r="E268" s="167"/>
      <c r="F268" s="168">
        <v>7.5499999999999998E-2</v>
      </c>
      <c r="G268" s="168">
        <v>7.1999999999999995E-2</v>
      </c>
      <c r="H268" s="169"/>
      <c r="I268" s="170">
        <v>6</v>
      </c>
      <c r="J268" s="170">
        <v>6</v>
      </c>
      <c r="K268" s="167"/>
      <c r="L268" s="171">
        <v>992.47204999999997</v>
      </c>
      <c r="M268" s="171">
        <v>1272.49791</v>
      </c>
      <c r="N268" s="171">
        <v>2264.9699599999999</v>
      </c>
      <c r="O268" s="166">
        <v>1185.2248021922901</v>
      </c>
      <c r="P268" s="172">
        <v>245.202</v>
      </c>
      <c r="Q268" s="178">
        <v>4.8336669447732499</v>
      </c>
      <c r="R268" s="179">
        <v>1736.4093156546801</v>
      </c>
      <c r="S268" s="168">
        <v>0.01</v>
      </c>
      <c r="T268" s="168">
        <v>0.01</v>
      </c>
      <c r="U268" s="175">
        <v>0</v>
      </c>
      <c r="V268" s="176">
        <v>0</v>
      </c>
      <c r="W268" s="167"/>
      <c r="X268" s="175">
        <v>1389.3376450000001</v>
      </c>
      <c r="Y268" s="166">
        <v>727.01954752345796</v>
      </c>
      <c r="Z268" s="177">
        <v>573</v>
      </c>
      <c r="AA268" s="178">
        <v>1.2687950218559501</v>
      </c>
      <c r="AB268" s="179">
        <v>154.17133636521501</v>
      </c>
      <c r="AC268" s="168">
        <v>0.02</v>
      </c>
      <c r="AD268" s="168">
        <v>0.02</v>
      </c>
      <c r="AE268" s="176">
        <v>0</v>
      </c>
      <c r="AF268" s="176">
        <v>0</v>
      </c>
      <c r="AG268" s="167"/>
      <c r="AH268" s="180">
        <v>165.2</v>
      </c>
      <c r="AI268" s="166">
        <v>86.446681757388902</v>
      </c>
      <c r="AJ268" s="181" t="s">
        <v>53</v>
      </c>
      <c r="AK268" s="178">
        <v>1.37216955170459</v>
      </c>
      <c r="AL268" s="179">
        <v>29.396374443295901</v>
      </c>
      <c r="AM268" s="168">
        <v>0.02</v>
      </c>
      <c r="AN268" s="168">
        <v>0.02</v>
      </c>
      <c r="AO268" s="176">
        <v>0</v>
      </c>
      <c r="AP268" s="176">
        <v>0</v>
      </c>
      <c r="AQ268" s="167"/>
      <c r="AR268" s="180">
        <v>31.8</v>
      </c>
      <c r="AS268" s="166">
        <v>16.640462953298801</v>
      </c>
      <c r="AT268" s="181" t="s">
        <v>54</v>
      </c>
      <c r="AU268" s="182">
        <v>1.04002893458118</v>
      </c>
      <c r="AV268" s="183">
        <v>-2.6898096651946801</v>
      </c>
      <c r="AW268" s="168">
        <v>5.4999999999999997E-3</v>
      </c>
      <c r="AX268" s="168">
        <v>2E-3</v>
      </c>
      <c r="AY268" s="176">
        <v>0</v>
      </c>
      <c r="AZ268" s="176">
        <v>5</v>
      </c>
      <c r="BA268" s="167"/>
      <c r="BB268" s="184">
        <v>130</v>
      </c>
      <c r="BC268" s="180">
        <v>68.027049809083294</v>
      </c>
      <c r="BD268" s="181" t="s">
        <v>55</v>
      </c>
      <c r="BE268" s="178">
        <v>2.1258453065338498</v>
      </c>
      <c r="BF268" s="179">
        <v>61.020380669610603</v>
      </c>
      <c r="BG268" s="168">
        <v>0.02</v>
      </c>
      <c r="BH268" s="168">
        <v>0.02</v>
      </c>
      <c r="BI268" s="176">
        <v>0</v>
      </c>
      <c r="BJ268" s="176">
        <v>0</v>
      </c>
      <c r="BK268" s="169"/>
      <c r="BL268" s="185">
        <v>0.8</v>
      </c>
      <c r="BM268" s="188">
        <v>0.76</v>
      </c>
      <c r="BN268" s="186"/>
      <c r="BO268" s="187">
        <v>0.95</v>
      </c>
      <c r="BP268" s="178">
        <v>1</v>
      </c>
      <c r="BQ268" s="186">
        <v>2.5000000000000001E-3</v>
      </c>
    </row>
    <row r="269" spans="1:69" s="156" customFormat="1" ht="22.35" customHeight="1" x14ac:dyDescent="0.2">
      <c r="A269" s="165" t="s">
        <v>275</v>
      </c>
      <c r="B269" s="165" t="s">
        <v>318</v>
      </c>
      <c r="C269" s="165" t="s">
        <v>338</v>
      </c>
      <c r="D269" s="166">
        <v>4.3293466174444397</v>
      </c>
      <c r="E269" s="167"/>
      <c r="F269" s="168">
        <v>2.9000000000000001E-2</v>
      </c>
      <c r="G269" s="168">
        <v>0.02</v>
      </c>
      <c r="H269" s="169"/>
      <c r="I269" s="170">
        <v>4</v>
      </c>
      <c r="J269" s="170">
        <v>3</v>
      </c>
      <c r="K269" s="167"/>
      <c r="L269" s="171">
        <v>2153.5802699999999</v>
      </c>
      <c r="M269" s="171">
        <v>1290.9561000000001</v>
      </c>
      <c r="N269" s="171">
        <v>3444.5363699999998</v>
      </c>
      <c r="O269" s="166">
        <v>795.62499249211498</v>
      </c>
      <c r="P269" s="172">
        <v>287.5</v>
      </c>
      <c r="Q269" s="178">
        <v>2.7673912782334402</v>
      </c>
      <c r="R269" s="179">
        <v>2040.5292619627701</v>
      </c>
      <c r="S269" s="168">
        <v>0.01</v>
      </c>
      <c r="T269" s="168">
        <v>0.01</v>
      </c>
      <c r="U269" s="175">
        <v>0</v>
      </c>
      <c r="V269" s="176">
        <v>0</v>
      </c>
      <c r="W269" s="167"/>
      <c r="X269" s="175">
        <v>2368.7400349999998</v>
      </c>
      <c r="Y269" s="166">
        <v>547.13568681600202</v>
      </c>
      <c r="Z269" s="177">
        <v>573</v>
      </c>
      <c r="AA269" s="182">
        <v>0.95486158257591902</v>
      </c>
      <c r="AB269" s="183">
        <v>-429.50717510550902</v>
      </c>
      <c r="AC269" s="168">
        <v>2E-3</v>
      </c>
      <c r="AD269" s="168"/>
      <c r="AE269" s="176">
        <v>112</v>
      </c>
      <c r="AF269" s="176">
        <v>609</v>
      </c>
      <c r="AG269" s="167"/>
      <c r="AH269" s="180">
        <v>207.3</v>
      </c>
      <c r="AI269" s="166">
        <v>47.882513995233403</v>
      </c>
      <c r="AJ269" s="181" t="s">
        <v>53</v>
      </c>
      <c r="AK269" s="188">
        <v>0.76003990468624405</v>
      </c>
      <c r="AL269" s="171">
        <v>-100.360688022072</v>
      </c>
      <c r="AM269" s="168"/>
      <c r="AN269" s="168"/>
      <c r="AO269" s="176">
        <v>66</v>
      </c>
      <c r="AP269" s="176">
        <v>120</v>
      </c>
      <c r="AQ269" s="167"/>
      <c r="AR269" s="180">
        <v>30.6</v>
      </c>
      <c r="AS269" s="166">
        <v>7.0680411396726601</v>
      </c>
      <c r="AT269" s="181" t="s">
        <v>54</v>
      </c>
      <c r="AU269" s="173">
        <v>0.44175257122954098</v>
      </c>
      <c r="AV269" s="174">
        <v>-47.536047751637199</v>
      </c>
      <c r="AW269" s="168"/>
      <c r="AX269" s="168"/>
      <c r="AY269" s="176">
        <v>39</v>
      </c>
      <c r="AZ269" s="176">
        <v>53</v>
      </c>
      <c r="BA269" s="167"/>
      <c r="BB269" s="184">
        <v>152.80000000000001</v>
      </c>
      <c r="BC269" s="180">
        <v>35.294009351045197</v>
      </c>
      <c r="BD269" s="181" t="s">
        <v>55</v>
      </c>
      <c r="BE269" s="182">
        <v>1.10293779222016</v>
      </c>
      <c r="BF269" s="183">
        <v>-3.47209550327449</v>
      </c>
      <c r="BG269" s="168">
        <v>1.7000000000000001E-2</v>
      </c>
      <c r="BH269" s="168">
        <v>0.01</v>
      </c>
      <c r="BI269" s="176">
        <v>0</v>
      </c>
      <c r="BJ269" s="176">
        <v>14</v>
      </c>
      <c r="BK269" s="169"/>
      <c r="BL269" s="185">
        <v>0.8</v>
      </c>
      <c r="BM269" s="188">
        <v>0.79</v>
      </c>
      <c r="BN269" s="186"/>
      <c r="BO269" s="187">
        <v>0.95</v>
      </c>
      <c r="BP269" s="178">
        <v>1</v>
      </c>
      <c r="BQ269" s="186">
        <v>2.5000000000000001E-3</v>
      </c>
    </row>
    <row r="270" spans="1:69" s="156" customFormat="1" ht="22.35" customHeight="1" x14ac:dyDescent="0.2">
      <c r="A270" s="165" t="s">
        <v>339</v>
      </c>
      <c r="B270" s="165" t="s">
        <v>340</v>
      </c>
      <c r="C270" s="165" t="s">
        <v>341</v>
      </c>
      <c r="D270" s="166">
        <v>3.4371100664444398</v>
      </c>
      <c r="E270" s="167"/>
      <c r="F270" s="168">
        <v>0.01</v>
      </c>
      <c r="G270" s="168">
        <v>0.01</v>
      </c>
      <c r="H270" s="169"/>
      <c r="I270" s="170">
        <v>3</v>
      </c>
      <c r="J270" s="170">
        <v>3</v>
      </c>
      <c r="K270" s="167"/>
      <c r="L270" s="171">
        <v>1867.4073800000001</v>
      </c>
      <c r="M270" s="171">
        <v>2930.0870199999999</v>
      </c>
      <c r="N270" s="171">
        <v>4797.4943999999996</v>
      </c>
      <c r="O270" s="166">
        <v>1395.7930666336899</v>
      </c>
      <c r="P270" s="172">
        <v>242.35900000000001</v>
      </c>
      <c r="Q270" s="178">
        <v>5.7591963435799398</v>
      </c>
      <c r="R270" s="179">
        <v>3857.85397790664</v>
      </c>
      <c r="S270" s="168">
        <v>0.01</v>
      </c>
      <c r="T270" s="168">
        <v>0.01</v>
      </c>
      <c r="U270" s="175">
        <v>0</v>
      </c>
      <c r="V270" s="176">
        <v>0</v>
      </c>
      <c r="W270" s="167"/>
      <c r="X270" s="175">
        <v>1372.33096</v>
      </c>
      <c r="Y270" s="166">
        <v>399.26884314752903</v>
      </c>
      <c r="Z270" s="177">
        <v>573</v>
      </c>
      <c r="AA270" s="173">
        <v>0.69680426378277305</v>
      </c>
      <c r="AB270" s="174">
        <v>-849.22450878596499</v>
      </c>
      <c r="AC270" s="168"/>
      <c r="AD270" s="168"/>
      <c r="AE270" s="176">
        <v>598</v>
      </c>
      <c r="AF270" s="176">
        <v>992</v>
      </c>
      <c r="AG270" s="167"/>
      <c r="AH270" s="180">
        <v>126.3</v>
      </c>
      <c r="AI270" s="166">
        <v>36.745986470736597</v>
      </c>
      <c r="AJ270" s="181" t="s">
        <v>53</v>
      </c>
      <c r="AK270" s="173">
        <v>0.58326962651962799</v>
      </c>
      <c r="AL270" s="174">
        <v>-117.954789761808</v>
      </c>
      <c r="AM270" s="168"/>
      <c r="AN270" s="168"/>
      <c r="AO270" s="176">
        <v>91</v>
      </c>
      <c r="AP270" s="176">
        <v>134</v>
      </c>
      <c r="AQ270" s="167"/>
      <c r="AR270" s="180">
        <v>15.8</v>
      </c>
      <c r="AS270" s="166">
        <v>4.5968850850169298</v>
      </c>
      <c r="AT270" s="181" t="s">
        <v>54</v>
      </c>
      <c r="AU270" s="173">
        <v>0.287305317813558</v>
      </c>
      <c r="AV270" s="174">
        <v>-46.232962479189297</v>
      </c>
      <c r="AW270" s="168"/>
      <c r="AX270" s="168"/>
      <c r="AY270" s="176">
        <v>40</v>
      </c>
      <c r="AZ270" s="176">
        <v>51</v>
      </c>
      <c r="BA270" s="167"/>
      <c r="BB270" s="184">
        <v>94.6</v>
      </c>
      <c r="BC270" s="180">
        <v>27.5231220913039</v>
      </c>
      <c r="BD270" s="181" t="s">
        <v>55</v>
      </c>
      <c r="BE270" s="188">
        <v>0.860097565353246</v>
      </c>
      <c r="BF270" s="171">
        <v>-29.465924958378501</v>
      </c>
      <c r="BG270" s="168"/>
      <c r="BH270" s="168"/>
      <c r="BI270" s="176">
        <v>16</v>
      </c>
      <c r="BJ270" s="176">
        <v>38</v>
      </c>
      <c r="BK270" s="169"/>
      <c r="BL270" s="185">
        <v>0.8</v>
      </c>
      <c r="BM270" s="182">
        <v>0.83</v>
      </c>
      <c r="BN270" s="186">
        <v>1.1249999999999999E-3</v>
      </c>
      <c r="BO270" s="187">
        <v>0.95</v>
      </c>
      <c r="BP270" s="178">
        <v>1</v>
      </c>
      <c r="BQ270" s="186">
        <v>2.5000000000000001E-3</v>
      </c>
    </row>
    <row r="271" spans="1:69" s="156" customFormat="1" ht="22.35" customHeight="1" x14ac:dyDescent="0.2">
      <c r="A271" s="165" t="s">
        <v>339</v>
      </c>
      <c r="B271" s="165" t="s">
        <v>340</v>
      </c>
      <c r="C271" s="165" t="s">
        <v>342</v>
      </c>
      <c r="D271" s="166">
        <v>2.6865209235555598</v>
      </c>
      <c r="E271" s="167"/>
      <c r="F271" s="168">
        <v>4.8000000000000001E-2</v>
      </c>
      <c r="G271" s="168">
        <v>3.9E-2</v>
      </c>
      <c r="H271" s="169"/>
      <c r="I271" s="170">
        <v>4</v>
      </c>
      <c r="J271" s="170">
        <v>4</v>
      </c>
      <c r="K271" s="167"/>
      <c r="L271" s="171">
        <v>1274.1777500000001</v>
      </c>
      <c r="M271" s="171">
        <v>87.165610000000001</v>
      </c>
      <c r="N271" s="171">
        <v>1361.3433600000001</v>
      </c>
      <c r="O271" s="166">
        <v>506.73097241256198</v>
      </c>
      <c r="P271" s="172">
        <v>212.5</v>
      </c>
      <c r="Q271" s="178">
        <v>2.3846163407650001</v>
      </c>
      <c r="R271" s="179">
        <v>717.38429462373199</v>
      </c>
      <c r="S271" s="168">
        <v>0.01</v>
      </c>
      <c r="T271" s="168">
        <v>0.01</v>
      </c>
      <c r="U271" s="175">
        <v>0</v>
      </c>
      <c r="V271" s="176">
        <v>0</v>
      </c>
      <c r="W271" s="167"/>
      <c r="X271" s="175">
        <v>1817.3880799999999</v>
      </c>
      <c r="Y271" s="166">
        <v>676.483873274556</v>
      </c>
      <c r="Z271" s="177">
        <v>573</v>
      </c>
      <c r="AA271" s="178">
        <v>1.1806001278788101</v>
      </c>
      <c r="AB271" s="179">
        <v>80.971400185405201</v>
      </c>
      <c r="AC271" s="168">
        <v>0.02</v>
      </c>
      <c r="AD271" s="168">
        <v>1.7999999999999999E-2</v>
      </c>
      <c r="AE271" s="176">
        <v>0</v>
      </c>
      <c r="AF271" s="176">
        <v>30</v>
      </c>
      <c r="AG271" s="167"/>
      <c r="AH271" s="180">
        <v>154.4</v>
      </c>
      <c r="AI271" s="166">
        <v>57.472100308697698</v>
      </c>
      <c r="AJ271" s="181" t="s">
        <v>53</v>
      </c>
      <c r="AK271" s="188">
        <v>0.91225556045551903</v>
      </c>
      <c r="AL271" s="171">
        <v>-36.514922911552297</v>
      </c>
      <c r="AM271" s="168"/>
      <c r="AN271" s="168"/>
      <c r="AO271" s="176">
        <v>15</v>
      </c>
      <c r="AP271" s="176">
        <v>49</v>
      </c>
      <c r="AQ271" s="167"/>
      <c r="AR271" s="180">
        <v>15</v>
      </c>
      <c r="AS271" s="166">
        <v>5.58342943413514</v>
      </c>
      <c r="AT271" s="181" t="s">
        <v>54</v>
      </c>
      <c r="AU271" s="173">
        <v>0.34896433963344597</v>
      </c>
      <c r="AV271" s="174">
        <v>-33.486329628330701</v>
      </c>
      <c r="AW271" s="168"/>
      <c r="AX271" s="168"/>
      <c r="AY271" s="176">
        <v>28</v>
      </c>
      <c r="AZ271" s="176">
        <v>37</v>
      </c>
      <c r="BA271" s="167"/>
      <c r="BB271" s="184">
        <v>95.4</v>
      </c>
      <c r="BC271" s="180">
        <v>35.510611201099501</v>
      </c>
      <c r="BD271" s="181" t="s">
        <v>55</v>
      </c>
      <c r="BE271" s="182">
        <v>1.1097066000343601</v>
      </c>
      <c r="BF271" s="183">
        <v>-1.5726592566615001</v>
      </c>
      <c r="BG271" s="168">
        <v>1.7999999999999999E-2</v>
      </c>
      <c r="BH271" s="168">
        <v>1.0999999999999999E-2</v>
      </c>
      <c r="BI271" s="176">
        <v>0</v>
      </c>
      <c r="BJ271" s="176">
        <v>8</v>
      </c>
      <c r="BK271" s="169"/>
      <c r="BL271" s="185">
        <v>0.8</v>
      </c>
      <c r="BM271" s="188">
        <v>0.75</v>
      </c>
      <c r="BN271" s="186"/>
      <c r="BO271" s="187">
        <v>0.95</v>
      </c>
      <c r="BP271" s="178">
        <v>1</v>
      </c>
      <c r="BQ271" s="186">
        <v>2.5000000000000001E-3</v>
      </c>
    </row>
    <row r="272" spans="1:69" s="156" customFormat="1" ht="22.35" customHeight="1" x14ac:dyDescent="0.2">
      <c r="A272" s="165" t="s">
        <v>339</v>
      </c>
      <c r="B272" s="165" t="s">
        <v>340</v>
      </c>
      <c r="C272" s="165" t="s">
        <v>343</v>
      </c>
      <c r="D272" s="166">
        <v>1</v>
      </c>
      <c r="E272" s="167"/>
      <c r="F272" s="168">
        <v>0.03</v>
      </c>
      <c r="G272" s="168">
        <v>0.03</v>
      </c>
      <c r="H272" s="169"/>
      <c r="I272" s="170">
        <v>4</v>
      </c>
      <c r="J272" s="170">
        <v>4</v>
      </c>
      <c r="K272" s="167"/>
      <c r="L272" s="171">
        <v>578.85206000000005</v>
      </c>
      <c r="M272" s="171">
        <v>238.79571999999999</v>
      </c>
      <c r="N272" s="171">
        <v>817.64778000000001</v>
      </c>
      <c r="O272" s="166">
        <v>817.64778000000001</v>
      </c>
      <c r="P272" s="172">
        <v>212.5</v>
      </c>
      <c r="Q272" s="178">
        <v>3.8477542588235298</v>
      </c>
      <c r="R272" s="179">
        <v>577.94777999999997</v>
      </c>
      <c r="S272" s="168">
        <v>0.01</v>
      </c>
      <c r="T272" s="168">
        <v>0.01</v>
      </c>
      <c r="U272" s="175">
        <v>0</v>
      </c>
      <c r="V272" s="176">
        <v>0</v>
      </c>
      <c r="W272" s="167"/>
      <c r="X272" s="175">
        <v>350.20750500000003</v>
      </c>
      <c r="Y272" s="166">
        <v>350.20750500000003</v>
      </c>
      <c r="Z272" s="177">
        <v>573</v>
      </c>
      <c r="AA272" s="173">
        <v>0.61118238219895304</v>
      </c>
      <c r="AB272" s="174">
        <v>-296.13649500000002</v>
      </c>
      <c r="AC272" s="168"/>
      <c r="AD272" s="168"/>
      <c r="AE272" s="176">
        <v>223</v>
      </c>
      <c r="AF272" s="176">
        <v>338</v>
      </c>
      <c r="AG272" s="167"/>
      <c r="AH272" s="180">
        <v>51.7</v>
      </c>
      <c r="AI272" s="166">
        <v>51.7</v>
      </c>
      <c r="AJ272" s="181" t="s">
        <v>53</v>
      </c>
      <c r="AK272" s="188">
        <v>0.82063492063492105</v>
      </c>
      <c r="AL272" s="171">
        <v>-19.364000000000001</v>
      </c>
      <c r="AM272" s="168"/>
      <c r="AN272" s="168"/>
      <c r="AO272" s="176">
        <v>12</v>
      </c>
      <c r="AP272" s="176">
        <v>24</v>
      </c>
      <c r="AQ272" s="167"/>
      <c r="AR272" s="180">
        <v>1</v>
      </c>
      <c r="AS272" s="166">
        <v>1</v>
      </c>
      <c r="AT272" s="181" t="s">
        <v>54</v>
      </c>
      <c r="AU272" s="173">
        <v>6.25E-2</v>
      </c>
      <c r="AV272" s="174">
        <v>-17.047999999999998</v>
      </c>
      <c r="AW272" s="168"/>
      <c r="AX272" s="168"/>
      <c r="AY272" s="176">
        <v>15</v>
      </c>
      <c r="AZ272" s="176">
        <v>19</v>
      </c>
      <c r="BA272" s="167"/>
      <c r="BB272" s="184">
        <v>48.2</v>
      </c>
      <c r="BC272" s="180">
        <v>48.2</v>
      </c>
      <c r="BD272" s="181" t="s">
        <v>55</v>
      </c>
      <c r="BE272" s="178">
        <v>1.5062500000000001</v>
      </c>
      <c r="BF272" s="179">
        <v>12.103999999999999</v>
      </c>
      <c r="BG272" s="168">
        <v>0.02</v>
      </c>
      <c r="BH272" s="168">
        <v>0.02</v>
      </c>
      <c r="BI272" s="176">
        <v>0</v>
      </c>
      <c r="BJ272" s="176">
        <v>0</v>
      </c>
      <c r="BK272" s="169"/>
      <c r="BL272" s="185">
        <v>0.8</v>
      </c>
      <c r="BM272" s="182">
        <v>0.85</v>
      </c>
      <c r="BN272" s="186">
        <v>1.8749999999999999E-3</v>
      </c>
      <c r="BO272" s="187">
        <v>0.95</v>
      </c>
      <c r="BP272" s="178">
        <v>1</v>
      </c>
      <c r="BQ272" s="186">
        <v>2.5000000000000001E-3</v>
      </c>
    </row>
    <row r="273" spans="1:69" s="156" customFormat="1" ht="22.35" customHeight="1" x14ac:dyDescent="0.2">
      <c r="A273" s="165" t="s">
        <v>339</v>
      </c>
      <c r="B273" s="165" t="s">
        <v>340</v>
      </c>
      <c r="C273" s="165" t="s">
        <v>344</v>
      </c>
      <c r="D273" s="166">
        <v>2.6251377059999998</v>
      </c>
      <c r="E273" s="167"/>
      <c r="F273" s="168"/>
      <c r="G273" s="168"/>
      <c r="H273" s="169"/>
      <c r="I273" s="170">
        <v>2</v>
      </c>
      <c r="J273" s="170">
        <v>2</v>
      </c>
      <c r="K273" s="167"/>
      <c r="L273" s="171">
        <v>867.99607000000003</v>
      </c>
      <c r="M273" s="171">
        <v>-829.76423</v>
      </c>
      <c r="N273" s="171">
        <v>38.231839999999998</v>
      </c>
      <c r="O273" s="166">
        <v>14.5637464703728</v>
      </c>
      <c r="P273" s="172">
        <v>212.5</v>
      </c>
      <c r="Q273" s="173">
        <v>6.8535277507636702E-2</v>
      </c>
      <c r="R273" s="174">
        <v>-591.01366812820004</v>
      </c>
      <c r="S273" s="168"/>
      <c r="T273" s="168"/>
      <c r="U273" s="175">
        <v>520</v>
      </c>
      <c r="V273" s="176">
        <v>632</v>
      </c>
      <c r="W273" s="167"/>
      <c r="X273" s="175">
        <v>1368.96459</v>
      </c>
      <c r="Y273" s="166">
        <v>521.48296330173503</v>
      </c>
      <c r="Z273" s="177">
        <v>573</v>
      </c>
      <c r="AA273" s="188">
        <v>0.91009243159116104</v>
      </c>
      <c r="AB273" s="171">
        <v>-327.77741544686398</v>
      </c>
      <c r="AC273" s="168"/>
      <c r="AD273" s="168"/>
      <c r="AE273" s="176">
        <v>136</v>
      </c>
      <c r="AF273" s="176">
        <v>437</v>
      </c>
      <c r="AG273" s="167"/>
      <c r="AH273" s="180">
        <v>79.2</v>
      </c>
      <c r="AI273" s="166">
        <v>30.169845878553701</v>
      </c>
      <c r="AJ273" s="181" t="s">
        <v>53</v>
      </c>
      <c r="AK273" s="173">
        <v>0.47888644251672502</v>
      </c>
      <c r="AL273" s="174">
        <v>-107.352785939184</v>
      </c>
      <c r="AM273" s="168"/>
      <c r="AN273" s="168"/>
      <c r="AO273" s="176">
        <v>87</v>
      </c>
      <c r="AP273" s="176">
        <v>120</v>
      </c>
      <c r="AQ273" s="167"/>
      <c r="AR273" s="180">
        <v>6</v>
      </c>
      <c r="AS273" s="166">
        <v>2.28559438473892</v>
      </c>
      <c r="AT273" s="181" t="s">
        <v>54</v>
      </c>
      <c r="AU273" s="173">
        <v>0.142849649046182</v>
      </c>
      <c r="AV273" s="174">
        <v>-41.378485317888</v>
      </c>
      <c r="AW273" s="168"/>
      <c r="AX273" s="168"/>
      <c r="AY273" s="176">
        <v>37</v>
      </c>
      <c r="AZ273" s="176">
        <v>45</v>
      </c>
      <c r="BA273" s="167"/>
      <c r="BB273" s="184">
        <v>43.6</v>
      </c>
      <c r="BC273" s="180">
        <v>16.608652529102802</v>
      </c>
      <c r="BD273" s="181" t="s">
        <v>55</v>
      </c>
      <c r="BE273" s="173">
        <v>0.519020391534462</v>
      </c>
      <c r="BF273" s="174">
        <v>-51.156970635775998</v>
      </c>
      <c r="BG273" s="168"/>
      <c r="BH273" s="168"/>
      <c r="BI273" s="176">
        <v>41</v>
      </c>
      <c r="BJ273" s="176">
        <v>58</v>
      </c>
      <c r="BK273" s="169"/>
      <c r="BL273" s="185">
        <v>0.8</v>
      </c>
      <c r="BM273" s="182">
        <v>0.82</v>
      </c>
      <c r="BN273" s="186">
        <v>7.5000000000000002E-4</v>
      </c>
      <c r="BO273" s="187">
        <v>0.95</v>
      </c>
      <c r="BP273" s="178">
        <v>1</v>
      </c>
      <c r="BQ273" s="186">
        <v>2.5000000000000001E-3</v>
      </c>
    </row>
    <row r="274" spans="1:69" s="156" customFormat="1" ht="22.35" customHeight="1" x14ac:dyDescent="0.2">
      <c r="A274" s="165" t="s">
        <v>339</v>
      </c>
      <c r="B274" s="165" t="s">
        <v>340</v>
      </c>
      <c r="C274" s="165" t="s">
        <v>345</v>
      </c>
      <c r="D274" s="166">
        <v>4.5014537384444404</v>
      </c>
      <c r="E274" s="167"/>
      <c r="F274" s="168">
        <v>0.01</v>
      </c>
      <c r="G274" s="168">
        <v>0.01</v>
      </c>
      <c r="H274" s="169"/>
      <c r="I274" s="170">
        <v>3</v>
      </c>
      <c r="J274" s="170">
        <v>3</v>
      </c>
      <c r="K274" s="167"/>
      <c r="L274" s="171">
        <v>3120.8884400000002</v>
      </c>
      <c r="M274" s="171">
        <v>-105.4413</v>
      </c>
      <c r="N274" s="171">
        <v>3015.4471400000002</v>
      </c>
      <c r="O274" s="166">
        <v>669.88295675388599</v>
      </c>
      <c r="P274" s="172">
        <v>218.52799999999999</v>
      </c>
      <c r="Q274" s="178">
        <v>3.0654330646593899</v>
      </c>
      <c r="R274" s="179">
        <v>1905.8406660782</v>
      </c>
      <c r="S274" s="168">
        <v>0.01</v>
      </c>
      <c r="T274" s="168">
        <v>0.01</v>
      </c>
      <c r="U274" s="175">
        <v>0</v>
      </c>
      <c r="V274" s="176">
        <v>0</v>
      </c>
      <c r="W274" s="167"/>
      <c r="X274" s="175">
        <v>2339.8141599999999</v>
      </c>
      <c r="Y274" s="166">
        <v>519.79078225705905</v>
      </c>
      <c r="Z274" s="177">
        <v>573</v>
      </c>
      <c r="AA274" s="188">
        <v>0.907139236050714</v>
      </c>
      <c r="AB274" s="171">
        <v>-569.67345512113297</v>
      </c>
      <c r="AC274" s="168"/>
      <c r="AD274" s="168"/>
      <c r="AE274" s="176">
        <v>240</v>
      </c>
      <c r="AF274" s="176">
        <v>756</v>
      </c>
      <c r="AG274" s="167"/>
      <c r="AH274" s="180">
        <v>170.4</v>
      </c>
      <c r="AI274" s="166">
        <v>37.854437677478998</v>
      </c>
      <c r="AJ274" s="181" t="s">
        <v>53</v>
      </c>
      <c r="AK274" s="173">
        <v>0.600864090118714</v>
      </c>
      <c r="AL274" s="174">
        <v>-149.49130846881599</v>
      </c>
      <c r="AM274" s="168"/>
      <c r="AN274" s="168"/>
      <c r="AO274" s="176">
        <v>114</v>
      </c>
      <c r="AP274" s="176">
        <v>170</v>
      </c>
      <c r="AQ274" s="167"/>
      <c r="AR274" s="180">
        <v>19.3</v>
      </c>
      <c r="AS274" s="166">
        <v>4.2875037979773696</v>
      </c>
      <c r="AT274" s="181" t="s">
        <v>54</v>
      </c>
      <c r="AU274" s="173">
        <v>0.26796898737358599</v>
      </c>
      <c r="AV274" s="174">
        <v>-61.942237071445298</v>
      </c>
      <c r="AW274" s="168"/>
      <c r="AX274" s="168"/>
      <c r="AY274" s="176">
        <v>53</v>
      </c>
      <c r="AZ274" s="176">
        <v>68</v>
      </c>
      <c r="BA274" s="167"/>
      <c r="BB274" s="184">
        <v>126.4</v>
      </c>
      <c r="BC274" s="180">
        <v>28.079817619913999</v>
      </c>
      <c r="BD274" s="181" t="s">
        <v>55</v>
      </c>
      <c r="BE274" s="188">
        <v>0.87749430062231204</v>
      </c>
      <c r="BF274" s="171">
        <v>-36.0844741428905</v>
      </c>
      <c r="BG274" s="168"/>
      <c r="BH274" s="168"/>
      <c r="BI274" s="176">
        <v>18</v>
      </c>
      <c r="BJ274" s="176">
        <v>47</v>
      </c>
      <c r="BK274" s="169"/>
      <c r="BL274" s="185">
        <v>0.8</v>
      </c>
      <c r="BM274" s="182">
        <v>0.85</v>
      </c>
      <c r="BN274" s="186">
        <v>1.8749999999999999E-3</v>
      </c>
      <c r="BO274" s="187">
        <v>0.95</v>
      </c>
      <c r="BP274" s="178">
        <v>1</v>
      </c>
      <c r="BQ274" s="186">
        <v>2.5000000000000001E-3</v>
      </c>
    </row>
    <row r="275" spans="1:69" s="156" customFormat="1" ht="22.35" customHeight="1" x14ac:dyDescent="0.2">
      <c r="A275" s="165" t="s">
        <v>339</v>
      </c>
      <c r="B275" s="165" t="s">
        <v>340</v>
      </c>
      <c r="C275" s="165" t="s">
        <v>346</v>
      </c>
      <c r="D275" s="166">
        <v>8.6759634033333306</v>
      </c>
      <c r="E275" s="167"/>
      <c r="F275" s="168">
        <v>0.03</v>
      </c>
      <c r="G275" s="168">
        <v>0.03</v>
      </c>
      <c r="H275" s="169"/>
      <c r="I275" s="170">
        <v>3</v>
      </c>
      <c r="J275" s="170">
        <v>3</v>
      </c>
      <c r="K275" s="167"/>
      <c r="L275" s="171">
        <v>7071.8955900000001</v>
      </c>
      <c r="M275" s="171">
        <v>3314.73083</v>
      </c>
      <c r="N275" s="171">
        <v>10386.626420000001</v>
      </c>
      <c r="O275" s="166">
        <v>1197.1726870135701</v>
      </c>
      <c r="P275" s="172">
        <v>246.08699999999999</v>
      </c>
      <c r="Q275" s="178">
        <v>4.8648351477874501</v>
      </c>
      <c r="R275" s="179">
        <v>7978.2992627912899</v>
      </c>
      <c r="S275" s="168">
        <v>0.01</v>
      </c>
      <c r="T275" s="168">
        <v>0.01</v>
      </c>
      <c r="U275" s="175">
        <v>0</v>
      </c>
      <c r="V275" s="176">
        <v>0</v>
      </c>
      <c r="W275" s="167"/>
      <c r="X275" s="175">
        <v>4195.5075200000001</v>
      </c>
      <c r="Y275" s="166">
        <v>483.578286924086</v>
      </c>
      <c r="Z275" s="177">
        <v>573</v>
      </c>
      <c r="AA275" s="188">
        <v>0.84394116391638097</v>
      </c>
      <c r="AB275" s="171">
        <v>-1412.1493699640801</v>
      </c>
      <c r="AC275" s="168"/>
      <c r="AD275" s="168"/>
      <c r="AE275" s="176">
        <v>776</v>
      </c>
      <c r="AF275" s="176">
        <v>1771</v>
      </c>
      <c r="AG275" s="167"/>
      <c r="AH275" s="180">
        <v>478.65</v>
      </c>
      <c r="AI275" s="166">
        <v>55.1696656323033</v>
      </c>
      <c r="AJ275" s="181" t="s">
        <v>53</v>
      </c>
      <c r="AK275" s="188">
        <v>0.87570897829052796</v>
      </c>
      <c r="AL275" s="171">
        <v>-137.89866329448</v>
      </c>
      <c r="AM275" s="168"/>
      <c r="AN275" s="168"/>
      <c r="AO275" s="176">
        <v>68</v>
      </c>
      <c r="AP275" s="176">
        <v>178</v>
      </c>
      <c r="AQ275" s="167"/>
      <c r="AR275" s="180">
        <v>49.7</v>
      </c>
      <c r="AS275" s="166">
        <v>5.7284704521581</v>
      </c>
      <c r="AT275" s="181" t="s">
        <v>54</v>
      </c>
      <c r="AU275" s="173">
        <v>0.35802940325988097</v>
      </c>
      <c r="AV275" s="174">
        <v>-106.88378750336</v>
      </c>
      <c r="AW275" s="168"/>
      <c r="AX275" s="168"/>
      <c r="AY275" s="176">
        <v>90</v>
      </c>
      <c r="AZ275" s="176">
        <v>117</v>
      </c>
      <c r="BA275" s="167"/>
      <c r="BB275" s="184">
        <v>549.79999999999995</v>
      </c>
      <c r="BC275" s="180">
        <v>63.3704839959059</v>
      </c>
      <c r="BD275" s="181" t="s">
        <v>55</v>
      </c>
      <c r="BE275" s="178">
        <v>1.98032762487206</v>
      </c>
      <c r="BF275" s="179">
        <v>236.63242499328001</v>
      </c>
      <c r="BG275" s="168">
        <v>0.02</v>
      </c>
      <c r="BH275" s="168">
        <v>0.02</v>
      </c>
      <c r="BI275" s="176">
        <v>0</v>
      </c>
      <c r="BJ275" s="176">
        <v>0</v>
      </c>
      <c r="BK275" s="169"/>
      <c r="BL275" s="185">
        <v>0.8</v>
      </c>
      <c r="BM275" s="188">
        <v>0.74</v>
      </c>
      <c r="BN275" s="186"/>
      <c r="BO275" s="187">
        <v>0.95</v>
      </c>
      <c r="BP275" s="178">
        <v>1</v>
      </c>
      <c r="BQ275" s="186">
        <v>2.5000000000000001E-3</v>
      </c>
    </row>
    <row r="276" spans="1:69" s="156" customFormat="1" ht="22.35" customHeight="1" x14ac:dyDescent="0.2">
      <c r="A276" s="165" t="s">
        <v>339</v>
      </c>
      <c r="B276" s="165" t="s">
        <v>340</v>
      </c>
      <c r="C276" s="165" t="s">
        <v>347</v>
      </c>
      <c r="D276" s="166">
        <v>1.8989247312222199</v>
      </c>
      <c r="E276" s="167"/>
      <c r="F276" s="168">
        <v>0.03</v>
      </c>
      <c r="G276" s="168">
        <v>0.03</v>
      </c>
      <c r="H276" s="169"/>
      <c r="I276" s="170">
        <v>3</v>
      </c>
      <c r="J276" s="170">
        <v>3</v>
      </c>
      <c r="K276" s="167"/>
      <c r="L276" s="171">
        <v>1029.15381</v>
      </c>
      <c r="M276" s="171">
        <v>576.74725000000001</v>
      </c>
      <c r="N276" s="171">
        <v>1605.9010599999999</v>
      </c>
      <c r="O276" s="166">
        <v>845.68968616590701</v>
      </c>
      <c r="P276" s="172">
        <v>246.08699999999999</v>
      </c>
      <c r="Q276" s="178">
        <v>3.4365475875032301</v>
      </c>
      <c r="R276" s="179">
        <v>1078.7858813051901</v>
      </c>
      <c r="S276" s="168">
        <v>0.01</v>
      </c>
      <c r="T276" s="168">
        <v>0.01</v>
      </c>
      <c r="U276" s="175">
        <v>0</v>
      </c>
      <c r="V276" s="176">
        <v>0</v>
      </c>
      <c r="W276" s="167"/>
      <c r="X276" s="175">
        <v>969.03443500000003</v>
      </c>
      <c r="Y276" s="166">
        <v>510.30692215814798</v>
      </c>
      <c r="Z276" s="177">
        <v>573</v>
      </c>
      <c r="AA276" s="188">
        <v>0.89058799678559797</v>
      </c>
      <c r="AB276" s="171">
        <v>-258.32417147709498</v>
      </c>
      <c r="AC276" s="168"/>
      <c r="AD276" s="168"/>
      <c r="AE276" s="176">
        <v>120</v>
      </c>
      <c r="AF276" s="176">
        <v>337</v>
      </c>
      <c r="AG276" s="167"/>
      <c r="AH276" s="180">
        <v>107.7</v>
      </c>
      <c r="AI276" s="166">
        <v>56.716308039592498</v>
      </c>
      <c r="AJ276" s="181" t="s">
        <v>53</v>
      </c>
      <c r="AK276" s="188">
        <v>0.90025885777130998</v>
      </c>
      <c r="AL276" s="171">
        <v>-27.245187099575901</v>
      </c>
      <c r="AM276" s="168"/>
      <c r="AN276" s="168"/>
      <c r="AO276" s="176">
        <v>12</v>
      </c>
      <c r="AP276" s="176">
        <v>36</v>
      </c>
      <c r="AQ276" s="167"/>
      <c r="AR276" s="180">
        <v>15.8</v>
      </c>
      <c r="AS276" s="166">
        <v>8.320498301073</v>
      </c>
      <c r="AT276" s="181" t="s">
        <v>54</v>
      </c>
      <c r="AU276" s="173">
        <v>0.52003114381706295</v>
      </c>
      <c r="AV276" s="174">
        <v>-18.471793549098599</v>
      </c>
      <c r="AW276" s="168"/>
      <c r="AX276" s="168"/>
      <c r="AY276" s="176">
        <v>15</v>
      </c>
      <c r="AZ276" s="176">
        <v>21</v>
      </c>
      <c r="BA276" s="167"/>
      <c r="BB276" s="184">
        <v>83.4</v>
      </c>
      <c r="BC276" s="180">
        <v>43.919592298068899</v>
      </c>
      <c r="BD276" s="181" t="s">
        <v>55</v>
      </c>
      <c r="BE276" s="178">
        <v>1.37248725931465</v>
      </c>
      <c r="BF276" s="179">
        <v>14.856412901802701</v>
      </c>
      <c r="BG276" s="168">
        <v>0.02</v>
      </c>
      <c r="BH276" s="168">
        <v>0.02</v>
      </c>
      <c r="BI276" s="176">
        <v>0</v>
      </c>
      <c r="BJ276" s="176">
        <v>0</v>
      </c>
      <c r="BK276" s="169"/>
      <c r="BL276" s="185">
        <v>0.8</v>
      </c>
      <c r="BM276" s="188">
        <v>0.78</v>
      </c>
      <c r="BN276" s="186"/>
      <c r="BO276" s="187">
        <v>0.95</v>
      </c>
      <c r="BP276" s="178">
        <v>1</v>
      </c>
      <c r="BQ276" s="186">
        <v>2.5000000000000001E-3</v>
      </c>
    </row>
    <row r="277" spans="1:69" s="156" customFormat="1" ht="22.35" customHeight="1" x14ac:dyDescent="0.2">
      <c r="A277" s="165" t="s">
        <v>339</v>
      </c>
      <c r="B277" s="165" t="s">
        <v>340</v>
      </c>
      <c r="C277" s="165" t="s">
        <v>348</v>
      </c>
      <c r="D277" s="166">
        <v>1.8613756613333301</v>
      </c>
      <c r="E277" s="167"/>
      <c r="F277" s="168">
        <v>0.08</v>
      </c>
      <c r="G277" s="168">
        <v>0.08</v>
      </c>
      <c r="H277" s="169"/>
      <c r="I277" s="170">
        <v>7</v>
      </c>
      <c r="J277" s="170">
        <v>7</v>
      </c>
      <c r="K277" s="167"/>
      <c r="L277" s="171">
        <v>1347.90382</v>
      </c>
      <c r="M277" s="171">
        <v>2921.5984800000001</v>
      </c>
      <c r="N277" s="171">
        <v>4269.5023000000001</v>
      </c>
      <c r="O277" s="166">
        <v>2293.7348911834802</v>
      </c>
      <c r="P277" s="172">
        <v>246.08699999999999</v>
      </c>
      <c r="Q277" s="178">
        <v>9.3208291831079304</v>
      </c>
      <c r="R277" s="179">
        <v>3752.81022252604</v>
      </c>
      <c r="S277" s="168">
        <v>0.01</v>
      </c>
      <c r="T277" s="168">
        <v>0.01</v>
      </c>
      <c r="U277" s="175">
        <v>0</v>
      </c>
      <c r="V277" s="176">
        <v>0</v>
      </c>
      <c r="W277" s="167"/>
      <c r="X277" s="175">
        <v>1600.6143750000001</v>
      </c>
      <c r="Y277" s="166">
        <v>859.90937146639897</v>
      </c>
      <c r="Z277" s="177">
        <v>573</v>
      </c>
      <c r="AA277" s="178">
        <v>1.5007144353689299</v>
      </c>
      <c r="AB277" s="179">
        <v>397.52538455117002</v>
      </c>
      <c r="AC277" s="168">
        <v>0.02</v>
      </c>
      <c r="AD277" s="168">
        <v>0.02</v>
      </c>
      <c r="AE277" s="176">
        <v>0</v>
      </c>
      <c r="AF277" s="176">
        <v>0</v>
      </c>
      <c r="AG277" s="167"/>
      <c r="AH277" s="180">
        <v>141.80000000000001</v>
      </c>
      <c r="AI277" s="166">
        <v>76.180216033568598</v>
      </c>
      <c r="AJ277" s="181" t="s">
        <v>53</v>
      </c>
      <c r="AK277" s="178">
        <v>1.2092097783106099</v>
      </c>
      <c r="AL277" s="179">
        <v>9.52320000300824</v>
      </c>
      <c r="AM277" s="168">
        <v>0.02</v>
      </c>
      <c r="AN277" s="168">
        <v>0.02</v>
      </c>
      <c r="AO277" s="176">
        <v>0</v>
      </c>
      <c r="AP277" s="176">
        <v>0</v>
      </c>
      <c r="AQ277" s="167"/>
      <c r="AR277" s="180">
        <v>47</v>
      </c>
      <c r="AS277" s="166">
        <v>25.250142126782301</v>
      </c>
      <c r="AT277" s="181" t="s">
        <v>54</v>
      </c>
      <c r="AU277" s="178">
        <v>1.57813388292389</v>
      </c>
      <c r="AV277" s="179">
        <v>13.405892064256101</v>
      </c>
      <c r="AW277" s="168">
        <v>0.01</v>
      </c>
      <c r="AX277" s="168">
        <v>0.01</v>
      </c>
      <c r="AY277" s="176">
        <v>0</v>
      </c>
      <c r="AZ277" s="176">
        <v>0</v>
      </c>
      <c r="BA277" s="167"/>
      <c r="BB277" s="184">
        <v>107.8</v>
      </c>
      <c r="BC277" s="180">
        <v>57.914155771640999</v>
      </c>
      <c r="BD277" s="181" t="s">
        <v>55</v>
      </c>
      <c r="BE277" s="178">
        <v>1.8098173678637799</v>
      </c>
      <c r="BF277" s="179">
        <v>40.611784128512099</v>
      </c>
      <c r="BG277" s="168">
        <v>0.02</v>
      </c>
      <c r="BH277" s="168">
        <v>0.02</v>
      </c>
      <c r="BI277" s="176">
        <v>0</v>
      </c>
      <c r="BJ277" s="176">
        <v>0</v>
      </c>
      <c r="BK277" s="169"/>
      <c r="BL277" s="185">
        <v>0.8</v>
      </c>
      <c r="BM277" s="182">
        <v>0.87</v>
      </c>
      <c r="BN277" s="186">
        <v>2.6250000000000002E-3</v>
      </c>
      <c r="BO277" s="187">
        <v>0.95</v>
      </c>
      <c r="BP277" s="178">
        <v>1</v>
      </c>
      <c r="BQ277" s="186">
        <v>2.5000000000000001E-3</v>
      </c>
    </row>
    <row r="278" spans="1:69" s="156" customFormat="1" ht="22.35" customHeight="1" x14ac:dyDescent="0.2">
      <c r="A278" s="165" t="s">
        <v>339</v>
      </c>
      <c r="B278" s="165" t="s">
        <v>340</v>
      </c>
      <c r="C278" s="165" t="s">
        <v>349</v>
      </c>
      <c r="D278" s="166">
        <v>4.0649831650000001</v>
      </c>
      <c r="E278" s="167"/>
      <c r="F278" s="168">
        <v>2.5999999999999999E-2</v>
      </c>
      <c r="G278" s="168">
        <v>1.9E-2</v>
      </c>
      <c r="H278" s="169"/>
      <c r="I278" s="170">
        <v>3</v>
      </c>
      <c r="J278" s="170">
        <v>3</v>
      </c>
      <c r="K278" s="167"/>
      <c r="L278" s="171">
        <v>1050.3257000000001</v>
      </c>
      <c r="M278" s="171">
        <v>591.17327999999998</v>
      </c>
      <c r="N278" s="171">
        <v>1641.4989800000001</v>
      </c>
      <c r="O278" s="166">
        <v>403.81445958583703</v>
      </c>
      <c r="P278" s="172">
        <v>212.5</v>
      </c>
      <c r="Q278" s="178">
        <v>1.90030333922747</v>
      </c>
      <c r="R278" s="179">
        <v>667.12251534949996</v>
      </c>
      <c r="S278" s="168">
        <v>0.01</v>
      </c>
      <c r="T278" s="168">
        <v>0.01</v>
      </c>
      <c r="U278" s="175">
        <v>0</v>
      </c>
      <c r="V278" s="176">
        <v>0</v>
      </c>
      <c r="W278" s="167"/>
      <c r="X278" s="175">
        <v>1494.5814800000001</v>
      </c>
      <c r="Y278" s="166">
        <v>367.67224348394097</v>
      </c>
      <c r="Z278" s="177">
        <v>573</v>
      </c>
      <c r="AA278" s="173">
        <v>0.64166185599291603</v>
      </c>
      <c r="AB278" s="174">
        <v>-1132.7959987987599</v>
      </c>
      <c r="AC278" s="168"/>
      <c r="AD278" s="168"/>
      <c r="AE278" s="176">
        <v>835</v>
      </c>
      <c r="AF278" s="176">
        <v>1301</v>
      </c>
      <c r="AG278" s="167"/>
      <c r="AH278" s="180">
        <v>154</v>
      </c>
      <c r="AI278" s="166">
        <v>37.884535740752597</v>
      </c>
      <c r="AJ278" s="181" t="s">
        <v>53</v>
      </c>
      <c r="AK278" s="173">
        <v>0.60134183715480305</v>
      </c>
      <c r="AL278" s="174">
        <v>-134.87396363756</v>
      </c>
      <c r="AM278" s="168"/>
      <c r="AN278" s="168"/>
      <c r="AO278" s="176">
        <v>103</v>
      </c>
      <c r="AP278" s="176">
        <v>154</v>
      </c>
      <c r="AQ278" s="167"/>
      <c r="AR278" s="180">
        <v>23.4</v>
      </c>
      <c r="AS278" s="166">
        <v>5.7564814047636998</v>
      </c>
      <c r="AT278" s="181" t="s">
        <v>54</v>
      </c>
      <c r="AU278" s="173">
        <v>0.35978008779773102</v>
      </c>
      <c r="AV278" s="174">
        <v>-49.964816161919998</v>
      </c>
      <c r="AW278" s="168"/>
      <c r="AX278" s="168"/>
      <c r="AY278" s="176">
        <v>42</v>
      </c>
      <c r="AZ278" s="176">
        <v>55</v>
      </c>
      <c r="BA278" s="167"/>
      <c r="BB278" s="184">
        <v>141.4</v>
      </c>
      <c r="BC278" s="180">
        <v>34.784891907418299</v>
      </c>
      <c r="BD278" s="181" t="s">
        <v>55</v>
      </c>
      <c r="BE278" s="182">
        <v>1.0870278721068201</v>
      </c>
      <c r="BF278" s="183">
        <v>-5.3296323238400003</v>
      </c>
      <c r="BG278" s="168">
        <v>1.6E-2</v>
      </c>
      <c r="BH278" s="168">
        <v>8.9999999999999993E-3</v>
      </c>
      <c r="BI278" s="176">
        <v>0</v>
      </c>
      <c r="BJ278" s="176">
        <v>15</v>
      </c>
      <c r="BK278" s="169"/>
      <c r="BL278" s="185">
        <v>0.8</v>
      </c>
      <c r="BM278" s="188">
        <v>0.79</v>
      </c>
      <c r="BN278" s="186"/>
      <c r="BO278" s="187">
        <v>0.95</v>
      </c>
      <c r="BP278" s="178">
        <v>1</v>
      </c>
      <c r="BQ278" s="186">
        <v>2.5000000000000001E-3</v>
      </c>
    </row>
    <row r="279" spans="1:69" s="156" customFormat="1" ht="22.35" customHeight="1" x14ac:dyDescent="0.2">
      <c r="A279" s="165" t="s">
        <v>339</v>
      </c>
      <c r="B279" s="165" t="s">
        <v>340</v>
      </c>
      <c r="C279" s="165" t="s">
        <v>350</v>
      </c>
      <c r="D279" s="166">
        <v>2.7843147968888902</v>
      </c>
      <c r="E279" s="167"/>
      <c r="F279" s="168">
        <v>1.0999999999999999E-2</v>
      </c>
      <c r="G279" s="168">
        <v>0.01</v>
      </c>
      <c r="H279" s="169"/>
      <c r="I279" s="170">
        <v>4</v>
      </c>
      <c r="J279" s="170">
        <v>3</v>
      </c>
      <c r="K279" s="167"/>
      <c r="L279" s="171">
        <v>1628.7787499999999</v>
      </c>
      <c r="M279" s="171">
        <v>363.86786000000001</v>
      </c>
      <c r="N279" s="171">
        <v>1992.64661</v>
      </c>
      <c r="O279" s="166">
        <v>715.66857749939902</v>
      </c>
      <c r="P279" s="172">
        <v>243.43</v>
      </c>
      <c r="Q279" s="178">
        <v>2.9399358234375401</v>
      </c>
      <c r="R279" s="179">
        <v>1228.10428286448</v>
      </c>
      <c r="S279" s="168">
        <v>0.01</v>
      </c>
      <c r="T279" s="168">
        <v>0.01</v>
      </c>
      <c r="U279" s="175">
        <v>0</v>
      </c>
      <c r="V279" s="176">
        <v>0</v>
      </c>
      <c r="W279" s="167"/>
      <c r="X279" s="175">
        <v>762.80104500000004</v>
      </c>
      <c r="Y279" s="166">
        <v>273.96365017789299</v>
      </c>
      <c r="Z279" s="177">
        <v>573</v>
      </c>
      <c r="AA279" s="173">
        <v>0.47812155353908098</v>
      </c>
      <c r="AB279" s="174">
        <v>-1036.82411808035</v>
      </c>
      <c r="AC279" s="168"/>
      <c r="AD279" s="168"/>
      <c r="AE279" s="176">
        <v>833</v>
      </c>
      <c r="AF279" s="176">
        <v>1152</v>
      </c>
      <c r="AG279" s="167"/>
      <c r="AH279" s="180">
        <v>152.19999999999999</v>
      </c>
      <c r="AI279" s="166">
        <v>54.663359247332203</v>
      </c>
      <c r="AJ279" s="181" t="s">
        <v>53</v>
      </c>
      <c r="AK279" s="188">
        <v>0.867672369005272</v>
      </c>
      <c r="AL279" s="171">
        <v>-45.6645467261121</v>
      </c>
      <c r="AM279" s="168"/>
      <c r="AN279" s="168"/>
      <c r="AO279" s="176">
        <v>24</v>
      </c>
      <c r="AP279" s="176">
        <v>59</v>
      </c>
      <c r="AQ279" s="167"/>
      <c r="AR279" s="180">
        <v>8.8000000000000007</v>
      </c>
      <c r="AS279" s="166">
        <v>3.1605621641032999</v>
      </c>
      <c r="AT279" s="181" t="s">
        <v>54</v>
      </c>
      <c r="AU279" s="173">
        <v>0.197535135256456</v>
      </c>
      <c r="AV279" s="174">
        <v>-41.451313454250702</v>
      </c>
      <c r="AW279" s="168"/>
      <c r="AX279" s="168"/>
      <c r="AY279" s="176">
        <v>36</v>
      </c>
      <c r="AZ279" s="176">
        <v>45</v>
      </c>
      <c r="BA279" s="167"/>
      <c r="BB279" s="184">
        <v>84.8</v>
      </c>
      <c r="BC279" s="180">
        <v>30.456326308631802</v>
      </c>
      <c r="BD279" s="181" t="s">
        <v>55</v>
      </c>
      <c r="BE279" s="182">
        <v>0.95176019714474502</v>
      </c>
      <c r="BF279" s="183">
        <v>-15.702626908501401</v>
      </c>
      <c r="BG279" s="168">
        <v>1E-3</v>
      </c>
      <c r="BH279" s="168"/>
      <c r="BI279" s="176">
        <v>5</v>
      </c>
      <c r="BJ279" s="176">
        <v>23</v>
      </c>
      <c r="BK279" s="169"/>
      <c r="BL279" s="185">
        <v>0.8</v>
      </c>
      <c r="BM279" s="182">
        <v>0.82</v>
      </c>
      <c r="BN279" s="186">
        <v>7.5000000000000002E-4</v>
      </c>
      <c r="BO279" s="187">
        <v>0.95</v>
      </c>
      <c r="BP279" s="178">
        <v>1</v>
      </c>
      <c r="BQ279" s="186">
        <v>2.5000000000000001E-3</v>
      </c>
    </row>
    <row r="280" spans="1:69" s="156" customFormat="1" ht="22.35" customHeight="1" x14ac:dyDescent="0.2">
      <c r="A280" s="165" t="s">
        <v>339</v>
      </c>
      <c r="B280" s="165" t="s">
        <v>340</v>
      </c>
      <c r="C280" s="165" t="s">
        <v>351</v>
      </c>
      <c r="D280" s="166">
        <v>4.6097894054444399</v>
      </c>
      <c r="E280" s="167"/>
      <c r="F280" s="168">
        <v>0.01</v>
      </c>
      <c r="G280" s="168">
        <v>0.01</v>
      </c>
      <c r="H280" s="169"/>
      <c r="I280" s="170">
        <v>2</v>
      </c>
      <c r="J280" s="170">
        <v>2</v>
      </c>
      <c r="K280" s="167"/>
      <c r="L280" s="171">
        <v>1761.6659</v>
      </c>
      <c r="M280" s="171">
        <v>-254.54680999999999</v>
      </c>
      <c r="N280" s="171">
        <v>1507.1190899999999</v>
      </c>
      <c r="O280" s="166">
        <v>326.93881595111498</v>
      </c>
      <c r="P280" s="172">
        <v>254.44499999999999</v>
      </c>
      <c r="Q280" s="178">
        <v>1.2849095716210399</v>
      </c>
      <c r="R280" s="179">
        <v>184.04517797734599</v>
      </c>
      <c r="S280" s="168">
        <v>0.01</v>
      </c>
      <c r="T280" s="168">
        <v>0.01</v>
      </c>
      <c r="U280" s="175">
        <v>0</v>
      </c>
      <c r="V280" s="176">
        <v>0</v>
      </c>
      <c r="W280" s="167"/>
      <c r="X280" s="175">
        <v>1701.8544199999999</v>
      </c>
      <c r="Y280" s="166">
        <v>369.18268283362499</v>
      </c>
      <c r="Z280" s="177">
        <v>573</v>
      </c>
      <c r="AA280" s="173">
        <v>0.64429787580039199</v>
      </c>
      <c r="AB280" s="174">
        <v>-1277.65530347258</v>
      </c>
      <c r="AC280" s="168"/>
      <c r="AD280" s="168"/>
      <c r="AE280" s="176">
        <v>940</v>
      </c>
      <c r="AF280" s="176">
        <v>1468</v>
      </c>
      <c r="AG280" s="167"/>
      <c r="AH280" s="180">
        <v>237.2</v>
      </c>
      <c r="AI280" s="166">
        <v>51.455712861818</v>
      </c>
      <c r="AJ280" s="181" t="s">
        <v>53</v>
      </c>
      <c r="AK280" s="188">
        <v>0.81675734701298397</v>
      </c>
      <c r="AL280" s="171">
        <v>-90.390074308503699</v>
      </c>
      <c r="AM280" s="168"/>
      <c r="AN280" s="168"/>
      <c r="AO280" s="176">
        <v>54</v>
      </c>
      <c r="AP280" s="176">
        <v>112</v>
      </c>
      <c r="AQ280" s="167"/>
      <c r="AR280" s="180">
        <v>13</v>
      </c>
      <c r="AS280" s="166">
        <v>2.8200854435229101</v>
      </c>
      <c r="AT280" s="181" t="s">
        <v>54</v>
      </c>
      <c r="AU280" s="173">
        <v>0.17625534022018199</v>
      </c>
      <c r="AV280" s="174">
        <v>-70.197479189461305</v>
      </c>
      <c r="AW280" s="168"/>
      <c r="AX280" s="168"/>
      <c r="AY280" s="176">
        <v>61</v>
      </c>
      <c r="AZ280" s="176">
        <v>76</v>
      </c>
      <c r="BA280" s="167"/>
      <c r="BB280" s="184">
        <v>137.19999999999999</v>
      </c>
      <c r="BC280" s="180">
        <v>29.762747911641799</v>
      </c>
      <c r="BD280" s="181" t="s">
        <v>55</v>
      </c>
      <c r="BE280" s="188">
        <v>0.93008587223880501</v>
      </c>
      <c r="BF280" s="171">
        <v>-29.1949583789225</v>
      </c>
      <c r="BG280" s="168"/>
      <c r="BH280" s="168"/>
      <c r="BI280" s="176">
        <v>11</v>
      </c>
      <c r="BJ280" s="176">
        <v>40</v>
      </c>
      <c r="BK280" s="169"/>
      <c r="BL280" s="185">
        <v>0.8</v>
      </c>
      <c r="BM280" s="188">
        <v>0.78</v>
      </c>
      <c r="BN280" s="186"/>
      <c r="BO280" s="187">
        <v>0.95</v>
      </c>
      <c r="BP280" s="178">
        <v>1</v>
      </c>
      <c r="BQ280" s="186">
        <v>2.5000000000000001E-3</v>
      </c>
    </row>
    <row r="281" spans="1:69" s="156" customFormat="1" ht="22.35" customHeight="1" x14ac:dyDescent="0.2">
      <c r="A281" s="165" t="s">
        <v>339</v>
      </c>
      <c r="B281" s="165" t="s">
        <v>340</v>
      </c>
      <c r="C281" s="165" t="s">
        <v>352</v>
      </c>
      <c r="D281" s="166">
        <v>4.6161616162222199</v>
      </c>
      <c r="E281" s="167"/>
      <c r="F281" s="168">
        <v>0.02</v>
      </c>
      <c r="G281" s="168">
        <v>1.2E-2</v>
      </c>
      <c r="H281" s="169"/>
      <c r="I281" s="170">
        <v>4</v>
      </c>
      <c r="J281" s="170">
        <v>3</v>
      </c>
      <c r="K281" s="167"/>
      <c r="L281" s="171">
        <v>2403.2882</v>
      </c>
      <c r="M281" s="171">
        <v>3130.3882600000002</v>
      </c>
      <c r="N281" s="171">
        <v>5533.6764599999997</v>
      </c>
      <c r="O281" s="166">
        <v>1198.76142129717</v>
      </c>
      <c r="P281" s="172">
        <v>212.5</v>
      </c>
      <c r="Q281" s="178">
        <v>5.6412302178690297</v>
      </c>
      <c r="R281" s="179">
        <v>4427.1825205915302</v>
      </c>
      <c r="S281" s="168">
        <v>0.01</v>
      </c>
      <c r="T281" s="168">
        <v>0.01</v>
      </c>
      <c r="U281" s="175">
        <v>0</v>
      </c>
      <c r="V281" s="176">
        <v>0</v>
      </c>
      <c r="W281" s="167"/>
      <c r="X281" s="175">
        <v>2502.050385</v>
      </c>
      <c r="Y281" s="166">
        <v>542.01966764058602</v>
      </c>
      <c r="Z281" s="177">
        <v>573</v>
      </c>
      <c r="AA281" s="182">
        <v>0.94593310233959205</v>
      </c>
      <c r="AB281" s="183">
        <v>-481.57797867553501</v>
      </c>
      <c r="AC281" s="168">
        <v>1E-3</v>
      </c>
      <c r="AD281" s="168"/>
      <c r="AE281" s="176">
        <v>144</v>
      </c>
      <c r="AF281" s="176">
        <v>673</v>
      </c>
      <c r="AG281" s="167"/>
      <c r="AH281" s="180">
        <v>169.45</v>
      </c>
      <c r="AI281" s="166">
        <v>36.707986870415198</v>
      </c>
      <c r="AJ281" s="181" t="s">
        <v>53</v>
      </c>
      <c r="AK281" s="173">
        <v>0.58266645826055896</v>
      </c>
      <c r="AL281" s="174">
        <v>-158.59290909521599</v>
      </c>
      <c r="AM281" s="168"/>
      <c r="AN281" s="168"/>
      <c r="AO281" s="176">
        <v>122</v>
      </c>
      <c r="AP281" s="176">
        <v>180</v>
      </c>
      <c r="AQ281" s="167"/>
      <c r="AR281" s="180">
        <v>38.799999999999997</v>
      </c>
      <c r="AS281" s="166">
        <v>8.4052516410274993</v>
      </c>
      <c r="AT281" s="181" t="s">
        <v>54</v>
      </c>
      <c r="AU281" s="173">
        <v>0.52532822756421904</v>
      </c>
      <c r="AV281" s="174">
        <v>-44.512484849578598</v>
      </c>
      <c r="AW281" s="168"/>
      <c r="AX281" s="168"/>
      <c r="AY281" s="176">
        <v>36</v>
      </c>
      <c r="AZ281" s="176">
        <v>50</v>
      </c>
      <c r="BA281" s="167"/>
      <c r="BB281" s="184">
        <v>151.19999999999999</v>
      </c>
      <c r="BC281" s="180">
        <v>32.754485776375198</v>
      </c>
      <c r="BD281" s="181" t="s">
        <v>55</v>
      </c>
      <c r="BE281" s="182">
        <v>1.02357768051173</v>
      </c>
      <c r="BF281" s="183">
        <v>-15.4249696991573</v>
      </c>
      <c r="BG281" s="168">
        <v>8.9999999999999993E-3</v>
      </c>
      <c r="BH281" s="168">
        <v>2E-3</v>
      </c>
      <c r="BI281" s="176">
        <v>0</v>
      </c>
      <c r="BJ281" s="176">
        <v>27</v>
      </c>
      <c r="BK281" s="169"/>
      <c r="BL281" s="185">
        <v>0.8</v>
      </c>
      <c r="BM281" s="188">
        <v>0.76</v>
      </c>
      <c r="BN281" s="186"/>
      <c r="BO281" s="187">
        <v>0.95</v>
      </c>
      <c r="BP281" s="178">
        <v>1</v>
      </c>
      <c r="BQ281" s="186">
        <v>2.5000000000000001E-3</v>
      </c>
    </row>
    <row r="282" spans="1:69" s="156" customFormat="1" ht="22.35" customHeight="1" x14ac:dyDescent="0.2">
      <c r="A282" s="165" t="s">
        <v>339</v>
      </c>
      <c r="B282" s="165" t="s">
        <v>340</v>
      </c>
      <c r="C282" s="165" t="s">
        <v>353</v>
      </c>
      <c r="D282" s="166">
        <v>6.3981030344444401</v>
      </c>
      <c r="E282" s="167"/>
      <c r="F282" s="168">
        <v>0.03</v>
      </c>
      <c r="G282" s="168">
        <v>2.8000000000000001E-2</v>
      </c>
      <c r="H282" s="169"/>
      <c r="I282" s="170">
        <v>3</v>
      </c>
      <c r="J282" s="170">
        <v>3</v>
      </c>
      <c r="K282" s="167"/>
      <c r="L282" s="171">
        <v>3013.06979</v>
      </c>
      <c r="M282" s="171">
        <v>3266.8180600000001</v>
      </c>
      <c r="N282" s="171">
        <v>6279.8878500000001</v>
      </c>
      <c r="O282" s="166">
        <v>981.52340095055899</v>
      </c>
      <c r="P282" s="172">
        <v>250.489</v>
      </c>
      <c r="Q282" s="178">
        <v>3.9184291563723699</v>
      </c>
      <c r="R282" s="179">
        <v>4472.0936518376902</v>
      </c>
      <c r="S282" s="168">
        <v>0.01</v>
      </c>
      <c r="T282" s="168">
        <v>0.01</v>
      </c>
      <c r="U282" s="175">
        <v>0</v>
      </c>
      <c r="V282" s="176">
        <v>0</v>
      </c>
      <c r="W282" s="167"/>
      <c r="X282" s="175">
        <v>2570.0773899999999</v>
      </c>
      <c r="Y282" s="166">
        <v>401.693654535397</v>
      </c>
      <c r="Z282" s="177">
        <v>573</v>
      </c>
      <c r="AA282" s="173">
        <v>0.70103604630959304</v>
      </c>
      <c r="AB282" s="174">
        <v>-1565.29811769496</v>
      </c>
      <c r="AC282" s="168"/>
      <c r="AD282" s="168"/>
      <c r="AE282" s="176">
        <v>1097</v>
      </c>
      <c r="AF282" s="176">
        <v>1830</v>
      </c>
      <c r="AG282" s="167"/>
      <c r="AH282" s="180">
        <v>247.9</v>
      </c>
      <c r="AI282" s="166">
        <v>38.745859306331901</v>
      </c>
      <c r="AJ282" s="181" t="s">
        <v>53</v>
      </c>
      <c r="AK282" s="173">
        <v>0.61501363978304702</v>
      </c>
      <c r="AL282" s="174">
        <v>-206.77479403976</v>
      </c>
      <c r="AM282" s="168"/>
      <c r="AN282" s="168"/>
      <c r="AO282" s="176">
        <v>156</v>
      </c>
      <c r="AP282" s="176">
        <v>236</v>
      </c>
      <c r="AQ282" s="167"/>
      <c r="AR282" s="180">
        <v>47.4</v>
      </c>
      <c r="AS282" s="166">
        <v>7.4084458697867497</v>
      </c>
      <c r="AT282" s="181" t="s">
        <v>54</v>
      </c>
      <c r="AU282" s="173">
        <v>0.46302786686167202</v>
      </c>
      <c r="AV282" s="174">
        <v>-68.072963565653296</v>
      </c>
      <c r="AW282" s="168"/>
      <c r="AX282" s="168"/>
      <c r="AY282" s="176">
        <v>55</v>
      </c>
      <c r="AZ282" s="176">
        <v>76</v>
      </c>
      <c r="BA282" s="167"/>
      <c r="BB282" s="184">
        <v>241.8</v>
      </c>
      <c r="BC282" s="180">
        <v>37.792451715494401</v>
      </c>
      <c r="BD282" s="181" t="s">
        <v>55</v>
      </c>
      <c r="BE282" s="178">
        <v>1.1810141161092</v>
      </c>
      <c r="BF282" s="179">
        <v>10.8540728686935</v>
      </c>
      <c r="BG282" s="168">
        <v>0.02</v>
      </c>
      <c r="BH282" s="168">
        <v>1.7999999999999999E-2</v>
      </c>
      <c r="BI282" s="176">
        <v>0</v>
      </c>
      <c r="BJ282" s="176">
        <v>4</v>
      </c>
      <c r="BK282" s="169"/>
      <c r="BL282" s="185">
        <v>0.8</v>
      </c>
      <c r="BM282" s="188">
        <v>0.77</v>
      </c>
      <c r="BN282" s="186"/>
      <c r="BO282" s="187">
        <v>0.95</v>
      </c>
      <c r="BP282" s="178">
        <v>1</v>
      </c>
      <c r="BQ282" s="186">
        <v>2.5000000000000001E-3</v>
      </c>
    </row>
    <row r="283" spans="1:69" s="156" customFormat="1" ht="22.35" customHeight="1" x14ac:dyDescent="0.2">
      <c r="A283" s="165" t="s">
        <v>339</v>
      </c>
      <c r="B283" s="165" t="s">
        <v>340</v>
      </c>
      <c r="C283" s="165" t="s">
        <v>354</v>
      </c>
      <c r="D283" s="166">
        <v>5.0444772765555603</v>
      </c>
      <c r="E283" s="167"/>
      <c r="F283" s="168">
        <v>4.3999999999999997E-2</v>
      </c>
      <c r="G283" s="168">
        <v>3.4000000000000002E-2</v>
      </c>
      <c r="H283" s="169"/>
      <c r="I283" s="170">
        <v>4</v>
      </c>
      <c r="J283" s="170">
        <v>4</v>
      </c>
      <c r="K283" s="167"/>
      <c r="L283" s="171">
        <v>2003.68759</v>
      </c>
      <c r="M283" s="171">
        <v>1297.40796</v>
      </c>
      <c r="N283" s="171">
        <v>3301.09555</v>
      </c>
      <c r="O283" s="166">
        <v>654.39794234815895</v>
      </c>
      <c r="P283" s="172">
        <v>216.363</v>
      </c>
      <c r="Q283" s="178">
        <v>3.0245372006681301</v>
      </c>
      <c r="R283" s="179">
        <v>2069.9532186782199</v>
      </c>
      <c r="S283" s="168">
        <v>0.01</v>
      </c>
      <c r="T283" s="168">
        <v>0.01</v>
      </c>
      <c r="U283" s="175">
        <v>0</v>
      </c>
      <c r="V283" s="176">
        <v>0</v>
      </c>
      <c r="W283" s="167"/>
      <c r="X283" s="175">
        <v>3099.8050800000001</v>
      </c>
      <c r="Y283" s="166">
        <v>614.49480492389</v>
      </c>
      <c r="Z283" s="177">
        <v>573</v>
      </c>
      <c r="AA283" s="182">
        <v>1.0724167625198799</v>
      </c>
      <c r="AB283" s="183">
        <v>-160.66254083802701</v>
      </c>
      <c r="AC283" s="168">
        <v>1.4E-2</v>
      </c>
      <c r="AD283" s="168">
        <v>7.0000000000000001E-3</v>
      </c>
      <c r="AE283" s="176">
        <v>0</v>
      </c>
      <c r="AF283" s="176">
        <v>369</v>
      </c>
      <c r="AG283" s="167"/>
      <c r="AH283" s="180">
        <v>204.1</v>
      </c>
      <c r="AI283" s="166">
        <v>40.460089085655</v>
      </c>
      <c r="AJ283" s="181" t="s">
        <v>53</v>
      </c>
      <c r="AK283" s="173">
        <v>0.64222363628023804</v>
      </c>
      <c r="AL283" s="174">
        <v>-154.380733181144</v>
      </c>
      <c r="AM283" s="168"/>
      <c r="AN283" s="168"/>
      <c r="AO283" s="176">
        <v>114</v>
      </c>
      <c r="AP283" s="176">
        <v>178</v>
      </c>
      <c r="AQ283" s="167"/>
      <c r="AR283" s="180">
        <v>26.8</v>
      </c>
      <c r="AS283" s="166">
        <v>5.3127407520605301</v>
      </c>
      <c r="AT283" s="181" t="s">
        <v>54</v>
      </c>
      <c r="AU283" s="173">
        <v>0.33204629700378302</v>
      </c>
      <c r="AV283" s="174">
        <v>-64.242725887274702</v>
      </c>
      <c r="AW283" s="168"/>
      <c r="AX283" s="168"/>
      <c r="AY283" s="176">
        <v>54</v>
      </c>
      <c r="AZ283" s="176">
        <v>71</v>
      </c>
      <c r="BA283" s="167"/>
      <c r="BB283" s="184">
        <v>188.2</v>
      </c>
      <c r="BC283" s="180">
        <v>37.308127221559403</v>
      </c>
      <c r="BD283" s="181" t="s">
        <v>55</v>
      </c>
      <c r="BE283" s="178">
        <v>1.16587897567373</v>
      </c>
      <c r="BF283" s="179">
        <v>6.1145482254505303</v>
      </c>
      <c r="BG283" s="168">
        <v>0.02</v>
      </c>
      <c r="BH283" s="168">
        <v>1.7000000000000001E-2</v>
      </c>
      <c r="BI283" s="176">
        <v>0</v>
      </c>
      <c r="BJ283" s="176">
        <v>6</v>
      </c>
      <c r="BK283" s="169"/>
      <c r="BL283" s="185">
        <v>0.8</v>
      </c>
      <c r="BM283" s="188">
        <v>0.79</v>
      </c>
      <c r="BN283" s="186"/>
      <c r="BO283" s="187">
        <v>0.95</v>
      </c>
      <c r="BP283" s="178">
        <v>1</v>
      </c>
      <c r="BQ283" s="186">
        <v>2.5000000000000001E-3</v>
      </c>
    </row>
    <row r="284" spans="1:69" s="156" customFormat="1" ht="22.35" customHeight="1" x14ac:dyDescent="0.2">
      <c r="A284" s="165" t="s">
        <v>339</v>
      </c>
      <c r="B284" s="165" t="s">
        <v>340</v>
      </c>
      <c r="C284" s="165" t="s">
        <v>355</v>
      </c>
      <c r="D284" s="166">
        <v>3.2630691803333298</v>
      </c>
      <c r="E284" s="167"/>
      <c r="F284" s="168">
        <v>3.9E-2</v>
      </c>
      <c r="G284" s="168">
        <v>0.03</v>
      </c>
      <c r="H284" s="169"/>
      <c r="I284" s="170">
        <v>6</v>
      </c>
      <c r="J284" s="170">
        <v>5</v>
      </c>
      <c r="K284" s="167"/>
      <c r="L284" s="171">
        <v>2398.0965000000001</v>
      </c>
      <c r="M284" s="171">
        <v>923.97226999999998</v>
      </c>
      <c r="N284" s="171">
        <v>3322.0687699999999</v>
      </c>
      <c r="O284" s="166">
        <v>1018.08101097649</v>
      </c>
      <c r="P284" s="172">
        <v>249.714</v>
      </c>
      <c r="Q284" s="178">
        <v>4.0769881183133103</v>
      </c>
      <c r="R284" s="179">
        <v>2402.93595336813</v>
      </c>
      <c r="S284" s="168">
        <v>0.01</v>
      </c>
      <c r="T284" s="168">
        <v>0.01</v>
      </c>
      <c r="U284" s="175">
        <v>0</v>
      </c>
      <c r="V284" s="176">
        <v>0</v>
      </c>
      <c r="W284" s="167"/>
      <c r="X284" s="175">
        <v>1787.4983999999999</v>
      </c>
      <c r="Y284" s="166">
        <v>547.79666051009099</v>
      </c>
      <c r="Z284" s="177">
        <v>573</v>
      </c>
      <c r="AA284" s="182">
        <v>0.95601511432825703</v>
      </c>
      <c r="AB284" s="183">
        <v>-321.56678629336602</v>
      </c>
      <c r="AC284" s="168">
        <v>2E-3</v>
      </c>
      <c r="AD284" s="168"/>
      <c r="AE284" s="176">
        <v>83</v>
      </c>
      <c r="AF284" s="176">
        <v>457</v>
      </c>
      <c r="AG284" s="167"/>
      <c r="AH284" s="180">
        <v>205.8</v>
      </c>
      <c r="AI284" s="166">
        <v>63.069456584115997</v>
      </c>
      <c r="AJ284" s="181" t="s">
        <v>53</v>
      </c>
      <c r="AK284" s="182">
        <v>1.00110248546216</v>
      </c>
      <c r="AL284" s="183">
        <v>-26.0867482312078</v>
      </c>
      <c r="AM284" s="168">
        <v>7.0000000000000001E-3</v>
      </c>
      <c r="AN284" s="168">
        <v>1E-3</v>
      </c>
      <c r="AO284" s="176">
        <v>0</v>
      </c>
      <c r="AP284" s="176">
        <v>41</v>
      </c>
      <c r="AQ284" s="167"/>
      <c r="AR284" s="180">
        <v>13.3</v>
      </c>
      <c r="AS284" s="166">
        <v>4.0759172622387903</v>
      </c>
      <c r="AT284" s="181" t="s">
        <v>54</v>
      </c>
      <c r="AU284" s="173">
        <v>0.254744828889924</v>
      </c>
      <c r="AV284" s="174">
        <v>-45.591872566655901</v>
      </c>
      <c r="AW284" s="168"/>
      <c r="AX284" s="168"/>
      <c r="AY284" s="176">
        <v>39</v>
      </c>
      <c r="AZ284" s="176">
        <v>50</v>
      </c>
      <c r="BA284" s="167"/>
      <c r="BB284" s="184">
        <v>124.2</v>
      </c>
      <c r="BC284" s="180">
        <v>38.062325110530601</v>
      </c>
      <c r="BD284" s="181" t="s">
        <v>55</v>
      </c>
      <c r="BE284" s="178">
        <v>1.18944765970408</v>
      </c>
      <c r="BF284" s="179">
        <v>6.4162548666881198</v>
      </c>
      <c r="BG284" s="168">
        <v>0.02</v>
      </c>
      <c r="BH284" s="168">
        <v>1.9E-2</v>
      </c>
      <c r="BI284" s="176">
        <v>0</v>
      </c>
      <c r="BJ284" s="176">
        <v>2</v>
      </c>
      <c r="BK284" s="169"/>
      <c r="BL284" s="185">
        <v>0.8</v>
      </c>
      <c r="BM284" s="182">
        <v>0.84</v>
      </c>
      <c r="BN284" s="186">
        <v>1.5E-3</v>
      </c>
      <c r="BO284" s="187">
        <v>0.95</v>
      </c>
      <c r="BP284" s="178">
        <v>1</v>
      </c>
      <c r="BQ284" s="186">
        <v>2.5000000000000001E-3</v>
      </c>
    </row>
    <row r="285" spans="1:69" s="156" customFormat="1" ht="22.35" customHeight="1" x14ac:dyDescent="0.2">
      <c r="A285" s="165" t="s">
        <v>339</v>
      </c>
      <c r="B285" s="165" t="s">
        <v>340</v>
      </c>
      <c r="C285" s="165" t="s">
        <v>356</v>
      </c>
      <c r="D285" s="166">
        <v>2.6091871092222201</v>
      </c>
      <c r="E285" s="167"/>
      <c r="F285" s="168">
        <v>6.3E-2</v>
      </c>
      <c r="G285" s="168">
        <v>5.6000000000000001E-2</v>
      </c>
      <c r="H285" s="169"/>
      <c r="I285" s="170">
        <v>6</v>
      </c>
      <c r="J285" s="170">
        <v>6</v>
      </c>
      <c r="K285" s="167"/>
      <c r="L285" s="171">
        <v>1096.4637499999999</v>
      </c>
      <c r="M285" s="171">
        <v>294.21451999999999</v>
      </c>
      <c r="N285" s="171">
        <v>1390.6782700000001</v>
      </c>
      <c r="O285" s="166">
        <v>532.99292530022899</v>
      </c>
      <c r="P285" s="172">
        <v>212.5</v>
      </c>
      <c r="Q285" s="178">
        <v>2.5082020014128399</v>
      </c>
      <c r="R285" s="179">
        <v>765.25611991943401</v>
      </c>
      <c r="S285" s="168">
        <v>0.01</v>
      </c>
      <c r="T285" s="168">
        <v>0.01</v>
      </c>
      <c r="U285" s="175">
        <v>0</v>
      </c>
      <c r="V285" s="176">
        <v>0</v>
      </c>
      <c r="W285" s="167"/>
      <c r="X285" s="175">
        <v>1868.1955949999999</v>
      </c>
      <c r="Y285" s="166">
        <v>716.006754899572</v>
      </c>
      <c r="Z285" s="177">
        <v>573</v>
      </c>
      <c r="AA285" s="178">
        <v>1.24957548848093</v>
      </c>
      <c r="AB285" s="179">
        <v>181.76316207687299</v>
      </c>
      <c r="AC285" s="168">
        <v>0.02</v>
      </c>
      <c r="AD285" s="168">
        <v>0.02</v>
      </c>
      <c r="AE285" s="176">
        <v>0</v>
      </c>
      <c r="AF285" s="176">
        <v>0</v>
      </c>
      <c r="AG285" s="167"/>
      <c r="AH285" s="180">
        <v>174.4</v>
      </c>
      <c r="AI285" s="166">
        <v>66.840741081227904</v>
      </c>
      <c r="AJ285" s="181" t="s">
        <v>53</v>
      </c>
      <c r="AK285" s="182">
        <v>1.0609641441464699</v>
      </c>
      <c r="AL285" s="183">
        <v>-11.0192727297679</v>
      </c>
      <c r="AM285" s="168">
        <v>1.2999999999999999E-2</v>
      </c>
      <c r="AN285" s="168">
        <v>6.0000000000000001E-3</v>
      </c>
      <c r="AO285" s="176">
        <v>0</v>
      </c>
      <c r="AP285" s="176">
        <v>23</v>
      </c>
      <c r="AQ285" s="167"/>
      <c r="AR285" s="180">
        <v>12.2</v>
      </c>
      <c r="AS285" s="166">
        <v>4.6757857866455304</v>
      </c>
      <c r="AT285" s="181" t="s">
        <v>54</v>
      </c>
      <c r="AU285" s="173">
        <v>0.29223661166534598</v>
      </c>
      <c r="AV285" s="174">
        <v>-34.890608947242598</v>
      </c>
      <c r="AW285" s="168"/>
      <c r="AX285" s="168"/>
      <c r="AY285" s="176">
        <v>30</v>
      </c>
      <c r="AZ285" s="176">
        <v>38</v>
      </c>
      <c r="BA285" s="167"/>
      <c r="BB285" s="184">
        <v>119</v>
      </c>
      <c r="BC285" s="180">
        <v>45.608074476296501</v>
      </c>
      <c r="BD285" s="181" t="s">
        <v>55</v>
      </c>
      <c r="BE285" s="178">
        <v>1.4252523273842701</v>
      </c>
      <c r="BF285" s="179">
        <v>24.8187821055147</v>
      </c>
      <c r="BG285" s="168">
        <v>0.02</v>
      </c>
      <c r="BH285" s="168">
        <v>0.02</v>
      </c>
      <c r="BI285" s="176">
        <v>0</v>
      </c>
      <c r="BJ285" s="176">
        <v>0</v>
      </c>
      <c r="BK285" s="169"/>
      <c r="BL285" s="185">
        <v>0.8</v>
      </c>
      <c r="BM285" s="182">
        <v>0.85</v>
      </c>
      <c r="BN285" s="186">
        <v>1.8749999999999999E-3</v>
      </c>
      <c r="BO285" s="187">
        <v>0.95</v>
      </c>
      <c r="BP285" s="178">
        <v>1</v>
      </c>
      <c r="BQ285" s="186">
        <v>2.5000000000000001E-3</v>
      </c>
    </row>
    <row r="286" spans="1:69" s="156" customFormat="1" ht="22.35" customHeight="1" x14ac:dyDescent="0.2">
      <c r="A286" s="165" t="s">
        <v>339</v>
      </c>
      <c r="B286" s="165" t="s">
        <v>357</v>
      </c>
      <c r="C286" s="165" t="s">
        <v>358</v>
      </c>
      <c r="D286" s="166">
        <v>2.5673660413333299</v>
      </c>
      <c r="E286" s="167"/>
      <c r="F286" s="168">
        <v>7.0000000000000007E-2</v>
      </c>
      <c r="G286" s="168">
        <v>7.0000000000000007E-2</v>
      </c>
      <c r="H286" s="169"/>
      <c r="I286" s="170">
        <v>6</v>
      </c>
      <c r="J286" s="170">
        <v>6</v>
      </c>
      <c r="K286" s="167"/>
      <c r="L286" s="171">
        <v>5591.2634900000003</v>
      </c>
      <c r="M286" s="171">
        <v>1478.1783</v>
      </c>
      <c r="N286" s="171">
        <v>7069.4417899999999</v>
      </c>
      <c r="O286" s="166">
        <v>2753.5776652746299</v>
      </c>
      <c r="P286" s="172">
        <v>212.5</v>
      </c>
      <c r="Q286" s="178">
        <v>12.958012542468801</v>
      </c>
      <c r="R286" s="179">
        <v>6454.0441498924001</v>
      </c>
      <c r="S286" s="168">
        <v>0.01</v>
      </c>
      <c r="T286" s="168">
        <v>0.01</v>
      </c>
      <c r="U286" s="175">
        <v>0</v>
      </c>
      <c r="V286" s="176">
        <v>0</v>
      </c>
      <c r="W286" s="167"/>
      <c r="X286" s="175">
        <v>2218.54646</v>
      </c>
      <c r="Y286" s="166">
        <v>864.133288468606</v>
      </c>
      <c r="Z286" s="177">
        <v>573</v>
      </c>
      <c r="AA286" s="178">
        <v>1.5080860182698199</v>
      </c>
      <c r="AB286" s="179">
        <v>559.14482338045002</v>
      </c>
      <c r="AC286" s="168">
        <v>0.02</v>
      </c>
      <c r="AD286" s="168">
        <v>0.02</v>
      </c>
      <c r="AE286" s="176">
        <v>0</v>
      </c>
      <c r="AF286" s="176">
        <v>0</v>
      </c>
      <c r="AG286" s="167"/>
      <c r="AH286" s="180">
        <v>214.8</v>
      </c>
      <c r="AI286" s="166">
        <v>83.6655142047629</v>
      </c>
      <c r="AJ286" s="181" t="s">
        <v>53</v>
      </c>
      <c r="AK286" s="178">
        <v>1.32802403499624</v>
      </c>
      <c r="AL286" s="179">
        <v>32.3526996386883</v>
      </c>
      <c r="AM286" s="168">
        <v>0.02</v>
      </c>
      <c r="AN286" s="168">
        <v>0.02</v>
      </c>
      <c r="AO286" s="176">
        <v>0</v>
      </c>
      <c r="AP286" s="176">
        <v>0</v>
      </c>
      <c r="AQ286" s="167"/>
      <c r="AR286" s="180">
        <v>22.4</v>
      </c>
      <c r="AS286" s="166">
        <v>8.7248953360646606</v>
      </c>
      <c r="AT286" s="181" t="s">
        <v>54</v>
      </c>
      <c r="AU286" s="173">
        <v>0.54530595850404096</v>
      </c>
      <c r="AV286" s="174">
        <v>-23.935822313983898</v>
      </c>
      <c r="AW286" s="168"/>
      <c r="AX286" s="168"/>
      <c r="AY286" s="176">
        <v>19</v>
      </c>
      <c r="AZ286" s="176">
        <v>27</v>
      </c>
      <c r="BA286" s="167"/>
      <c r="BB286" s="184">
        <v>133.4</v>
      </c>
      <c r="BC286" s="180">
        <v>51.959867760313699</v>
      </c>
      <c r="BD286" s="181" t="s">
        <v>55</v>
      </c>
      <c r="BE286" s="178">
        <v>1.6237458675098</v>
      </c>
      <c r="BF286" s="179">
        <v>40.728355372032098</v>
      </c>
      <c r="BG286" s="168">
        <v>0.02</v>
      </c>
      <c r="BH286" s="168">
        <v>0.02</v>
      </c>
      <c r="BI286" s="176">
        <v>0</v>
      </c>
      <c r="BJ286" s="176">
        <v>0</v>
      </c>
      <c r="BK286" s="169"/>
      <c r="BL286" s="185">
        <v>0.8</v>
      </c>
      <c r="BM286" s="182">
        <v>0.81</v>
      </c>
      <c r="BN286" s="186">
        <v>3.7500000000000001E-4</v>
      </c>
      <c r="BO286" s="187">
        <v>0.95</v>
      </c>
      <c r="BP286" s="178">
        <v>1</v>
      </c>
      <c r="BQ286" s="186">
        <v>2.5000000000000001E-3</v>
      </c>
    </row>
    <row r="287" spans="1:69" s="156" customFormat="1" ht="22.35" customHeight="1" x14ac:dyDescent="0.2">
      <c r="A287" s="165" t="s">
        <v>339</v>
      </c>
      <c r="B287" s="165" t="s">
        <v>357</v>
      </c>
      <c r="C287" s="165" t="s">
        <v>359</v>
      </c>
      <c r="D287" s="166">
        <v>2.9278143756666699</v>
      </c>
      <c r="E287" s="167"/>
      <c r="F287" s="168">
        <v>6.6000000000000003E-2</v>
      </c>
      <c r="G287" s="168">
        <v>5.6000000000000001E-2</v>
      </c>
      <c r="H287" s="169"/>
      <c r="I287" s="170">
        <v>6</v>
      </c>
      <c r="J287" s="170">
        <v>6</v>
      </c>
      <c r="K287" s="167"/>
      <c r="L287" s="171">
        <v>1462.04519</v>
      </c>
      <c r="M287" s="171">
        <v>1006.96728</v>
      </c>
      <c r="N287" s="171">
        <v>2469.0124700000001</v>
      </c>
      <c r="O287" s="166">
        <v>843.29542559808101</v>
      </c>
      <c r="P287" s="172">
        <v>220.75700000000001</v>
      </c>
      <c r="Q287" s="178">
        <v>3.8200166952716401</v>
      </c>
      <c r="R287" s="179">
        <v>1739.9460055504401</v>
      </c>
      <c r="S287" s="168">
        <v>0.01</v>
      </c>
      <c r="T287" s="168">
        <v>0.01</v>
      </c>
      <c r="U287" s="175">
        <v>0</v>
      </c>
      <c r="V287" s="176">
        <v>0</v>
      </c>
      <c r="W287" s="167"/>
      <c r="X287" s="175">
        <v>1967.0950949999999</v>
      </c>
      <c r="Y287" s="166">
        <v>671.86468901468197</v>
      </c>
      <c r="Z287" s="177">
        <v>573</v>
      </c>
      <c r="AA287" s="178">
        <v>1.17253872428391</v>
      </c>
      <c r="AB287" s="179">
        <v>74.719840174101606</v>
      </c>
      <c r="AC287" s="168">
        <v>0.02</v>
      </c>
      <c r="AD287" s="168">
        <v>1.7000000000000001E-2</v>
      </c>
      <c r="AE287" s="176">
        <v>0</v>
      </c>
      <c r="AF287" s="176">
        <v>47</v>
      </c>
      <c r="AG287" s="167"/>
      <c r="AH287" s="180">
        <v>201.4</v>
      </c>
      <c r="AI287" s="166">
        <v>68.788513941954093</v>
      </c>
      <c r="AJ287" s="181" t="s">
        <v>53</v>
      </c>
      <c r="AK287" s="182">
        <v>1.0918811736818099</v>
      </c>
      <c r="AL287" s="183">
        <v>-6.6622007923762396</v>
      </c>
      <c r="AM287" s="168">
        <v>1.6E-2</v>
      </c>
      <c r="AN287" s="168">
        <v>8.9999999999999993E-3</v>
      </c>
      <c r="AO287" s="176">
        <v>0</v>
      </c>
      <c r="AP287" s="176">
        <v>20</v>
      </c>
      <c r="AQ287" s="167"/>
      <c r="AR287" s="180">
        <v>11</v>
      </c>
      <c r="AS287" s="166">
        <v>3.7570687853103002</v>
      </c>
      <c r="AT287" s="181" t="s">
        <v>54</v>
      </c>
      <c r="AU287" s="173">
        <v>0.23481679908189401</v>
      </c>
      <c r="AV287" s="174">
        <v>-41.841193852032099</v>
      </c>
      <c r="AW287" s="168"/>
      <c r="AX287" s="168"/>
      <c r="AY287" s="176">
        <v>36</v>
      </c>
      <c r="AZ287" s="176">
        <v>46</v>
      </c>
      <c r="BA287" s="167"/>
      <c r="BB287" s="184">
        <v>120.8</v>
      </c>
      <c r="BC287" s="180">
        <v>41.259446296862201</v>
      </c>
      <c r="BD287" s="181" t="s">
        <v>55</v>
      </c>
      <c r="BE287" s="178">
        <v>1.28935769677694</v>
      </c>
      <c r="BF287" s="179">
        <v>15.117612295935899</v>
      </c>
      <c r="BG287" s="168">
        <v>0.02</v>
      </c>
      <c r="BH287" s="168">
        <v>0.02</v>
      </c>
      <c r="BI287" s="176">
        <v>0</v>
      </c>
      <c r="BJ287" s="176">
        <v>0</v>
      </c>
      <c r="BK287" s="169"/>
      <c r="BL287" s="185">
        <v>0.8</v>
      </c>
      <c r="BM287" s="182">
        <v>0.87</v>
      </c>
      <c r="BN287" s="186">
        <v>2.6250000000000002E-3</v>
      </c>
      <c r="BO287" s="187">
        <v>0.95</v>
      </c>
      <c r="BP287" s="178">
        <v>1</v>
      </c>
      <c r="BQ287" s="186">
        <v>2.5000000000000001E-3</v>
      </c>
    </row>
    <row r="288" spans="1:69" s="156" customFormat="1" ht="22.35" customHeight="1" x14ac:dyDescent="0.2">
      <c r="A288" s="165" t="s">
        <v>339</v>
      </c>
      <c r="B288" s="165" t="s">
        <v>357</v>
      </c>
      <c r="C288" s="165" t="s">
        <v>360</v>
      </c>
      <c r="D288" s="166">
        <v>3.9837235643333302</v>
      </c>
      <c r="E288" s="167"/>
      <c r="F288" s="168">
        <v>2.7E-2</v>
      </c>
      <c r="G288" s="168">
        <v>1.4999999999999999E-2</v>
      </c>
      <c r="H288" s="169"/>
      <c r="I288" s="170">
        <v>5</v>
      </c>
      <c r="J288" s="170">
        <v>4</v>
      </c>
      <c r="K288" s="167"/>
      <c r="L288" s="171">
        <v>1659.39426</v>
      </c>
      <c r="M288" s="171">
        <v>420.85658999999998</v>
      </c>
      <c r="N288" s="171">
        <v>2080.2508499999999</v>
      </c>
      <c r="O288" s="166">
        <v>522.18755051798496</v>
      </c>
      <c r="P288" s="172">
        <v>222.58099999999999</v>
      </c>
      <c r="Q288" s="178">
        <v>2.3460562694838498</v>
      </c>
      <c r="R288" s="179">
        <v>1080.0519249689901</v>
      </c>
      <c r="S288" s="168">
        <v>0.01</v>
      </c>
      <c r="T288" s="168">
        <v>0.01</v>
      </c>
      <c r="U288" s="175">
        <v>0</v>
      </c>
      <c r="V288" s="176">
        <v>0</v>
      </c>
      <c r="W288" s="167"/>
      <c r="X288" s="175">
        <v>2265.1956100000002</v>
      </c>
      <c r="Y288" s="166">
        <v>568.61264930140203</v>
      </c>
      <c r="Z288" s="177">
        <v>573</v>
      </c>
      <c r="AA288" s="182">
        <v>0.992343192498083</v>
      </c>
      <c r="AB288" s="183">
        <v>-309.66021346546199</v>
      </c>
      <c r="AC288" s="168">
        <v>6.0000000000000001E-3</v>
      </c>
      <c r="AD288" s="168"/>
      <c r="AE288" s="176">
        <v>18</v>
      </c>
      <c r="AF288" s="176">
        <v>475</v>
      </c>
      <c r="AG288" s="167"/>
      <c r="AH288" s="180">
        <v>190.45</v>
      </c>
      <c r="AI288" s="166">
        <v>47.807032020273098</v>
      </c>
      <c r="AJ288" s="181" t="s">
        <v>53</v>
      </c>
      <c r="AK288" s="188">
        <v>0.75884177809957198</v>
      </c>
      <c r="AL288" s="171">
        <v>-92.649331375783802</v>
      </c>
      <c r="AM288" s="168"/>
      <c r="AN288" s="168"/>
      <c r="AO288" s="176">
        <v>61</v>
      </c>
      <c r="AP288" s="176">
        <v>111</v>
      </c>
      <c r="AQ288" s="167"/>
      <c r="AR288" s="180">
        <v>12.8</v>
      </c>
      <c r="AS288" s="166">
        <v>3.2130743494853999</v>
      </c>
      <c r="AT288" s="181" t="s">
        <v>54</v>
      </c>
      <c r="AU288" s="173">
        <v>0.200817146842837</v>
      </c>
      <c r="AV288" s="174">
        <v>-59.098242889087899</v>
      </c>
      <c r="AW288" s="168"/>
      <c r="AX288" s="168"/>
      <c r="AY288" s="176">
        <v>51</v>
      </c>
      <c r="AZ288" s="176">
        <v>64</v>
      </c>
      <c r="BA288" s="167"/>
      <c r="BB288" s="184">
        <v>133.6</v>
      </c>
      <c r="BC288" s="180">
        <v>33.536463522753898</v>
      </c>
      <c r="BD288" s="181" t="s">
        <v>55</v>
      </c>
      <c r="BE288" s="182">
        <v>1.04801448508606</v>
      </c>
      <c r="BF288" s="183">
        <v>-10.1964857781759</v>
      </c>
      <c r="BG288" s="168">
        <v>1.0999999999999999E-2</v>
      </c>
      <c r="BH288" s="168">
        <v>5.0000000000000001E-3</v>
      </c>
      <c r="BI288" s="176">
        <v>0</v>
      </c>
      <c r="BJ288" s="176">
        <v>20</v>
      </c>
      <c r="BK288" s="169"/>
      <c r="BL288" s="185">
        <v>0.8</v>
      </c>
      <c r="BM288" s="182">
        <v>0.82</v>
      </c>
      <c r="BN288" s="186">
        <v>7.5000000000000002E-4</v>
      </c>
      <c r="BO288" s="187">
        <v>0.95</v>
      </c>
      <c r="BP288" s="178">
        <v>1</v>
      </c>
      <c r="BQ288" s="186">
        <v>2.5000000000000001E-3</v>
      </c>
    </row>
    <row r="289" spans="1:69" s="156" customFormat="1" ht="22.35" customHeight="1" x14ac:dyDescent="0.2">
      <c r="A289" s="165" t="s">
        <v>339</v>
      </c>
      <c r="B289" s="165" t="s">
        <v>357</v>
      </c>
      <c r="C289" s="165" t="s">
        <v>361</v>
      </c>
      <c r="D289" s="166">
        <v>5.0138817773333297</v>
      </c>
      <c r="E289" s="167"/>
      <c r="F289" s="168">
        <v>5.1999999999999998E-2</v>
      </c>
      <c r="G289" s="168">
        <v>3.6999999999999998E-2</v>
      </c>
      <c r="H289" s="169"/>
      <c r="I289" s="170">
        <v>6</v>
      </c>
      <c r="J289" s="170">
        <v>5</v>
      </c>
      <c r="K289" s="167"/>
      <c r="L289" s="171">
        <v>4143.0157600000002</v>
      </c>
      <c r="M289" s="171">
        <v>3821.5962100000002</v>
      </c>
      <c r="N289" s="171">
        <v>7964.6119699999999</v>
      </c>
      <c r="O289" s="166">
        <v>1588.51211969263</v>
      </c>
      <c r="P289" s="172">
        <v>268.01799999999997</v>
      </c>
      <c r="Q289" s="178">
        <v>5.9268859542740797</v>
      </c>
      <c r="R289" s="179">
        <v>6448.7936513294198</v>
      </c>
      <c r="S289" s="168">
        <v>0.01</v>
      </c>
      <c r="T289" s="168">
        <v>0.01</v>
      </c>
      <c r="U289" s="175">
        <v>0</v>
      </c>
      <c r="V289" s="176">
        <v>0</v>
      </c>
      <c r="W289" s="167"/>
      <c r="X289" s="175">
        <v>3173.2135950000002</v>
      </c>
      <c r="Y289" s="166">
        <v>632.88560359468499</v>
      </c>
      <c r="Z289" s="177">
        <v>573</v>
      </c>
      <c r="AA289" s="182">
        <v>1.1045123971984001</v>
      </c>
      <c r="AB289" s="183">
        <v>-67.478808488733605</v>
      </c>
      <c r="AC289" s="168">
        <v>1.7999999999999999E-2</v>
      </c>
      <c r="AD289" s="168">
        <v>0.01</v>
      </c>
      <c r="AE289" s="176">
        <v>0</v>
      </c>
      <c r="AF289" s="176">
        <v>275</v>
      </c>
      <c r="AG289" s="167"/>
      <c r="AH289" s="180">
        <v>308.14999999999998</v>
      </c>
      <c r="AI289" s="166">
        <v>61.459366950588802</v>
      </c>
      <c r="AJ289" s="181" t="s">
        <v>53</v>
      </c>
      <c r="AK289" s="182">
        <v>0.97554550715220401</v>
      </c>
      <c r="AL289" s="183">
        <v>-48.156494624415799</v>
      </c>
      <c r="AM289" s="168">
        <v>4.0000000000000001E-3</v>
      </c>
      <c r="AN289" s="168"/>
      <c r="AO289" s="176">
        <v>8</v>
      </c>
      <c r="AP289" s="176">
        <v>71</v>
      </c>
      <c r="AQ289" s="167"/>
      <c r="AR289" s="180">
        <v>54.5</v>
      </c>
      <c r="AS289" s="166">
        <v>10.869821511624499</v>
      </c>
      <c r="AT289" s="181" t="s">
        <v>54</v>
      </c>
      <c r="AU289" s="173">
        <v>0.67936384447653198</v>
      </c>
      <c r="AV289" s="174">
        <v>-35.990538317311902</v>
      </c>
      <c r="AW289" s="168"/>
      <c r="AX289" s="168"/>
      <c r="AY289" s="176">
        <v>26</v>
      </c>
      <c r="AZ289" s="176">
        <v>42</v>
      </c>
      <c r="BA289" s="167"/>
      <c r="BB289" s="184">
        <v>188.2</v>
      </c>
      <c r="BC289" s="180">
        <v>37.535787311701498</v>
      </c>
      <c r="BD289" s="181" t="s">
        <v>55</v>
      </c>
      <c r="BE289" s="178">
        <v>1.17299335349067</v>
      </c>
      <c r="BF289" s="179">
        <v>7.2189233653761304</v>
      </c>
      <c r="BG289" s="168">
        <v>0.02</v>
      </c>
      <c r="BH289" s="168">
        <v>1.7000000000000001E-2</v>
      </c>
      <c r="BI289" s="176">
        <v>0</v>
      </c>
      <c r="BJ289" s="176">
        <v>5</v>
      </c>
      <c r="BK289" s="169"/>
      <c r="BL289" s="185">
        <v>0.8</v>
      </c>
      <c r="BM289" s="182">
        <v>0.82</v>
      </c>
      <c r="BN289" s="186">
        <v>7.5000000000000002E-4</v>
      </c>
      <c r="BO289" s="187">
        <v>0.95</v>
      </c>
      <c r="BP289" s="178">
        <v>1</v>
      </c>
      <c r="BQ289" s="186">
        <v>2.5000000000000001E-3</v>
      </c>
    </row>
    <row r="290" spans="1:69" s="156" customFormat="1" ht="22.35" customHeight="1" x14ac:dyDescent="0.2">
      <c r="A290" s="165" t="s">
        <v>339</v>
      </c>
      <c r="B290" s="165" t="s">
        <v>357</v>
      </c>
      <c r="C290" s="165" t="s">
        <v>362</v>
      </c>
      <c r="D290" s="166">
        <v>1.8723945526666701</v>
      </c>
      <c r="E290" s="167"/>
      <c r="F290" s="168">
        <v>0.06</v>
      </c>
      <c r="G290" s="168">
        <v>0.06</v>
      </c>
      <c r="H290" s="169"/>
      <c r="I290" s="170">
        <v>5</v>
      </c>
      <c r="J290" s="170">
        <v>5</v>
      </c>
      <c r="K290" s="167"/>
      <c r="L290" s="171">
        <v>-3222.7905500000002</v>
      </c>
      <c r="M290" s="171">
        <v>216.99044000000001</v>
      </c>
      <c r="N290" s="171">
        <v>-3005.8001100000001</v>
      </c>
      <c r="O290" s="166">
        <v>-1605.3241052849301</v>
      </c>
      <c r="P290" s="172">
        <v>218.47</v>
      </c>
      <c r="Q290" s="173">
        <v>-7.3480299596508898</v>
      </c>
      <c r="R290" s="174">
        <v>-3467.22208877499</v>
      </c>
      <c r="S290" s="168"/>
      <c r="T290" s="168"/>
      <c r="U290" s="175">
        <v>3415</v>
      </c>
      <c r="V290" s="176">
        <v>3497</v>
      </c>
      <c r="W290" s="167"/>
      <c r="X290" s="175">
        <v>1861.2276099999999</v>
      </c>
      <c r="Y290" s="166">
        <v>994.03600985125502</v>
      </c>
      <c r="Z290" s="177">
        <v>573</v>
      </c>
      <c r="AA290" s="178">
        <v>1.73479233830935</v>
      </c>
      <c r="AB290" s="179">
        <v>651.01662525121401</v>
      </c>
      <c r="AC290" s="168">
        <v>0.02</v>
      </c>
      <c r="AD290" s="168">
        <v>0.02</v>
      </c>
      <c r="AE290" s="176">
        <v>0</v>
      </c>
      <c r="AF290" s="176">
        <v>0</v>
      </c>
      <c r="AG290" s="167"/>
      <c r="AH290" s="180">
        <v>173</v>
      </c>
      <c r="AI290" s="166">
        <v>92.395056241545404</v>
      </c>
      <c r="AJ290" s="181" t="s">
        <v>53</v>
      </c>
      <c r="AK290" s="178">
        <v>1.4665881943102499</v>
      </c>
      <c r="AL290" s="179">
        <v>39.940153509295797</v>
      </c>
      <c r="AM290" s="168">
        <v>0.02</v>
      </c>
      <c r="AN290" s="168">
        <v>0.02</v>
      </c>
      <c r="AO290" s="176">
        <v>0</v>
      </c>
      <c r="AP290" s="176">
        <v>0</v>
      </c>
      <c r="AQ290" s="167"/>
      <c r="AR290" s="180">
        <v>8</v>
      </c>
      <c r="AS290" s="166">
        <v>4.2726037568344699</v>
      </c>
      <c r="AT290" s="181" t="s">
        <v>54</v>
      </c>
      <c r="AU290" s="173">
        <v>0.26703773480215398</v>
      </c>
      <c r="AV290" s="174">
        <v>-25.792976886528098</v>
      </c>
      <c r="AW290" s="168"/>
      <c r="AX290" s="168"/>
      <c r="AY290" s="176">
        <v>22</v>
      </c>
      <c r="AZ290" s="176">
        <v>28</v>
      </c>
      <c r="BA290" s="167"/>
      <c r="BB290" s="184">
        <v>85.4</v>
      </c>
      <c r="BC290" s="180">
        <v>45.610045104207998</v>
      </c>
      <c r="BD290" s="181" t="s">
        <v>55</v>
      </c>
      <c r="BE290" s="178">
        <v>1.4253139095064999</v>
      </c>
      <c r="BF290" s="179">
        <v>17.814046226943901</v>
      </c>
      <c r="BG290" s="168">
        <v>0.02</v>
      </c>
      <c r="BH290" s="168">
        <v>0.02</v>
      </c>
      <c r="BI290" s="176">
        <v>0</v>
      </c>
      <c r="BJ290" s="176">
        <v>0</v>
      </c>
      <c r="BK290" s="169"/>
      <c r="BL290" s="185">
        <v>0.8</v>
      </c>
      <c r="BM290" s="182">
        <v>0.84</v>
      </c>
      <c r="BN290" s="186">
        <v>1.5E-3</v>
      </c>
      <c r="BO290" s="187">
        <v>0.95</v>
      </c>
      <c r="BP290" s="178">
        <v>1</v>
      </c>
      <c r="BQ290" s="186">
        <v>2.5000000000000001E-3</v>
      </c>
    </row>
    <row r="291" spans="1:69" s="156" customFormat="1" ht="22.35" customHeight="1" x14ac:dyDescent="0.2">
      <c r="A291" s="165" t="s">
        <v>339</v>
      </c>
      <c r="B291" s="165" t="s">
        <v>357</v>
      </c>
      <c r="C291" s="165" t="s">
        <v>363</v>
      </c>
      <c r="D291" s="166">
        <v>2.0195966231111102</v>
      </c>
      <c r="E291" s="167"/>
      <c r="F291" s="168">
        <v>0.01</v>
      </c>
      <c r="G291" s="168">
        <v>0.01</v>
      </c>
      <c r="H291" s="169"/>
      <c r="I291" s="170">
        <v>2</v>
      </c>
      <c r="J291" s="170">
        <v>2</v>
      </c>
      <c r="K291" s="167"/>
      <c r="L291" s="171">
        <v>1083.05331</v>
      </c>
      <c r="M291" s="171">
        <v>-132.38042999999999</v>
      </c>
      <c r="N291" s="171">
        <v>950.67287999999996</v>
      </c>
      <c r="O291" s="166">
        <v>470.72413823683502</v>
      </c>
      <c r="P291" s="172">
        <v>212.5</v>
      </c>
      <c r="Q291" s="178">
        <v>2.2151724152321601</v>
      </c>
      <c r="R291" s="179">
        <v>466.57556944026697</v>
      </c>
      <c r="S291" s="168">
        <v>0.01</v>
      </c>
      <c r="T291" s="168">
        <v>0.01</v>
      </c>
      <c r="U291" s="175">
        <v>0</v>
      </c>
      <c r="V291" s="176">
        <v>0</v>
      </c>
      <c r="W291" s="167"/>
      <c r="X291" s="175">
        <v>943.08112500000004</v>
      </c>
      <c r="Y291" s="166">
        <v>466.96509303289503</v>
      </c>
      <c r="Z291" s="177">
        <v>573</v>
      </c>
      <c r="AA291" s="188">
        <v>0.81494780634012998</v>
      </c>
      <c r="AB291" s="171">
        <v>-362.27303476812699</v>
      </c>
      <c r="AC291" s="168"/>
      <c r="AD291" s="168"/>
      <c r="AE291" s="176">
        <v>215</v>
      </c>
      <c r="AF291" s="176">
        <v>446</v>
      </c>
      <c r="AG291" s="167"/>
      <c r="AH291" s="180">
        <v>77.7</v>
      </c>
      <c r="AI291" s="166">
        <v>38.473029272700103</v>
      </c>
      <c r="AJ291" s="181" t="s">
        <v>53</v>
      </c>
      <c r="AK291" s="173">
        <v>0.61068300432857203</v>
      </c>
      <c r="AL291" s="174">
        <v>-65.820614424767896</v>
      </c>
      <c r="AM291" s="168"/>
      <c r="AN291" s="168"/>
      <c r="AO291" s="176">
        <v>50</v>
      </c>
      <c r="AP291" s="176">
        <v>75</v>
      </c>
      <c r="AQ291" s="167"/>
      <c r="AR291" s="180">
        <v>6</v>
      </c>
      <c r="AS291" s="166">
        <v>2.9708902913281898</v>
      </c>
      <c r="AT291" s="181" t="s">
        <v>54</v>
      </c>
      <c r="AU291" s="173">
        <v>0.185680643208012</v>
      </c>
      <c r="AV291" s="174">
        <v>-30.449679853909299</v>
      </c>
      <c r="AW291" s="168"/>
      <c r="AX291" s="168"/>
      <c r="AY291" s="176">
        <v>27</v>
      </c>
      <c r="AZ291" s="176">
        <v>33</v>
      </c>
      <c r="BA291" s="167"/>
      <c r="BB291" s="184">
        <v>58</v>
      </c>
      <c r="BC291" s="180">
        <v>28.718606149505799</v>
      </c>
      <c r="BD291" s="181" t="s">
        <v>55</v>
      </c>
      <c r="BE291" s="188">
        <v>0.897456442172057</v>
      </c>
      <c r="BF291" s="171">
        <v>-14.899359707818601</v>
      </c>
      <c r="BG291" s="168"/>
      <c r="BH291" s="168"/>
      <c r="BI291" s="176">
        <v>7</v>
      </c>
      <c r="BJ291" s="176">
        <v>20</v>
      </c>
      <c r="BK291" s="169"/>
      <c r="BL291" s="185">
        <v>0.8</v>
      </c>
      <c r="BM291" s="188">
        <v>0.75</v>
      </c>
      <c r="BN291" s="186"/>
      <c r="BO291" s="187">
        <v>0.95</v>
      </c>
      <c r="BP291" s="178">
        <v>1</v>
      </c>
      <c r="BQ291" s="186">
        <v>2.5000000000000001E-3</v>
      </c>
    </row>
    <row r="292" spans="1:69" s="156" customFormat="1" ht="22.35" customHeight="1" x14ac:dyDescent="0.2">
      <c r="A292" s="165" t="s">
        <v>339</v>
      </c>
      <c r="B292" s="165" t="s">
        <v>357</v>
      </c>
      <c r="C292" s="165" t="s">
        <v>364</v>
      </c>
      <c r="D292" s="166">
        <v>2.89402288477778</v>
      </c>
      <c r="E292" s="167"/>
      <c r="F292" s="168">
        <v>0.01</v>
      </c>
      <c r="G292" s="168">
        <v>0.01</v>
      </c>
      <c r="H292" s="169"/>
      <c r="I292" s="170">
        <v>3</v>
      </c>
      <c r="J292" s="170">
        <v>3</v>
      </c>
      <c r="K292" s="167"/>
      <c r="L292" s="171">
        <v>1129.3476000000001</v>
      </c>
      <c r="M292" s="171">
        <v>549.47811999999999</v>
      </c>
      <c r="N292" s="171">
        <v>1678.82572</v>
      </c>
      <c r="O292" s="166">
        <v>580.10105200979103</v>
      </c>
      <c r="P292" s="172">
        <v>212.5</v>
      </c>
      <c r="Q292" s="178">
        <v>2.7298873035754898</v>
      </c>
      <c r="R292" s="179">
        <v>985.12843451876597</v>
      </c>
      <c r="S292" s="168">
        <v>0.01</v>
      </c>
      <c r="T292" s="168">
        <v>0.01</v>
      </c>
      <c r="U292" s="175">
        <v>0</v>
      </c>
      <c r="V292" s="176">
        <v>0</v>
      </c>
      <c r="W292" s="167"/>
      <c r="X292" s="175">
        <v>1367.2657850000001</v>
      </c>
      <c r="Y292" s="166">
        <v>472.444703941927</v>
      </c>
      <c r="Z292" s="177">
        <v>573</v>
      </c>
      <c r="AA292" s="188">
        <v>0.82451082712378199</v>
      </c>
      <c r="AB292" s="171">
        <v>-503.26854243881002</v>
      </c>
      <c r="AC292" s="168"/>
      <c r="AD292" s="168"/>
      <c r="AE292" s="176">
        <v>292</v>
      </c>
      <c r="AF292" s="176">
        <v>623</v>
      </c>
      <c r="AG292" s="167"/>
      <c r="AH292" s="180">
        <v>94.4</v>
      </c>
      <c r="AI292" s="166">
        <v>32.618954223386702</v>
      </c>
      <c r="AJ292" s="181" t="s">
        <v>53</v>
      </c>
      <c r="AK292" s="173">
        <v>0.51776117814899603</v>
      </c>
      <c r="AL292" s="174">
        <v>-111.26084228384801</v>
      </c>
      <c r="AM292" s="168"/>
      <c r="AN292" s="168"/>
      <c r="AO292" s="176">
        <v>88</v>
      </c>
      <c r="AP292" s="176">
        <v>125</v>
      </c>
      <c r="AQ292" s="167"/>
      <c r="AR292" s="180">
        <v>1</v>
      </c>
      <c r="AS292" s="166">
        <v>0.34553976931553798</v>
      </c>
      <c r="AT292" s="181" t="s">
        <v>54</v>
      </c>
      <c r="AU292" s="173">
        <v>2.15962355822211E-2</v>
      </c>
      <c r="AV292" s="174">
        <v>-51.231325024469399</v>
      </c>
      <c r="AW292" s="168"/>
      <c r="AX292" s="168"/>
      <c r="AY292" s="176">
        <v>46</v>
      </c>
      <c r="AZ292" s="176">
        <v>55</v>
      </c>
      <c r="BA292" s="167"/>
      <c r="BB292" s="184">
        <v>63.2</v>
      </c>
      <c r="BC292" s="180">
        <v>21.838113420742001</v>
      </c>
      <c r="BD292" s="181" t="s">
        <v>55</v>
      </c>
      <c r="BE292" s="173">
        <v>0.68244104439818698</v>
      </c>
      <c r="BF292" s="174">
        <v>-41.262650048938802</v>
      </c>
      <c r="BG292" s="168"/>
      <c r="BH292" s="168"/>
      <c r="BI292" s="176">
        <v>30</v>
      </c>
      <c r="BJ292" s="176">
        <v>48</v>
      </c>
      <c r="BK292" s="169"/>
      <c r="BL292" s="185">
        <v>0.8</v>
      </c>
      <c r="BM292" s="182">
        <v>0.85</v>
      </c>
      <c r="BN292" s="186">
        <v>1.8749999999999999E-3</v>
      </c>
      <c r="BO292" s="187">
        <v>0.95</v>
      </c>
      <c r="BP292" s="178">
        <v>1</v>
      </c>
      <c r="BQ292" s="186">
        <v>2.5000000000000001E-3</v>
      </c>
    </row>
    <row r="293" spans="1:69" s="156" customFormat="1" ht="22.35" customHeight="1" x14ac:dyDescent="0.2">
      <c r="A293" s="165" t="s">
        <v>339</v>
      </c>
      <c r="B293" s="165" t="s">
        <v>357</v>
      </c>
      <c r="C293" s="165" t="s">
        <v>365</v>
      </c>
      <c r="D293" s="166">
        <v>3.7017378756666699</v>
      </c>
      <c r="E293" s="167"/>
      <c r="F293" s="168">
        <v>4.1000000000000002E-2</v>
      </c>
      <c r="G293" s="168">
        <v>2.8000000000000001E-2</v>
      </c>
      <c r="H293" s="169"/>
      <c r="I293" s="170">
        <v>4</v>
      </c>
      <c r="J293" s="170">
        <v>4</v>
      </c>
      <c r="K293" s="167"/>
      <c r="L293" s="171">
        <v>2422.6076600000001</v>
      </c>
      <c r="M293" s="171">
        <v>-444.75997999999998</v>
      </c>
      <c r="N293" s="171">
        <v>1977.8476800000001</v>
      </c>
      <c r="O293" s="166">
        <v>534.30246722798995</v>
      </c>
      <c r="P293" s="172">
        <v>229.78899999999999</v>
      </c>
      <c r="Q293" s="178">
        <v>2.3251873119600601</v>
      </c>
      <c r="R293" s="179">
        <v>1018.34984876535</v>
      </c>
      <c r="S293" s="168">
        <v>0.01</v>
      </c>
      <c r="T293" s="168">
        <v>0.01</v>
      </c>
      <c r="U293" s="175">
        <v>0</v>
      </c>
      <c r="V293" s="176">
        <v>0</v>
      </c>
      <c r="W293" s="167"/>
      <c r="X293" s="175">
        <v>2218.5691900000002</v>
      </c>
      <c r="Y293" s="166">
        <v>599.33179077420402</v>
      </c>
      <c r="Z293" s="177">
        <v>573</v>
      </c>
      <c r="AA293" s="182">
        <v>1.04595425964084</v>
      </c>
      <c r="AB293" s="183">
        <v>-174.02687550989799</v>
      </c>
      <c r="AC293" s="168">
        <v>1.0999999999999999E-2</v>
      </c>
      <c r="AD293" s="168">
        <v>5.0000000000000001E-3</v>
      </c>
      <c r="AE293" s="176">
        <v>0</v>
      </c>
      <c r="AF293" s="176">
        <v>327</v>
      </c>
      <c r="AG293" s="167"/>
      <c r="AH293" s="180">
        <v>165.7</v>
      </c>
      <c r="AI293" s="166">
        <v>44.762758889338699</v>
      </c>
      <c r="AJ293" s="181" t="s">
        <v>53</v>
      </c>
      <c r="AK293" s="173">
        <v>0.71051998237045599</v>
      </c>
      <c r="AL293" s="174">
        <v>-97.360300396376203</v>
      </c>
      <c r="AM293" s="168"/>
      <c r="AN293" s="168"/>
      <c r="AO293" s="176">
        <v>68</v>
      </c>
      <c r="AP293" s="176">
        <v>115</v>
      </c>
      <c r="AQ293" s="167"/>
      <c r="AR293" s="180">
        <v>18</v>
      </c>
      <c r="AS293" s="166">
        <v>4.8625809294393303</v>
      </c>
      <c r="AT293" s="181" t="s">
        <v>54</v>
      </c>
      <c r="AU293" s="173">
        <v>0.30391130808995798</v>
      </c>
      <c r="AV293" s="174">
        <v>-48.808965180032096</v>
      </c>
      <c r="AW293" s="168"/>
      <c r="AX293" s="168"/>
      <c r="AY293" s="176">
        <v>42</v>
      </c>
      <c r="AZ293" s="176">
        <v>54</v>
      </c>
      <c r="BA293" s="167"/>
      <c r="BB293" s="184">
        <v>133.80000000000001</v>
      </c>
      <c r="BC293" s="180">
        <v>36.145184908832398</v>
      </c>
      <c r="BD293" s="181" t="s">
        <v>55</v>
      </c>
      <c r="BE293" s="178">
        <v>1.12953702840101</v>
      </c>
      <c r="BF293" s="179">
        <v>0.18206963993588901</v>
      </c>
      <c r="BG293" s="168">
        <v>0.02</v>
      </c>
      <c r="BH293" s="168">
        <v>1.2999999999999999E-2</v>
      </c>
      <c r="BI293" s="176">
        <v>0</v>
      </c>
      <c r="BJ293" s="176">
        <v>9</v>
      </c>
      <c r="BK293" s="169"/>
      <c r="BL293" s="185">
        <v>0.8</v>
      </c>
      <c r="BM293" s="188">
        <v>0.76</v>
      </c>
      <c r="BN293" s="186"/>
      <c r="BO293" s="187">
        <v>0.95</v>
      </c>
      <c r="BP293" s="178">
        <v>1</v>
      </c>
      <c r="BQ293" s="186">
        <v>2.5000000000000001E-3</v>
      </c>
    </row>
    <row r="294" spans="1:69" s="156" customFormat="1" ht="22.35" customHeight="1" x14ac:dyDescent="0.2">
      <c r="A294" s="165" t="s">
        <v>339</v>
      </c>
      <c r="B294" s="165" t="s">
        <v>357</v>
      </c>
      <c r="C294" s="165" t="s">
        <v>366</v>
      </c>
      <c r="D294" s="166">
        <v>3.4620816407777801</v>
      </c>
      <c r="E294" s="167"/>
      <c r="F294" s="168">
        <v>0.05</v>
      </c>
      <c r="G294" s="168">
        <v>4.8000000000000001E-2</v>
      </c>
      <c r="H294" s="169"/>
      <c r="I294" s="170">
        <v>5</v>
      </c>
      <c r="J294" s="170">
        <v>5</v>
      </c>
      <c r="K294" s="167"/>
      <c r="L294" s="171">
        <v>1409.4838400000001</v>
      </c>
      <c r="M294" s="171">
        <v>343.35840000000002</v>
      </c>
      <c r="N294" s="171">
        <v>1752.8422399999999</v>
      </c>
      <c r="O294" s="166">
        <v>506.297199740851</v>
      </c>
      <c r="P294" s="172">
        <v>212.5</v>
      </c>
      <c r="Q294" s="178">
        <v>2.3825750576039999</v>
      </c>
      <c r="R294" s="179">
        <v>922.98127070556598</v>
      </c>
      <c r="S294" s="168">
        <v>0.01</v>
      </c>
      <c r="T294" s="168">
        <v>0.01</v>
      </c>
      <c r="U294" s="175">
        <v>0</v>
      </c>
      <c r="V294" s="176">
        <v>0</v>
      </c>
      <c r="W294" s="167"/>
      <c r="X294" s="175">
        <v>2331.6493249999999</v>
      </c>
      <c r="Y294" s="166">
        <v>673.48190104384105</v>
      </c>
      <c r="Z294" s="177">
        <v>573</v>
      </c>
      <c r="AA294" s="178">
        <v>1.1753610838461499</v>
      </c>
      <c r="AB294" s="179">
        <v>93.953628973126797</v>
      </c>
      <c r="AC294" s="168">
        <v>0.02</v>
      </c>
      <c r="AD294" s="168">
        <v>1.7999999999999999E-2</v>
      </c>
      <c r="AE294" s="176">
        <v>0</v>
      </c>
      <c r="AF294" s="176">
        <v>49</v>
      </c>
      <c r="AG294" s="167"/>
      <c r="AH294" s="180">
        <v>187.8</v>
      </c>
      <c r="AI294" s="166">
        <v>54.244821320218598</v>
      </c>
      <c r="AJ294" s="181" t="s">
        <v>53</v>
      </c>
      <c r="AK294" s="188">
        <v>0.86102890984474001</v>
      </c>
      <c r="AL294" s="171">
        <v>-58.229369720232199</v>
      </c>
      <c r="AM294" s="168"/>
      <c r="AN294" s="168"/>
      <c r="AO294" s="176">
        <v>31</v>
      </c>
      <c r="AP294" s="176">
        <v>74</v>
      </c>
      <c r="AQ294" s="167"/>
      <c r="AR294" s="180">
        <v>34.9</v>
      </c>
      <c r="AS294" s="166">
        <v>10.0806403837893</v>
      </c>
      <c r="AT294" s="181" t="s">
        <v>54</v>
      </c>
      <c r="AU294" s="173">
        <v>0.63004002398683101</v>
      </c>
      <c r="AV294" s="174">
        <v>-27.583649452757399</v>
      </c>
      <c r="AW294" s="168"/>
      <c r="AX294" s="168"/>
      <c r="AY294" s="176">
        <v>21</v>
      </c>
      <c r="AZ294" s="176">
        <v>32</v>
      </c>
      <c r="BA294" s="167"/>
      <c r="BB294" s="184">
        <v>138.80000000000001</v>
      </c>
      <c r="BC294" s="180">
        <v>40.091486683952901</v>
      </c>
      <c r="BD294" s="181" t="s">
        <v>55</v>
      </c>
      <c r="BE294" s="178">
        <v>1.2528589588735299</v>
      </c>
      <c r="BF294" s="179">
        <v>13.8327010944852</v>
      </c>
      <c r="BG294" s="168">
        <v>0.02</v>
      </c>
      <c r="BH294" s="168">
        <v>0.02</v>
      </c>
      <c r="BI294" s="176">
        <v>0</v>
      </c>
      <c r="BJ294" s="176">
        <v>0</v>
      </c>
      <c r="BK294" s="169"/>
      <c r="BL294" s="185">
        <v>0.8</v>
      </c>
      <c r="BM294" s="182">
        <v>0.81</v>
      </c>
      <c r="BN294" s="186">
        <v>3.7500000000000001E-4</v>
      </c>
      <c r="BO294" s="187">
        <v>0.95</v>
      </c>
      <c r="BP294" s="178">
        <v>1</v>
      </c>
      <c r="BQ294" s="186">
        <v>2.5000000000000001E-3</v>
      </c>
    </row>
    <row r="295" spans="1:69" s="156" customFormat="1" ht="22.35" customHeight="1" x14ac:dyDescent="0.2">
      <c r="A295" s="165" t="s">
        <v>339</v>
      </c>
      <c r="B295" s="165" t="s">
        <v>357</v>
      </c>
      <c r="C295" s="165" t="s">
        <v>357</v>
      </c>
      <c r="D295" s="166">
        <v>10.277247066999999</v>
      </c>
      <c r="E295" s="167"/>
      <c r="F295" s="168">
        <v>0.03</v>
      </c>
      <c r="G295" s="168">
        <v>2.7E-2</v>
      </c>
      <c r="H295" s="169"/>
      <c r="I295" s="170">
        <v>3</v>
      </c>
      <c r="J295" s="170">
        <v>3</v>
      </c>
      <c r="K295" s="167"/>
      <c r="L295" s="171">
        <v>6581.5316700000003</v>
      </c>
      <c r="M295" s="171">
        <v>3987.3066699999999</v>
      </c>
      <c r="N295" s="171">
        <v>10568.83834</v>
      </c>
      <c r="O295" s="166">
        <v>1028.3725078417399</v>
      </c>
      <c r="P295" s="172">
        <v>263.10899999999998</v>
      </c>
      <c r="Q295" s="178">
        <v>3.9085417368533202</v>
      </c>
      <c r="R295" s="179">
        <v>7518.6855080341302</v>
      </c>
      <c r="S295" s="168">
        <v>0.01</v>
      </c>
      <c r="T295" s="168">
        <v>0.01</v>
      </c>
      <c r="U295" s="175">
        <v>0</v>
      </c>
      <c r="V295" s="176">
        <v>0</v>
      </c>
      <c r="W295" s="167"/>
      <c r="X295" s="175">
        <v>4804.6173900000003</v>
      </c>
      <c r="Y295" s="166">
        <v>467.50042678525398</v>
      </c>
      <c r="Z295" s="177">
        <v>573</v>
      </c>
      <c r="AA295" s="188">
        <v>0.81588207117845402</v>
      </c>
      <c r="AB295" s="171">
        <v>-1838.01958827305</v>
      </c>
      <c r="AC295" s="168"/>
      <c r="AD295" s="168"/>
      <c r="AE295" s="176">
        <v>1085</v>
      </c>
      <c r="AF295" s="176">
        <v>2263</v>
      </c>
      <c r="AG295" s="167"/>
      <c r="AH295" s="180">
        <v>445.45</v>
      </c>
      <c r="AI295" s="166">
        <v>43.343319188105298</v>
      </c>
      <c r="AJ295" s="181" t="s">
        <v>53</v>
      </c>
      <c r="AK295" s="173">
        <v>0.68798919346198895</v>
      </c>
      <c r="AL295" s="174">
        <v>-284.89228556928799</v>
      </c>
      <c r="AM295" s="168"/>
      <c r="AN295" s="168"/>
      <c r="AO295" s="176">
        <v>203</v>
      </c>
      <c r="AP295" s="176">
        <v>332</v>
      </c>
      <c r="AQ295" s="167"/>
      <c r="AR295" s="180">
        <v>47.1</v>
      </c>
      <c r="AS295" s="166">
        <v>4.5829393506785499</v>
      </c>
      <c r="AT295" s="181" t="s">
        <v>54</v>
      </c>
      <c r="AU295" s="173">
        <v>0.28643370941740898</v>
      </c>
      <c r="AV295" s="174">
        <v>-138.38375506521601</v>
      </c>
      <c r="AW295" s="168"/>
      <c r="AX295" s="168"/>
      <c r="AY295" s="176">
        <v>118</v>
      </c>
      <c r="AZ295" s="176">
        <v>151</v>
      </c>
      <c r="BA295" s="167"/>
      <c r="BB295" s="184">
        <v>384.2</v>
      </c>
      <c r="BC295" s="180">
        <v>37.383551985789801</v>
      </c>
      <c r="BD295" s="181" t="s">
        <v>55</v>
      </c>
      <c r="BE295" s="178">
        <v>1.1682359995559299</v>
      </c>
      <c r="BF295" s="179">
        <v>13.232489869568001</v>
      </c>
      <c r="BG295" s="168">
        <v>0.02</v>
      </c>
      <c r="BH295" s="168">
        <v>1.7000000000000001E-2</v>
      </c>
      <c r="BI295" s="176">
        <v>0</v>
      </c>
      <c r="BJ295" s="176">
        <v>11</v>
      </c>
      <c r="BK295" s="169"/>
      <c r="BL295" s="185">
        <v>0.8</v>
      </c>
      <c r="BM295" s="188">
        <v>0.79</v>
      </c>
      <c r="BN295" s="186"/>
      <c r="BO295" s="187">
        <v>0.95</v>
      </c>
      <c r="BP295" s="178">
        <v>1</v>
      </c>
      <c r="BQ295" s="186">
        <v>2.5000000000000001E-3</v>
      </c>
    </row>
    <row r="296" spans="1:69" s="156" customFormat="1" ht="22.35" customHeight="1" x14ac:dyDescent="0.2">
      <c r="A296" s="165" t="s">
        <v>339</v>
      </c>
      <c r="B296" s="165" t="s">
        <v>357</v>
      </c>
      <c r="C296" s="165" t="s">
        <v>367</v>
      </c>
      <c r="D296" s="166">
        <v>3.9912457913333301</v>
      </c>
      <c r="E296" s="167"/>
      <c r="F296" s="168">
        <v>2.4E-2</v>
      </c>
      <c r="G296" s="168">
        <v>1.7000000000000001E-2</v>
      </c>
      <c r="H296" s="169"/>
      <c r="I296" s="170">
        <v>4</v>
      </c>
      <c r="J296" s="170">
        <v>4</v>
      </c>
      <c r="K296" s="167"/>
      <c r="L296" s="171">
        <v>1537.3201300000001</v>
      </c>
      <c r="M296" s="171">
        <v>419.17676</v>
      </c>
      <c r="N296" s="171">
        <v>1956.4968899999999</v>
      </c>
      <c r="O296" s="166">
        <v>490.19704430340403</v>
      </c>
      <c r="P296" s="172">
        <v>212.5</v>
      </c>
      <c r="Q296" s="178">
        <v>2.3068096202513102</v>
      </c>
      <c r="R296" s="179">
        <v>999.79527381740104</v>
      </c>
      <c r="S296" s="168">
        <v>0.01</v>
      </c>
      <c r="T296" s="168">
        <v>0.01</v>
      </c>
      <c r="U296" s="175">
        <v>0</v>
      </c>
      <c r="V296" s="176">
        <v>0</v>
      </c>
      <c r="W296" s="167"/>
      <c r="X296" s="175">
        <v>2451.5840750000002</v>
      </c>
      <c r="Y296" s="166">
        <v>614.24031572383103</v>
      </c>
      <c r="Z296" s="177">
        <v>573</v>
      </c>
      <c r="AA296" s="182">
        <v>1.0719726277902799</v>
      </c>
      <c r="AB296" s="183">
        <v>-128.13369475355</v>
      </c>
      <c r="AC296" s="168">
        <v>1.4E-2</v>
      </c>
      <c r="AD296" s="168">
        <v>7.0000000000000001E-3</v>
      </c>
      <c r="AE296" s="176">
        <v>0</v>
      </c>
      <c r="AF296" s="176">
        <v>293</v>
      </c>
      <c r="AG296" s="167"/>
      <c r="AH296" s="180">
        <v>210.55</v>
      </c>
      <c r="AI296" s="166">
        <v>52.752952588686</v>
      </c>
      <c r="AJ296" s="181" t="s">
        <v>53</v>
      </c>
      <c r="AK296" s="188">
        <v>0.83734845378866696</v>
      </c>
      <c r="AL296" s="171">
        <v>-73.083890915311798</v>
      </c>
      <c r="AM296" s="168"/>
      <c r="AN296" s="168"/>
      <c r="AO296" s="176">
        <v>41</v>
      </c>
      <c r="AP296" s="176">
        <v>92</v>
      </c>
      <c r="AQ296" s="167"/>
      <c r="AR296" s="180">
        <v>15.8</v>
      </c>
      <c r="AS296" s="166">
        <v>3.9586637421098998</v>
      </c>
      <c r="AT296" s="181" t="s">
        <v>54</v>
      </c>
      <c r="AU296" s="173">
        <v>0.24741648388186899</v>
      </c>
      <c r="AV296" s="174">
        <v>-56.234004041984001</v>
      </c>
      <c r="AW296" s="168"/>
      <c r="AX296" s="168"/>
      <c r="AY296" s="176">
        <v>49</v>
      </c>
      <c r="AZ296" s="176">
        <v>61</v>
      </c>
      <c r="BA296" s="167"/>
      <c r="BB296" s="184">
        <v>97.6</v>
      </c>
      <c r="BC296" s="180">
        <v>24.453517799362402</v>
      </c>
      <c r="BD296" s="181" t="s">
        <v>55</v>
      </c>
      <c r="BE296" s="188">
        <v>0.76417243123007506</v>
      </c>
      <c r="BF296" s="171">
        <v>-46.468008083967902</v>
      </c>
      <c r="BG296" s="168"/>
      <c r="BH296" s="168"/>
      <c r="BI296" s="176">
        <v>31</v>
      </c>
      <c r="BJ296" s="176">
        <v>56</v>
      </c>
      <c r="BK296" s="169"/>
      <c r="BL296" s="185">
        <v>0.8</v>
      </c>
      <c r="BM296" s="182">
        <v>0.82</v>
      </c>
      <c r="BN296" s="186">
        <v>7.5000000000000002E-4</v>
      </c>
      <c r="BO296" s="187">
        <v>0.95</v>
      </c>
      <c r="BP296" s="178">
        <v>1</v>
      </c>
      <c r="BQ296" s="186">
        <v>2.5000000000000001E-3</v>
      </c>
    </row>
    <row r="297" spans="1:69" s="156" customFormat="1" ht="22.35" customHeight="1" x14ac:dyDescent="0.2">
      <c r="A297" s="165" t="s">
        <v>339</v>
      </c>
      <c r="B297" s="165" t="s">
        <v>357</v>
      </c>
      <c r="C297" s="165" t="s">
        <v>368</v>
      </c>
      <c r="D297" s="166">
        <v>1.8887926887777799</v>
      </c>
      <c r="E297" s="167"/>
      <c r="F297" s="168">
        <v>5.8999999999999997E-2</v>
      </c>
      <c r="G297" s="168">
        <v>5.1999999999999998E-2</v>
      </c>
      <c r="H297" s="169"/>
      <c r="I297" s="170">
        <v>4</v>
      </c>
      <c r="J297" s="170">
        <v>4</v>
      </c>
      <c r="K297" s="167"/>
      <c r="L297" s="171">
        <v>231.08972</v>
      </c>
      <c r="M297" s="171">
        <v>35.912790000000001</v>
      </c>
      <c r="N297" s="171">
        <v>267.00250999999997</v>
      </c>
      <c r="O297" s="166">
        <v>141.36146946480099</v>
      </c>
      <c r="P297" s="172">
        <v>212.5</v>
      </c>
      <c r="Q297" s="173">
        <v>0.66523044454024205</v>
      </c>
      <c r="R297" s="174">
        <v>-185.74109750003399</v>
      </c>
      <c r="S297" s="168"/>
      <c r="T297" s="168"/>
      <c r="U297" s="175">
        <v>135</v>
      </c>
      <c r="V297" s="176">
        <v>215</v>
      </c>
      <c r="W297" s="167"/>
      <c r="X297" s="175">
        <v>1458.7644499999999</v>
      </c>
      <c r="Y297" s="166">
        <v>772.32639593917202</v>
      </c>
      <c r="Z297" s="177">
        <v>573</v>
      </c>
      <c r="AA297" s="178">
        <v>1.3478645653388699</v>
      </c>
      <c r="AB297" s="179">
        <v>237.95462836461499</v>
      </c>
      <c r="AC297" s="168">
        <v>0.02</v>
      </c>
      <c r="AD297" s="168">
        <v>0.02</v>
      </c>
      <c r="AE297" s="176">
        <v>0</v>
      </c>
      <c r="AF297" s="176">
        <v>0</v>
      </c>
      <c r="AG297" s="167"/>
      <c r="AH297" s="180">
        <v>177.75</v>
      </c>
      <c r="AI297" s="166">
        <v>94.107734033543196</v>
      </c>
      <c r="AJ297" s="181" t="s">
        <v>53</v>
      </c>
      <c r="AK297" s="178">
        <v>1.4937735560879899</v>
      </c>
      <c r="AL297" s="179">
        <v>43.524836364695901</v>
      </c>
      <c r="AM297" s="168">
        <v>0.02</v>
      </c>
      <c r="AN297" s="168">
        <v>0.02</v>
      </c>
      <c r="AO297" s="176">
        <v>0</v>
      </c>
      <c r="AP297" s="176">
        <v>0</v>
      </c>
      <c r="AQ297" s="167"/>
      <c r="AR297" s="180">
        <v>13.6</v>
      </c>
      <c r="AS297" s="166">
        <v>7.2003667108646301</v>
      </c>
      <c r="AT297" s="181" t="s">
        <v>54</v>
      </c>
      <c r="AU297" s="173">
        <v>0.45002291942903899</v>
      </c>
      <c r="AV297" s="174">
        <v>-20.488930447061399</v>
      </c>
      <c r="AW297" s="168"/>
      <c r="AX297" s="168"/>
      <c r="AY297" s="176">
        <v>17</v>
      </c>
      <c r="AZ297" s="176">
        <v>23</v>
      </c>
      <c r="BA297" s="167"/>
      <c r="BB297" s="184">
        <v>67.400000000000006</v>
      </c>
      <c r="BC297" s="180">
        <v>35.684170317079101</v>
      </c>
      <c r="BD297" s="181" t="s">
        <v>55</v>
      </c>
      <c r="BE297" s="182">
        <v>1.1151303224087199</v>
      </c>
      <c r="BF297" s="183">
        <v>-0.77786089412273896</v>
      </c>
      <c r="BG297" s="168">
        <v>1.9E-2</v>
      </c>
      <c r="BH297" s="168">
        <v>1.2E-2</v>
      </c>
      <c r="BI297" s="176">
        <v>0</v>
      </c>
      <c r="BJ297" s="176">
        <v>6</v>
      </c>
      <c r="BK297" s="169"/>
      <c r="BL297" s="185">
        <v>0.8</v>
      </c>
      <c r="BM297" s="188">
        <v>0.78</v>
      </c>
      <c r="BN297" s="186"/>
      <c r="BO297" s="187">
        <v>0.95</v>
      </c>
      <c r="BP297" s="178">
        <v>1</v>
      </c>
      <c r="BQ297" s="186">
        <v>2.5000000000000001E-3</v>
      </c>
    </row>
    <row r="298" spans="1:69" s="156" customFormat="1" ht="22.35" customHeight="1" x14ac:dyDescent="0.2">
      <c r="A298" s="165" t="s">
        <v>339</v>
      </c>
      <c r="B298" s="165" t="s">
        <v>357</v>
      </c>
      <c r="C298" s="165" t="s">
        <v>369</v>
      </c>
      <c r="D298" s="166">
        <v>3.20739114933333</v>
      </c>
      <c r="E298" s="167"/>
      <c r="F298" s="168">
        <v>0.03</v>
      </c>
      <c r="G298" s="168">
        <v>2.1999999999999999E-2</v>
      </c>
      <c r="H298" s="169"/>
      <c r="I298" s="170">
        <v>5</v>
      </c>
      <c r="J298" s="170">
        <v>4</v>
      </c>
      <c r="K298" s="167"/>
      <c r="L298" s="171">
        <v>2119.7171600000001</v>
      </c>
      <c r="M298" s="171">
        <v>427.67397999999997</v>
      </c>
      <c r="N298" s="171">
        <v>2547.3911400000002</v>
      </c>
      <c r="O298" s="166">
        <v>794.22528198017994</v>
      </c>
      <c r="P298" s="172">
        <v>236.798</v>
      </c>
      <c r="Q298" s="178">
        <v>3.3540202281276899</v>
      </c>
      <c r="R298" s="179">
        <v>1690.6708430195499</v>
      </c>
      <c r="S298" s="168">
        <v>0.01</v>
      </c>
      <c r="T298" s="168">
        <v>0.01</v>
      </c>
      <c r="U298" s="175">
        <v>0</v>
      </c>
      <c r="V298" s="176">
        <v>0</v>
      </c>
      <c r="W298" s="167"/>
      <c r="X298" s="175">
        <v>1746.0231200000001</v>
      </c>
      <c r="Y298" s="166">
        <v>544.37486377765799</v>
      </c>
      <c r="Z298" s="177">
        <v>573</v>
      </c>
      <c r="AA298" s="182">
        <v>0.95004339228212598</v>
      </c>
      <c r="AB298" s="183">
        <v>-327.05490502470201</v>
      </c>
      <c r="AC298" s="168">
        <v>1E-3</v>
      </c>
      <c r="AD298" s="168"/>
      <c r="AE298" s="176">
        <v>92</v>
      </c>
      <c r="AF298" s="176">
        <v>460</v>
      </c>
      <c r="AG298" s="167"/>
      <c r="AH298" s="180">
        <v>116.75</v>
      </c>
      <c r="AI298" s="166">
        <v>36.400299983451298</v>
      </c>
      <c r="AJ298" s="181" t="s">
        <v>53</v>
      </c>
      <c r="AK298" s="173">
        <v>0.57778253941986202</v>
      </c>
      <c r="AL298" s="174">
        <v>-111.180044636224</v>
      </c>
      <c r="AM298" s="168"/>
      <c r="AN298" s="168"/>
      <c r="AO298" s="176">
        <v>86</v>
      </c>
      <c r="AP298" s="176">
        <v>126</v>
      </c>
      <c r="AQ298" s="167"/>
      <c r="AR298" s="180">
        <v>12</v>
      </c>
      <c r="AS298" s="166">
        <v>3.7413584565431699</v>
      </c>
      <c r="AT298" s="181" t="s">
        <v>54</v>
      </c>
      <c r="AU298" s="173">
        <v>0.23383490353394801</v>
      </c>
      <c r="AV298" s="174">
        <v>-45.886995463167999</v>
      </c>
      <c r="AW298" s="168"/>
      <c r="AX298" s="168"/>
      <c r="AY298" s="176">
        <v>40</v>
      </c>
      <c r="AZ298" s="176">
        <v>50</v>
      </c>
      <c r="BA298" s="167"/>
      <c r="BB298" s="184">
        <v>115.2</v>
      </c>
      <c r="BC298" s="180">
        <v>35.917041182814501</v>
      </c>
      <c r="BD298" s="181" t="s">
        <v>55</v>
      </c>
      <c r="BE298" s="182">
        <v>1.12240753696295</v>
      </c>
      <c r="BF298" s="183">
        <v>-0.57399092633589499</v>
      </c>
      <c r="BG298" s="168">
        <v>1.9E-2</v>
      </c>
      <c r="BH298" s="168">
        <v>1.2E-2</v>
      </c>
      <c r="BI298" s="176">
        <v>0</v>
      </c>
      <c r="BJ298" s="176">
        <v>8</v>
      </c>
      <c r="BK298" s="169"/>
      <c r="BL298" s="185">
        <v>0.8</v>
      </c>
      <c r="BM298" s="182">
        <v>0.85</v>
      </c>
      <c r="BN298" s="186">
        <v>1.8749999999999999E-3</v>
      </c>
      <c r="BO298" s="187">
        <v>0.95</v>
      </c>
      <c r="BP298" s="178">
        <v>1</v>
      </c>
      <c r="BQ298" s="186">
        <v>2.5000000000000001E-3</v>
      </c>
    </row>
    <row r="299" spans="1:69" s="156" customFormat="1" ht="21.95" customHeight="1" x14ac:dyDescent="0.2">
      <c r="A299" s="189"/>
      <c r="B299" s="189"/>
      <c r="C299" s="190" t="s">
        <v>370</v>
      </c>
      <c r="D299" s="191">
        <v>1158.2086281173299</v>
      </c>
      <c r="E299" s="192"/>
      <c r="F299" s="189"/>
      <c r="G299" s="189"/>
      <c r="H299" s="193"/>
      <c r="I299" s="189"/>
      <c r="J299" s="189"/>
      <c r="K299" s="192"/>
      <c r="L299" s="194">
        <v>685000.53384000005</v>
      </c>
      <c r="M299" s="194">
        <v>367190.67946000001</v>
      </c>
      <c r="N299" s="194">
        <v>1052191.2132999999</v>
      </c>
      <c r="O299" s="191">
        <v>908.46431960219104</v>
      </c>
      <c r="P299" s="195"/>
      <c r="Q299" s="189"/>
      <c r="R299" s="189"/>
      <c r="S299" s="189"/>
      <c r="T299" s="189"/>
      <c r="U299" s="196">
        <v>37690</v>
      </c>
      <c r="V299" s="196">
        <v>41809</v>
      </c>
      <c r="W299" s="192"/>
      <c r="X299" s="197">
        <v>651214.79226000002</v>
      </c>
      <c r="Y299" s="198">
        <v>562.26035314427702</v>
      </c>
      <c r="Z299" s="199"/>
      <c r="AA299" s="200"/>
      <c r="AB299" s="200"/>
      <c r="AC299" s="200"/>
      <c r="AD299" s="200"/>
      <c r="AE299" s="201">
        <v>71115</v>
      </c>
      <c r="AF299" s="201">
        <v>167666</v>
      </c>
      <c r="AG299" s="192"/>
      <c r="AH299" s="198">
        <v>61048.85</v>
      </c>
      <c r="AI299" s="202">
        <v>52.709717850431602</v>
      </c>
      <c r="AJ299" s="199"/>
      <c r="AK299" s="200"/>
      <c r="AL299" s="200"/>
      <c r="AM299" s="200"/>
      <c r="AN299" s="200"/>
      <c r="AO299" s="201">
        <v>15664</v>
      </c>
      <c r="AP299" s="201">
        <v>28652</v>
      </c>
      <c r="AQ299" s="192"/>
      <c r="AR299" s="198">
        <v>11379.4</v>
      </c>
      <c r="AS299" s="202">
        <v>9.8250001975008594</v>
      </c>
      <c r="AT299" s="199"/>
      <c r="AU299" s="200"/>
      <c r="AV299" s="200"/>
      <c r="AW299" s="200"/>
      <c r="AX299" s="203"/>
      <c r="AY299" s="201">
        <v>8725</v>
      </c>
      <c r="AZ299" s="201">
        <v>12026</v>
      </c>
      <c r="BA299" s="192"/>
      <c r="BB299" s="200">
        <v>45149.599999999999</v>
      </c>
      <c r="BC299" s="202">
        <v>38.982268741505301</v>
      </c>
      <c r="BD299" s="199"/>
      <c r="BE299" s="200"/>
      <c r="BF299" s="200"/>
      <c r="BG299" s="200"/>
      <c r="BH299" s="200"/>
      <c r="BI299" s="201">
        <v>1479</v>
      </c>
      <c r="BJ299" s="201">
        <v>4638</v>
      </c>
      <c r="BK299" s="200"/>
      <c r="BL299" s="200"/>
      <c r="BM299" s="200"/>
      <c r="BN299" s="200"/>
      <c r="BO299" s="200"/>
      <c r="BP299" s="200"/>
      <c r="BQ299" s="200"/>
    </row>
    <row r="300" spans="1:69" s="156" customFormat="1" ht="28.7" customHeight="1" x14ac:dyDescent="0.2"/>
  </sheetData>
  <mergeCells count="73">
    <mergeCell ref="G2:G4"/>
    <mergeCell ref="A2:A5"/>
    <mergeCell ref="B2:B5"/>
    <mergeCell ref="C2:C5"/>
    <mergeCell ref="D2:D4"/>
    <mergeCell ref="F2:F4"/>
    <mergeCell ref="I2:I4"/>
    <mergeCell ref="J2:J4"/>
    <mergeCell ref="L2:V2"/>
    <mergeCell ref="X2:AF2"/>
    <mergeCell ref="AH2:AP2"/>
    <mergeCell ref="L4:L5"/>
    <mergeCell ref="M4:M5"/>
    <mergeCell ref="N4:N5"/>
    <mergeCell ref="O4:O5"/>
    <mergeCell ref="U4:U5"/>
    <mergeCell ref="P4:P5"/>
    <mergeCell ref="Q4:Q5"/>
    <mergeCell ref="R4:R5"/>
    <mergeCell ref="S4:S5"/>
    <mergeCell ref="T4:T5"/>
    <mergeCell ref="AI4:AI5"/>
    <mergeCell ref="BB2:BJ2"/>
    <mergeCell ref="BL2:BQ2"/>
    <mergeCell ref="L3:V3"/>
    <mergeCell ref="X3:AF3"/>
    <mergeCell ref="AH3:AP3"/>
    <mergeCell ref="AR3:AZ3"/>
    <mergeCell ref="BB3:BJ3"/>
    <mergeCell ref="BL3:BQ3"/>
    <mergeCell ref="AR2:AZ2"/>
    <mergeCell ref="V4:V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H4:AH5"/>
    <mergeCell ref="AV4:AV5"/>
    <mergeCell ref="AJ4:AJ5"/>
    <mergeCell ref="AK4:AK5"/>
    <mergeCell ref="AL4:AL5"/>
    <mergeCell ref="AM4:AM5"/>
    <mergeCell ref="AN4:AN5"/>
    <mergeCell ref="AO4:AO5"/>
    <mergeCell ref="AP4:AP5"/>
    <mergeCell ref="AR4:AR5"/>
    <mergeCell ref="AS4:AS5"/>
    <mergeCell ref="AT4:AT5"/>
    <mergeCell ref="AU4:AU5"/>
    <mergeCell ref="BI4:BI5"/>
    <mergeCell ref="AW4:AW5"/>
    <mergeCell ref="AX4:AX5"/>
    <mergeCell ref="AY4:AY5"/>
    <mergeCell ref="AZ4:AZ5"/>
    <mergeCell ref="BB4:BB5"/>
    <mergeCell ref="BC4:BC5"/>
    <mergeCell ref="BD4:BD5"/>
    <mergeCell ref="BE4:BE5"/>
    <mergeCell ref="BF4:BF5"/>
    <mergeCell ref="BG4:BG5"/>
    <mergeCell ref="BH4:BH5"/>
    <mergeCell ref="BQ4:BQ5"/>
    <mergeCell ref="BJ4:BJ5"/>
    <mergeCell ref="BL4:BL5"/>
    <mergeCell ref="BM4:BM5"/>
    <mergeCell ref="BN4:BN5"/>
    <mergeCell ref="BO4:BO5"/>
    <mergeCell ref="BP4:BP5"/>
  </mergeCells>
  <hyperlinks>
    <hyperlink ref="F5" r:id="rId1"/>
    <hyperlink ref="G5" r:id="rId2"/>
    <hyperlink ref="I5" r:id="rId3"/>
    <hyperlink ref="J5" r:id="rId4"/>
  </hyperlinks>
  <pageMargins left="0.7" right="0.7" top="0.75" bottom="0.75" header="0.3" footer="0.3"/>
  <pageSetup paperSize="9" orientation="portrait" r:id="rId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BQ300"/>
  <sheetViews>
    <sheetView workbookViewId="0">
      <selection activeCell="C11" sqref="C11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9.28515625" customWidth="1"/>
    <col min="7" max="7" width="8.28515625" customWidth="1"/>
    <col min="8" max="8" width="0.28515625" customWidth="1"/>
    <col min="9" max="10" width="9.7109375" customWidth="1"/>
    <col min="11" max="11" width="0.28515625" customWidth="1"/>
    <col min="12" max="12" width="10.7109375" customWidth="1"/>
    <col min="13" max="14" width="9.5703125" customWidth="1"/>
    <col min="15" max="17" width="7.85546875" customWidth="1"/>
    <col min="18" max="18" width="10" customWidth="1"/>
    <col min="19" max="20" width="7.85546875" customWidth="1"/>
    <col min="21" max="22" width="9.5703125" customWidth="1"/>
    <col min="23" max="23" width="0.28515625" customWidth="1"/>
    <col min="24" max="25" width="9.5703125" customWidth="1"/>
    <col min="26" max="27" width="7.85546875" customWidth="1"/>
    <col min="28" max="28" width="10" customWidth="1"/>
    <col min="29" max="30" width="7.85546875" customWidth="1"/>
    <col min="31" max="32" width="9.5703125" customWidth="1"/>
    <col min="33" max="33" width="0.28515625" customWidth="1"/>
    <col min="34" max="34" width="9" customWidth="1"/>
    <col min="35" max="37" width="7.85546875" customWidth="1"/>
    <col min="38" max="38" width="10" customWidth="1"/>
    <col min="39" max="40" width="7.85546875" customWidth="1"/>
    <col min="41" max="41" width="8.85546875" customWidth="1"/>
    <col min="42" max="42" width="7.85546875" customWidth="1"/>
    <col min="43" max="43" width="0.28515625" customWidth="1"/>
    <col min="44" max="44" width="7.5703125" customWidth="1"/>
    <col min="45" max="47" width="7.85546875" customWidth="1"/>
    <col min="48" max="48" width="10" customWidth="1"/>
    <col min="49" max="49" width="7.42578125" customWidth="1"/>
    <col min="50" max="50" width="7.85546875" customWidth="1"/>
    <col min="51" max="51" width="8.85546875" customWidth="1"/>
    <col min="52" max="52" width="7.85546875" customWidth="1"/>
    <col min="53" max="53" width="0.28515625" customWidth="1"/>
    <col min="54" max="54" width="9.42578125" customWidth="1"/>
    <col min="55" max="55" width="9" customWidth="1"/>
    <col min="56" max="57" width="7.85546875" customWidth="1"/>
    <col min="58" max="58" width="10" customWidth="1"/>
    <col min="59" max="59" width="8.85546875" customWidth="1"/>
    <col min="60" max="60" width="7.85546875" customWidth="1"/>
    <col min="61" max="61" width="8.85546875" customWidth="1"/>
    <col min="62" max="62" width="7.85546875" customWidth="1"/>
    <col min="63" max="63" width="0.28515625" customWidth="1"/>
    <col min="64" max="64" width="8.140625" customWidth="1"/>
    <col min="65" max="65" width="9.140625" customWidth="1"/>
    <col min="66" max="66" width="10.7109375" customWidth="1"/>
    <col min="67" max="67" width="8.140625" customWidth="1"/>
    <col min="68" max="68" width="9.140625" customWidth="1"/>
    <col min="69" max="69" width="10.140625" customWidth="1"/>
    <col min="70" max="70" width="4.7109375" customWidth="1"/>
  </cols>
  <sheetData>
    <row r="1" spans="1:69" s="156" customFormat="1" ht="3.75" customHeight="1" x14ac:dyDescent="0.2"/>
    <row r="2" spans="1:69" s="156" customFormat="1" ht="24" customHeight="1" x14ac:dyDescent="0.2">
      <c r="A2" s="282" t="s">
        <v>19</v>
      </c>
      <c r="B2" s="283" t="s">
        <v>20</v>
      </c>
      <c r="C2" s="283" t="s">
        <v>21</v>
      </c>
      <c r="D2" s="284" t="s">
        <v>22</v>
      </c>
      <c r="E2" s="157"/>
      <c r="F2" s="281" t="s">
        <v>23</v>
      </c>
      <c r="G2" s="280" t="s">
        <v>24</v>
      </c>
      <c r="H2" s="158"/>
      <c r="I2" s="280" t="s">
        <v>25</v>
      </c>
      <c r="J2" s="281" t="s">
        <v>26</v>
      </c>
      <c r="K2" s="158"/>
      <c r="L2" s="276" t="s">
        <v>27</v>
      </c>
      <c r="M2" s="276"/>
      <c r="N2" s="276"/>
      <c r="O2" s="276"/>
      <c r="P2" s="276"/>
      <c r="Q2" s="276"/>
      <c r="R2" s="276"/>
      <c r="S2" s="276"/>
      <c r="T2" s="276"/>
      <c r="U2" s="276"/>
      <c r="V2" s="276"/>
      <c r="W2" s="159"/>
      <c r="X2" s="277" t="s">
        <v>28</v>
      </c>
      <c r="Y2" s="277"/>
      <c r="Z2" s="277"/>
      <c r="AA2" s="277"/>
      <c r="AB2" s="277"/>
      <c r="AC2" s="277"/>
      <c r="AD2" s="277"/>
      <c r="AE2" s="277"/>
      <c r="AF2" s="277"/>
      <c r="AG2" s="160"/>
      <c r="AH2" s="278" t="s">
        <v>29</v>
      </c>
      <c r="AI2" s="278"/>
      <c r="AJ2" s="278"/>
      <c r="AK2" s="278"/>
      <c r="AL2" s="278"/>
      <c r="AM2" s="278"/>
      <c r="AN2" s="278"/>
      <c r="AO2" s="278"/>
      <c r="AP2" s="278"/>
      <c r="AQ2" s="161"/>
      <c r="AR2" s="279" t="s">
        <v>30</v>
      </c>
      <c r="AS2" s="279"/>
      <c r="AT2" s="279"/>
      <c r="AU2" s="279"/>
      <c r="AV2" s="279"/>
      <c r="AW2" s="279"/>
      <c r="AX2" s="279"/>
      <c r="AY2" s="279"/>
      <c r="AZ2" s="279"/>
      <c r="BA2" s="161"/>
      <c r="BB2" s="274" t="s">
        <v>31</v>
      </c>
      <c r="BC2" s="274"/>
      <c r="BD2" s="274"/>
      <c r="BE2" s="274"/>
      <c r="BF2" s="274"/>
      <c r="BG2" s="274"/>
      <c r="BH2" s="274"/>
      <c r="BI2" s="274"/>
      <c r="BJ2" s="274"/>
      <c r="BK2" s="162"/>
      <c r="BL2" s="275" t="s">
        <v>32</v>
      </c>
      <c r="BM2" s="275"/>
      <c r="BN2" s="275"/>
      <c r="BO2" s="275"/>
      <c r="BP2" s="275"/>
      <c r="BQ2" s="275"/>
    </row>
    <row r="3" spans="1:69" s="156" customFormat="1" ht="20.25" customHeight="1" x14ac:dyDescent="0.2">
      <c r="A3" s="282"/>
      <c r="B3" s="283"/>
      <c r="C3" s="283"/>
      <c r="D3" s="284"/>
      <c r="E3" s="157"/>
      <c r="F3" s="281"/>
      <c r="G3" s="280"/>
      <c r="H3" s="158"/>
      <c r="I3" s="280"/>
      <c r="J3" s="281"/>
      <c r="K3" s="158"/>
      <c r="L3" s="276" t="s">
        <v>691</v>
      </c>
      <c r="M3" s="276"/>
      <c r="N3" s="276"/>
      <c r="O3" s="276"/>
      <c r="P3" s="276"/>
      <c r="Q3" s="276"/>
      <c r="R3" s="276"/>
      <c r="S3" s="276"/>
      <c r="T3" s="276"/>
      <c r="U3" s="276"/>
      <c r="V3" s="276"/>
      <c r="W3" s="159"/>
      <c r="X3" s="277" t="s">
        <v>692</v>
      </c>
      <c r="Y3" s="277"/>
      <c r="Z3" s="277"/>
      <c r="AA3" s="277"/>
      <c r="AB3" s="277"/>
      <c r="AC3" s="277"/>
      <c r="AD3" s="277"/>
      <c r="AE3" s="277"/>
      <c r="AF3" s="277"/>
      <c r="AG3" s="159"/>
      <c r="AH3" s="278" t="s">
        <v>693</v>
      </c>
      <c r="AI3" s="278"/>
      <c r="AJ3" s="278"/>
      <c r="AK3" s="278"/>
      <c r="AL3" s="278"/>
      <c r="AM3" s="278"/>
      <c r="AN3" s="278"/>
      <c r="AO3" s="278"/>
      <c r="AP3" s="278"/>
      <c r="AQ3" s="159"/>
      <c r="AR3" s="279" t="s">
        <v>694</v>
      </c>
      <c r="AS3" s="279"/>
      <c r="AT3" s="279"/>
      <c r="AU3" s="279"/>
      <c r="AV3" s="279"/>
      <c r="AW3" s="279"/>
      <c r="AX3" s="279"/>
      <c r="AY3" s="279"/>
      <c r="AZ3" s="279"/>
      <c r="BA3" s="159"/>
      <c r="BB3" s="274" t="s">
        <v>695</v>
      </c>
      <c r="BC3" s="274"/>
      <c r="BD3" s="274"/>
      <c r="BE3" s="274"/>
      <c r="BF3" s="274"/>
      <c r="BG3" s="274"/>
      <c r="BH3" s="274"/>
      <c r="BI3" s="274"/>
      <c r="BJ3" s="274"/>
      <c r="BK3" s="162"/>
      <c r="BL3" s="275" t="s">
        <v>685</v>
      </c>
      <c r="BM3" s="275"/>
      <c r="BN3" s="275"/>
      <c r="BO3" s="275"/>
      <c r="BP3" s="275"/>
      <c r="BQ3" s="275"/>
    </row>
    <row r="4" spans="1:69" s="156" customFormat="1" ht="20.25" customHeight="1" x14ac:dyDescent="0.2">
      <c r="A4" s="282"/>
      <c r="B4" s="283"/>
      <c r="C4" s="283"/>
      <c r="D4" s="284"/>
      <c r="E4" s="157"/>
      <c r="F4" s="281"/>
      <c r="G4" s="280"/>
      <c r="H4" s="158"/>
      <c r="I4" s="280"/>
      <c r="J4" s="281"/>
      <c r="K4" s="158"/>
      <c r="L4" s="273" t="s">
        <v>33</v>
      </c>
      <c r="M4" s="273" t="s">
        <v>34</v>
      </c>
      <c r="N4" s="273" t="s">
        <v>35</v>
      </c>
      <c r="O4" s="273" t="s">
        <v>36</v>
      </c>
      <c r="P4" s="273" t="s">
        <v>37</v>
      </c>
      <c r="Q4" s="273" t="s">
        <v>38</v>
      </c>
      <c r="R4" s="273" t="s">
        <v>39</v>
      </c>
      <c r="S4" s="273" t="s">
        <v>40</v>
      </c>
      <c r="T4" s="273" t="s">
        <v>41</v>
      </c>
      <c r="U4" s="273" t="s">
        <v>42</v>
      </c>
      <c r="V4" s="273" t="s">
        <v>43</v>
      </c>
      <c r="W4" s="159"/>
      <c r="X4" s="272" t="s">
        <v>44</v>
      </c>
      <c r="Y4" s="272" t="s">
        <v>36</v>
      </c>
      <c r="Z4" s="272" t="s">
        <v>37</v>
      </c>
      <c r="AA4" s="272" t="s">
        <v>38</v>
      </c>
      <c r="AB4" s="272" t="s">
        <v>39</v>
      </c>
      <c r="AC4" s="272" t="s">
        <v>40</v>
      </c>
      <c r="AD4" s="272" t="s">
        <v>41</v>
      </c>
      <c r="AE4" s="272" t="s">
        <v>42</v>
      </c>
      <c r="AF4" s="272" t="s">
        <v>43</v>
      </c>
      <c r="AG4" s="159"/>
      <c r="AH4" s="271" t="s">
        <v>45</v>
      </c>
      <c r="AI4" s="271" t="s">
        <v>36</v>
      </c>
      <c r="AJ4" s="271" t="s">
        <v>37</v>
      </c>
      <c r="AK4" s="271" t="s">
        <v>38</v>
      </c>
      <c r="AL4" s="271" t="s">
        <v>39</v>
      </c>
      <c r="AM4" s="271" t="s">
        <v>40</v>
      </c>
      <c r="AN4" s="271" t="s">
        <v>41</v>
      </c>
      <c r="AO4" s="271" t="s">
        <v>42</v>
      </c>
      <c r="AP4" s="271" t="s">
        <v>43</v>
      </c>
      <c r="AQ4" s="159"/>
      <c r="AR4" s="270" t="s">
        <v>46</v>
      </c>
      <c r="AS4" s="270" t="s">
        <v>36</v>
      </c>
      <c r="AT4" s="270" t="s">
        <v>37</v>
      </c>
      <c r="AU4" s="270" t="s">
        <v>38</v>
      </c>
      <c r="AV4" s="270" t="s">
        <v>39</v>
      </c>
      <c r="AW4" s="270" t="s">
        <v>40</v>
      </c>
      <c r="AX4" s="270" t="s">
        <v>41</v>
      </c>
      <c r="AY4" s="270" t="s">
        <v>42</v>
      </c>
      <c r="AZ4" s="270" t="s">
        <v>43</v>
      </c>
      <c r="BA4" s="159"/>
      <c r="BB4" s="269" t="s">
        <v>47</v>
      </c>
      <c r="BC4" s="269" t="s">
        <v>36</v>
      </c>
      <c r="BD4" s="269" t="s">
        <v>37</v>
      </c>
      <c r="BE4" s="269" t="s">
        <v>38</v>
      </c>
      <c r="BF4" s="269" t="s">
        <v>39</v>
      </c>
      <c r="BG4" s="269" t="s">
        <v>40</v>
      </c>
      <c r="BH4" s="269" t="s">
        <v>41</v>
      </c>
      <c r="BI4" s="269" t="s">
        <v>42</v>
      </c>
      <c r="BJ4" s="269" t="s">
        <v>43</v>
      </c>
      <c r="BK4" s="162"/>
      <c r="BL4" s="268" t="s">
        <v>48</v>
      </c>
      <c r="BM4" s="268" t="s">
        <v>49</v>
      </c>
      <c r="BN4" s="268" t="s">
        <v>41</v>
      </c>
      <c r="BO4" s="268" t="s">
        <v>50</v>
      </c>
      <c r="BP4" s="268" t="s">
        <v>51</v>
      </c>
      <c r="BQ4" s="268" t="s">
        <v>41</v>
      </c>
    </row>
    <row r="5" spans="1:69" s="156" customFormat="1" ht="20.25" customHeight="1" x14ac:dyDescent="0.2">
      <c r="A5" s="282"/>
      <c r="B5" s="283"/>
      <c r="C5" s="283"/>
      <c r="D5" s="210" t="s">
        <v>376</v>
      </c>
      <c r="E5" s="157"/>
      <c r="F5" s="163" t="s">
        <v>52</v>
      </c>
      <c r="G5" s="164" t="s">
        <v>52</v>
      </c>
      <c r="H5" s="158"/>
      <c r="I5" s="163" t="s">
        <v>52</v>
      </c>
      <c r="J5" s="163" t="s">
        <v>52</v>
      </c>
      <c r="K5" s="158"/>
      <c r="L5" s="273"/>
      <c r="M5" s="273"/>
      <c r="N5" s="273"/>
      <c r="O5" s="273"/>
      <c r="P5" s="273"/>
      <c r="Q5" s="273"/>
      <c r="R5" s="273"/>
      <c r="S5" s="273"/>
      <c r="T5" s="273"/>
      <c r="U5" s="273"/>
      <c r="V5" s="273"/>
      <c r="W5" s="159"/>
      <c r="X5" s="272"/>
      <c r="Y5" s="272"/>
      <c r="Z5" s="272"/>
      <c r="AA5" s="272"/>
      <c r="AB5" s="272"/>
      <c r="AC5" s="272"/>
      <c r="AD5" s="272"/>
      <c r="AE5" s="272"/>
      <c r="AF5" s="272"/>
      <c r="AG5" s="159"/>
      <c r="AH5" s="271"/>
      <c r="AI5" s="271"/>
      <c r="AJ5" s="271"/>
      <c r="AK5" s="271"/>
      <c r="AL5" s="271"/>
      <c r="AM5" s="271"/>
      <c r="AN5" s="271"/>
      <c r="AO5" s="271"/>
      <c r="AP5" s="271"/>
      <c r="AQ5" s="159"/>
      <c r="AR5" s="270"/>
      <c r="AS5" s="270"/>
      <c r="AT5" s="270"/>
      <c r="AU5" s="270"/>
      <c r="AV5" s="270"/>
      <c r="AW5" s="270"/>
      <c r="AX5" s="270"/>
      <c r="AY5" s="270"/>
      <c r="AZ5" s="270"/>
      <c r="BA5" s="159"/>
      <c r="BB5" s="269"/>
      <c r="BC5" s="269"/>
      <c r="BD5" s="269"/>
      <c r="BE5" s="269"/>
      <c r="BF5" s="269"/>
      <c r="BG5" s="269"/>
      <c r="BH5" s="269"/>
      <c r="BI5" s="269"/>
      <c r="BJ5" s="269"/>
      <c r="BK5" s="162"/>
      <c r="BL5" s="268"/>
      <c r="BM5" s="268"/>
      <c r="BN5" s="268"/>
      <c r="BO5" s="268"/>
      <c r="BP5" s="268"/>
      <c r="BQ5" s="268"/>
    </row>
    <row r="6" spans="1:69" s="156" customFormat="1" ht="22.35" customHeight="1" x14ac:dyDescent="0.2">
      <c r="A6" s="165" t="s">
        <v>4</v>
      </c>
      <c r="B6" s="165" t="s">
        <v>0</v>
      </c>
      <c r="C6" s="165" t="s">
        <v>5</v>
      </c>
      <c r="D6" s="166">
        <v>1.89995189988889</v>
      </c>
      <c r="E6" s="167"/>
      <c r="F6" s="168">
        <v>4.7500000000000001E-2</v>
      </c>
      <c r="G6" s="168">
        <v>3.7499999999999999E-2</v>
      </c>
      <c r="H6" s="169"/>
      <c r="I6" s="170">
        <v>6</v>
      </c>
      <c r="J6" s="170">
        <v>6</v>
      </c>
      <c r="K6" s="167"/>
      <c r="L6" s="171">
        <v>265.52704</v>
      </c>
      <c r="M6" s="171">
        <v>209.98823999999999</v>
      </c>
      <c r="N6" s="171">
        <v>475.51528000000002</v>
      </c>
      <c r="O6" s="166">
        <v>250.27753598804699</v>
      </c>
      <c r="P6" s="172">
        <v>234.65600000000001</v>
      </c>
      <c r="Q6" s="182">
        <v>1.0665720714068601</v>
      </c>
      <c r="R6" s="183">
        <v>-38.086770199417103</v>
      </c>
      <c r="S6" s="168">
        <v>5.4999999999999997E-3</v>
      </c>
      <c r="T6" s="168">
        <v>3.5000000000000001E-3</v>
      </c>
      <c r="U6" s="175">
        <v>0</v>
      </c>
      <c r="V6" s="176">
        <v>60</v>
      </c>
      <c r="W6" s="167"/>
      <c r="X6" s="175">
        <v>1546.044455</v>
      </c>
      <c r="Y6" s="166">
        <v>813.72820811432905</v>
      </c>
      <c r="Z6" s="177">
        <v>573</v>
      </c>
      <c r="AA6" s="178">
        <v>1.42011903684874</v>
      </c>
      <c r="AB6" s="179">
        <v>291.893805690943</v>
      </c>
      <c r="AC6" s="168">
        <v>0.02</v>
      </c>
      <c r="AD6" s="168">
        <v>0.02</v>
      </c>
      <c r="AE6" s="176">
        <v>0</v>
      </c>
      <c r="AF6" s="176">
        <v>0</v>
      </c>
      <c r="AG6" s="167"/>
      <c r="AH6" s="180">
        <v>123.1</v>
      </c>
      <c r="AI6" s="166">
        <v>64.791113926199401</v>
      </c>
      <c r="AJ6" s="181" t="s">
        <v>53</v>
      </c>
      <c r="AK6" s="182">
        <v>1.02843037978094</v>
      </c>
      <c r="AL6" s="183">
        <v>-14.7909090863361</v>
      </c>
      <c r="AM6" s="168">
        <v>7.0000000000000001E-3</v>
      </c>
      <c r="AN6" s="168">
        <v>3.0000000000000001E-3</v>
      </c>
      <c r="AO6" s="176">
        <v>0</v>
      </c>
      <c r="AP6" s="176">
        <v>21</v>
      </c>
      <c r="AQ6" s="167"/>
      <c r="AR6" s="180">
        <v>20.2</v>
      </c>
      <c r="AS6" s="166">
        <v>10.631848101618401</v>
      </c>
      <c r="AT6" s="181" t="s">
        <v>54</v>
      </c>
      <c r="AU6" s="173">
        <v>0.66449050635115103</v>
      </c>
      <c r="AV6" s="174">
        <v>-14.819913418752</v>
      </c>
      <c r="AW6" s="168"/>
      <c r="AX6" s="168"/>
      <c r="AY6" s="176">
        <v>11</v>
      </c>
      <c r="AZ6" s="176">
        <v>17</v>
      </c>
      <c r="BA6" s="167"/>
      <c r="BB6" s="184">
        <v>67.400000000000006</v>
      </c>
      <c r="BC6" s="180">
        <v>35.474582279657497</v>
      </c>
      <c r="BD6" s="181" t="s">
        <v>55</v>
      </c>
      <c r="BE6" s="182">
        <v>1.1085806962392999</v>
      </c>
      <c r="BF6" s="183">
        <v>-2.6398268375040299</v>
      </c>
      <c r="BG6" s="168">
        <v>1.4999999999999999E-2</v>
      </c>
      <c r="BH6" s="168">
        <v>1.0999999999999999E-2</v>
      </c>
      <c r="BI6" s="176">
        <v>0</v>
      </c>
      <c r="BJ6" s="176">
        <v>6</v>
      </c>
      <c r="BK6" s="169"/>
      <c r="BL6" s="185">
        <v>0.8</v>
      </c>
      <c r="BM6" s="182">
        <v>0.84</v>
      </c>
      <c r="BN6" s="186">
        <v>1.5E-3</v>
      </c>
      <c r="BO6" s="187">
        <v>0.95</v>
      </c>
      <c r="BP6" s="178">
        <v>1</v>
      </c>
      <c r="BQ6" s="186">
        <v>2.5000000000000001E-3</v>
      </c>
    </row>
    <row r="7" spans="1:69" s="156" customFormat="1" ht="22.35" customHeight="1" x14ac:dyDescent="0.2">
      <c r="A7" s="165" t="s">
        <v>4</v>
      </c>
      <c r="B7" s="165" t="s">
        <v>0</v>
      </c>
      <c r="C7" s="165" t="s">
        <v>56</v>
      </c>
      <c r="D7" s="166">
        <v>9.1914924981111099</v>
      </c>
      <c r="E7" s="167"/>
      <c r="F7" s="168">
        <v>4.8000000000000001E-2</v>
      </c>
      <c r="G7" s="168">
        <v>4.3999999999999997E-2</v>
      </c>
      <c r="H7" s="169"/>
      <c r="I7" s="170">
        <v>5</v>
      </c>
      <c r="J7" s="170">
        <v>5</v>
      </c>
      <c r="K7" s="167"/>
      <c r="L7" s="171">
        <v>3150.5862900000002</v>
      </c>
      <c r="M7" s="171">
        <v>6668.3214900000003</v>
      </c>
      <c r="N7" s="171">
        <v>9818.9077799999995</v>
      </c>
      <c r="O7" s="166">
        <v>1068.2604356167201</v>
      </c>
      <c r="P7" s="172">
        <v>244.07400000000001</v>
      </c>
      <c r="Q7" s="178">
        <v>4.3767891525386604</v>
      </c>
      <c r="R7" s="179">
        <v>7234.5059803384602</v>
      </c>
      <c r="S7" s="168">
        <v>0.01</v>
      </c>
      <c r="T7" s="168">
        <v>0.01</v>
      </c>
      <c r="U7" s="175">
        <v>0</v>
      </c>
      <c r="V7" s="176">
        <v>0</v>
      </c>
      <c r="W7" s="167"/>
      <c r="X7" s="175">
        <v>5980.6178550000004</v>
      </c>
      <c r="Y7" s="166">
        <v>650.66885015997605</v>
      </c>
      <c r="Z7" s="177">
        <v>573</v>
      </c>
      <c r="AA7" s="182">
        <v>1.13554773151828</v>
      </c>
      <c r="AB7" s="183">
        <v>-86.649577033151203</v>
      </c>
      <c r="AC7" s="168">
        <v>1.7999999999999999E-2</v>
      </c>
      <c r="AD7" s="168">
        <v>1.4E-2</v>
      </c>
      <c r="AE7" s="176">
        <v>0</v>
      </c>
      <c r="AF7" s="176">
        <v>340</v>
      </c>
      <c r="AG7" s="167"/>
      <c r="AH7" s="180">
        <v>477.35</v>
      </c>
      <c r="AI7" s="166">
        <v>51.933894315650797</v>
      </c>
      <c r="AJ7" s="181" t="s">
        <v>53</v>
      </c>
      <c r="AK7" s="188">
        <v>0.82434752881985396</v>
      </c>
      <c r="AL7" s="171">
        <v>-189.73175954291199</v>
      </c>
      <c r="AM7" s="168"/>
      <c r="AN7" s="168"/>
      <c r="AO7" s="176">
        <v>102</v>
      </c>
      <c r="AP7" s="176">
        <v>218</v>
      </c>
      <c r="AQ7" s="167"/>
      <c r="AR7" s="180">
        <v>74.7</v>
      </c>
      <c r="AS7" s="166">
        <v>8.1270805601322298</v>
      </c>
      <c r="AT7" s="181" t="s">
        <v>54</v>
      </c>
      <c r="AU7" s="173">
        <v>0.50794253500826403</v>
      </c>
      <c r="AV7" s="174">
        <v>-94.717589725183998</v>
      </c>
      <c r="AW7" s="168"/>
      <c r="AX7" s="168"/>
      <c r="AY7" s="176">
        <v>73</v>
      </c>
      <c r="AZ7" s="176">
        <v>102</v>
      </c>
      <c r="BA7" s="167"/>
      <c r="BB7" s="184">
        <v>385</v>
      </c>
      <c r="BC7" s="180">
        <v>41.886559781136597</v>
      </c>
      <c r="BD7" s="181" t="s">
        <v>55</v>
      </c>
      <c r="BE7" s="178">
        <v>1.30895499316052</v>
      </c>
      <c r="BF7" s="179">
        <v>46.164820549632097</v>
      </c>
      <c r="BG7" s="168">
        <v>0.02</v>
      </c>
      <c r="BH7" s="168">
        <v>0.02</v>
      </c>
      <c r="BI7" s="176">
        <v>0</v>
      </c>
      <c r="BJ7" s="176">
        <v>0</v>
      </c>
      <c r="BK7" s="169"/>
      <c r="BL7" s="185">
        <v>0.8</v>
      </c>
      <c r="BM7" s="182">
        <v>0.82</v>
      </c>
      <c r="BN7" s="186">
        <v>7.5000000000000002E-4</v>
      </c>
      <c r="BO7" s="187">
        <v>0.95</v>
      </c>
      <c r="BP7" s="178">
        <v>1</v>
      </c>
      <c r="BQ7" s="186">
        <v>2.5000000000000001E-3</v>
      </c>
    </row>
    <row r="8" spans="1:69" s="156" customFormat="1" ht="22.35" customHeight="1" x14ac:dyDescent="0.2">
      <c r="A8" s="165" t="s">
        <v>4</v>
      </c>
      <c r="B8" s="165" t="s">
        <v>0</v>
      </c>
      <c r="C8" s="165" t="s">
        <v>57</v>
      </c>
      <c r="D8" s="166">
        <v>2.4137029143333302</v>
      </c>
      <c r="E8" s="167"/>
      <c r="F8" s="168">
        <v>5.2499999999999998E-2</v>
      </c>
      <c r="G8" s="168">
        <v>5.0500000000000003E-2</v>
      </c>
      <c r="H8" s="169"/>
      <c r="I8" s="170">
        <v>6</v>
      </c>
      <c r="J8" s="170">
        <v>6</v>
      </c>
      <c r="K8" s="167"/>
      <c r="L8" s="171">
        <v>1159.26242</v>
      </c>
      <c r="M8" s="171">
        <v>857.93501000000003</v>
      </c>
      <c r="N8" s="171">
        <v>2017.1974299999999</v>
      </c>
      <c r="O8" s="166">
        <v>835.72730430959098</v>
      </c>
      <c r="P8" s="172">
        <v>214.66499999999999</v>
      </c>
      <c r="Q8" s="178">
        <v>3.8931698428229602</v>
      </c>
      <c r="R8" s="179">
        <v>1420.30298840662</v>
      </c>
      <c r="S8" s="168">
        <v>0.01</v>
      </c>
      <c r="T8" s="168">
        <v>0.01</v>
      </c>
      <c r="U8" s="175">
        <v>0</v>
      </c>
      <c r="V8" s="176">
        <v>0</v>
      </c>
      <c r="W8" s="167"/>
      <c r="X8" s="175">
        <v>2253.0179450000001</v>
      </c>
      <c r="Y8" s="166">
        <v>933.42802530537801</v>
      </c>
      <c r="Z8" s="177">
        <v>573</v>
      </c>
      <c r="AA8" s="178">
        <v>1.6290192413706399</v>
      </c>
      <c r="AB8" s="179">
        <v>659.74230606022604</v>
      </c>
      <c r="AC8" s="168">
        <v>0.02</v>
      </c>
      <c r="AD8" s="168">
        <v>0.02</v>
      </c>
      <c r="AE8" s="176">
        <v>0</v>
      </c>
      <c r="AF8" s="176">
        <v>0</v>
      </c>
      <c r="AG8" s="167"/>
      <c r="AH8" s="180">
        <v>113.35</v>
      </c>
      <c r="AI8" s="166">
        <v>46.961040369505199</v>
      </c>
      <c r="AJ8" s="181" t="s">
        <v>53</v>
      </c>
      <c r="AK8" s="173">
        <v>0.74541333919849495</v>
      </c>
      <c r="AL8" s="174">
        <v>-61.826902710655702</v>
      </c>
      <c r="AM8" s="168"/>
      <c r="AN8" s="168"/>
      <c r="AO8" s="176">
        <v>39</v>
      </c>
      <c r="AP8" s="176">
        <v>70</v>
      </c>
      <c r="AQ8" s="167"/>
      <c r="AR8" s="180">
        <v>39.1</v>
      </c>
      <c r="AS8" s="166">
        <v>16.199176695612302</v>
      </c>
      <c r="AT8" s="181" t="s">
        <v>54</v>
      </c>
      <c r="AU8" s="182">
        <v>1.01244854347577</v>
      </c>
      <c r="AV8" s="183">
        <v>-5.3893721169919298</v>
      </c>
      <c r="AW8" s="168">
        <v>2.5000000000000001E-3</v>
      </c>
      <c r="AX8" s="168">
        <v>5.0000000000000001E-4</v>
      </c>
      <c r="AY8" s="176">
        <v>0</v>
      </c>
      <c r="AZ8" s="176">
        <v>8</v>
      </c>
      <c r="BA8" s="167"/>
      <c r="BB8" s="184">
        <v>114.8</v>
      </c>
      <c r="BC8" s="180">
        <v>47.5617771011839</v>
      </c>
      <c r="BD8" s="181" t="s">
        <v>55</v>
      </c>
      <c r="BE8" s="178">
        <v>1.486305534412</v>
      </c>
      <c r="BF8" s="179">
        <v>25.821255766016101</v>
      </c>
      <c r="BG8" s="168">
        <v>0.02</v>
      </c>
      <c r="BH8" s="168">
        <v>0.02</v>
      </c>
      <c r="BI8" s="176">
        <v>0</v>
      </c>
      <c r="BJ8" s="176">
        <v>0</v>
      </c>
      <c r="BK8" s="169"/>
      <c r="BL8" s="185">
        <v>0.8</v>
      </c>
      <c r="BM8" s="182">
        <v>0.88</v>
      </c>
      <c r="BN8" s="186">
        <v>3.0000000000000001E-3</v>
      </c>
      <c r="BO8" s="187">
        <v>0.95</v>
      </c>
      <c r="BP8" s="178">
        <v>1</v>
      </c>
      <c r="BQ8" s="186">
        <v>2.5000000000000001E-3</v>
      </c>
    </row>
    <row r="9" spans="1:69" s="156" customFormat="1" ht="22.35" customHeight="1" x14ac:dyDescent="0.2">
      <c r="A9" s="165" t="s">
        <v>4</v>
      </c>
      <c r="B9" s="165" t="s">
        <v>0</v>
      </c>
      <c r="C9" s="165" t="s">
        <v>58</v>
      </c>
      <c r="D9" s="166">
        <v>2.8152337733333299</v>
      </c>
      <c r="E9" s="167"/>
      <c r="F9" s="168"/>
      <c r="G9" s="168"/>
      <c r="H9" s="169"/>
      <c r="I9" s="170">
        <v>2</v>
      </c>
      <c r="J9" s="170">
        <v>2</v>
      </c>
      <c r="K9" s="167"/>
      <c r="L9" s="171">
        <v>997.77229999999997</v>
      </c>
      <c r="M9" s="171">
        <v>-552.19554000000005</v>
      </c>
      <c r="N9" s="171">
        <v>445.57675999999998</v>
      </c>
      <c r="O9" s="166">
        <v>158.273449338604</v>
      </c>
      <c r="P9" s="172">
        <v>212.5</v>
      </c>
      <c r="Q9" s="173">
        <v>0.74481623218166504</v>
      </c>
      <c r="R9" s="174">
        <v>-243.59246771199901</v>
      </c>
      <c r="S9" s="168"/>
      <c r="T9" s="168"/>
      <c r="U9" s="175">
        <v>153</v>
      </c>
      <c r="V9" s="176">
        <v>273</v>
      </c>
      <c r="W9" s="167"/>
      <c r="X9" s="175">
        <v>1516.0708999999999</v>
      </c>
      <c r="Y9" s="166">
        <v>538.52398133350005</v>
      </c>
      <c r="Z9" s="177">
        <v>573</v>
      </c>
      <c r="AA9" s="188">
        <v>0.93983242815619605</v>
      </c>
      <c r="AB9" s="171">
        <v>-342.25365284223699</v>
      </c>
      <c r="AC9" s="168"/>
      <c r="AD9" s="168"/>
      <c r="AE9" s="176">
        <v>98</v>
      </c>
      <c r="AF9" s="176">
        <v>420</v>
      </c>
      <c r="AG9" s="167"/>
      <c r="AH9" s="180">
        <v>100.5</v>
      </c>
      <c r="AI9" s="166">
        <v>35.698633964952997</v>
      </c>
      <c r="AJ9" s="181" t="s">
        <v>53</v>
      </c>
      <c r="AK9" s="173">
        <v>0.56664498357068205</v>
      </c>
      <c r="AL9" s="174">
        <v>-103.81840633344</v>
      </c>
      <c r="AM9" s="168"/>
      <c r="AN9" s="168"/>
      <c r="AO9" s="176">
        <v>77</v>
      </c>
      <c r="AP9" s="176">
        <v>113</v>
      </c>
      <c r="AQ9" s="167"/>
      <c r="AR9" s="180">
        <v>7</v>
      </c>
      <c r="AS9" s="166">
        <v>2.4864720174594099</v>
      </c>
      <c r="AT9" s="181" t="s">
        <v>54</v>
      </c>
      <c r="AU9" s="173">
        <v>0.15540450109121301</v>
      </c>
      <c r="AV9" s="174">
        <v>-44.890388910079899</v>
      </c>
      <c r="AW9" s="168"/>
      <c r="AX9" s="168"/>
      <c r="AY9" s="176">
        <v>39</v>
      </c>
      <c r="AZ9" s="176">
        <v>48</v>
      </c>
      <c r="BA9" s="167"/>
      <c r="BB9" s="184">
        <v>83</v>
      </c>
      <c r="BC9" s="180">
        <v>29.482453921304401</v>
      </c>
      <c r="BD9" s="181" t="s">
        <v>55</v>
      </c>
      <c r="BE9" s="188">
        <v>0.92132668504076298</v>
      </c>
      <c r="BF9" s="171">
        <v>-20.780777820159901</v>
      </c>
      <c r="BG9" s="168"/>
      <c r="BH9" s="168"/>
      <c r="BI9" s="176">
        <v>8</v>
      </c>
      <c r="BJ9" s="176">
        <v>26</v>
      </c>
      <c r="BK9" s="169"/>
      <c r="BL9" s="185">
        <v>0.8</v>
      </c>
      <c r="BM9" s="182">
        <v>0.82</v>
      </c>
      <c r="BN9" s="186">
        <v>7.5000000000000002E-4</v>
      </c>
      <c r="BO9" s="187">
        <v>0.95</v>
      </c>
      <c r="BP9" s="178">
        <v>1</v>
      </c>
      <c r="BQ9" s="186">
        <v>2.5000000000000001E-3</v>
      </c>
    </row>
    <row r="10" spans="1:69" s="156" customFormat="1" ht="22.35" customHeight="1" x14ac:dyDescent="0.2">
      <c r="A10" s="165" t="s">
        <v>4</v>
      </c>
      <c r="B10" s="165" t="s">
        <v>0</v>
      </c>
      <c r="C10" s="165" t="s">
        <v>59</v>
      </c>
      <c r="D10" s="166">
        <v>6.67734879333333</v>
      </c>
      <c r="E10" s="167"/>
      <c r="F10" s="168">
        <v>0.05</v>
      </c>
      <c r="G10" s="168">
        <v>4.2000000000000003E-2</v>
      </c>
      <c r="H10" s="169"/>
      <c r="I10" s="170">
        <v>6</v>
      </c>
      <c r="J10" s="170">
        <v>6</v>
      </c>
      <c r="K10" s="167"/>
      <c r="L10" s="171">
        <v>2751.9059999999999</v>
      </c>
      <c r="M10" s="171">
        <v>3168.7971899999998</v>
      </c>
      <c r="N10" s="171">
        <v>5920.7031900000002</v>
      </c>
      <c r="O10" s="166">
        <v>886.68472671537404</v>
      </c>
      <c r="P10" s="172">
        <v>234.65600000000001</v>
      </c>
      <c r="Q10" s="178">
        <v>3.7786578085170399</v>
      </c>
      <c r="R10" s="179">
        <v>4115.6574778674103</v>
      </c>
      <c r="S10" s="168">
        <v>0.01</v>
      </c>
      <c r="T10" s="168">
        <v>0.01</v>
      </c>
      <c r="U10" s="175">
        <v>0</v>
      </c>
      <c r="V10" s="176">
        <v>0</v>
      </c>
      <c r="W10" s="167"/>
      <c r="X10" s="175">
        <v>4929.0041300000003</v>
      </c>
      <c r="Y10" s="166">
        <v>738.167839146147</v>
      </c>
      <c r="Z10" s="177">
        <v>573</v>
      </c>
      <c r="AA10" s="178">
        <v>1.28825102817827</v>
      </c>
      <c r="AB10" s="179">
        <v>521.31290091584299</v>
      </c>
      <c r="AC10" s="168">
        <v>0.02</v>
      </c>
      <c r="AD10" s="168">
        <v>0.02</v>
      </c>
      <c r="AE10" s="176">
        <v>0</v>
      </c>
      <c r="AF10" s="176">
        <v>0</v>
      </c>
      <c r="AG10" s="167"/>
      <c r="AH10" s="180">
        <v>420.8</v>
      </c>
      <c r="AI10" s="166">
        <v>63.019023421410402</v>
      </c>
      <c r="AJ10" s="181" t="s">
        <v>53</v>
      </c>
      <c r="AK10" s="182">
        <v>1.00030195907001</v>
      </c>
      <c r="AL10" s="183">
        <v>-63.815266024959598</v>
      </c>
      <c r="AM10" s="168">
        <v>4.0000000000000001E-3</v>
      </c>
      <c r="AN10" s="168">
        <v>1E-3</v>
      </c>
      <c r="AO10" s="176">
        <v>0</v>
      </c>
      <c r="AP10" s="176">
        <v>85</v>
      </c>
      <c r="AQ10" s="167"/>
      <c r="AR10" s="180">
        <v>55.7</v>
      </c>
      <c r="AS10" s="166">
        <v>8.3416340412845997</v>
      </c>
      <c r="AT10" s="181" t="s">
        <v>54</v>
      </c>
      <c r="AU10" s="173">
        <v>0.52135212758028804</v>
      </c>
      <c r="AV10" s="174">
        <v>-67.376892958719907</v>
      </c>
      <c r="AW10" s="168"/>
      <c r="AX10" s="168"/>
      <c r="AY10" s="176">
        <v>52</v>
      </c>
      <c r="AZ10" s="176">
        <v>73</v>
      </c>
      <c r="BA10" s="167"/>
      <c r="BB10" s="184">
        <v>237.8</v>
      </c>
      <c r="BC10" s="180">
        <v>35.612936714855998</v>
      </c>
      <c r="BD10" s="181" t="s">
        <v>55</v>
      </c>
      <c r="BE10" s="182">
        <v>1.1129042723392499</v>
      </c>
      <c r="BF10" s="183">
        <v>-8.3537859174398097</v>
      </c>
      <c r="BG10" s="168">
        <v>1.6E-2</v>
      </c>
      <c r="BH10" s="168">
        <v>1.0999999999999999E-2</v>
      </c>
      <c r="BI10" s="176">
        <v>0</v>
      </c>
      <c r="BJ10" s="176">
        <v>19</v>
      </c>
      <c r="BK10" s="169"/>
      <c r="BL10" s="185">
        <v>0.8</v>
      </c>
      <c r="BM10" s="182">
        <v>0.85</v>
      </c>
      <c r="BN10" s="186">
        <v>1.8749999999999999E-3</v>
      </c>
      <c r="BO10" s="187">
        <v>0.95</v>
      </c>
      <c r="BP10" s="178">
        <v>1</v>
      </c>
      <c r="BQ10" s="186">
        <v>2.5000000000000001E-3</v>
      </c>
    </row>
    <row r="11" spans="1:69" s="156" customFormat="1" ht="22.35" customHeight="1" x14ac:dyDescent="0.2">
      <c r="A11" s="165" t="s">
        <v>4</v>
      </c>
      <c r="B11" s="165" t="s">
        <v>0</v>
      </c>
      <c r="C11" s="165" t="s">
        <v>60</v>
      </c>
      <c r="D11" s="166">
        <v>2.0789473684444402</v>
      </c>
      <c r="E11" s="167"/>
      <c r="F11" s="168">
        <v>4.3999999999999997E-2</v>
      </c>
      <c r="G11" s="168">
        <v>3.5999999999999997E-2</v>
      </c>
      <c r="H11" s="169"/>
      <c r="I11" s="170">
        <v>6</v>
      </c>
      <c r="J11" s="170">
        <v>6</v>
      </c>
      <c r="K11" s="167"/>
      <c r="L11" s="171">
        <v>483.38405999999998</v>
      </c>
      <c r="M11" s="171">
        <v>330.4932</v>
      </c>
      <c r="N11" s="171">
        <v>813.87725999999998</v>
      </c>
      <c r="O11" s="166">
        <v>391.48526429939199</v>
      </c>
      <c r="P11" s="172">
        <v>214.66499999999999</v>
      </c>
      <c r="Q11" s="178">
        <v>1.8237032785940499</v>
      </c>
      <c r="R11" s="179">
        <v>299.76588315211097</v>
      </c>
      <c r="S11" s="168">
        <v>0.01</v>
      </c>
      <c r="T11" s="168">
        <v>0.01</v>
      </c>
      <c r="U11" s="175">
        <v>0</v>
      </c>
      <c r="V11" s="176">
        <v>0</v>
      </c>
      <c r="W11" s="167"/>
      <c r="X11" s="175">
        <v>1245.6219699999999</v>
      </c>
      <c r="Y11" s="166">
        <v>599.15993492996699</v>
      </c>
      <c r="Z11" s="177">
        <v>573</v>
      </c>
      <c r="AA11" s="182">
        <v>1.0456543367015101</v>
      </c>
      <c r="AB11" s="183">
        <v>-126.68287212070101</v>
      </c>
      <c r="AC11" s="168">
        <v>8.9999999999999993E-3</v>
      </c>
      <c r="AD11" s="168">
        <v>5.0000000000000001E-3</v>
      </c>
      <c r="AE11" s="176">
        <v>0</v>
      </c>
      <c r="AF11" s="176">
        <v>184</v>
      </c>
      <c r="AG11" s="167"/>
      <c r="AH11" s="180">
        <v>131.5</v>
      </c>
      <c r="AI11" s="166">
        <v>63.253164556250297</v>
      </c>
      <c r="AJ11" s="181" t="s">
        <v>53</v>
      </c>
      <c r="AK11" s="182">
        <v>1.0040184850198499</v>
      </c>
      <c r="AL11" s="183">
        <v>-19.3816842122236</v>
      </c>
      <c r="AM11" s="168">
        <v>5.0000000000000001E-3</v>
      </c>
      <c r="AN11" s="168">
        <v>1E-3</v>
      </c>
      <c r="AO11" s="176">
        <v>0</v>
      </c>
      <c r="AP11" s="176">
        <v>26</v>
      </c>
      <c r="AQ11" s="167"/>
      <c r="AR11" s="180">
        <v>25.4</v>
      </c>
      <c r="AS11" s="166">
        <v>12.217721518849901</v>
      </c>
      <c r="AT11" s="181" t="s">
        <v>54</v>
      </c>
      <c r="AU11" s="188">
        <v>0.76360759492811703</v>
      </c>
      <c r="AV11" s="171">
        <v>-12.919157895167899</v>
      </c>
      <c r="AW11" s="168"/>
      <c r="AX11" s="168"/>
      <c r="AY11" s="176">
        <v>8</v>
      </c>
      <c r="AZ11" s="176">
        <v>15</v>
      </c>
      <c r="BA11" s="167"/>
      <c r="BB11" s="184">
        <v>81.8</v>
      </c>
      <c r="BC11" s="180">
        <v>39.3468354425952</v>
      </c>
      <c r="BD11" s="181" t="s">
        <v>55</v>
      </c>
      <c r="BE11" s="178">
        <v>1.2295886075811</v>
      </c>
      <c r="BF11" s="179">
        <v>5.1616842096641697</v>
      </c>
      <c r="BG11" s="168">
        <v>0.02</v>
      </c>
      <c r="BH11" s="168">
        <v>0.02</v>
      </c>
      <c r="BI11" s="176">
        <v>0</v>
      </c>
      <c r="BJ11" s="176">
        <v>0</v>
      </c>
      <c r="BK11" s="169"/>
      <c r="BL11" s="185">
        <v>0.8</v>
      </c>
      <c r="BM11" s="182">
        <v>0.85</v>
      </c>
      <c r="BN11" s="186">
        <v>1.8749999999999999E-3</v>
      </c>
      <c r="BO11" s="187">
        <v>0.95</v>
      </c>
      <c r="BP11" s="178">
        <v>1</v>
      </c>
      <c r="BQ11" s="186">
        <v>2.5000000000000001E-3</v>
      </c>
    </row>
    <row r="12" spans="1:69" s="156" customFormat="1" ht="22.35" customHeight="1" x14ac:dyDescent="0.2">
      <c r="A12" s="165" t="s">
        <v>4</v>
      </c>
      <c r="B12" s="165" t="s">
        <v>0</v>
      </c>
      <c r="C12" s="165" t="s">
        <v>61</v>
      </c>
      <c r="D12" s="166">
        <v>5.4163613696666699</v>
      </c>
      <c r="E12" s="167"/>
      <c r="F12" s="168">
        <v>3.7999999999999999E-2</v>
      </c>
      <c r="G12" s="168">
        <v>3.3000000000000002E-2</v>
      </c>
      <c r="H12" s="169"/>
      <c r="I12" s="170">
        <v>4</v>
      </c>
      <c r="J12" s="170">
        <v>4</v>
      </c>
      <c r="K12" s="167"/>
      <c r="L12" s="171">
        <v>2239.0366100000001</v>
      </c>
      <c r="M12" s="171">
        <v>2194.0407599999999</v>
      </c>
      <c r="N12" s="171">
        <v>4433.07737</v>
      </c>
      <c r="O12" s="166">
        <v>818.46041418629</v>
      </c>
      <c r="P12" s="172">
        <v>216.447</v>
      </c>
      <c r="Q12" s="178">
        <v>3.78134330430216</v>
      </c>
      <c r="R12" s="179">
        <v>3082.5242148739599</v>
      </c>
      <c r="S12" s="168">
        <v>0.01</v>
      </c>
      <c r="T12" s="168">
        <v>0.01</v>
      </c>
      <c r="U12" s="175">
        <v>0</v>
      </c>
      <c r="V12" s="176">
        <v>0</v>
      </c>
      <c r="W12" s="167"/>
      <c r="X12" s="175">
        <v>3205.5743200000002</v>
      </c>
      <c r="Y12" s="166">
        <v>591.83169312746202</v>
      </c>
      <c r="Z12" s="177">
        <v>573</v>
      </c>
      <c r="AA12" s="182">
        <v>1.0328650839920801</v>
      </c>
      <c r="AB12" s="183">
        <v>-369.74415467148998</v>
      </c>
      <c r="AC12" s="168">
        <v>8.0000000000000002E-3</v>
      </c>
      <c r="AD12" s="168">
        <v>3.0000000000000001E-3</v>
      </c>
      <c r="AE12" s="176">
        <v>0</v>
      </c>
      <c r="AF12" s="176">
        <v>519</v>
      </c>
      <c r="AG12" s="167"/>
      <c r="AH12" s="180">
        <v>324.10000000000002</v>
      </c>
      <c r="AI12" s="166">
        <v>59.837218730467697</v>
      </c>
      <c r="AJ12" s="181" t="s">
        <v>53</v>
      </c>
      <c r="AK12" s="188">
        <v>0.94979712270583605</v>
      </c>
      <c r="AL12" s="171">
        <v>-68.997842764928095</v>
      </c>
      <c r="AM12" s="168"/>
      <c r="AN12" s="168"/>
      <c r="AO12" s="176">
        <v>18</v>
      </c>
      <c r="AP12" s="176">
        <v>86</v>
      </c>
      <c r="AQ12" s="167"/>
      <c r="AR12" s="180">
        <v>50.2</v>
      </c>
      <c r="AS12" s="166">
        <v>9.2682146876565206</v>
      </c>
      <c r="AT12" s="181" t="s">
        <v>54</v>
      </c>
      <c r="AU12" s="173">
        <v>0.57926341797853298</v>
      </c>
      <c r="AV12" s="174">
        <v>-49.634372765696</v>
      </c>
      <c r="AW12" s="168"/>
      <c r="AX12" s="168"/>
      <c r="AY12" s="176">
        <v>37</v>
      </c>
      <c r="AZ12" s="176">
        <v>54</v>
      </c>
      <c r="BA12" s="167"/>
      <c r="BB12" s="184">
        <v>210.2</v>
      </c>
      <c r="BC12" s="180">
        <v>38.808341182179298</v>
      </c>
      <c r="BD12" s="181" t="s">
        <v>55</v>
      </c>
      <c r="BE12" s="178">
        <v>1.2127606619430999</v>
      </c>
      <c r="BF12" s="179">
        <v>10.531254468607999</v>
      </c>
      <c r="BG12" s="168">
        <v>0.02</v>
      </c>
      <c r="BH12" s="168">
        <v>0.02</v>
      </c>
      <c r="BI12" s="176">
        <v>0</v>
      </c>
      <c r="BJ12" s="176">
        <v>0</v>
      </c>
      <c r="BK12" s="169"/>
      <c r="BL12" s="185">
        <v>0.8</v>
      </c>
      <c r="BM12" s="188">
        <v>0.78</v>
      </c>
      <c r="BN12" s="186"/>
      <c r="BO12" s="187">
        <v>0.95</v>
      </c>
      <c r="BP12" s="178">
        <v>1</v>
      </c>
      <c r="BQ12" s="186">
        <v>2.5000000000000001E-3</v>
      </c>
    </row>
    <row r="13" spans="1:69" s="156" customFormat="1" ht="22.35" customHeight="1" x14ac:dyDescent="0.2">
      <c r="A13" s="165" t="s">
        <v>4</v>
      </c>
      <c r="B13" s="165" t="s">
        <v>0</v>
      </c>
      <c r="C13" s="165" t="s">
        <v>62</v>
      </c>
      <c r="D13" s="166">
        <v>2.5347178251111102</v>
      </c>
      <c r="E13" s="167"/>
      <c r="F13" s="168">
        <v>6.4000000000000001E-2</v>
      </c>
      <c r="G13" s="168">
        <v>0.06</v>
      </c>
      <c r="H13" s="169"/>
      <c r="I13" s="170">
        <v>6</v>
      </c>
      <c r="J13" s="170">
        <v>6</v>
      </c>
      <c r="K13" s="167"/>
      <c r="L13" s="171">
        <v>1992.38537</v>
      </c>
      <c r="M13" s="171">
        <v>1617.6458399999999</v>
      </c>
      <c r="N13" s="171">
        <v>3610.0312100000001</v>
      </c>
      <c r="O13" s="166">
        <v>1424.23396175933</v>
      </c>
      <c r="P13" s="172">
        <v>223.197</v>
      </c>
      <c r="Q13" s="178">
        <v>6.38106229814617</v>
      </c>
      <c r="R13" s="179">
        <v>2958.2971005981499</v>
      </c>
      <c r="S13" s="168">
        <v>0.01</v>
      </c>
      <c r="T13" s="168">
        <v>0.01</v>
      </c>
      <c r="U13" s="175">
        <v>0</v>
      </c>
      <c r="V13" s="176">
        <v>0</v>
      </c>
      <c r="W13" s="167"/>
      <c r="X13" s="175">
        <v>2256.3822700000001</v>
      </c>
      <c r="Y13" s="166">
        <v>890.19071379319701</v>
      </c>
      <c r="Z13" s="177">
        <v>573</v>
      </c>
      <c r="AA13" s="178">
        <v>1.55356145513647</v>
      </c>
      <c r="AB13" s="179">
        <v>583.22517251545696</v>
      </c>
      <c r="AC13" s="168">
        <v>0.02</v>
      </c>
      <c r="AD13" s="168">
        <v>0.02</v>
      </c>
      <c r="AE13" s="176">
        <v>0</v>
      </c>
      <c r="AF13" s="176">
        <v>0</v>
      </c>
      <c r="AG13" s="167"/>
      <c r="AH13" s="180">
        <v>175.45</v>
      </c>
      <c r="AI13" s="166">
        <v>69.218750214260595</v>
      </c>
      <c r="AJ13" s="181" t="s">
        <v>53</v>
      </c>
      <c r="AK13" s="182">
        <v>1.0987103208612801</v>
      </c>
      <c r="AL13" s="183">
        <v>-8.5096808752638804</v>
      </c>
      <c r="AM13" s="168">
        <v>1.4E-2</v>
      </c>
      <c r="AN13" s="168">
        <v>0.01</v>
      </c>
      <c r="AO13" s="176">
        <v>0</v>
      </c>
      <c r="AP13" s="176">
        <v>17</v>
      </c>
      <c r="AQ13" s="167"/>
      <c r="AR13" s="180">
        <v>38.4</v>
      </c>
      <c r="AS13" s="166">
        <v>15.1496153219014</v>
      </c>
      <c r="AT13" s="181" t="s">
        <v>54</v>
      </c>
      <c r="AU13" s="188">
        <v>0.94685095761883997</v>
      </c>
      <c r="AV13" s="171">
        <v>-8.3199189524479706</v>
      </c>
      <c r="AW13" s="168"/>
      <c r="AX13" s="168"/>
      <c r="AY13" s="176">
        <v>3</v>
      </c>
      <c r="AZ13" s="176">
        <v>11</v>
      </c>
      <c r="BA13" s="167"/>
      <c r="BB13" s="184">
        <v>147.80000000000001</v>
      </c>
      <c r="BC13" s="180">
        <v>58.310238140026897</v>
      </c>
      <c r="BD13" s="181" t="s">
        <v>55</v>
      </c>
      <c r="BE13" s="178">
        <v>1.8221949418758401</v>
      </c>
      <c r="BF13" s="179">
        <v>54.360162095104101</v>
      </c>
      <c r="BG13" s="168">
        <v>0.02</v>
      </c>
      <c r="BH13" s="168">
        <v>0.02</v>
      </c>
      <c r="BI13" s="176">
        <v>0</v>
      </c>
      <c r="BJ13" s="176">
        <v>0</v>
      </c>
      <c r="BK13" s="169"/>
      <c r="BL13" s="185">
        <v>0.8</v>
      </c>
      <c r="BM13" s="182">
        <v>0.82</v>
      </c>
      <c r="BN13" s="186">
        <v>7.5000000000000002E-4</v>
      </c>
      <c r="BO13" s="187">
        <v>0.95</v>
      </c>
      <c r="BP13" s="178">
        <v>1</v>
      </c>
      <c r="BQ13" s="186">
        <v>2.5000000000000001E-3</v>
      </c>
    </row>
    <row r="14" spans="1:69" s="156" customFormat="1" ht="22.35" customHeight="1" x14ac:dyDescent="0.2">
      <c r="A14" s="165" t="s">
        <v>4</v>
      </c>
      <c r="B14" s="165" t="s">
        <v>0</v>
      </c>
      <c r="C14" s="165" t="s">
        <v>63</v>
      </c>
      <c r="D14" s="166">
        <v>2.8184251681111099</v>
      </c>
      <c r="E14" s="167"/>
      <c r="F14" s="168">
        <v>0.02</v>
      </c>
      <c r="G14" s="168">
        <v>0.02</v>
      </c>
      <c r="H14" s="169"/>
      <c r="I14" s="170">
        <v>2</v>
      </c>
      <c r="J14" s="170">
        <v>2</v>
      </c>
      <c r="K14" s="167"/>
      <c r="L14" s="171">
        <v>1009.74608</v>
      </c>
      <c r="M14" s="171">
        <v>-1069.59833</v>
      </c>
      <c r="N14" s="171">
        <v>-59.852249999999998</v>
      </c>
      <c r="O14" s="166">
        <v>-21.236061427918798</v>
      </c>
      <c r="P14" s="172">
        <v>212.5</v>
      </c>
      <c r="Q14" s="173">
        <v>-9.9934406719617896E-2</v>
      </c>
      <c r="R14" s="174">
        <v>-749.80273115360001</v>
      </c>
      <c r="S14" s="168"/>
      <c r="T14" s="168"/>
      <c r="U14" s="175">
        <v>659</v>
      </c>
      <c r="V14" s="176">
        <v>779</v>
      </c>
      <c r="W14" s="167"/>
      <c r="X14" s="175">
        <v>2124.2642850000002</v>
      </c>
      <c r="Y14" s="166">
        <v>753.706115399071</v>
      </c>
      <c r="Z14" s="177">
        <v>573</v>
      </c>
      <c r="AA14" s="178">
        <v>1.3153684387418301</v>
      </c>
      <c r="AB14" s="179">
        <v>263.83310523052899</v>
      </c>
      <c r="AC14" s="168">
        <v>0.02</v>
      </c>
      <c r="AD14" s="168">
        <v>0.02</v>
      </c>
      <c r="AE14" s="176">
        <v>0</v>
      </c>
      <c r="AF14" s="176">
        <v>0</v>
      </c>
      <c r="AG14" s="167"/>
      <c r="AH14" s="180">
        <v>152.69999999999999</v>
      </c>
      <c r="AI14" s="166">
        <v>54.179192595820602</v>
      </c>
      <c r="AJ14" s="181" t="s">
        <v>53</v>
      </c>
      <c r="AK14" s="188">
        <v>0.859987184060645</v>
      </c>
      <c r="AL14" s="171">
        <v>-51.850025000831899</v>
      </c>
      <c r="AM14" s="168"/>
      <c r="AN14" s="168"/>
      <c r="AO14" s="176">
        <v>25</v>
      </c>
      <c r="AP14" s="176">
        <v>61</v>
      </c>
      <c r="AQ14" s="167"/>
      <c r="AR14" s="180">
        <v>17.3</v>
      </c>
      <c r="AS14" s="166">
        <v>6.1381796457609497</v>
      </c>
      <c r="AT14" s="181" t="s">
        <v>54</v>
      </c>
      <c r="AU14" s="173">
        <v>0.38363622786005902</v>
      </c>
      <c r="AV14" s="174">
        <v>-34.649212698623998</v>
      </c>
      <c r="AW14" s="168"/>
      <c r="AX14" s="168"/>
      <c r="AY14" s="176">
        <v>28</v>
      </c>
      <c r="AZ14" s="176">
        <v>37</v>
      </c>
      <c r="BA14" s="167"/>
      <c r="BB14" s="184">
        <v>67.400000000000006</v>
      </c>
      <c r="BC14" s="180">
        <v>23.914064053427001</v>
      </c>
      <c r="BD14" s="181" t="s">
        <v>55</v>
      </c>
      <c r="BE14" s="173">
        <v>0.74731450166959501</v>
      </c>
      <c r="BF14" s="174">
        <v>-36.4984253972479</v>
      </c>
      <c r="BG14" s="168"/>
      <c r="BH14" s="168"/>
      <c r="BI14" s="176">
        <v>23</v>
      </c>
      <c r="BJ14" s="176">
        <v>41</v>
      </c>
      <c r="BK14" s="169"/>
      <c r="BL14" s="185">
        <v>0.8</v>
      </c>
      <c r="BM14" s="188">
        <v>0.79</v>
      </c>
      <c r="BN14" s="186"/>
      <c r="BO14" s="187">
        <v>0.95</v>
      </c>
      <c r="BP14" s="178">
        <v>1</v>
      </c>
      <c r="BQ14" s="186">
        <v>2.5000000000000001E-3</v>
      </c>
    </row>
    <row r="15" spans="1:69" s="156" customFormat="1" ht="22.35" customHeight="1" x14ac:dyDescent="0.2">
      <c r="A15" s="165" t="s">
        <v>4</v>
      </c>
      <c r="B15" s="165" t="s">
        <v>64</v>
      </c>
      <c r="C15" s="165" t="s">
        <v>65</v>
      </c>
      <c r="D15" s="166">
        <v>3.6851069297777799</v>
      </c>
      <c r="E15" s="167"/>
      <c r="F15" s="168">
        <v>8.9999999999999993E-3</v>
      </c>
      <c r="G15" s="168">
        <v>6.4999999999999997E-3</v>
      </c>
      <c r="H15" s="169"/>
      <c r="I15" s="170">
        <v>3</v>
      </c>
      <c r="J15" s="170">
        <v>3</v>
      </c>
      <c r="K15" s="167"/>
      <c r="L15" s="171">
        <v>2879.92571</v>
      </c>
      <c r="M15" s="171">
        <v>-1912.2658799999999</v>
      </c>
      <c r="N15" s="171">
        <v>967.65983000000006</v>
      </c>
      <c r="O15" s="166">
        <v>262.58663545981602</v>
      </c>
      <c r="P15" s="172">
        <v>231.52600000000001</v>
      </c>
      <c r="Q15" s="182">
        <v>1.1341561442767401</v>
      </c>
      <c r="R15" s="183">
        <v>-15.2243432113371</v>
      </c>
      <c r="S15" s="168">
        <v>8.9999999999999993E-3</v>
      </c>
      <c r="T15" s="168">
        <v>6.4999999999999997E-3</v>
      </c>
      <c r="U15" s="175">
        <v>0</v>
      </c>
      <c r="V15" s="176">
        <v>57</v>
      </c>
      <c r="W15" s="167"/>
      <c r="X15" s="175">
        <v>2023.9562550000001</v>
      </c>
      <c r="Y15" s="166">
        <v>549.22592303774798</v>
      </c>
      <c r="Z15" s="177">
        <v>573</v>
      </c>
      <c r="AA15" s="188">
        <v>0.95850946428926298</v>
      </c>
      <c r="AB15" s="171">
        <v>-408.56808891859299</v>
      </c>
      <c r="AC15" s="168">
        <v>0</v>
      </c>
      <c r="AD15" s="168"/>
      <c r="AE15" s="176">
        <v>88</v>
      </c>
      <c r="AF15" s="176">
        <v>510</v>
      </c>
      <c r="AG15" s="167"/>
      <c r="AH15" s="180">
        <v>175.5</v>
      </c>
      <c r="AI15" s="166">
        <v>47.624126882685403</v>
      </c>
      <c r="AJ15" s="181" t="s">
        <v>53</v>
      </c>
      <c r="AK15" s="173">
        <v>0.75593852194738698</v>
      </c>
      <c r="AL15" s="174">
        <v>-91.950320535552095</v>
      </c>
      <c r="AM15" s="168"/>
      <c r="AN15" s="168"/>
      <c r="AO15" s="176">
        <v>57</v>
      </c>
      <c r="AP15" s="176">
        <v>104</v>
      </c>
      <c r="AQ15" s="167"/>
      <c r="AR15" s="180">
        <v>18.600000000000001</v>
      </c>
      <c r="AS15" s="166">
        <v>5.0473433619256296</v>
      </c>
      <c r="AT15" s="181" t="s">
        <v>54</v>
      </c>
      <c r="AU15" s="173">
        <v>0.31545896012035202</v>
      </c>
      <c r="AV15" s="174">
        <v>-49.323890929664003</v>
      </c>
      <c r="AW15" s="168"/>
      <c r="AX15" s="168"/>
      <c r="AY15" s="176">
        <v>41</v>
      </c>
      <c r="AZ15" s="176">
        <v>53</v>
      </c>
      <c r="BA15" s="167"/>
      <c r="BB15" s="184">
        <v>99.4</v>
      </c>
      <c r="BC15" s="180">
        <v>26.973437106204699</v>
      </c>
      <c r="BD15" s="181" t="s">
        <v>55</v>
      </c>
      <c r="BE15" s="188">
        <v>0.84291990956889695</v>
      </c>
      <c r="BF15" s="171">
        <v>-36.447781859328103</v>
      </c>
      <c r="BG15" s="168"/>
      <c r="BH15" s="168"/>
      <c r="BI15" s="176">
        <v>19</v>
      </c>
      <c r="BJ15" s="176">
        <v>43</v>
      </c>
      <c r="BK15" s="169"/>
      <c r="BL15" s="185">
        <v>0.8</v>
      </c>
      <c r="BM15" s="182">
        <v>0.81</v>
      </c>
      <c r="BN15" s="186">
        <v>3.7500000000000001E-4</v>
      </c>
      <c r="BO15" s="187">
        <v>0.95</v>
      </c>
      <c r="BP15" s="178">
        <v>1</v>
      </c>
      <c r="BQ15" s="186">
        <v>2.5000000000000001E-3</v>
      </c>
    </row>
    <row r="16" spans="1:69" s="156" customFormat="1" ht="22.35" customHeight="1" x14ac:dyDescent="0.2">
      <c r="A16" s="165" t="s">
        <v>4</v>
      </c>
      <c r="B16" s="165" t="s">
        <v>64</v>
      </c>
      <c r="C16" s="165" t="s">
        <v>66</v>
      </c>
      <c r="D16" s="166">
        <v>2.98808404311111</v>
      </c>
      <c r="E16" s="167"/>
      <c r="F16" s="168">
        <v>5.0999999999999997E-2</v>
      </c>
      <c r="G16" s="168">
        <v>4.5999999999999999E-2</v>
      </c>
      <c r="H16" s="169"/>
      <c r="I16" s="170">
        <v>6</v>
      </c>
      <c r="J16" s="170">
        <v>5</v>
      </c>
      <c r="K16" s="167"/>
      <c r="L16" s="171">
        <v>1465.193</v>
      </c>
      <c r="M16" s="171">
        <v>428.68234000000001</v>
      </c>
      <c r="N16" s="171">
        <v>1893.8753400000001</v>
      </c>
      <c r="O16" s="166">
        <v>633.80926127772102</v>
      </c>
      <c r="P16" s="172">
        <v>233.14400000000001</v>
      </c>
      <c r="Q16" s="178">
        <v>2.7185312994446398</v>
      </c>
      <c r="R16" s="179">
        <v>1091.3300861985399</v>
      </c>
      <c r="S16" s="168">
        <v>0.01</v>
      </c>
      <c r="T16" s="168">
        <v>0.01</v>
      </c>
      <c r="U16" s="175">
        <v>0</v>
      </c>
      <c r="V16" s="176">
        <v>0</v>
      </c>
      <c r="W16" s="167"/>
      <c r="X16" s="175">
        <v>2159.895845</v>
      </c>
      <c r="Y16" s="166">
        <v>722.83637737015397</v>
      </c>
      <c r="Z16" s="177">
        <v>573</v>
      </c>
      <c r="AA16" s="178">
        <v>1.2614945503842101</v>
      </c>
      <c r="AB16" s="179">
        <v>187.473520478529</v>
      </c>
      <c r="AC16" s="168">
        <v>0.02</v>
      </c>
      <c r="AD16" s="168">
        <v>0.02</v>
      </c>
      <c r="AE16" s="176">
        <v>0</v>
      </c>
      <c r="AF16" s="176">
        <v>0</v>
      </c>
      <c r="AG16" s="167"/>
      <c r="AH16" s="180">
        <v>181.3</v>
      </c>
      <c r="AI16" s="166">
        <v>60.674330903770503</v>
      </c>
      <c r="AJ16" s="181" t="s">
        <v>53</v>
      </c>
      <c r="AK16" s="182">
        <v>0.96308461752016705</v>
      </c>
      <c r="AL16" s="183">
        <v>-35.563187512831902</v>
      </c>
      <c r="AM16" s="168">
        <v>1E-3</v>
      </c>
      <c r="AN16" s="168"/>
      <c r="AO16" s="176">
        <v>7</v>
      </c>
      <c r="AP16" s="176">
        <v>45</v>
      </c>
      <c r="AQ16" s="167"/>
      <c r="AR16" s="180">
        <v>20.8</v>
      </c>
      <c r="AS16" s="166">
        <v>6.9609822548175799</v>
      </c>
      <c r="AT16" s="181" t="s">
        <v>54</v>
      </c>
      <c r="AU16" s="173">
        <v>0.43506139092609902</v>
      </c>
      <c r="AV16" s="174">
        <v>-34.276365082623997</v>
      </c>
      <c r="AW16" s="168"/>
      <c r="AX16" s="168"/>
      <c r="AY16" s="176">
        <v>28</v>
      </c>
      <c r="AZ16" s="176">
        <v>37</v>
      </c>
      <c r="BA16" s="167"/>
      <c r="BB16" s="184">
        <v>110.8</v>
      </c>
      <c r="BC16" s="180">
        <v>37.080617011239802</v>
      </c>
      <c r="BD16" s="181" t="s">
        <v>55</v>
      </c>
      <c r="BE16" s="178">
        <v>1.15876928160124</v>
      </c>
      <c r="BF16" s="179">
        <v>0.64726983475206601</v>
      </c>
      <c r="BG16" s="168">
        <v>0.02</v>
      </c>
      <c r="BH16" s="168">
        <v>1.6E-2</v>
      </c>
      <c r="BI16" s="176">
        <v>0</v>
      </c>
      <c r="BJ16" s="176">
        <v>4</v>
      </c>
      <c r="BK16" s="169"/>
      <c r="BL16" s="185">
        <v>0.8</v>
      </c>
      <c r="BM16" s="182">
        <v>0.81</v>
      </c>
      <c r="BN16" s="186">
        <v>3.7500000000000001E-4</v>
      </c>
      <c r="BO16" s="187">
        <v>0.95</v>
      </c>
      <c r="BP16" s="178">
        <v>1</v>
      </c>
      <c r="BQ16" s="186">
        <v>2.5000000000000001E-3</v>
      </c>
    </row>
    <row r="17" spans="1:69" s="156" customFormat="1" ht="22.35" customHeight="1" x14ac:dyDescent="0.2">
      <c r="A17" s="165" t="s">
        <v>4</v>
      </c>
      <c r="B17" s="165" t="s">
        <v>64</v>
      </c>
      <c r="C17" s="165" t="s">
        <v>67</v>
      </c>
      <c r="D17" s="166">
        <v>3.7318809292222199</v>
      </c>
      <c r="E17" s="167"/>
      <c r="F17" s="168">
        <v>4.4999999999999998E-2</v>
      </c>
      <c r="G17" s="168">
        <v>4.1000000000000002E-2</v>
      </c>
      <c r="H17" s="169"/>
      <c r="I17" s="170">
        <v>4</v>
      </c>
      <c r="J17" s="170">
        <v>4</v>
      </c>
      <c r="K17" s="167"/>
      <c r="L17" s="171">
        <v>1272.63824</v>
      </c>
      <c r="M17" s="171">
        <v>587.48716000000002</v>
      </c>
      <c r="N17" s="171">
        <v>1860.1253999999999</v>
      </c>
      <c r="O17" s="166">
        <v>498.44178720559501</v>
      </c>
      <c r="P17" s="172">
        <v>246.29499999999999</v>
      </c>
      <c r="Q17" s="178">
        <v>2.0237592610714601</v>
      </c>
      <c r="R17" s="179">
        <v>801.27195729086998</v>
      </c>
      <c r="S17" s="168">
        <v>0.01</v>
      </c>
      <c r="T17" s="168">
        <v>0.01</v>
      </c>
      <c r="U17" s="175">
        <v>0</v>
      </c>
      <c r="V17" s="176">
        <v>0</v>
      </c>
      <c r="W17" s="167"/>
      <c r="X17" s="175">
        <v>2738.2055</v>
      </c>
      <c r="Y17" s="166">
        <v>733.73335107202399</v>
      </c>
      <c r="Z17" s="177">
        <v>573</v>
      </c>
      <c r="AA17" s="178">
        <v>1.2805119564956799</v>
      </c>
      <c r="AB17" s="179">
        <v>274.80582614412998</v>
      </c>
      <c r="AC17" s="168">
        <v>0.02</v>
      </c>
      <c r="AD17" s="168">
        <v>0.02</v>
      </c>
      <c r="AE17" s="176">
        <v>0</v>
      </c>
      <c r="AF17" s="176">
        <v>0</v>
      </c>
      <c r="AG17" s="167"/>
      <c r="AH17" s="180">
        <v>146.6</v>
      </c>
      <c r="AI17" s="166">
        <v>39.2831397304398</v>
      </c>
      <c r="AJ17" s="181" t="s">
        <v>53</v>
      </c>
      <c r="AK17" s="173">
        <v>0.62354190048317104</v>
      </c>
      <c r="AL17" s="174">
        <v>-124.244990319232</v>
      </c>
      <c r="AM17" s="168"/>
      <c r="AN17" s="168"/>
      <c r="AO17" s="176">
        <v>89</v>
      </c>
      <c r="AP17" s="176">
        <v>136</v>
      </c>
      <c r="AQ17" s="167"/>
      <c r="AR17" s="180">
        <v>18.100000000000001</v>
      </c>
      <c r="AS17" s="166">
        <v>4.8501011536218304</v>
      </c>
      <c r="AT17" s="181" t="s">
        <v>54</v>
      </c>
      <c r="AU17" s="173">
        <v>0.30313132210136401</v>
      </c>
      <c r="AV17" s="174">
        <v>-50.686029287423999</v>
      </c>
      <c r="AW17" s="168"/>
      <c r="AX17" s="168"/>
      <c r="AY17" s="176">
        <v>42</v>
      </c>
      <c r="AZ17" s="176">
        <v>54</v>
      </c>
      <c r="BA17" s="167"/>
      <c r="BB17" s="184">
        <v>132.19999999999999</v>
      </c>
      <c r="BC17" s="180">
        <v>35.424495718718497</v>
      </c>
      <c r="BD17" s="181" t="s">
        <v>55</v>
      </c>
      <c r="BE17" s="182">
        <v>1.1070154912099499</v>
      </c>
      <c r="BF17" s="183">
        <v>-5.3720585748479301</v>
      </c>
      <c r="BG17" s="168">
        <v>1.4999999999999999E-2</v>
      </c>
      <c r="BH17" s="168">
        <v>1.0999999999999999E-2</v>
      </c>
      <c r="BI17" s="176">
        <v>0</v>
      </c>
      <c r="BJ17" s="176">
        <v>12</v>
      </c>
      <c r="BK17" s="169"/>
      <c r="BL17" s="185">
        <v>0.8</v>
      </c>
      <c r="BM17" s="188">
        <v>0.77</v>
      </c>
      <c r="BN17" s="186"/>
      <c r="BO17" s="187">
        <v>0.95</v>
      </c>
      <c r="BP17" s="178">
        <v>1</v>
      </c>
      <c r="BQ17" s="186">
        <v>2.5000000000000001E-3</v>
      </c>
    </row>
    <row r="18" spans="1:69" s="156" customFormat="1" ht="22.35" customHeight="1" x14ac:dyDescent="0.2">
      <c r="A18" s="165" t="s">
        <v>4</v>
      </c>
      <c r="B18" s="165" t="s">
        <v>64</v>
      </c>
      <c r="C18" s="165" t="s">
        <v>68</v>
      </c>
      <c r="D18" s="166">
        <v>2.4135234434444399</v>
      </c>
      <c r="E18" s="167"/>
      <c r="F18" s="168">
        <v>0.06</v>
      </c>
      <c r="G18" s="168">
        <v>5.7000000000000002E-2</v>
      </c>
      <c r="H18" s="169"/>
      <c r="I18" s="170">
        <v>5</v>
      </c>
      <c r="J18" s="170">
        <v>5</v>
      </c>
      <c r="K18" s="167"/>
      <c r="L18" s="171">
        <v>394.63168000000002</v>
      </c>
      <c r="M18" s="171">
        <v>-824.82686999999999</v>
      </c>
      <c r="N18" s="171">
        <v>-430.19519000000003</v>
      </c>
      <c r="O18" s="166">
        <v>-178.24363428848599</v>
      </c>
      <c r="P18" s="172">
        <v>233.14400000000001</v>
      </c>
      <c r="Q18" s="173">
        <v>-0.76452164451363303</v>
      </c>
      <c r="R18" s="174">
        <v>-1078.42387317257</v>
      </c>
      <c r="S18" s="168"/>
      <c r="T18" s="168"/>
      <c r="U18" s="175">
        <v>993</v>
      </c>
      <c r="V18" s="176">
        <v>1106</v>
      </c>
      <c r="W18" s="167"/>
      <c r="X18" s="175">
        <v>1726.1867199999999</v>
      </c>
      <c r="Y18" s="166">
        <v>715.21439938303797</v>
      </c>
      <c r="Z18" s="177">
        <v>573</v>
      </c>
      <c r="AA18" s="178">
        <v>1.24819266908035</v>
      </c>
      <c r="AB18" s="179">
        <v>133.02954907609899</v>
      </c>
      <c r="AC18" s="168">
        <v>0.02</v>
      </c>
      <c r="AD18" s="168">
        <v>0.02</v>
      </c>
      <c r="AE18" s="176">
        <v>0</v>
      </c>
      <c r="AF18" s="176">
        <v>0</v>
      </c>
      <c r="AG18" s="167"/>
      <c r="AH18" s="180">
        <v>187.1</v>
      </c>
      <c r="AI18" s="166">
        <v>77.521517558984797</v>
      </c>
      <c r="AJ18" s="181" t="s">
        <v>53</v>
      </c>
      <c r="AK18" s="178">
        <v>1.23050027871404</v>
      </c>
      <c r="AL18" s="179">
        <v>11.9361225685763</v>
      </c>
      <c r="AM18" s="168">
        <v>0.02</v>
      </c>
      <c r="AN18" s="168">
        <v>0.02</v>
      </c>
      <c r="AO18" s="176">
        <v>0</v>
      </c>
      <c r="AP18" s="176">
        <v>0</v>
      </c>
      <c r="AQ18" s="167"/>
      <c r="AR18" s="180">
        <v>17.3</v>
      </c>
      <c r="AS18" s="166">
        <v>7.1679436331931399</v>
      </c>
      <c r="AT18" s="181" t="s">
        <v>54</v>
      </c>
      <c r="AU18" s="173">
        <v>0.44799647707457102</v>
      </c>
      <c r="AV18" s="174">
        <v>-27.186064109567901</v>
      </c>
      <c r="AW18" s="168"/>
      <c r="AX18" s="168"/>
      <c r="AY18" s="176">
        <v>22</v>
      </c>
      <c r="AZ18" s="176">
        <v>30</v>
      </c>
      <c r="BA18" s="167"/>
      <c r="BB18" s="184">
        <v>90</v>
      </c>
      <c r="BC18" s="180">
        <v>37.289880172681102</v>
      </c>
      <c r="BD18" s="181" t="s">
        <v>55</v>
      </c>
      <c r="BE18" s="178">
        <v>1.16530875539628</v>
      </c>
      <c r="BF18" s="179">
        <v>1.02787178086417</v>
      </c>
      <c r="BG18" s="168">
        <v>0.02</v>
      </c>
      <c r="BH18" s="168">
        <v>1.7000000000000001E-2</v>
      </c>
      <c r="BI18" s="176">
        <v>0</v>
      </c>
      <c r="BJ18" s="176">
        <v>3</v>
      </c>
      <c r="BK18" s="169"/>
      <c r="BL18" s="185">
        <v>0.8</v>
      </c>
      <c r="BM18" s="182">
        <v>0.86</v>
      </c>
      <c r="BN18" s="186">
        <v>2.2499999999999998E-3</v>
      </c>
      <c r="BO18" s="187">
        <v>0.95</v>
      </c>
      <c r="BP18" s="178">
        <v>1</v>
      </c>
      <c r="BQ18" s="186">
        <v>2.5000000000000001E-3</v>
      </c>
    </row>
    <row r="19" spans="1:69" s="156" customFormat="1" ht="22.35" customHeight="1" x14ac:dyDescent="0.2">
      <c r="A19" s="165" t="s">
        <v>4</v>
      </c>
      <c r="B19" s="165" t="s">
        <v>64</v>
      </c>
      <c r="C19" s="165" t="s">
        <v>69</v>
      </c>
      <c r="D19" s="166">
        <v>5.75203804544444</v>
      </c>
      <c r="E19" s="167"/>
      <c r="F19" s="168">
        <v>0.01</v>
      </c>
      <c r="G19" s="168">
        <v>0.01</v>
      </c>
      <c r="H19" s="169"/>
      <c r="I19" s="170">
        <v>2</v>
      </c>
      <c r="J19" s="170">
        <v>2</v>
      </c>
      <c r="K19" s="167"/>
      <c r="L19" s="171">
        <v>2357.0675099999999</v>
      </c>
      <c r="M19" s="171">
        <v>2019.3439100000001</v>
      </c>
      <c r="N19" s="171">
        <v>4376.4114200000004</v>
      </c>
      <c r="O19" s="166">
        <v>760.84535349450096</v>
      </c>
      <c r="P19" s="172">
        <v>212.5</v>
      </c>
      <c r="Q19" s="178">
        <v>3.5804487223270698</v>
      </c>
      <c r="R19" s="179">
        <v>2968.3125064751998</v>
      </c>
      <c r="S19" s="168">
        <v>0.01</v>
      </c>
      <c r="T19" s="168">
        <v>0.01</v>
      </c>
      <c r="U19" s="175">
        <v>0</v>
      </c>
      <c r="V19" s="176">
        <v>0</v>
      </c>
      <c r="W19" s="167"/>
      <c r="X19" s="175">
        <v>2748.7173349999998</v>
      </c>
      <c r="Y19" s="166">
        <v>477.86842042481902</v>
      </c>
      <c r="Z19" s="177">
        <v>573</v>
      </c>
      <c r="AA19" s="188">
        <v>0.83397630091591402</v>
      </c>
      <c r="AB19" s="171">
        <v>-1048.17997064569</v>
      </c>
      <c r="AC19" s="168"/>
      <c r="AD19" s="168"/>
      <c r="AE19" s="176">
        <v>548</v>
      </c>
      <c r="AF19" s="176">
        <v>1207</v>
      </c>
      <c r="AG19" s="167"/>
      <c r="AH19" s="180">
        <v>299.39999999999998</v>
      </c>
      <c r="AI19" s="166">
        <v>52.051116079999098</v>
      </c>
      <c r="AJ19" s="181" t="s">
        <v>53</v>
      </c>
      <c r="AK19" s="188">
        <v>0.82620819174601801</v>
      </c>
      <c r="AL19" s="171">
        <v>-118.059913186176</v>
      </c>
      <c r="AM19" s="168"/>
      <c r="AN19" s="168"/>
      <c r="AO19" s="176">
        <v>63</v>
      </c>
      <c r="AP19" s="176">
        <v>136</v>
      </c>
      <c r="AQ19" s="167"/>
      <c r="AR19" s="180">
        <v>28.8</v>
      </c>
      <c r="AS19" s="166">
        <v>5.0069209856512202</v>
      </c>
      <c r="AT19" s="181" t="s">
        <v>54</v>
      </c>
      <c r="AU19" s="173">
        <v>0.31293256160320099</v>
      </c>
      <c r="AV19" s="174">
        <v>-77.221565253631894</v>
      </c>
      <c r="AW19" s="168"/>
      <c r="AX19" s="168"/>
      <c r="AY19" s="176">
        <v>64</v>
      </c>
      <c r="AZ19" s="176">
        <v>82</v>
      </c>
      <c r="BA19" s="167"/>
      <c r="BB19" s="184">
        <v>151.4</v>
      </c>
      <c r="BC19" s="180">
        <v>26.321105459291498</v>
      </c>
      <c r="BD19" s="181" t="s">
        <v>55</v>
      </c>
      <c r="BE19" s="188">
        <v>0.82253454560285799</v>
      </c>
      <c r="BF19" s="171">
        <v>-60.643130507263798</v>
      </c>
      <c r="BG19" s="168"/>
      <c r="BH19" s="168"/>
      <c r="BI19" s="176">
        <v>33</v>
      </c>
      <c r="BJ19" s="176">
        <v>70</v>
      </c>
      <c r="BK19" s="169"/>
      <c r="BL19" s="185">
        <v>0.8</v>
      </c>
      <c r="BM19" s="188">
        <v>0.79</v>
      </c>
      <c r="BN19" s="186"/>
      <c r="BO19" s="187">
        <v>0.95</v>
      </c>
      <c r="BP19" s="178">
        <v>1</v>
      </c>
      <c r="BQ19" s="186">
        <v>2.5000000000000001E-3</v>
      </c>
    </row>
    <row r="20" spans="1:69" s="156" customFormat="1" ht="22.35" customHeight="1" x14ac:dyDescent="0.2">
      <c r="A20" s="165" t="s">
        <v>4</v>
      </c>
      <c r="B20" s="165" t="s">
        <v>64</v>
      </c>
      <c r="C20" s="165" t="s">
        <v>70</v>
      </c>
      <c r="D20" s="166">
        <v>3.7144129870000002</v>
      </c>
      <c r="E20" s="167"/>
      <c r="F20" s="168">
        <v>3.9E-2</v>
      </c>
      <c r="G20" s="168">
        <v>3.4000000000000002E-2</v>
      </c>
      <c r="H20" s="169"/>
      <c r="I20" s="170">
        <v>4</v>
      </c>
      <c r="J20" s="170">
        <v>4</v>
      </c>
      <c r="K20" s="167"/>
      <c r="L20" s="171">
        <v>1757.77928</v>
      </c>
      <c r="M20" s="171">
        <v>1306.43163</v>
      </c>
      <c r="N20" s="171">
        <v>3064.2109099999998</v>
      </c>
      <c r="O20" s="166">
        <v>824.95159281543795</v>
      </c>
      <c r="P20" s="172">
        <v>231.90199999999999</v>
      </c>
      <c r="Q20" s="178">
        <v>3.5573284957242199</v>
      </c>
      <c r="R20" s="179">
        <v>2071.90137981101</v>
      </c>
      <c r="S20" s="168">
        <v>0.01</v>
      </c>
      <c r="T20" s="168">
        <v>0.01</v>
      </c>
      <c r="U20" s="175">
        <v>0</v>
      </c>
      <c r="V20" s="176">
        <v>0</v>
      </c>
      <c r="W20" s="167"/>
      <c r="X20" s="175">
        <v>2218.1865349999998</v>
      </c>
      <c r="Y20" s="166">
        <v>597.18360418278405</v>
      </c>
      <c r="Z20" s="177">
        <v>573</v>
      </c>
      <c r="AA20" s="182">
        <v>1.04220524290189</v>
      </c>
      <c r="AB20" s="183">
        <v>-233.68262006675101</v>
      </c>
      <c r="AC20" s="168">
        <v>8.9999999999999993E-3</v>
      </c>
      <c r="AD20" s="168">
        <v>4.0000000000000001E-3</v>
      </c>
      <c r="AE20" s="176">
        <v>0</v>
      </c>
      <c r="AF20" s="176">
        <v>336</v>
      </c>
      <c r="AG20" s="167"/>
      <c r="AH20" s="180">
        <v>136.19999999999999</v>
      </c>
      <c r="AI20" s="166">
        <v>36.667974314295101</v>
      </c>
      <c r="AJ20" s="181" t="s">
        <v>53</v>
      </c>
      <c r="AK20" s="173">
        <v>0.58203133832214404</v>
      </c>
      <c r="AL20" s="174">
        <v>-133.37723694451199</v>
      </c>
      <c r="AM20" s="168"/>
      <c r="AN20" s="168"/>
      <c r="AO20" s="176">
        <v>98</v>
      </c>
      <c r="AP20" s="176">
        <v>145</v>
      </c>
      <c r="AQ20" s="167"/>
      <c r="AR20" s="180">
        <v>52</v>
      </c>
      <c r="AS20" s="166">
        <v>13.999520296206599</v>
      </c>
      <c r="AT20" s="181" t="s">
        <v>54</v>
      </c>
      <c r="AU20" s="188">
        <v>0.87497001851291401</v>
      </c>
      <c r="AV20" s="171">
        <v>-16.464060176383999</v>
      </c>
      <c r="AW20" s="168"/>
      <c r="AX20" s="168"/>
      <c r="AY20" s="176">
        <v>8</v>
      </c>
      <c r="AZ20" s="176">
        <v>20</v>
      </c>
      <c r="BA20" s="167"/>
      <c r="BB20" s="184">
        <v>154.19999999999999</v>
      </c>
      <c r="BC20" s="180">
        <v>41.513962109135797</v>
      </c>
      <c r="BD20" s="181" t="s">
        <v>55</v>
      </c>
      <c r="BE20" s="178">
        <v>1.2973113159104901</v>
      </c>
      <c r="BF20" s="179">
        <v>17.271879647232002</v>
      </c>
      <c r="BG20" s="168">
        <v>0.02</v>
      </c>
      <c r="BH20" s="168">
        <v>0.02</v>
      </c>
      <c r="BI20" s="176">
        <v>0</v>
      </c>
      <c r="BJ20" s="176">
        <v>0</v>
      </c>
      <c r="BK20" s="169"/>
      <c r="BL20" s="185">
        <v>0.8</v>
      </c>
      <c r="BM20" s="188">
        <v>0.8</v>
      </c>
      <c r="BN20" s="186">
        <v>0</v>
      </c>
      <c r="BO20" s="187">
        <v>0.95</v>
      </c>
      <c r="BP20" s="178">
        <v>1</v>
      </c>
      <c r="BQ20" s="186">
        <v>2.5000000000000001E-3</v>
      </c>
    </row>
    <row r="21" spans="1:69" s="156" customFormat="1" ht="22.35" customHeight="1" x14ac:dyDescent="0.2">
      <c r="A21" s="165" t="s">
        <v>4</v>
      </c>
      <c r="B21" s="165" t="s">
        <v>64</v>
      </c>
      <c r="C21" s="165" t="s">
        <v>71</v>
      </c>
      <c r="D21" s="166">
        <v>6.6311696409999996</v>
      </c>
      <c r="E21" s="167"/>
      <c r="F21" s="168">
        <v>3.7999999999999999E-2</v>
      </c>
      <c r="G21" s="168">
        <v>3.4000000000000002E-2</v>
      </c>
      <c r="H21" s="169"/>
      <c r="I21" s="170">
        <v>5</v>
      </c>
      <c r="J21" s="170">
        <v>5</v>
      </c>
      <c r="K21" s="167"/>
      <c r="L21" s="171">
        <v>3095.9188100000001</v>
      </c>
      <c r="M21" s="171">
        <v>-775.15575000000001</v>
      </c>
      <c r="N21" s="171">
        <v>2320.7630600000002</v>
      </c>
      <c r="O21" s="166">
        <v>349.97793536315299</v>
      </c>
      <c r="P21" s="172">
        <v>218.77099999999999</v>
      </c>
      <c r="Q21" s="178">
        <v>1.59974555751518</v>
      </c>
      <c r="R21" s="179">
        <v>649.54788921204499</v>
      </c>
      <c r="S21" s="168">
        <v>0.01</v>
      </c>
      <c r="T21" s="168">
        <v>0.01</v>
      </c>
      <c r="U21" s="175">
        <v>0</v>
      </c>
      <c r="V21" s="176">
        <v>0</v>
      </c>
      <c r="W21" s="167"/>
      <c r="X21" s="175">
        <v>3954.5861599999998</v>
      </c>
      <c r="Y21" s="166">
        <v>596.36329246489299</v>
      </c>
      <c r="Z21" s="177">
        <v>573</v>
      </c>
      <c r="AA21" s="182">
        <v>1.04077363431918</v>
      </c>
      <c r="AB21" s="183">
        <v>-422.62239534553498</v>
      </c>
      <c r="AC21" s="168">
        <v>8.0000000000000002E-3</v>
      </c>
      <c r="AD21" s="168">
        <v>4.0000000000000001E-3</v>
      </c>
      <c r="AE21" s="176">
        <v>0</v>
      </c>
      <c r="AF21" s="176">
        <v>606</v>
      </c>
      <c r="AG21" s="167"/>
      <c r="AH21" s="180">
        <v>230.4</v>
      </c>
      <c r="AI21" s="166">
        <v>34.745001632208997</v>
      </c>
      <c r="AJ21" s="181" t="s">
        <v>53</v>
      </c>
      <c r="AK21" s="173">
        <v>0.55150796241601596</v>
      </c>
      <c r="AL21" s="174">
        <v>-250.863767865216</v>
      </c>
      <c r="AM21" s="168"/>
      <c r="AN21" s="168"/>
      <c r="AO21" s="176">
        <v>188</v>
      </c>
      <c r="AP21" s="176">
        <v>271</v>
      </c>
      <c r="AQ21" s="167"/>
      <c r="AR21" s="180">
        <v>47</v>
      </c>
      <c r="AS21" s="166">
        <v>7.0877390482370899</v>
      </c>
      <c r="AT21" s="181" t="s">
        <v>54</v>
      </c>
      <c r="AU21" s="173">
        <v>0.44298369051481801</v>
      </c>
      <c r="AV21" s="174">
        <v>-75.225718822912</v>
      </c>
      <c r="AW21" s="168"/>
      <c r="AX21" s="168"/>
      <c r="AY21" s="176">
        <v>60</v>
      </c>
      <c r="AZ21" s="176">
        <v>81</v>
      </c>
      <c r="BA21" s="167"/>
      <c r="BB21" s="184">
        <v>259.8</v>
      </c>
      <c r="BC21" s="180">
        <v>39.178608611319</v>
      </c>
      <c r="BD21" s="181" t="s">
        <v>55</v>
      </c>
      <c r="BE21" s="178">
        <v>1.2243315191037201</v>
      </c>
      <c r="BF21" s="179">
        <v>15.348562354176</v>
      </c>
      <c r="BG21" s="168">
        <v>0.02</v>
      </c>
      <c r="BH21" s="168">
        <v>0.02</v>
      </c>
      <c r="BI21" s="176">
        <v>0</v>
      </c>
      <c r="BJ21" s="176">
        <v>0</v>
      </c>
      <c r="BK21" s="169"/>
      <c r="BL21" s="185">
        <v>0.8</v>
      </c>
      <c r="BM21" s="182">
        <v>0.81</v>
      </c>
      <c r="BN21" s="186">
        <v>3.7500000000000001E-4</v>
      </c>
      <c r="BO21" s="187">
        <v>0.95</v>
      </c>
      <c r="BP21" s="178">
        <v>1</v>
      </c>
      <c r="BQ21" s="186">
        <v>2.5000000000000001E-3</v>
      </c>
    </row>
    <row r="22" spans="1:69" s="156" customFormat="1" ht="22.35" customHeight="1" x14ac:dyDescent="0.2">
      <c r="A22" s="165" t="s">
        <v>4</v>
      </c>
      <c r="B22" s="165" t="s">
        <v>64</v>
      </c>
      <c r="C22" s="165" t="s">
        <v>72</v>
      </c>
      <c r="D22" s="166">
        <v>4.3170066618888896</v>
      </c>
      <c r="E22" s="167"/>
      <c r="F22" s="168">
        <v>3.4000000000000002E-2</v>
      </c>
      <c r="G22" s="168">
        <v>2.5999999999999999E-2</v>
      </c>
      <c r="H22" s="169"/>
      <c r="I22" s="170">
        <v>5</v>
      </c>
      <c r="J22" s="170">
        <v>5</v>
      </c>
      <c r="K22" s="167"/>
      <c r="L22" s="171">
        <v>2469.7280599999999</v>
      </c>
      <c r="M22" s="171">
        <v>-361.79946999999999</v>
      </c>
      <c r="N22" s="171">
        <v>2107.92859</v>
      </c>
      <c r="O22" s="166">
        <v>488.28476652794501</v>
      </c>
      <c r="P22" s="172">
        <v>242.99700000000001</v>
      </c>
      <c r="Q22" s="178">
        <v>2.0094271391331802</v>
      </c>
      <c r="R22" s="179">
        <v>899.45793267249496</v>
      </c>
      <c r="S22" s="168">
        <v>0.01</v>
      </c>
      <c r="T22" s="168">
        <v>0.01</v>
      </c>
      <c r="U22" s="175">
        <v>0</v>
      </c>
      <c r="V22" s="176">
        <v>0</v>
      </c>
      <c r="W22" s="167"/>
      <c r="X22" s="175">
        <v>2484.3437899999999</v>
      </c>
      <c r="Y22" s="166">
        <v>575.47833130120398</v>
      </c>
      <c r="Z22" s="177">
        <v>573</v>
      </c>
      <c r="AA22" s="182">
        <v>1.0043251855169399</v>
      </c>
      <c r="AB22" s="183">
        <v>-365.29503948620902</v>
      </c>
      <c r="AC22" s="168">
        <v>5.0000000000000001E-3</v>
      </c>
      <c r="AD22" s="168">
        <v>1E-3</v>
      </c>
      <c r="AE22" s="176">
        <v>0</v>
      </c>
      <c r="AF22" s="176">
        <v>485</v>
      </c>
      <c r="AG22" s="167"/>
      <c r="AH22" s="180">
        <v>139</v>
      </c>
      <c r="AI22" s="166">
        <v>32.198236159121699</v>
      </c>
      <c r="AJ22" s="181" t="s">
        <v>53</v>
      </c>
      <c r="AK22" s="173">
        <v>0.51108311363685199</v>
      </c>
      <c r="AL22" s="174">
        <v>-174.31107549324801</v>
      </c>
      <c r="AM22" s="168"/>
      <c r="AN22" s="168"/>
      <c r="AO22" s="176">
        <v>133</v>
      </c>
      <c r="AP22" s="176">
        <v>188</v>
      </c>
      <c r="AQ22" s="167"/>
      <c r="AR22" s="180">
        <v>37.1</v>
      </c>
      <c r="AS22" s="166">
        <v>8.5939177086576599</v>
      </c>
      <c r="AT22" s="181" t="s">
        <v>54</v>
      </c>
      <c r="AU22" s="173">
        <v>0.53711985679110397</v>
      </c>
      <c r="AV22" s="174">
        <v>-42.471066791936003</v>
      </c>
      <c r="AW22" s="168"/>
      <c r="AX22" s="168"/>
      <c r="AY22" s="176">
        <v>32</v>
      </c>
      <c r="AZ22" s="176">
        <v>46</v>
      </c>
      <c r="BA22" s="167"/>
      <c r="BB22" s="184">
        <v>158.4</v>
      </c>
      <c r="BC22" s="180">
        <v>36.692090702193298</v>
      </c>
      <c r="BD22" s="181" t="s">
        <v>55</v>
      </c>
      <c r="BE22" s="182">
        <v>1.1466278344435401</v>
      </c>
      <c r="BF22" s="183">
        <v>-0.74213358387200401</v>
      </c>
      <c r="BG22" s="168">
        <v>1.9E-2</v>
      </c>
      <c r="BH22" s="168">
        <v>1.4999999999999999E-2</v>
      </c>
      <c r="BI22" s="176">
        <v>0</v>
      </c>
      <c r="BJ22" s="176">
        <v>8</v>
      </c>
      <c r="BK22" s="169"/>
      <c r="BL22" s="185">
        <v>0.8</v>
      </c>
      <c r="BM22" s="182">
        <v>0.81</v>
      </c>
      <c r="BN22" s="186">
        <v>3.7500000000000001E-4</v>
      </c>
      <c r="BO22" s="187">
        <v>0.95</v>
      </c>
      <c r="BP22" s="178">
        <v>1</v>
      </c>
      <c r="BQ22" s="186">
        <v>2.5000000000000001E-3</v>
      </c>
    </row>
    <row r="23" spans="1:69" s="156" customFormat="1" ht="22.35" customHeight="1" x14ac:dyDescent="0.2">
      <c r="A23" s="165" t="s">
        <v>4</v>
      </c>
      <c r="B23" s="165" t="s">
        <v>64</v>
      </c>
      <c r="C23" s="165" t="s">
        <v>73</v>
      </c>
      <c r="D23" s="166">
        <v>4.4760896213333297</v>
      </c>
      <c r="E23" s="167"/>
      <c r="F23" s="168">
        <v>0.01</v>
      </c>
      <c r="G23" s="168">
        <v>0.01</v>
      </c>
      <c r="H23" s="169"/>
      <c r="I23" s="170">
        <v>3</v>
      </c>
      <c r="J23" s="170">
        <v>3</v>
      </c>
      <c r="K23" s="167"/>
      <c r="L23" s="171">
        <v>4373.03856</v>
      </c>
      <c r="M23" s="171">
        <v>2595.6632199999999</v>
      </c>
      <c r="N23" s="171">
        <v>6968.7017800000003</v>
      </c>
      <c r="O23" s="166">
        <v>1556.87271023054</v>
      </c>
      <c r="P23" s="172">
        <v>251.20400000000001</v>
      </c>
      <c r="Q23" s="178">
        <v>6.1976429922713798</v>
      </c>
      <c r="R23" s="179">
        <v>5673.3795969425</v>
      </c>
      <c r="S23" s="168">
        <v>0.01</v>
      </c>
      <c r="T23" s="168">
        <v>0.01</v>
      </c>
      <c r="U23" s="175">
        <v>0</v>
      </c>
      <c r="V23" s="176">
        <v>0</v>
      </c>
      <c r="W23" s="167"/>
      <c r="X23" s="175">
        <v>2271.9702550000002</v>
      </c>
      <c r="Y23" s="166">
        <v>507.57925939901702</v>
      </c>
      <c r="Z23" s="177">
        <v>573</v>
      </c>
      <c r="AA23" s="188">
        <v>0.88582767783423599</v>
      </c>
      <c r="AB23" s="171">
        <v>-682.67859968364598</v>
      </c>
      <c r="AC23" s="168"/>
      <c r="AD23" s="168"/>
      <c r="AE23" s="176">
        <v>293</v>
      </c>
      <c r="AF23" s="176">
        <v>806</v>
      </c>
      <c r="AG23" s="167"/>
      <c r="AH23" s="180">
        <v>92.5</v>
      </c>
      <c r="AI23" s="166">
        <v>20.665359236584301</v>
      </c>
      <c r="AJ23" s="181" t="s">
        <v>53</v>
      </c>
      <c r="AK23" s="173">
        <v>0.32802157518387798</v>
      </c>
      <c r="AL23" s="174">
        <v>-232.356680357888</v>
      </c>
      <c r="AM23" s="168"/>
      <c r="AN23" s="168"/>
      <c r="AO23" s="176">
        <v>190</v>
      </c>
      <c r="AP23" s="176">
        <v>246</v>
      </c>
      <c r="AQ23" s="167"/>
      <c r="AR23" s="180">
        <v>19.8</v>
      </c>
      <c r="AS23" s="166">
        <v>4.4235039230742599</v>
      </c>
      <c r="AT23" s="181" t="s">
        <v>54</v>
      </c>
      <c r="AU23" s="173">
        <v>0.27646899519214102</v>
      </c>
      <c r="AV23" s="174">
        <v>-62.703283900415897</v>
      </c>
      <c r="AW23" s="168"/>
      <c r="AX23" s="168"/>
      <c r="AY23" s="176">
        <v>52</v>
      </c>
      <c r="AZ23" s="176">
        <v>67</v>
      </c>
      <c r="BA23" s="167"/>
      <c r="BB23" s="184">
        <v>121.6</v>
      </c>
      <c r="BC23" s="180">
        <v>27.1665695477692</v>
      </c>
      <c r="BD23" s="181" t="s">
        <v>55</v>
      </c>
      <c r="BE23" s="188">
        <v>0.84895529836778805</v>
      </c>
      <c r="BF23" s="171">
        <v>-43.406567800831802</v>
      </c>
      <c r="BG23" s="168"/>
      <c r="BH23" s="168"/>
      <c r="BI23" s="176">
        <v>22</v>
      </c>
      <c r="BJ23" s="176">
        <v>51</v>
      </c>
      <c r="BK23" s="169"/>
      <c r="BL23" s="185">
        <v>0.8</v>
      </c>
      <c r="BM23" s="182">
        <v>0.81</v>
      </c>
      <c r="BN23" s="186">
        <v>3.7500000000000001E-4</v>
      </c>
      <c r="BO23" s="187">
        <v>0.95</v>
      </c>
      <c r="BP23" s="178">
        <v>1</v>
      </c>
      <c r="BQ23" s="186">
        <v>2.5000000000000001E-3</v>
      </c>
    </row>
    <row r="24" spans="1:69" s="156" customFormat="1" ht="22.35" customHeight="1" x14ac:dyDescent="0.2">
      <c r="A24" s="165" t="s">
        <v>4</v>
      </c>
      <c r="B24" s="165" t="s">
        <v>64</v>
      </c>
      <c r="C24" s="165" t="s">
        <v>74</v>
      </c>
      <c r="D24" s="166">
        <v>5.2411436323333298</v>
      </c>
      <c r="E24" s="167"/>
      <c r="F24" s="168">
        <v>3.5000000000000003E-2</v>
      </c>
      <c r="G24" s="168">
        <v>2.7E-2</v>
      </c>
      <c r="H24" s="169"/>
      <c r="I24" s="170">
        <v>5</v>
      </c>
      <c r="J24" s="170">
        <v>5</v>
      </c>
      <c r="K24" s="167"/>
      <c r="L24" s="171">
        <v>4268.3462499999996</v>
      </c>
      <c r="M24" s="171">
        <v>4068.5357300000001</v>
      </c>
      <c r="N24" s="171">
        <v>8336.8819800000001</v>
      </c>
      <c r="O24" s="166">
        <v>1590.6608490117801</v>
      </c>
      <c r="P24" s="172">
        <v>248.62299999999999</v>
      </c>
      <c r="Q24" s="178">
        <v>6.3978829352544997</v>
      </c>
      <c r="R24" s="179">
        <v>6835.7466609965504</v>
      </c>
      <c r="S24" s="168">
        <v>0.01</v>
      </c>
      <c r="T24" s="168">
        <v>0.01</v>
      </c>
      <c r="U24" s="175">
        <v>0</v>
      </c>
      <c r="V24" s="176">
        <v>0</v>
      </c>
      <c r="W24" s="167"/>
      <c r="X24" s="175">
        <v>3258.909635</v>
      </c>
      <c r="Y24" s="166">
        <v>621.79361292358794</v>
      </c>
      <c r="Z24" s="177">
        <v>573</v>
      </c>
      <c r="AA24" s="182">
        <v>1.0851546473361</v>
      </c>
      <c r="AB24" s="183">
        <v>-200.748312128702</v>
      </c>
      <c r="AC24" s="168">
        <v>1.2999999999999999E-2</v>
      </c>
      <c r="AD24" s="168">
        <v>8.9999999999999993E-3</v>
      </c>
      <c r="AE24" s="176">
        <v>0</v>
      </c>
      <c r="AF24" s="176">
        <v>345</v>
      </c>
      <c r="AG24" s="167"/>
      <c r="AH24" s="180">
        <v>254.3</v>
      </c>
      <c r="AI24" s="166">
        <v>48.519944851575602</v>
      </c>
      <c r="AJ24" s="181" t="s">
        <v>53</v>
      </c>
      <c r="AK24" s="188">
        <v>0.77015785478691401</v>
      </c>
      <c r="AL24" s="171">
        <v>-126.08124026022401</v>
      </c>
      <c r="AM24" s="168"/>
      <c r="AN24" s="168"/>
      <c r="AO24" s="176">
        <v>76</v>
      </c>
      <c r="AP24" s="176">
        <v>142</v>
      </c>
      <c r="AQ24" s="167"/>
      <c r="AR24" s="180">
        <v>50.1</v>
      </c>
      <c r="AS24" s="166">
        <v>9.5589824501137901</v>
      </c>
      <c r="AT24" s="181" t="s">
        <v>54</v>
      </c>
      <c r="AU24" s="173">
        <v>0.59743640313211199</v>
      </c>
      <c r="AV24" s="174">
        <v>-46.504759431167898</v>
      </c>
      <c r="AW24" s="168"/>
      <c r="AX24" s="168"/>
      <c r="AY24" s="176">
        <v>34</v>
      </c>
      <c r="AZ24" s="176">
        <v>51</v>
      </c>
      <c r="BA24" s="167"/>
      <c r="BB24" s="184">
        <v>180.6</v>
      </c>
      <c r="BC24" s="180">
        <v>34.458128353104797</v>
      </c>
      <c r="BD24" s="181" t="s">
        <v>55</v>
      </c>
      <c r="BE24" s="182">
        <v>1.07681651103453</v>
      </c>
      <c r="BF24" s="183">
        <v>-12.6095188623359</v>
      </c>
      <c r="BG24" s="168">
        <v>1.2E-2</v>
      </c>
      <c r="BH24" s="168">
        <v>8.0000000000000002E-3</v>
      </c>
      <c r="BI24" s="176">
        <v>0</v>
      </c>
      <c r="BJ24" s="176">
        <v>21</v>
      </c>
      <c r="BK24" s="169"/>
      <c r="BL24" s="185">
        <v>0.8</v>
      </c>
      <c r="BM24" s="182">
        <v>0.84</v>
      </c>
      <c r="BN24" s="186">
        <v>1.5E-3</v>
      </c>
      <c r="BO24" s="187">
        <v>0.95</v>
      </c>
      <c r="BP24" s="178">
        <v>1</v>
      </c>
      <c r="BQ24" s="186">
        <v>2.5000000000000001E-3</v>
      </c>
    </row>
    <row r="25" spans="1:69" s="156" customFormat="1" ht="22.35" customHeight="1" x14ac:dyDescent="0.2">
      <c r="A25" s="165" t="s">
        <v>4</v>
      </c>
      <c r="B25" s="165" t="s">
        <v>64</v>
      </c>
      <c r="C25" s="165" t="s">
        <v>75</v>
      </c>
      <c r="D25" s="166">
        <v>4.2224398655555602</v>
      </c>
      <c r="E25" s="167"/>
      <c r="F25" s="168">
        <v>0.03</v>
      </c>
      <c r="G25" s="168">
        <v>0.03</v>
      </c>
      <c r="H25" s="169"/>
      <c r="I25" s="170">
        <v>4</v>
      </c>
      <c r="J25" s="170">
        <v>4</v>
      </c>
      <c r="K25" s="167"/>
      <c r="L25" s="171">
        <v>1461.43552</v>
      </c>
      <c r="M25" s="171">
        <v>585.71766000000002</v>
      </c>
      <c r="N25" s="171">
        <v>2047.15318</v>
      </c>
      <c r="O25" s="166">
        <v>484.82707751496901</v>
      </c>
      <c r="P25" s="172">
        <v>212.5</v>
      </c>
      <c r="Q25" s="178">
        <v>2.2815391883057399</v>
      </c>
      <c r="R25" s="179">
        <v>1013.499900912</v>
      </c>
      <c r="S25" s="168">
        <v>0.01</v>
      </c>
      <c r="T25" s="168">
        <v>0.01</v>
      </c>
      <c r="U25" s="175">
        <v>0</v>
      </c>
      <c r="V25" s="176">
        <v>0</v>
      </c>
      <c r="W25" s="167"/>
      <c r="X25" s="175">
        <v>1774.8702900000001</v>
      </c>
      <c r="Y25" s="166">
        <v>420.34234862134099</v>
      </c>
      <c r="Z25" s="177">
        <v>573</v>
      </c>
      <c r="AA25" s="173">
        <v>0.73358176024666799</v>
      </c>
      <c r="AB25" s="174">
        <v>-1012.34537549376</v>
      </c>
      <c r="AC25" s="168"/>
      <c r="AD25" s="168"/>
      <c r="AE25" s="176">
        <v>645</v>
      </c>
      <c r="AF25" s="176">
        <v>1129</v>
      </c>
      <c r="AG25" s="167"/>
      <c r="AH25" s="180">
        <v>133.85</v>
      </c>
      <c r="AI25" s="166">
        <v>31.699681762640999</v>
      </c>
      <c r="AJ25" s="181" t="s">
        <v>53</v>
      </c>
      <c r="AK25" s="173">
        <v>0.50316955178795297</v>
      </c>
      <c r="AL25" s="174">
        <v>-172.59779568255999</v>
      </c>
      <c r="AM25" s="168"/>
      <c r="AN25" s="168"/>
      <c r="AO25" s="176">
        <v>133</v>
      </c>
      <c r="AP25" s="176">
        <v>186</v>
      </c>
      <c r="AQ25" s="167"/>
      <c r="AR25" s="180">
        <v>38.4</v>
      </c>
      <c r="AS25" s="166">
        <v>9.0942680589123395</v>
      </c>
      <c r="AT25" s="181" t="s">
        <v>54</v>
      </c>
      <c r="AU25" s="173">
        <v>0.56839175368202099</v>
      </c>
      <c r="AV25" s="174">
        <v>-39.428011601920097</v>
      </c>
      <c r="AW25" s="168"/>
      <c r="AX25" s="168"/>
      <c r="AY25" s="176">
        <v>30</v>
      </c>
      <c r="AZ25" s="176">
        <v>43</v>
      </c>
      <c r="BA25" s="167"/>
      <c r="BB25" s="184">
        <v>162.4</v>
      </c>
      <c r="BC25" s="180">
        <v>38.4611753324834</v>
      </c>
      <c r="BD25" s="181" t="s">
        <v>55</v>
      </c>
      <c r="BE25" s="178">
        <v>1.20191172914011</v>
      </c>
      <c r="BF25" s="179">
        <v>6.7439767961598696</v>
      </c>
      <c r="BG25" s="168">
        <v>0.02</v>
      </c>
      <c r="BH25" s="168">
        <v>0.02</v>
      </c>
      <c r="BI25" s="176">
        <v>0</v>
      </c>
      <c r="BJ25" s="176">
        <v>0</v>
      </c>
      <c r="BK25" s="169"/>
      <c r="BL25" s="185">
        <v>0.8</v>
      </c>
      <c r="BM25" s="182">
        <v>0.82</v>
      </c>
      <c r="BN25" s="186">
        <v>7.5000000000000002E-4</v>
      </c>
      <c r="BO25" s="187">
        <v>0.95</v>
      </c>
      <c r="BP25" s="178">
        <v>1</v>
      </c>
      <c r="BQ25" s="186">
        <v>2.5000000000000001E-3</v>
      </c>
    </row>
    <row r="26" spans="1:69" s="156" customFormat="1" ht="22.35" customHeight="1" x14ac:dyDescent="0.2">
      <c r="A26" s="165" t="s">
        <v>4</v>
      </c>
      <c r="B26" s="165" t="s">
        <v>64</v>
      </c>
      <c r="C26" s="165" t="s">
        <v>76</v>
      </c>
      <c r="D26" s="166">
        <v>3.2460809161111102</v>
      </c>
      <c r="E26" s="167"/>
      <c r="F26" s="168">
        <v>0.03</v>
      </c>
      <c r="G26" s="168">
        <v>0.03</v>
      </c>
      <c r="H26" s="169"/>
      <c r="I26" s="170">
        <v>3</v>
      </c>
      <c r="J26" s="170">
        <v>3</v>
      </c>
      <c r="K26" s="167"/>
      <c r="L26" s="171">
        <v>2963.51091</v>
      </c>
      <c r="M26" s="171">
        <v>657.91094999999996</v>
      </c>
      <c r="N26" s="171">
        <v>3621.4218599999999</v>
      </c>
      <c r="O26" s="166">
        <v>1115.62895491175</v>
      </c>
      <c r="P26" s="172">
        <v>231.042</v>
      </c>
      <c r="Q26" s="178">
        <v>4.8286846327150501</v>
      </c>
      <c r="R26" s="179">
        <v>2757.4437168728</v>
      </c>
      <c r="S26" s="168">
        <v>0.01</v>
      </c>
      <c r="T26" s="168">
        <v>0.01</v>
      </c>
      <c r="U26" s="175">
        <v>0</v>
      </c>
      <c r="V26" s="176">
        <v>0</v>
      </c>
      <c r="W26" s="167"/>
      <c r="X26" s="175">
        <v>1720.5069800000001</v>
      </c>
      <c r="Y26" s="166">
        <v>530.02590645867599</v>
      </c>
      <c r="Z26" s="177">
        <v>573</v>
      </c>
      <c r="AA26" s="188">
        <v>0.92500158195231297</v>
      </c>
      <c r="AB26" s="171">
        <v>-422.21804840127902</v>
      </c>
      <c r="AC26" s="168"/>
      <c r="AD26" s="168"/>
      <c r="AE26" s="176">
        <v>140</v>
      </c>
      <c r="AF26" s="176">
        <v>512</v>
      </c>
      <c r="AG26" s="167"/>
      <c r="AH26" s="180">
        <v>163.9</v>
      </c>
      <c r="AI26" s="166">
        <v>50.491655702888799</v>
      </c>
      <c r="AJ26" s="181" t="s">
        <v>53</v>
      </c>
      <c r="AK26" s="188">
        <v>0.80145485242680603</v>
      </c>
      <c r="AL26" s="171">
        <v>-71.687568567679904</v>
      </c>
      <c r="AM26" s="168"/>
      <c r="AN26" s="168"/>
      <c r="AO26" s="176">
        <v>41</v>
      </c>
      <c r="AP26" s="176">
        <v>82</v>
      </c>
      <c r="AQ26" s="167"/>
      <c r="AR26" s="180">
        <v>39.6</v>
      </c>
      <c r="AS26" s="166">
        <v>12.199326210093901</v>
      </c>
      <c r="AT26" s="181" t="s">
        <v>54</v>
      </c>
      <c r="AU26" s="173">
        <v>0.76245788813087101</v>
      </c>
      <c r="AV26" s="174">
        <v>-20.231763445759999</v>
      </c>
      <c r="AW26" s="168"/>
      <c r="AX26" s="168"/>
      <c r="AY26" s="176">
        <v>13</v>
      </c>
      <c r="AZ26" s="176">
        <v>23</v>
      </c>
      <c r="BA26" s="167"/>
      <c r="BB26" s="184">
        <v>146.6</v>
      </c>
      <c r="BC26" s="180">
        <v>45.162152080802301</v>
      </c>
      <c r="BD26" s="181" t="s">
        <v>55</v>
      </c>
      <c r="BE26" s="178">
        <v>1.4113172525250699</v>
      </c>
      <c r="BF26" s="179">
        <v>26.936473108480101</v>
      </c>
      <c r="BG26" s="168">
        <v>0.02</v>
      </c>
      <c r="BH26" s="168">
        <v>0.02</v>
      </c>
      <c r="BI26" s="176">
        <v>0</v>
      </c>
      <c r="BJ26" s="176">
        <v>0</v>
      </c>
      <c r="BK26" s="169"/>
      <c r="BL26" s="185">
        <v>0.8</v>
      </c>
      <c r="BM26" s="188">
        <v>0.78</v>
      </c>
      <c r="BN26" s="186"/>
      <c r="BO26" s="187">
        <v>0.95</v>
      </c>
      <c r="BP26" s="178">
        <v>1</v>
      </c>
      <c r="BQ26" s="186">
        <v>2.5000000000000001E-3</v>
      </c>
    </row>
    <row r="27" spans="1:69" s="156" customFormat="1" ht="22.35" customHeight="1" x14ac:dyDescent="0.2">
      <c r="A27" s="165" t="s">
        <v>4</v>
      </c>
      <c r="B27" s="165" t="s">
        <v>64</v>
      </c>
      <c r="C27" s="165" t="s">
        <v>77</v>
      </c>
      <c r="D27" s="166">
        <v>2.5803141951111099</v>
      </c>
      <c r="E27" s="167"/>
      <c r="F27" s="168">
        <v>2.3E-2</v>
      </c>
      <c r="G27" s="168">
        <v>1.7999999999999999E-2</v>
      </c>
      <c r="H27" s="169"/>
      <c r="I27" s="170">
        <v>4</v>
      </c>
      <c r="J27" s="170">
        <v>4</v>
      </c>
      <c r="K27" s="167"/>
      <c r="L27" s="171">
        <v>388.41681999999997</v>
      </c>
      <c r="M27" s="171">
        <v>567.11971000000005</v>
      </c>
      <c r="N27" s="171">
        <v>955.53652999999997</v>
      </c>
      <c r="O27" s="166">
        <v>370.31789842122402</v>
      </c>
      <c r="P27" s="172">
        <v>212.5</v>
      </c>
      <c r="Q27" s="178">
        <v>1.7426724631587001</v>
      </c>
      <c r="R27" s="179">
        <v>323.87561503680001</v>
      </c>
      <c r="S27" s="168">
        <v>0.01</v>
      </c>
      <c r="T27" s="168">
        <v>0.01</v>
      </c>
      <c r="U27" s="175">
        <v>0</v>
      </c>
      <c r="V27" s="176">
        <v>0</v>
      </c>
      <c r="W27" s="167"/>
      <c r="X27" s="175">
        <v>1245.0255549999999</v>
      </c>
      <c r="Y27" s="166">
        <v>482.50928408599799</v>
      </c>
      <c r="Z27" s="177">
        <v>573</v>
      </c>
      <c r="AA27" s="188">
        <v>0.84207553941709901</v>
      </c>
      <c r="AB27" s="171">
        <v>-458.229523936063</v>
      </c>
      <c r="AC27" s="168"/>
      <c r="AD27" s="168"/>
      <c r="AE27" s="176">
        <v>234</v>
      </c>
      <c r="AF27" s="176">
        <v>530</v>
      </c>
      <c r="AG27" s="167"/>
      <c r="AH27" s="180">
        <v>145.05000000000001</v>
      </c>
      <c r="AI27" s="166">
        <v>56.214084422286398</v>
      </c>
      <c r="AJ27" s="181" t="s">
        <v>53</v>
      </c>
      <c r="AK27" s="188">
        <v>0.89228705432200595</v>
      </c>
      <c r="AL27" s="171">
        <v>-42.218883024383899</v>
      </c>
      <c r="AM27" s="168"/>
      <c r="AN27" s="168"/>
      <c r="AO27" s="176">
        <v>18</v>
      </c>
      <c r="AP27" s="176">
        <v>51</v>
      </c>
      <c r="AQ27" s="167"/>
      <c r="AR27" s="180">
        <v>10.3</v>
      </c>
      <c r="AS27" s="166">
        <v>3.9917619410517098</v>
      </c>
      <c r="AT27" s="181" t="s">
        <v>54</v>
      </c>
      <c r="AU27" s="173">
        <v>0.249485121315732</v>
      </c>
      <c r="AV27" s="174">
        <v>-37.260351244288003</v>
      </c>
      <c r="AW27" s="168"/>
      <c r="AX27" s="168"/>
      <c r="AY27" s="176">
        <v>31</v>
      </c>
      <c r="AZ27" s="176">
        <v>40</v>
      </c>
      <c r="BA27" s="167"/>
      <c r="BB27" s="184">
        <v>89.4</v>
      </c>
      <c r="BC27" s="180">
        <v>34.646943449516698</v>
      </c>
      <c r="BD27" s="181" t="s">
        <v>55</v>
      </c>
      <c r="BE27" s="182">
        <v>1.0827169827973999</v>
      </c>
      <c r="BF27" s="183">
        <v>-5.7207024885759399</v>
      </c>
      <c r="BG27" s="168">
        <v>1.2999999999999999E-2</v>
      </c>
      <c r="BH27" s="168">
        <v>8.0000000000000002E-3</v>
      </c>
      <c r="BI27" s="176">
        <v>0</v>
      </c>
      <c r="BJ27" s="176">
        <v>10</v>
      </c>
      <c r="BK27" s="169"/>
      <c r="BL27" s="185">
        <v>0.8</v>
      </c>
      <c r="BM27" s="182">
        <v>0.81</v>
      </c>
      <c r="BN27" s="186">
        <v>3.7500000000000001E-4</v>
      </c>
      <c r="BO27" s="187">
        <v>0.95</v>
      </c>
      <c r="BP27" s="178">
        <v>1</v>
      </c>
      <c r="BQ27" s="186">
        <v>2.5000000000000001E-3</v>
      </c>
    </row>
    <row r="28" spans="1:69" s="156" customFormat="1" ht="22.35" customHeight="1" x14ac:dyDescent="0.2">
      <c r="A28" s="165" t="s">
        <v>4</v>
      </c>
      <c r="B28" s="165" t="s">
        <v>64</v>
      </c>
      <c r="C28" s="165" t="s">
        <v>78</v>
      </c>
      <c r="D28" s="166">
        <v>9.6894159421111095</v>
      </c>
      <c r="E28" s="167"/>
      <c r="F28" s="168">
        <v>0.05</v>
      </c>
      <c r="G28" s="168">
        <v>0.05</v>
      </c>
      <c r="H28" s="169"/>
      <c r="I28" s="170">
        <v>4</v>
      </c>
      <c r="J28" s="170">
        <v>4</v>
      </c>
      <c r="K28" s="167"/>
      <c r="L28" s="171">
        <v>9140.7860999999994</v>
      </c>
      <c r="M28" s="171">
        <v>5938.8783299999996</v>
      </c>
      <c r="N28" s="171">
        <v>15079.664430000001</v>
      </c>
      <c r="O28" s="166">
        <v>1556.30272454941</v>
      </c>
      <c r="P28" s="172">
        <v>268.108</v>
      </c>
      <c r="Q28" s="178">
        <v>5.80476048663005</v>
      </c>
      <c r="R28" s="179">
        <v>12086.9873913225</v>
      </c>
      <c r="S28" s="168">
        <v>0.01</v>
      </c>
      <c r="T28" s="168">
        <v>0.01</v>
      </c>
      <c r="U28" s="175">
        <v>0</v>
      </c>
      <c r="V28" s="176">
        <v>0</v>
      </c>
      <c r="W28" s="167"/>
      <c r="X28" s="175">
        <v>6912.5033700000004</v>
      </c>
      <c r="Y28" s="166">
        <v>713.40764100729905</v>
      </c>
      <c r="Z28" s="177">
        <v>573</v>
      </c>
      <c r="AA28" s="178">
        <v>1.24503951310174</v>
      </c>
      <c r="AB28" s="179">
        <v>516.55866427622504</v>
      </c>
      <c r="AC28" s="168">
        <v>0.02</v>
      </c>
      <c r="AD28" s="168">
        <v>0.02</v>
      </c>
      <c r="AE28" s="176">
        <v>0</v>
      </c>
      <c r="AF28" s="176">
        <v>0</v>
      </c>
      <c r="AG28" s="167"/>
      <c r="AH28" s="180">
        <v>396.2</v>
      </c>
      <c r="AI28" s="166">
        <v>40.889977514338902</v>
      </c>
      <c r="AJ28" s="181" t="s">
        <v>53</v>
      </c>
      <c r="AK28" s="173">
        <v>0.64904726213236297</v>
      </c>
      <c r="AL28" s="174">
        <v>-307.01905141465602</v>
      </c>
      <c r="AM28" s="168"/>
      <c r="AN28" s="168"/>
      <c r="AO28" s="176">
        <v>215</v>
      </c>
      <c r="AP28" s="176">
        <v>337</v>
      </c>
      <c r="AQ28" s="167"/>
      <c r="AR28" s="180">
        <v>93.1</v>
      </c>
      <c r="AS28" s="166">
        <v>9.6084222781043707</v>
      </c>
      <c r="AT28" s="181" t="s">
        <v>54</v>
      </c>
      <c r="AU28" s="173">
        <v>0.60052639238152306</v>
      </c>
      <c r="AV28" s="174">
        <v>-85.495314644991893</v>
      </c>
      <c r="AW28" s="168"/>
      <c r="AX28" s="168"/>
      <c r="AY28" s="176">
        <v>62</v>
      </c>
      <c r="AZ28" s="176">
        <v>93</v>
      </c>
      <c r="BA28" s="167"/>
      <c r="BB28" s="184">
        <v>434.8</v>
      </c>
      <c r="BC28" s="180">
        <v>44.873705762833303</v>
      </c>
      <c r="BD28" s="181" t="s">
        <v>55</v>
      </c>
      <c r="BE28" s="178">
        <v>1.4023033050885401</v>
      </c>
      <c r="BF28" s="179">
        <v>77.609370710016094</v>
      </c>
      <c r="BG28" s="168">
        <v>0.02</v>
      </c>
      <c r="BH28" s="168">
        <v>0.02</v>
      </c>
      <c r="BI28" s="176">
        <v>0</v>
      </c>
      <c r="BJ28" s="176">
        <v>0</v>
      </c>
      <c r="BK28" s="169"/>
      <c r="BL28" s="185">
        <v>0.8</v>
      </c>
      <c r="BM28" s="188">
        <v>0.73</v>
      </c>
      <c r="BN28" s="186"/>
      <c r="BO28" s="187">
        <v>0.95</v>
      </c>
      <c r="BP28" s="178">
        <v>1</v>
      </c>
      <c r="BQ28" s="186">
        <v>2.5000000000000001E-3</v>
      </c>
    </row>
    <row r="29" spans="1:69" s="156" customFormat="1" ht="22.35" customHeight="1" x14ac:dyDescent="0.2">
      <c r="A29" s="165" t="s">
        <v>4</v>
      </c>
      <c r="B29" s="165" t="s">
        <v>64</v>
      </c>
      <c r="C29" s="165" t="s">
        <v>79</v>
      </c>
      <c r="D29" s="166">
        <v>4.4281860372222202</v>
      </c>
      <c r="E29" s="167"/>
      <c r="F29" s="168">
        <v>1.7999999999999999E-2</v>
      </c>
      <c r="G29" s="168">
        <v>1.2E-2</v>
      </c>
      <c r="H29" s="169"/>
      <c r="I29" s="170">
        <v>4</v>
      </c>
      <c r="J29" s="170">
        <v>3</v>
      </c>
      <c r="K29" s="167"/>
      <c r="L29" s="171">
        <v>4031.9843599999999</v>
      </c>
      <c r="M29" s="171">
        <v>4.5928699999999996</v>
      </c>
      <c r="N29" s="171">
        <v>4036.5772299999999</v>
      </c>
      <c r="O29" s="166">
        <v>911.56450882360002</v>
      </c>
      <c r="P29" s="172">
        <v>241.767</v>
      </c>
      <c r="Q29" s="178">
        <v>3.7704256942577001</v>
      </c>
      <c r="R29" s="179">
        <v>2803.2584097824101</v>
      </c>
      <c r="S29" s="168">
        <v>0.01</v>
      </c>
      <c r="T29" s="168">
        <v>0.01</v>
      </c>
      <c r="U29" s="175">
        <v>0</v>
      </c>
      <c r="V29" s="176">
        <v>0</v>
      </c>
      <c r="W29" s="167"/>
      <c r="X29" s="175">
        <v>2476.7910400000001</v>
      </c>
      <c r="Y29" s="166">
        <v>559.32407066476298</v>
      </c>
      <c r="Z29" s="177">
        <v>573</v>
      </c>
      <c r="AA29" s="182">
        <v>0.97613275857724802</v>
      </c>
      <c r="AB29" s="183">
        <v>-446.23685042623902</v>
      </c>
      <c r="AC29" s="168">
        <v>2E-3</v>
      </c>
      <c r="AD29" s="168"/>
      <c r="AE29" s="176">
        <v>61</v>
      </c>
      <c r="AF29" s="176">
        <v>569</v>
      </c>
      <c r="AG29" s="167"/>
      <c r="AH29" s="180">
        <v>174.9</v>
      </c>
      <c r="AI29" s="166">
        <v>39.496985566964497</v>
      </c>
      <c r="AJ29" s="181" t="s">
        <v>53</v>
      </c>
      <c r="AK29" s="173">
        <v>0.62693627884070702</v>
      </c>
      <c r="AL29" s="174">
        <v>-146.48002983743999</v>
      </c>
      <c r="AM29" s="168"/>
      <c r="AN29" s="168"/>
      <c r="AO29" s="176">
        <v>105</v>
      </c>
      <c r="AP29" s="176">
        <v>160</v>
      </c>
      <c r="AQ29" s="167"/>
      <c r="AR29" s="180">
        <v>20.5</v>
      </c>
      <c r="AS29" s="166">
        <v>4.6294351293469003</v>
      </c>
      <c r="AT29" s="181" t="s">
        <v>54</v>
      </c>
      <c r="AU29" s="173">
        <v>0.28933969558418099</v>
      </c>
      <c r="AV29" s="174">
        <v>-61.120325038079997</v>
      </c>
      <c r="AW29" s="168"/>
      <c r="AX29" s="168"/>
      <c r="AY29" s="176">
        <v>51</v>
      </c>
      <c r="AZ29" s="176">
        <v>65</v>
      </c>
      <c r="BA29" s="167"/>
      <c r="BB29" s="184">
        <v>144.19999999999999</v>
      </c>
      <c r="BC29" s="180">
        <v>32.564124178137703</v>
      </c>
      <c r="BD29" s="181" t="s">
        <v>55</v>
      </c>
      <c r="BE29" s="182">
        <v>1.0176288805667999</v>
      </c>
      <c r="BF29" s="183">
        <v>-19.040650076159899</v>
      </c>
      <c r="BG29" s="168">
        <v>6.0000000000000001E-3</v>
      </c>
      <c r="BH29" s="168">
        <v>2E-3</v>
      </c>
      <c r="BI29" s="176">
        <v>0</v>
      </c>
      <c r="BJ29" s="176">
        <v>26</v>
      </c>
      <c r="BK29" s="169"/>
      <c r="BL29" s="185">
        <v>0.8</v>
      </c>
      <c r="BM29" s="188">
        <v>0.78</v>
      </c>
      <c r="BN29" s="186"/>
      <c r="BO29" s="187">
        <v>0.95</v>
      </c>
      <c r="BP29" s="178">
        <v>1</v>
      </c>
      <c r="BQ29" s="186">
        <v>2.5000000000000001E-3</v>
      </c>
    </row>
    <row r="30" spans="1:69" s="156" customFormat="1" ht="22.35" customHeight="1" x14ac:dyDescent="0.2">
      <c r="A30" s="165" t="s">
        <v>80</v>
      </c>
      <c r="B30" s="165" t="s">
        <v>81</v>
      </c>
      <c r="C30" s="165" t="s">
        <v>82</v>
      </c>
      <c r="D30" s="166">
        <v>6.2436248350000003</v>
      </c>
      <c r="E30" s="167"/>
      <c r="F30" s="168">
        <v>0.03</v>
      </c>
      <c r="G30" s="168">
        <v>0.03</v>
      </c>
      <c r="H30" s="169"/>
      <c r="I30" s="170">
        <v>3</v>
      </c>
      <c r="J30" s="170">
        <v>3</v>
      </c>
      <c r="K30" s="167"/>
      <c r="L30" s="171">
        <v>3124.12266</v>
      </c>
      <c r="M30" s="171">
        <v>2134.95939</v>
      </c>
      <c r="N30" s="171">
        <v>5259.08205</v>
      </c>
      <c r="O30" s="166">
        <v>842.31230879201303</v>
      </c>
      <c r="P30" s="172">
        <v>244.696</v>
      </c>
      <c r="Q30" s="178">
        <v>3.4422806616863899</v>
      </c>
      <c r="R30" s="179">
        <v>3499.06794393582</v>
      </c>
      <c r="S30" s="168">
        <v>0.01</v>
      </c>
      <c r="T30" s="168">
        <v>0.01</v>
      </c>
      <c r="U30" s="175">
        <v>0</v>
      </c>
      <c r="V30" s="176">
        <v>0</v>
      </c>
      <c r="W30" s="167"/>
      <c r="X30" s="175">
        <v>2315.6029899999999</v>
      </c>
      <c r="Y30" s="166">
        <v>370.87478046717098</v>
      </c>
      <c r="Z30" s="177">
        <v>573</v>
      </c>
      <c r="AA30" s="173">
        <v>0.64725092577167698</v>
      </c>
      <c r="AB30" s="174">
        <v>-1805.78878908416</v>
      </c>
      <c r="AC30" s="168"/>
      <c r="AD30" s="168"/>
      <c r="AE30" s="176">
        <v>1262</v>
      </c>
      <c r="AF30" s="176">
        <v>1978</v>
      </c>
      <c r="AG30" s="167"/>
      <c r="AH30" s="180">
        <v>357.7</v>
      </c>
      <c r="AI30" s="166">
        <v>57.290437758981703</v>
      </c>
      <c r="AJ30" s="181" t="s">
        <v>53</v>
      </c>
      <c r="AK30" s="188">
        <v>0.90937202792034499</v>
      </c>
      <c r="AL30" s="171">
        <v>-95.437316024959998</v>
      </c>
      <c r="AM30" s="168"/>
      <c r="AN30" s="168"/>
      <c r="AO30" s="176">
        <v>36</v>
      </c>
      <c r="AP30" s="176">
        <v>115</v>
      </c>
      <c r="AQ30" s="167"/>
      <c r="AR30" s="180">
        <v>37.700000000000003</v>
      </c>
      <c r="AS30" s="166">
        <v>6.0381590816706998</v>
      </c>
      <c r="AT30" s="181" t="s">
        <v>54</v>
      </c>
      <c r="AU30" s="173">
        <v>0.37738494260441902</v>
      </c>
      <c r="AV30" s="174">
        <v>-77.382492958719993</v>
      </c>
      <c r="AW30" s="168"/>
      <c r="AX30" s="168"/>
      <c r="AY30" s="176">
        <v>63</v>
      </c>
      <c r="AZ30" s="176">
        <v>83</v>
      </c>
      <c r="BA30" s="167"/>
      <c r="BB30" s="184">
        <v>243.4</v>
      </c>
      <c r="BC30" s="180">
        <v>38.983764468929699</v>
      </c>
      <c r="BD30" s="181" t="s">
        <v>55</v>
      </c>
      <c r="BE30" s="178">
        <v>1.21824263965405</v>
      </c>
      <c r="BF30" s="179">
        <v>13.235014082559999</v>
      </c>
      <c r="BG30" s="168">
        <v>0.02</v>
      </c>
      <c r="BH30" s="168">
        <v>0.02</v>
      </c>
      <c r="BI30" s="176">
        <v>0</v>
      </c>
      <c r="BJ30" s="176">
        <v>0</v>
      </c>
      <c r="BK30" s="169"/>
      <c r="BL30" s="185">
        <v>0.8</v>
      </c>
      <c r="BM30" s="188">
        <v>0.74</v>
      </c>
      <c r="BN30" s="186"/>
      <c r="BO30" s="187">
        <v>0.95</v>
      </c>
      <c r="BP30" s="178">
        <v>1</v>
      </c>
      <c r="BQ30" s="186">
        <v>2.5000000000000001E-3</v>
      </c>
    </row>
    <row r="31" spans="1:69" s="156" customFormat="1" ht="22.35" customHeight="1" x14ac:dyDescent="0.2">
      <c r="A31" s="165" t="s">
        <v>80</v>
      </c>
      <c r="B31" s="165" t="s">
        <v>81</v>
      </c>
      <c r="C31" s="165" t="s">
        <v>83</v>
      </c>
      <c r="D31" s="166">
        <v>2.8402116402222202</v>
      </c>
      <c r="E31" s="167"/>
      <c r="F31" s="168">
        <v>4.9000000000000002E-2</v>
      </c>
      <c r="G31" s="168">
        <v>4.2000000000000003E-2</v>
      </c>
      <c r="H31" s="169"/>
      <c r="I31" s="170">
        <v>5</v>
      </c>
      <c r="J31" s="170">
        <v>4</v>
      </c>
      <c r="K31" s="167"/>
      <c r="L31" s="171">
        <v>1112.00881</v>
      </c>
      <c r="M31" s="171">
        <v>543.22037999999998</v>
      </c>
      <c r="N31" s="171">
        <v>1655.22919</v>
      </c>
      <c r="O31" s="166">
        <v>582.78374983016795</v>
      </c>
      <c r="P31" s="172">
        <v>255.976</v>
      </c>
      <c r="Q31" s="178">
        <v>2.27671246456765</v>
      </c>
      <c r="R31" s="179">
        <v>817.69522093021396</v>
      </c>
      <c r="S31" s="168">
        <v>0.01</v>
      </c>
      <c r="T31" s="168">
        <v>0.01</v>
      </c>
      <c r="U31" s="175">
        <v>0</v>
      </c>
      <c r="V31" s="176">
        <v>0</v>
      </c>
      <c r="W31" s="167"/>
      <c r="X31" s="175">
        <v>1974.235545</v>
      </c>
      <c r="Y31" s="166">
        <v>695.10156110955597</v>
      </c>
      <c r="Z31" s="177">
        <v>573</v>
      </c>
      <c r="AA31" s="178">
        <v>1.21309172968509</v>
      </c>
      <c r="AB31" s="179">
        <v>99.423202135873495</v>
      </c>
      <c r="AC31" s="168">
        <v>0.02</v>
      </c>
      <c r="AD31" s="168">
        <v>0.02</v>
      </c>
      <c r="AE31" s="176">
        <v>0</v>
      </c>
      <c r="AF31" s="176">
        <v>0</v>
      </c>
      <c r="AG31" s="167"/>
      <c r="AH31" s="180">
        <v>176.05</v>
      </c>
      <c r="AI31" s="166">
        <v>61.984817436430802</v>
      </c>
      <c r="AJ31" s="181" t="s">
        <v>53</v>
      </c>
      <c r="AK31" s="182">
        <v>0.98388599105445596</v>
      </c>
      <c r="AL31" s="183">
        <v>-30.081200000767801</v>
      </c>
      <c r="AM31" s="168">
        <v>2E-3</v>
      </c>
      <c r="AN31" s="168"/>
      <c r="AO31" s="176">
        <v>3</v>
      </c>
      <c r="AP31" s="176">
        <v>39</v>
      </c>
      <c r="AQ31" s="167"/>
      <c r="AR31" s="180">
        <v>22.2</v>
      </c>
      <c r="AS31" s="166">
        <v>7.8163189269455398</v>
      </c>
      <c r="AT31" s="181" t="s">
        <v>54</v>
      </c>
      <c r="AU31" s="173">
        <v>0.48851993293409601</v>
      </c>
      <c r="AV31" s="174">
        <v>-30.150780952576</v>
      </c>
      <c r="AW31" s="168"/>
      <c r="AX31" s="168"/>
      <c r="AY31" s="176">
        <v>24</v>
      </c>
      <c r="AZ31" s="176">
        <v>33</v>
      </c>
      <c r="BA31" s="167"/>
      <c r="BB31" s="184">
        <v>101.8</v>
      </c>
      <c r="BC31" s="180">
        <v>35.842399403741297</v>
      </c>
      <c r="BD31" s="181" t="s">
        <v>55</v>
      </c>
      <c r="BE31" s="182">
        <v>1.12007498136691</v>
      </c>
      <c r="BF31" s="183">
        <v>-2.9015619051519201</v>
      </c>
      <c r="BG31" s="168">
        <v>1.7000000000000001E-2</v>
      </c>
      <c r="BH31" s="168">
        <v>1.2E-2</v>
      </c>
      <c r="BI31" s="176">
        <v>0</v>
      </c>
      <c r="BJ31" s="176">
        <v>8</v>
      </c>
      <c r="BK31" s="169"/>
      <c r="BL31" s="185">
        <v>0.8</v>
      </c>
      <c r="BM31" s="173">
        <v>0.67</v>
      </c>
      <c r="BN31" s="186"/>
      <c r="BO31" s="187">
        <v>0.95</v>
      </c>
      <c r="BP31" s="178">
        <v>1</v>
      </c>
      <c r="BQ31" s="186">
        <v>2.5000000000000001E-3</v>
      </c>
    </row>
    <row r="32" spans="1:69" s="156" customFormat="1" ht="22.35" customHeight="1" x14ac:dyDescent="0.2">
      <c r="A32" s="165" t="s">
        <v>80</v>
      </c>
      <c r="B32" s="165" t="s">
        <v>81</v>
      </c>
      <c r="C32" s="165" t="s">
        <v>84</v>
      </c>
      <c r="D32" s="166">
        <v>7.4919696311111101</v>
      </c>
      <c r="E32" s="167"/>
      <c r="F32" s="168">
        <v>0.01</v>
      </c>
      <c r="G32" s="168">
        <v>0.01</v>
      </c>
      <c r="H32" s="169"/>
      <c r="I32" s="170">
        <v>2</v>
      </c>
      <c r="J32" s="170">
        <v>2</v>
      </c>
      <c r="K32" s="167"/>
      <c r="L32" s="171">
        <v>5858.8981100000001</v>
      </c>
      <c r="M32" s="171">
        <v>1968.87085</v>
      </c>
      <c r="N32" s="171">
        <v>7827.7689600000003</v>
      </c>
      <c r="O32" s="166">
        <v>1044.8212346583</v>
      </c>
      <c r="P32" s="172">
        <v>282.02199999999999</v>
      </c>
      <c r="Q32" s="178">
        <v>3.7047508161005198</v>
      </c>
      <c r="R32" s="179">
        <v>5393.7078612803898</v>
      </c>
      <c r="S32" s="168">
        <v>0.01</v>
      </c>
      <c r="T32" s="168">
        <v>0.01</v>
      </c>
      <c r="U32" s="175">
        <v>0</v>
      </c>
      <c r="V32" s="176">
        <v>0</v>
      </c>
      <c r="W32" s="167"/>
      <c r="X32" s="175">
        <v>3676.7632349999999</v>
      </c>
      <c r="Y32" s="166">
        <v>490.76056311438998</v>
      </c>
      <c r="Z32" s="177">
        <v>573</v>
      </c>
      <c r="AA32" s="188">
        <v>0.85647567733750496</v>
      </c>
      <c r="AB32" s="171">
        <v>-1268.6559506179201</v>
      </c>
      <c r="AC32" s="168"/>
      <c r="AD32" s="168"/>
      <c r="AE32" s="176">
        <v>617</v>
      </c>
      <c r="AF32" s="176">
        <v>1475</v>
      </c>
      <c r="AG32" s="167"/>
      <c r="AH32" s="180">
        <v>237.8</v>
      </c>
      <c r="AI32" s="166">
        <v>31.7406518857889</v>
      </c>
      <c r="AJ32" s="181" t="s">
        <v>53</v>
      </c>
      <c r="AK32" s="173">
        <v>0.50381987120299798</v>
      </c>
      <c r="AL32" s="174">
        <v>-305.93718794751999</v>
      </c>
      <c r="AM32" s="168"/>
      <c r="AN32" s="168"/>
      <c r="AO32" s="176">
        <v>235</v>
      </c>
      <c r="AP32" s="176">
        <v>329</v>
      </c>
      <c r="AQ32" s="167"/>
      <c r="AR32" s="180">
        <v>49.2</v>
      </c>
      <c r="AS32" s="166">
        <v>6.5670314246459798</v>
      </c>
      <c r="AT32" s="181" t="s">
        <v>54</v>
      </c>
      <c r="AU32" s="173">
        <v>0.41043946404037401</v>
      </c>
      <c r="AV32" s="174">
        <v>-88.891984240639999</v>
      </c>
      <c r="AW32" s="168"/>
      <c r="AX32" s="168"/>
      <c r="AY32" s="176">
        <v>71</v>
      </c>
      <c r="AZ32" s="176">
        <v>95</v>
      </c>
      <c r="BA32" s="167"/>
      <c r="BB32" s="184">
        <v>189</v>
      </c>
      <c r="BC32" s="180">
        <v>25.227010960530301</v>
      </c>
      <c r="BD32" s="181" t="s">
        <v>55</v>
      </c>
      <c r="BE32" s="188">
        <v>0.788344092516571</v>
      </c>
      <c r="BF32" s="171">
        <v>-87.183968481279905</v>
      </c>
      <c r="BG32" s="168"/>
      <c r="BH32" s="168"/>
      <c r="BI32" s="176">
        <v>51</v>
      </c>
      <c r="BJ32" s="176">
        <v>99</v>
      </c>
      <c r="BK32" s="169"/>
      <c r="BL32" s="185">
        <v>0.8</v>
      </c>
      <c r="BM32" s="173">
        <v>0.69</v>
      </c>
      <c r="BN32" s="186"/>
      <c r="BO32" s="187">
        <v>0.95</v>
      </c>
      <c r="BP32" s="178">
        <v>1</v>
      </c>
      <c r="BQ32" s="186">
        <v>2.5000000000000001E-3</v>
      </c>
    </row>
    <row r="33" spans="1:69" s="156" customFormat="1" ht="22.35" customHeight="1" x14ac:dyDescent="0.2">
      <c r="A33" s="165" t="s">
        <v>80</v>
      </c>
      <c r="B33" s="165" t="s">
        <v>81</v>
      </c>
      <c r="C33" s="165" t="s">
        <v>85</v>
      </c>
      <c r="D33" s="166">
        <v>8.0712319791111096</v>
      </c>
      <c r="E33" s="167"/>
      <c r="F33" s="168">
        <v>0.03</v>
      </c>
      <c r="G33" s="168">
        <v>2.5999999999999999E-2</v>
      </c>
      <c r="H33" s="169"/>
      <c r="I33" s="170">
        <v>3</v>
      </c>
      <c r="J33" s="170">
        <v>3</v>
      </c>
      <c r="K33" s="167"/>
      <c r="L33" s="171">
        <v>4696.3698700000004</v>
      </c>
      <c r="M33" s="171">
        <v>3978.81918</v>
      </c>
      <c r="N33" s="171">
        <v>8675.1890500000009</v>
      </c>
      <c r="O33" s="166">
        <v>1074.82836231841</v>
      </c>
      <c r="P33" s="172">
        <v>276.94400000000002</v>
      </c>
      <c r="Q33" s="178">
        <v>3.8810314082211899</v>
      </c>
      <c r="R33" s="179">
        <v>6100.1473318551698</v>
      </c>
      <c r="S33" s="168">
        <v>0.01</v>
      </c>
      <c r="T33" s="168">
        <v>0.01</v>
      </c>
      <c r="U33" s="175">
        <v>0</v>
      </c>
      <c r="V33" s="176">
        <v>0</v>
      </c>
      <c r="W33" s="167"/>
      <c r="X33" s="175">
        <v>4007.2077800000002</v>
      </c>
      <c r="Y33" s="166">
        <v>496.48031308862397</v>
      </c>
      <c r="Z33" s="177">
        <v>573</v>
      </c>
      <c r="AA33" s="188">
        <v>0.86645778898538195</v>
      </c>
      <c r="AB33" s="171">
        <v>-1320.58016448333</v>
      </c>
      <c r="AC33" s="168"/>
      <c r="AD33" s="168"/>
      <c r="AE33" s="176">
        <v>618</v>
      </c>
      <c r="AF33" s="176">
        <v>1543</v>
      </c>
      <c r="AG33" s="167"/>
      <c r="AH33" s="180">
        <v>355.15</v>
      </c>
      <c r="AI33" s="166">
        <v>44.001956692503903</v>
      </c>
      <c r="AJ33" s="181" t="s">
        <v>53</v>
      </c>
      <c r="AK33" s="173">
        <v>0.69844375702387196</v>
      </c>
      <c r="AL33" s="174">
        <v>-230.627732115968</v>
      </c>
      <c r="AM33" s="168"/>
      <c r="AN33" s="168"/>
      <c r="AO33" s="176">
        <v>154</v>
      </c>
      <c r="AP33" s="176">
        <v>256</v>
      </c>
      <c r="AQ33" s="167"/>
      <c r="AR33" s="180">
        <v>63.6</v>
      </c>
      <c r="AS33" s="166">
        <v>7.8798379435259802</v>
      </c>
      <c r="AT33" s="181" t="s">
        <v>54</v>
      </c>
      <c r="AU33" s="173">
        <v>0.49248987147037399</v>
      </c>
      <c r="AV33" s="174">
        <v>-85.168947838975996</v>
      </c>
      <c r="AW33" s="168"/>
      <c r="AX33" s="168"/>
      <c r="AY33" s="176">
        <v>66</v>
      </c>
      <c r="AZ33" s="176">
        <v>92</v>
      </c>
      <c r="BA33" s="167"/>
      <c r="BB33" s="184">
        <v>298.8</v>
      </c>
      <c r="BC33" s="180">
        <v>37.020370715810699</v>
      </c>
      <c r="BD33" s="181" t="s">
        <v>55</v>
      </c>
      <c r="BE33" s="178">
        <v>1.1568865848690899</v>
      </c>
      <c r="BF33" s="179">
        <v>1.2621043220481201</v>
      </c>
      <c r="BG33" s="168">
        <v>0.02</v>
      </c>
      <c r="BH33" s="168">
        <v>1.6E-2</v>
      </c>
      <c r="BI33" s="176">
        <v>0</v>
      </c>
      <c r="BJ33" s="176">
        <v>12</v>
      </c>
      <c r="BK33" s="169"/>
      <c r="BL33" s="185">
        <v>0.8</v>
      </c>
      <c r="BM33" s="173">
        <v>0.65</v>
      </c>
      <c r="BN33" s="186"/>
      <c r="BO33" s="187">
        <v>0.95</v>
      </c>
      <c r="BP33" s="178">
        <v>1</v>
      </c>
      <c r="BQ33" s="186">
        <v>2.5000000000000001E-3</v>
      </c>
    </row>
    <row r="34" spans="1:69" s="156" customFormat="1" ht="22.35" customHeight="1" x14ac:dyDescent="0.2">
      <c r="A34" s="165" t="s">
        <v>80</v>
      </c>
      <c r="B34" s="165" t="s">
        <v>81</v>
      </c>
      <c r="C34" s="165" t="s">
        <v>86</v>
      </c>
      <c r="D34" s="166">
        <v>1.4323658323333299</v>
      </c>
      <c r="E34" s="167"/>
      <c r="F34" s="168">
        <v>0.01</v>
      </c>
      <c r="G34" s="168">
        <v>0.01</v>
      </c>
      <c r="H34" s="169"/>
      <c r="I34" s="170">
        <v>3</v>
      </c>
      <c r="J34" s="170">
        <v>3</v>
      </c>
      <c r="K34" s="167"/>
      <c r="L34" s="171">
        <v>1360.47057</v>
      </c>
      <c r="M34" s="171">
        <v>230.44345999999999</v>
      </c>
      <c r="N34" s="171">
        <v>1590.9140299999999</v>
      </c>
      <c r="O34" s="166">
        <v>1110.6897372777901</v>
      </c>
      <c r="P34" s="172">
        <v>276.94400000000002</v>
      </c>
      <c r="Q34" s="178">
        <v>4.0105210341361097</v>
      </c>
      <c r="R34" s="179">
        <v>1133.9327682236799</v>
      </c>
      <c r="S34" s="168">
        <v>0.01</v>
      </c>
      <c r="T34" s="168">
        <v>0.01</v>
      </c>
      <c r="U34" s="175">
        <v>0</v>
      </c>
      <c r="V34" s="176">
        <v>0</v>
      </c>
      <c r="W34" s="167"/>
      <c r="X34" s="175">
        <v>430.847555</v>
      </c>
      <c r="Y34" s="166">
        <v>300.79435384055898</v>
      </c>
      <c r="Z34" s="177">
        <v>573</v>
      </c>
      <c r="AA34" s="173">
        <v>0.52494651630115097</v>
      </c>
      <c r="AB34" s="174">
        <v>-514.65140145990199</v>
      </c>
      <c r="AC34" s="168"/>
      <c r="AD34" s="168"/>
      <c r="AE34" s="176">
        <v>390</v>
      </c>
      <c r="AF34" s="176">
        <v>555</v>
      </c>
      <c r="AG34" s="167"/>
      <c r="AH34" s="180">
        <v>31.3</v>
      </c>
      <c r="AI34" s="166">
        <v>21.8519593901595</v>
      </c>
      <c r="AJ34" s="181" t="s">
        <v>53</v>
      </c>
      <c r="AK34" s="173">
        <v>0.3468564982565</v>
      </c>
      <c r="AL34" s="174">
        <v>-72.655382647423707</v>
      </c>
      <c r="AM34" s="168"/>
      <c r="AN34" s="168"/>
      <c r="AO34" s="176">
        <v>59</v>
      </c>
      <c r="AP34" s="176">
        <v>77</v>
      </c>
      <c r="AQ34" s="167"/>
      <c r="AR34" s="180">
        <v>5.8</v>
      </c>
      <c r="AS34" s="166">
        <v>4.0492448710199698</v>
      </c>
      <c r="AT34" s="181" t="s">
        <v>54</v>
      </c>
      <c r="AU34" s="173">
        <v>0.253077804438748</v>
      </c>
      <c r="AV34" s="174">
        <v>-20.601367021567899</v>
      </c>
      <c r="AW34" s="168"/>
      <c r="AX34" s="168"/>
      <c r="AY34" s="176">
        <v>18</v>
      </c>
      <c r="AZ34" s="176">
        <v>22</v>
      </c>
      <c r="BA34" s="167"/>
      <c r="BB34" s="184">
        <v>27.4</v>
      </c>
      <c r="BC34" s="180">
        <v>19.129191287232299</v>
      </c>
      <c r="BD34" s="181" t="s">
        <v>55</v>
      </c>
      <c r="BE34" s="173">
        <v>0.59778722772600801</v>
      </c>
      <c r="BF34" s="174">
        <v>-25.402734043135901</v>
      </c>
      <c r="BG34" s="168"/>
      <c r="BH34" s="168"/>
      <c r="BI34" s="176">
        <v>19</v>
      </c>
      <c r="BJ34" s="176">
        <v>28</v>
      </c>
      <c r="BK34" s="169"/>
      <c r="BL34" s="185">
        <v>0.8</v>
      </c>
      <c r="BM34" s="182">
        <v>0.81</v>
      </c>
      <c r="BN34" s="186">
        <v>3.7500000000000001E-4</v>
      </c>
      <c r="BO34" s="187">
        <v>0.95</v>
      </c>
      <c r="BP34" s="178">
        <v>1</v>
      </c>
      <c r="BQ34" s="186">
        <v>2.5000000000000001E-3</v>
      </c>
    </row>
    <row r="35" spans="1:69" s="156" customFormat="1" ht="22.35" customHeight="1" x14ac:dyDescent="0.2">
      <c r="A35" s="165" t="s">
        <v>80</v>
      </c>
      <c r="B35" s="165" t="s">
        <v>81</v>
      </c>
      <c r="C35" s="165" t="s">
        <v>87</v>
      </c>
      <c r="D35" s="166">
        <v>2.4192814678888901</v>
      </c>
      <c r="E35" s="167"/>
      <c r="F35" s="168">
        <v>4.1000000000000002E-2</v>
      </c>
      <c r="G35" s="168">
        <v>3.2000000000000001E-2</v>
      </c>
      <c r="H35" s="169"/>
      <c r="I35" s="170">
        <v>4</v>
      </c>
      <c r="J35" s="170">
        <v>4</v>
      </c>
      <c r="K35" s="167"/>
      <c r="L35" s="171">
        <v>1715.4240199999999</v>
      </c>
      <c r="M35" s="171">
        <v>729.26436000000001</v>
      </c>
      <c r="N35" s="171">
        <v>2444.6883800000001</v>
      </c>
      <c r="O35" s="166">
        <v>1010.50184215782</v>
      </c>
      <c r="P35" s="172">
        <v>237.21100000000001</v>
      </c>
      <c r="Q35" s="178">
        <v>4.2599282586297402</v>
      </c>
      <c r="R35" s="179">
        <v>1783.5784169261401</v>
      </c>
      <c r="S35" s="168">
        <v>0.01</v>
      </c>
      <c r="T35" s="168">
        <v>0.01</v>
      </c>
      <c r="U35" s="175">
        <v>0</v>
      </c>
      <c r="V35" s="176">
        <v>0</v>
      </c>
      <c r="W35" s="167"/>
      <c r="X35" s="175">
        <v>1603.8145750000001</v>
      </c>
      <c r="Y35" s="166">
        <v>662.93012875410398</v>
      </c>
      <c r="Z35" s="177">
        <v>573</v>
      </c>
      <c r="AA35" s="178">
        <v>1.1569461234801099</v>
      </c>
      <c r="AB35" s="179">
        <v>6.85655517241503</v>
      </c>
      <c r="AC35" s="168">
        <v>0.02</v>
      </c>
      <c r="AD35" s="168">
        <v>1.6E-2</v>
      </c>
      <c r="AE35" s="176">
        <v>0</v>
      </c>
      <c r="AF35" s="176">
        <v>60</v>
      </c>
      <c r="AG35" s="167"/>
      <c r="AH35" s="180">
        <v>161.69999999999999</v>
      </c>
      <c r="AI35" s="166">
        <v>66.838026970504799</v>
      </c>
      <c r="AJ35" s="181" t="s">
        <v>53</v>
      </c>
      <c r="AK35" s="182">
        <v>1.0609210630238901</v>
      </c>
      <c r="AL35" s="183">
        <v>-13.8817718135041</v>
      </c>
      <c r="AM35" s="168">
        <v>1.0999999999999999E-2</v>
      </c>
      <c r="AN35" s="168">
        <v>6.0000000000000001E-3</v>
      </c>
      <c r="AO35" s="176">
        <v>0</v>
      </c>
      <c r="AP35" s="176">
        <v>22</v>
      </c>
      <c r="AQ35" s="167"/>
      <c r="AR35" s="180">
        <v>25.4</v>
      </c>
      <c r="AS35" s="166">
        <v>10.4989850652494</v>
      </c>
      <c r="AT35" s="181" t="s">
        <v>54</v>
      </c>
      <c r="AU35" s="173">
        <v>0.65618656657808505</v>
      </c>
      <c r="AV35" s="174">
        <v>-19.192196016128001</v>
      </c>
      <c r="AW35" s="168"/>
      <c r="AX35" s="168"/>
      <c r="AY35" s="176">
        <v>14</v>
      </c>
      <c r="AZ35" s="176">
        <v>22</v>
      </c>
      <c r="BA35" s="167"/>
      <c r="BB35" s="184">
        <v>72.2</v>
      </c>
      <c r="BC35" s="180">
        <v>29.8435717209057</v>
      </c>
      <c r="BD35" s="181" t="s">
        <v>55</v>
      </c>
      <c r="BE35" s="188">
        <v>0.93261161627830202</v>
      </c>
      <c r="BF35" s="171">
        <v>-16.984392032256</v>
      </c>
      <c r="BG35" s="168"/>
      <c r="BH35" s="168"/>
      <c r="BI35" s="176">
        <v>6</v>
      </c>
      <c r="BJ35" s="176">
        <v>21</v>
      </c>
      <c r="BK35" s="169"/>
      <c r="BL35" s="185">
        <v>0.8</v>
      </c>
      <c r="BM35" s="173">
        <v>0.64</v>
      </c>
      <c r="BN35" s="186"/>
      <c r="BO35" s="187">
        <v>0.95</v>
      </c>
      <c r="BP35" s="178">
        <v>1</v>
      </c>
      <c r="BQ35" s="186">
        <v>2.5000000000000001E-3</v>
      </c>
    </row>
    <row r="36" spans="1:69" s="156" customFormat="1" ht="22.35" customHeight="1" x14ac:dyDescent="0.2">
      <c r="A36" s="165" t="s">
        <v>80</v>
      </c>
      <c r="B36" s="165" t="s">
        <v>81</v>
      </c>
      <c r="C36" s="165" t="s">
        <v>88</v>
      </c>
      <c r="D36" s="166">
        <v>2.4492784859999999</v>
      </c>
      <c r="E36" s="167"/>
      <c r="F36" s="168">
        <v>0.03</v>
      </c>
      <c r="G36" s="168">
        <v>0.03</v>
      </c>
      <c r="H36" s="169"/>
      <c r="I36" s="170">
        <v>3</v>
      </c>
      <c r="J36" s="170">
        <v>3</v>
      </c>
      <c r="K36" s="167"/>
      <c r="L36" s="171">
        <v>1435.16165</v>
      </c>
      <c r="M36" s="171">
        <v>2066.0479599999999</v>
      </c>
      <c r="N36" s="171">
        <v>3501.2096099999999</v>
      </c>
      <c r="O36" s="166">
        <v>1429.48612418425</v>
      </c>
      <c r="P36" s="172">
        <v>282.02199999999999</v>
      </c>
      <c r="Q36" s="178">
        <v>5.0687043003178802</v>
      </c>
      <c r="R36" s="179">
        <v>2705.46512941015</v>
      </c>
      <c r="S36" s="168">
        <v>0.01</v>
      </c>
      <c r="T36" s="168">
        <v>0.01</v>
      </c>
      <c r="U36" s="175">
        <v>0</v>
      </c>
      <c r="V36" s="176">
        <v>0</v>
      </c>
      <c r="W36" s="167"/>
      <c r="X36" s="175">
        <v>1184.4326699999999</v>
      </c>
      <c r="Y36" s="166">
        <v>483.58431953335702</v>
      </c>
      <c r="Z36" s="177">
        <v>573</v>
      </c>
      <c r="AA36" s="188">
        <v>0.84395169203029097</v>
      </c>
      <c r="AB36" s="171">
        <v>-432.32626149465602</v>
      </c>
      <c r="AC36" s="168"/>
      <c r="AD36" s="168"/>
      <c r="AE36" s="176">
        <v>220</v>
      </c>
      <c r="AF36" s="176">
        <v>500</v>
      </c>
      <c r="AG36" s="167"/>
      <c r="AH36" s="180">
        <v>139.1</v>
      </c>
      <c r="AI36" s="166">
        <v>56.7922352623808</v>
      </c>
      <c r="AJ36" s="181" t="s">
        <v>53</v>
      </c>
      <c r="AK36" s="188">
        <v>0.90146405178382305</v>
      </c>
      <c r="AL36" s="171">
        <v>-38.658835399936002</v>
      </c>
      <c r="AM36" s="168"/>
      <c r="AN36" s="168"/>
      <c r="AO36" s="176">
        <v>16</v>
      </c>
      <c r="AP36" s="176">
        <v>47</v>
      </c>
      <c r="AQ36" s="167"/>
      <c r="AR36" s="180">
        <v>15.6</v>
      </c>
      <c r="AS36" s="166">
        <v>6.3692226462483204</v>
      </c>
      <c r="AT36" s="181" t="s">
        <v>54</v>
      </c>
      <c r="AU36" s="173">
        <v>0.39807641539052002</v>
      </c>
      <c r="AV36" s="174">
        <v>-29.545101053951999</v>
      </c>
      <c r="AW36" s="168"/>
      <c r="AX36" s="168"/>
      <c r="AY36" s="176">
        <v>24</v>
      </c>
      <c r="AZ36" s="176">
        <v>32</v>
      </c>
      <c r="BA36" s="167"/>
      <c r="BB36" s="184">
        <v>94.6</v>
      </c>
      <c r="BC36" s="180">
        <v>38.6236193804545</v>
      </c>
      <c r="BD36" s="181" t="s">
        <v>55</v>
      </c>
      <c r="BE36" s="178">
        <v>1.2069881056392</v>
      </c>
      <c r="BF36" s="179">
        <v>4.3097978920960101</v>
      </c>
      <c r="BG36" s="168">
        <v>0.02</v>
      </c>
      <c r="BH36" s="168">
        <v>0.02</v>
      </c>
      <c r="BI36" s="176">
        <v>0</v>
      </c>
      <c r="BJ36" s="176">
        <v>0</v>
      </c>
      <c r="BK36" s="169"/>
      <c r="BL36" s="185">
        <v>0.8</v>
      </c>
      <c r="BM36" s="188">
        <v>0.76</v>
      </c>
      <c r="BN36" s="186"/>
      <c r="BO36" s="187">
        <v>0.95</v>
      </c>
      <c r="BP36" s="178">
        <v>1</v>
      </c>
      <c r="BQ36" s="186">
        <v>2.5000000000000001E-3</v>
      </c>
    </row>
    <row r="37" spans="1:69" s="156" customFormat="1" ht="22.35" customHeight="1" x14ac:dyDescent="0.2">
      <c r="A37" s="165" t="s">
        <v>80</v>
      </c>
      <c r="B37" s="165" t="s">
        <v>81</v>
      </c>
      <c r="C37" s="165" t="s">
        <v>89</v>
      </c>
      <c r="D37" s="166">
        <v>3.7485407748888901</v>
      </c>
      <c r="E37" s="167"/>
      <c r="F37" s="168">
        <v>2.5000000000000001E-2</v>
      </c>
      <c r="G37" s="168">
        <v>2.1000000000000001E-2</v>
      </c>
      <c r="H37" s="169"/>
      <c r="I37" s="170">
        <v>2</v>
      </c>
      <c r="J37" s="170">
        <v>2</v>
      </c>
      <c r="K37" s="167"/>
      <c r="L37" s="171">
        <v>1360.42273</v>
      </c>
      <c r="M37" s="171">
        <v>2021.17518</v>
      </c>
      <c r="N37" s="171">
        <v>3381.59791</v>
      </c>
      <c r="O37" s="166">
        <v>902.11047793664</v>
      </c>
      <c r="P37" s="172">
        <v>231.66</v>
      </c>
      <c r="Q37" s="178">
        <v>3.8941141238739601</v>
      </c>
      <c r="R37" s="179">
        <v>2381.2161367908002</v>
      </c>
      <c r="S37" s="168">
        <v>0.01</v>
      </c>
      <c r="T37" s="168">
        <v>0.01</v>
      </c>
      <c r="U37" s="175">
        <v>0</v>
      </c>
      <c r="V37" s="176">
        <v>0</v>
      </c>
      <c r="W37" s="167"/>
      <c r="X37" s="175">
        <v>2374.3151200000002</v>
      </c>
      <c r="Y37" s="166">
        <v>633.397170415034</v>
      </c>
      <c r="Z37" s="177">
        <v>573</v>
      </c>
      <c r="AA37" s="182">
        <v>1.10540518397039</v>
      </c>
      <c r="AB37" s="183">
        <v>-100.081651341057</v>
      </c>
      <c r="AC37" s="168">
        <v>1.4999999999999999E-2</v>
      </c>
      <c r="AD37" s="168">
        <v>1.0999999999999999E-2</v>
      </c>
      <c r="AE37" s="176">
        <v>0</v>
      </c>
      <c r="AF37" s="176">
        <v>204</v>
      </c>
      <c r="AG37" s="167"/>
      <c r="AH37" s="180">
        <v>196.7</v>
      </c>
      <c r="AI37" s="166">
        <v>52.473752271196901</v>
      </c>
      <c r="AJ37" s="181" t="s">
        <v>53</v>
      </c>
      <c r="AK37" s="188">
        <v>0.83291670271741103</v>
      </c>
      <c r="AL37" s="171">
        <v>-75.354095278336104</v>
      </c>
      <c r="AM37" s="168"/>
      <c r="AN37" s="168"/>
      <c r="AO37" s="176">
        <v>40</v>
      </c>
      <c r="AP37" s="176">
        <v>87</v>
      </c>
      <c r="AQ37" s="167"/>
      <c r="AR37" s="180">
        <v>18.100000000000001</v>
      </c>
      <c r="AS37" s="166">
        <v>4.8285455826571599</v>
      </c>
      <c r="AT37" s="181" t="s">
        <v>54</v>
      </c>
      <c r="AU37" s="173">
        <v>0.301784098916072</v>
      </c>
      <c r="AV37" s="174">
        <v>-50.993103562751998</v>
      </c>
      <c r="AW37" s="168"/>
      <c r="AX37" s="168"/>
      <c r="AY37" s="176">
        <v>42</v>
      </c>
      <c r="AZ37" s="176">
        <v>54</v>
      </c>
      <c r="BA37" s="167"/>
      <c r="BB37" s="184">
        <v>95</v>
      </c>
      <c r="BC37" s="180">
        <v>25.343195047095598</v>
      </c>
      <c r="BD37" s="181" t="s">
        <v>55</v>
      </c>
      <c r="BE37" s="188">
        <v>0.791974845221737</v>
      </c>
      <c r="BF37" s="171">
        <v>-43.186207125503998</v>
      </c>
      <c r="BG37" s="168"/>
      <c r="BH37" s="168"/>
      <c r="BI37" s="176">
        <v>25</v>
      </c>
      <c r="BJ37" s="176">
        <v>49</v>
      </c>
      <c r="BK37" s="169"/>
      <c r="BL37" s="185">
        <v>0.8</v>
      </c>
      <c r="BM37" s="173">
        <v>0.67</v>
      </c>
      <c r="BN37" s="186"/>
      <c r="BO37" s="187">
        <v>0.95</v>
      </c>
      <c r="BP37" s="188">
        <v>0.94</v>
      </c>
      <c r="BQ37" s="186"/>
    </row>
    <row r="38" spans="1:69" s="156" customFormat="1" ht="22.35" customHeight="1" x14ac:dyDescent="0.2">
      <c r="A38" s="165" t="s">
        <v>80</v>
      </c>
      <c r="B38" s="165" t="s">
        <v>81</v>
      </c>
      <c r="C38" s="165" t="s">
        <v>90</v>
      </c>
      <c r="D38" s="166">
        <v>5.80392696766667</v>
      </c>
      <c r="E38" s="167"/>
      <c r="F38" s="168">
        <v>1.7000000000000001E-2</v>
      </c>
      <c r="G38" s="168">
        <v>1.2E-2</v>
      </c>
      <c r="H38" s="169"/>
      <c r="I38" s="170">
        <v>2</v>
      </c>
      <c r="J38" s="170">
        <v>2</v>
      </c>
      <c r="K38" s="167"/>
      <c r="L38" s="171">
        <v>1767.42786</v>
      </c>
      <c r="M38" s="171">
        <v>1479.1353200000001</v>
      </c>
      <c r="N38" s="171">
        <v>3246.5631800000001</v>
      </c>
      <c r="O38" s="166">
        <v>559.37354106735199</v>
      </c>
      <c r="P38" s="172">
        <v>236.59800000000001</v>
      </c>
      <c r="Q38" s="178">
        <v>2.3642361349941701</v>
      </c>
      <c r="R38" s="179">
        <v>1664.63964537421</v>
      </c>
      <c r="S38" s="168">
        <v>0.01</v>
      </c>
      <c r="T38" s="168">
        <v>0.01</v>
      </c>
      <c r="U38" s="175">
        <v>0</v>
      </c>
      <c r="V38" s="176">
        <v>0</v>
      </c>
      <c r="W38" s="167"/>
      <c r="X38" s="175">
        <v>3405.439445</v>
      </c>
      <c r="Y38" s="166">
        <v>586.74746666722399</v>
      </c>
      <c r="Z38" s="177">
        <v>573</v>
      </c>
      <c r="AA38" s="182">
        <v>1.02399208842447</v>
      </c>
      <c r="AB38" s="183">
        <v>-425.70953064889801</v>
      </c>
      <c r="AC38" s="168">
        <v>7.0000000000000001E-3</v>
      </c>
      <c r="AD38" s="168">
        <v>2E-3</v>
      </c>
      <c r="AE38" s="176">
        <v>0</v>
      </c>
      <c r="AF38" s="176">
        <v>586</v>
      </c>
      <c r="AG38" s="167"/>
      <c r="AH38" s="180">
        <v>272.5</v>
      </c>
      <c r="AI38" s="166">
        <v>46.950969837849698</v>
      </c>
      <c r="AJ38" s="181" t="s">
        <v>53</v>
      </c>
      <c r="AK38" s="173">
        <v>0.74525348948967696</v>
      </c>
      <c r="AL38" s="174">
        <v>-148.725803605376</v>
      </c>
      <c r="AM38" s="168"/>
      <c r="AN38" s="168"/>
      <c r="AO38" s="176">
        <v>94</v>
      </c>
      <c r="AP38" s="176">
        <v>167</v>
      </c>
      <c r="AQ38" s="167"/>
      <c r="AR38" s="180">
        <v>42.5</v>
      </c>
      <c r="AS38" s="166">
        <v>7.3226283233343503</v>
      </c>
      <c r="AT38" s="181" t="s">
        <v>54</v>
      </c>
      <c r="AU38" s="173">
        <v>0.45766427020839701</v>
      </c>
      <c r="AV38" s="174">
        <v>-64.477981868032003</v>
      </c>
      <c r="AW38" s="168"/>
      <c r="AX38" s="168"/>
      <c r="AY38" s="176">
        <v>51</v>
      </c>
      <c r="AZ38" s="176">
        <v>69</v>
      </c>
      <c r="BA38" s="167"/>
      <c r="BB38" s="184">
        <v>170.2</v>
      </c>
      <c r="BC38" s="180">
        <v>29.3249727207413</v>
      </c>
      <c r="BD38" s="181" t="s">
        <v>55</v>
      </c>
      <c r="BE38" s="188">
        <v>0.91640539752316696</v>
      </c>
      <c r="BF38" s="171">
        <v>-43.755963736063997</v>
      </c>
      <c r="BG38" s="168"/>
      <c r="BH38" s="168"/>
      <c r="BI38" s="176">
        <v>16</v>
      </c>
      <c r="BJ38" s="176">
        <v>53</v>
      </c>
      <c r="BK38" s="169"/>
      <c r="BL38" s="185">
        <v>0.8</v>
      </c>
      <c r="BM38" s="173">
        <v>0.68</v>
      </c>
      <c r="BN38" s="186"/>
      <c r="BO38" s="187">
        <v>0.95</v>
      </c>
      <c r="BP38" s="188">
        <v>0.88</v>
      </c>
      <c r="BQ38" s="186"/>
    </row>
    <row r="39" spans="1:69" s="156" customFormat="1" ht="22.35" customHeight="1" x14ac:dyDescent="0.2">
      <c r="A39" s="165" t="s">
        <v>80</v>
      </c>
      <c r="B39" s="165" t="s">
        <v>81</v>
      </c>
      <c r="C39" s="165" t="s">
        <v>91</v>
      </c>
      <c r="D39" s="166">
        <v>2.9206349206666702</v>
      </c>
      <c r="E39" s="167"/>
      <c r="F39" s="168">
        <v>2.3E-2</v>
      </c>
      <c r="G39" s="168">
        <v>1.7999999999999999E-2</v>
      </c>
      <c r="H39" s="169"/>
      <c r="I39" s="170">
        <v>3</v>
      </c>
      <c r="J39" s="170">
        <v>3</v>
      </c>
      <c r="K39" s="167"/>
      <c r="L39" s="171">
        <v>2093.4496899999999</v>
      </c>
      <c r="M39" s="171">
        <v>1762.90327</v>
      </c>
      <c r="N39" s="171">
        <v>3856.3529600000002</v>
      </c>
      <c r="O39" s="166">
        <v>1320.3817199856501</v>
      </c>
      <c r="P39" s="172">
        <v>240.53200000000001</v>
      </c>
      <c r="Q39" s="178">
        <v>5.4894222805516497</v>
      </c>
      <c r="R39" s="179">
        <v>3047.06586513406</v>
      </c>
      <c r="S39" s="168">
        <v>0.01</v>
      </c>
      <c r="T39" s="168">
        <v>0.01</v>
      </c>
      <c r="U39" s="175">
        <v>0</v>
      </c>
      <c r="V39" s="176">
        <v>0</v>
      </c>
      <c r="W39" s="167"/>
      <c r="X39" s="175">
        <v>1227.5145050000001</v>
      </c>
      <c r="Y39" s="166">
        <v>420.29029246825797</v>
      </c>
      <c r="Z39" s="177">
        <v>573</v>
      </c>
      <c r="AA39" s="173">
        <v>0.73349091181196802</v>
      </c>
      <c r="AB39" s="174">
        <v>-700.38492359238603</v>
      </c>
      <c r="AC39" s="168"/>
      <c r="AD39" s="168"/>
      <c r="AE39" s="176">
        <v>447</v>
      </c>
      <c r="AF39" s="176">
        <v>781</v>
      </c>
      <c r="AG39" s="167"/>
      <c r="AH39" s="180">
        <v>138.94999999999999</v>
      </c>
      <c r="AI39" s="166">
        <v>47.575271738613303</v>
      </c>
      <c r="AJ39" s="181" t="s">
        <v>53</v>
      </c>
      <c r="AK39" s="173">
        <v>0.75516304347005303</v>
      </c>
      <c r="AL39" s="174">
        <v>-73.018000002304206</v>
      </c>
      <c r="AM39" s="168"/>
      <c r="AN39" s="168"/>
      <c r="AO39" s="176">
        <v>46</v>
      </c>
      <c r="AP39" s="176">
        <v>82</v>
      </c>
      <c r="AQ39" s="167"/>
      <c r="AR39" s="180">
        <v>22.1</v>
      </c>
      <c r="AS39" s="166">
        <v>7.5668478260047101</v>
      </c>
      <c r="AT39" s="181" t="s">
        <v>54</v>
      </c>
      <c r="AU39" s="173">
        <v>0.47292798912529399</v>
      </c>
      <c r="AV39" s="174">
        <v>-31.733142857728001</v>
      </c>
      <c r="AW39" s="168"/>
      <c r="AX39" s="168"/>
      <c r="AY39" s="176">
        <v>25</v>
      </c>
      <c r="AZ39" s="176">
        <v>34</v>
      </c>
      <c r="BA39" s="167"/>
      <c r="BB39" s="184">
        <v>101.2</v>
      </c>
      <c r="BC39" s="180">
        <v>34.649999999623397</v>
      </c>
      <c r="BD39" s="181" t="s">
        <v>55</v>
      </c>
      <c r="BE39" s="182">
        <v>1.08281249998823</v>
      </c>
      <c r="BF39" s="183">
        <v>-6.4662857154560998</v>
      </c>
      <c r="BG39" s="168">
        <v>1.2999999999999999E-2</v>
      </c>
      <c r="BH39" s="168">
        <v>8.0000000000000002E-3</v>
      </c>
      <c r="BI39" s="176">
        <v>0</v>
      </c>
      <c r="BJ39" s="176">
        <v>11</v>
      </c>
      <c r="BK39" s="169"/>
      <c r="BL39" s="185">
        <v>0.8</v>
      </c>
      <c r="BM39" s="173">
        <v>0.69</v>
      </c>
      <c r="BN39" s="186"/>
      <c r="BO39" s="187">
        <v>0.95</v>
      </c>
      <c r="BP39" s="178">
        <v>1</v>
      </c>
      <c r="BQ39" s="186">
        <v>2.5000000000000001E-3</v>
      </c>
    </row>
    <row r="40" spans="1:69" s="156" customFormat="1" ht="22.35" customHeight="1" x14ac:dyDescent="0.2">
      <c r="A40" s="165" t="s">
        <v>80</v>
      </c>
      <c r="B40" s="165" t="s">
        <v>81</v>
      </c>
      <c r="C40" s="165" t="s">
        <v>92</v>
      </c>
      <c r="D40" s="166">
        <v>4.1371847502222199</v>
      </c>
      <c r="E40" s="167"/>
      <c r="F40" s="168">
        <v>3.5000000000000003E-2</v>
      </c>
      <c r="G40" s="168">
        <v>3.1E-2</v>
      </c>
      <c r="H40" s="169"/>
      <c r="I40" s="170">
        <v>4</v>
      </c>
      <c r="J40" s="170">
        <v>4</v>
      </c>
      <c r="K40" s="167"/>
      <c r="L40" s="171">
        <v>1506.3793700000001</v>
      </c>
      <c r="M40" s="171">
        <v>1055.4202</v>
      </c>
      <c r="N40" s="171">
        <v>2561.7995700000001</v>
      </c>
      <c r="O40" s="166">
        <v>619.21323911444802</v>
      </c>
      <c r="P40" s="172">
        <v>228.25</v>
      </c>
      <c r="Q40" s="178">
        <v>2.7128728986394202</v>
      </c>
      <c r="R40" s="179">
        <v>1473.9516630375699</v>
      </c>
      <c r="S40" s="168">
        <v>0.01</v>
      </c>
      <c r="T40" s="168">
        <v>0.01</v>
      </c>
      <c r="U40" s="175">
        <v>0</v>
      </c>
      <c r="V40" s="176">
        <v>0</v>
      </c>
      <c r="W40" s="167"/>
      <c r="X40" s="175">
        <v>2893.0565750000001</v>
      </c>
      <c r="Y40" s="166">
        <v>699.28145578816702</v>
      </c>
      <c r="Z40" s="177">
        <v>573</v>
      </c>
      <c r="AA40" s="178">
        <v>1.2203864847960999</v>
      </c>
      <c r="AB40" s="179">
        <v>162.11747011731401</v>
      </c>
      <c r="AC40" s="168">
        <v>0.02</v>
      </c>
      <c r="AD40" s="168">
        <v>0.02</v>
      </c>
      <c r="AE40" s="176">
        <v>0</v>
      </c>
      <c r="AF40" s="176">
        <v>0</v>
      </c>
      <c r="AG40" s="167"/>
      <c r="AH40" s="180">
        <v>184.3</v>
      </c>
      <c r="AI40" s="166">
        <v>44.547200844753299</v>
      </c>
      <c r="AJ40" s="181" t="s">
        <v>53</v>
      </c>
      <c r="AK40" s="173">
        <v>0.70709842610719598</v>
      </c>
      <c r="AL40" s="174">
        <v>-115.960320432128</v>
      </c>
      <c r="AM40" s="168"/>
      <c r="AN40" s="168"/>
      <c r="AO40" s="176">
        <v>77</v>
      </c>
      <c r="AP40" s="176">
        <v>129</v>
      </c>
      <c r="AQ40" s="167"/>
      <c r="AR40" s="180">
        <v>29.8</v>
      </c>
      <c r="AS40" s="166">
        <v>7.20296573615654</v>
      </c>
      <c r="AT40" s="181" t="s">
        <v>54</v>
      </c>
      <c r="AU40" s="173">
        <v>0.45018535850978397</v>
      </c>
      <c r="AV40" s="174">
        <v>-46.456589316096</v>
      </c>
      <c r="AW40" s="168"/>
      <c r="AX40" s="168"/>
      <c r="AY40" s="176">
        <v>37</v>
      </c>
      <c r="AZ40" s="176">
        <v>50</v>
      </c>
      <c r="BA40" s="167"/>
      <c r="BB40" s="184">
        <v>134</v>
      </c>
      <c r="BC40" s="180">
        <v>32.3891747867441</v>
      </c>
      <c r="BD40" s="181" t="s">
        <v>55</v>
      </c>
      <c r="BE40" s="182">
        <v>1.01216171208575</v>
      </c>
      <c r="BF40" s="183">
        <v>-18.513178632191899</v>
      </c>
      <c r="BG40" s="168">
        <v>5.0000000000000001E-3</v>
      </c>
      <c r="BH40" s="168">
        <v>1E-3</v>
      </c>
      <c r="BI40" s="176">
        <v>0</v>
      </c>
      <c r="BJ40" s="176">
        <v>25</v>
      </c>
      <c r="BK40" s="169"/>
      <c r="BL40" s="185">
        <v>0.8</v>
      </c>
      <c r="BM40" s="188">
        <v>0.72</v>
      </c>
      <c r="BN40" s="186"/>
      <c r="BO40" s="187">
        <v>0.95</v>
      </c>
      <c r="BP40" s="178">
        <v>1</v>
      </c>
      <c r="BQ40" s="186">
        <v>2.5000000000000001E-3</v>
      </c>
    </row>
    <row r="41" spans="1:69" s="156" customFormat="1" ht="22.35" customHeight="1" x14ac:dyDescent="0.2">
      <c r="A41" s="165" t="s">
        <v>80</v>
      </c>
      <c r="B41" s="165" t="s">
        <v>81</v>
      </c>
      <c r="C41" s="165" t="s">
        <v>93</v>
      </c>
      <c r="D41" s="166">
        <v>7.6785695595555596</v>
      </c>
      <c r="E41" s="167"/>
      <c r="F41" s="168">
        <v>0.04</v>
      </c>
      <c r="G41" s="168">
        <v>3.2000000000000001E-2</v>
      </c>
      <c r="H41" s="169"/>
      <c r="I41" s="170">
        <v>4</v>
      </c>
      <c r="J41" s="170">
        <v>4</v>
      </c>
      <c r="K41" s="167"/>
      <c r="L41" s="171">
        <v>5845.28215</v>
      </c>
      <c r="M41" s="171">
        <v>2202.3481299999999</v>
      </c>
      <c r="N41" s="171">
        <v>8047.6302800000003</v>
      </c>
      <c r="O41" s="166">
        <v>1048.0637334313401</v>
      </c>
      <c r="P41" s="172">
        <v>287.5</v>
      </c>
      <c r="Q41" s="178">
        <v>3.6454390728046602</v>
      </c>
      <c r="R41" s="179">
        <v>5504.4880418752</v>
      </c>
      <c r="S41" s="168">
        <v>0.01</v>
      </c>
      <c r="T41" s="168">
        <v>0.01</v>
      </c>
      <c r="U41" s="175">
        <v>0</v>
      </c>
      <c r="V41" s="176">
        <v>0</v>
      </c>
      <c r="W41" s="167"/>
      <c r="X41" s="175">
        <v>5144.5087050000002</v>
      </c>
      <c r="Y41" s="166">
        <v>669.98269210154399</v>
      </c>
      <c r="Z41" s="177">
        <v>573</v>
      </c>
      <c r="AA41" s="178">
        <v>1.1692542619573201</v>
      </c>
      <c r="AB41" s="179">
        <v>75.915653015613302</v>
      </c>
      <c r="AC41" s="168">
        <v>0.02</v>
      </c>
      <c r="AD41" s="168">
        <v>1.7000000000000001E-2</v>
      </c>
      <c r="AE41" s="176">
        <v>0</v>
      </c>
      <c r="AF41" s="176">
        <v>136</v>
      </c>
      <c r="AG41" s="167"/>
      <c r="AH41" s="180">
        <v>331.55</v>
      </c>
      <c r="AI41" s="166">
        <v>43.178615161127802</v>
      </c>
      <c r="AJ41" s="181" t="s">
        <v>53</v>
      </c>
      <c r="AK41" s="173">
        <v>0.68537484382742497</v>
      </c>
      <c r="AL41" s="174">
        <v>-225.729864354304</v>
      </c>
      <c r="AM41" s="168"/>
      <c r="AN41" s="168"/>
      <c r="AO41" s="176">
        <v>153</v>
      </c>
      <c r="AP41" s="176">
        <v>249</v>
      </c>
      <c r="AQ41" s="167"/>
      <c r="AR41" s="180">
        <v>74.400000000000006</v>
      </c>
      <c r="AS41" s="166">
        <v>9.6893046840232504</v>
      </c>
      <c r="AT41" s="181" t="s">
        <v>54</v>
      </c>
      <c r="AU41" s="173">
        <v>0.60558154275145304</v>
      </c>
      <c r="AV41" s="174">
        <v>-67.131394121728107</v>
      </c>
      <c r="AW41" s="168"/>
      <c r="AX41" s="168"/>
      <c r="AY41" s="176">
        <v>49</v>
      </c>
      <c r="AZ41" s="176">
        <v>74</v>
      </c>
      <c r="BA41" s="167"/>
      <c r="BB41" s="184">
        <v>259</v>
      </c>
      <c r="BC41" s="180">
        <v>33.7302407683067</v>
      </c>
      <c r="BD41" s="181" t="s">
        <v>55</v>
      </c>
      <c r="BE41" s="182">
        <v>1.0540700240095899</v>
      </c>
      <c r="BF41" s="183">
        <v>-24.062788243456101</v>
      </c>
      <c r="BG41" s="168">
        <v>0.01</v>
      </c>
      <c r="BH41" s="168">
        <v>5.0000000000000001E-3</v>
      </c>
      <c r="BI41" s="176">
        <v>0</v>
      </c>
      <c r="BJ41" s="176">
        <v>36</v>
      </c>
      <c r="BK41" s="169"/>
      <c r="BL41" s="185">
        <v>0.8</v>
      </c>
      <c r="BM41" s="188">
        <v>0.71</v>
      </c>
      <c r="BN41" s="186"/>
      <c r="BO41" s="187">
        <v>0.95</v>
      </c>
      <c r="BP41" s="182">
        <v>0.97</v>
      </c>
      <c r="BQ41" s="186">
        <v>1E-3</v>
      </c>
    </row>
    <row r="42" spans="1:69" s="156" customFormat="1" ht="22.35" customHeight="1" x14ac:dyDescent="0.2">
      <c r="A42" s="165" t="s">
        <v>80</v>
      </c>
      <c r="B42" s="165" t="s">
        <v>81</v>
      </c>
      <c r="C42" s="165" t="s">
        <v>94</v>
      </c>
      <c r="D42" s="166">
        <v>2.4205745912222199</v>
      </c>
      <c r="E42" s="167"/>
      <c r="F42" s="168">
        <v>0.01</v>
      </c>
      <c r="G42" s="168">
        <v>0.01</v>
      </c>
      <c r="H42" s="169"/>
      <c r="I42" s="170">
        <v>2</v>
      </c>
      <c r="J42" s="170">
        <v>2</v>
      </c>
      <c r="K42" s="167"/>
      <c r="L42" s="171">
        <v>1746.08887</v>
      </c>
      <c r="M42" s="171">
        <v>1155.72604</v>
      </c>
      <c r="N42" s="171">
        <v>2901.8149100000001</v>
      </c>
      <c r="O42" s="166">
        <v>1198.8124309504501</v>
      </c>
      <c r="P42" s="172">
        <v>276.94400000000002</v>
      </c>
      <c r="Q42" s="178">
        <v>4.3287178308627396</v>
      </c>
      <c r="R42" s="179">
        <v>2129.5560317506502</v>
      </c>
      <c r="S42" s="168">
        <v>0.01</v>
      </c>
      <c r="T42" s="168">
        <v>0.01</v>
      </c>
      <c r="U42" s="175">
        <v>0</v>
      </c>
      <c r="V42" s="176">
        <v>0</v>
      </c>
      <c r="W42" s="167"/>
      <c r="X42" s="175">
        <v>1205.9249600000001</v>
      </c>
      <c r="Y42" s="166">
        <v>498.19780988078998</v>
      </c>
      <c r="Z42" s="177">
        <v>573</v>
      </c>
      <c r="AA42" s="188">
        <v>0.86945516558602098</v>
      </c>
      <c r="AB42" s="171">
        <v>-391.88664536742198</v>
      </c>
      <c r="AC42" s="168"/>
      <c r="AD42" s="168"/>
      <c r="AE42" s="176">
        <v>182</v>
      </c>
      <c r="AF42" s="176">
        <v>459</v>
      </c>
      <c r="AG42" s="167"/>
      <c r="AH42" s="180">
        <v>99.85</v>
      </c>
      <c r="AI42" s="166">
        <v>41.250536282619798</v>
      </c>
      <c r="AJ42" s="181" t="s">
        <v>53</v>
      </c>
      <c r="AK42" s="173">
        <v>0.65477041718444196</v>
      </c>
      <c r="AL42" s="174">
        <v>-75.825621532543806</v>
      </c>
      <c r="AM42" s="168"/>
      <c r="AN42" s="168"/>
      <c r="AO42" s="176">
        <v>53</v>
      </c>
      <c r="AP42" s="176">
        <v>84</v>
      </c>
      <c r="AQ42" s="167"/>
      <c r="AR42" s="180">
        <v>12.6</v>
      </c>
      <c r="AS42" s="166">
        <v>5.2053756350627003</v>
      </c>
      <c r="AT42" s="181" t="s">
        <v>54</v>
      </c>
      <c r="AU42" s="173">
        <v>0.32533597719141899</v>
      </c>
      <c r="AV42" s="174">
        <v>-32.016030865407899</v>
      </c>
      <c r="AW42" s="168"/>
      <c r="AX42" s="168"/>
      <c r="AY42" s="176">
        <v>27</v>
      </c>
      <c r="AZ42" s="176">
        <v>34</v>
      </c>
      <c r="BA42" s="167"/>
      <c r="BB42" s="184">
        <v>63.6</v>
      </c>
      <c r="BC42" s="180">
        <v>26.2747532055545</v>
      </c>
      <c r="BD42" s="181" t="s">
        <v>55</v>
      </c>
      <c r="BE42" s="188">
        <v>0.82108603767358002</v>
      </c>
      <c r="BF42" s="171">
        <v>-25.632061730815899</v>
      </c>
      <c r="BG42" s="168"/>
      <c r="BH42" s="168"/>
      <c r="BI42" s="176">
        <v>14</v>
      </c>
      <c r="BJ42" s="176">
        <v>30</v>
      </c>
      <c r="BK42" s="169"/>
      <c r="BL42" s="185">
        <v>0.8</v>
      </c>
      <c r="BM42" s="188">
        <v>0.75</v>
      </c>
      <c r="BN42" s="186"/>
      <c r="BO42" s="187">
        <v>0.95</v>
      </c>
      <c r="BP42" s="178">
        <v>1</v>
      </c>
      <c r="BQ42" s="186">
        <v>2.5000000000000001E-3</v>
      </c>
    </row>
    <row r="43" spans="1:69" s="156" customFormat="1" ht="22.35" customHeight="1" x14ac:dyDescent="0.2">
      <c r="A43" s="165" t="s">
        <v>80</v>
      </c>
      <c r="B43" s="165" t="s">
        <v>81</v>
      </c>
      <c r="C43" s="165" t="s">
        <v>95</v>
      </c>
      <c r="D43" s="166">
        <v>1.61576985288889</v>
      </c>
      <c r="E43" s="167"/>
      <c r="F43" s="168">
        <v>0.01</v>
      </c>
      <c r="G43" s="168">
        <v>0.01</v>
      </c>
      <c r="H43" s="169"/>
      <c r="I43" s="170">
        <v>2</v>
      </c>
      <c r="J43" s="170">
        <v>2</v>
      </c>
      <c r="K43" s="167"/>
      <c r="L43" s="171">
        <v>191.56234000000001</v>
      </c>
      <c r="M43" s="171">
        <v>1010.92017</v>
      </c>
      <c r="N43" s="171">
        <v>1202.48251</v>
      </c>
      <c r="O43" s="166">
        <v>744.21645375425305</v>
      </c>
      <c r="P43" s="172">
        <v>244.696</v>
      </c>
      <c r="Q43" s="178">
        <v>3.04139198742216</v>
      </c>
      <c r="R43" s="179">
        <v>747.01348224927995</v>
      </c>
      <c r="S43" s="168">
        <v>0.01</v>
      </c>
      <c r="T43" s="168">
        <v>0.01</v>
      </c>
      <c r="U43" s="175">
        <v>0</v>
      </c>
      <c r="V43" s="176">
        <v>0</v>
      </c>
      <c r="W43" s="167"/>
      <c r="X43" s="175">
        <v>753.79404</v>
      </c>
      <c r="Y43" s="166">
        <v>466.52314910583698</v>
      </c>
      <c r="Z43" s="177">
        <v>573</v>
      </c>
      <c r="AA43" s="188">
        <v>0.81417652549011799</v>
      </c>
      <c r="AB43" s="171">
        <v>-312.76917681254503</v>
      </c>
      <c r="AC43" s="168"/>
      <c r="AD43" s="168"/>
      <c r="AE43" s="176">
        <v>173</v>
      </c>
      <c r="AF43" s="176">
        <v>358</v>
      </c>
      <c r="AG43" s="167"/>
      <c r="AH43" s="180">
        <v>74.099999999999994</v>
      </c>
      <c r="AI43" s="166">
        <v>45.8604917448572</v>
      </c>
      <c r="AJ43" s="181" t="s">
        <v>53</v>
      </c>
      <c r="AK43" s="173">
        <v>0.72794431341043098</v>
      </c>
      <c r="AL43" s="174">
        <v>-43.166112843264102</v>
      </c>
      <c r="AM43" s="168"/>
      <c r="AN43" s="168"/>
      <c r="AO43" s="176">
        <v>28</v>
      </c>
      <c r="AP43" s="176">
        <v>49</v>
      </c>
      <c r="AQ43" s="167"/>
      <c r="AR43" s="180">
        <v>8</v>
      </c>
      <c r="AS43" s="166">
        <v>4.9512001883786398</v>
      </c>
      <c r="AT43" s="181" t="s">
        <v>54</v>
      </c>
      <c r="AU43" s="173">
        <v>0.30945001177366499</v>
      </c>
      <c r="AV43" s="174">
        <v>-21.781869928448</v>
      </c>
      <c r="AW43" s="168"/>
      <c r="AX43" s="168"/>
      <c r="AY43" s="176">
        <v>18</v>
      </c>
      <c r="AZ43" s="176">
        <v>24</v>
      </c>
      <c r="BA43" s="167"/>
      <c r="BB43" s="184">
        <v>42</v>
      </c>
      <c r="BC43" s="180">
        <v>25.9938009889879</v>
      </c>
      <c r="BD43" s="181" t="s">
        <v>55</v>
      </c>
      <c r="BE43" s="188">
        <v>0.81230628090587098</v>
      </c>
      <c r="BF43" s="171">
        <v>-17.563739856895999</v>
      </c>
      <c r="BG43" s="168"/>
      <c r="BH43" s="168"/>
      <c r="BI43" s="176">
        <v>10</v>
      </c>
      <c r="BJ43" s="176">
        <v>21</v>
      </c>
      <c r="BK43" s="169"/>
      <c r="BL43" s="185">
        <v>0.8</v>
      </c>
      <c r="BM43" s="173">
        <v>0.68</v>
      </c>
      <c r="BN43" s="186"/>
      <c r="BO43" s="187">
        <v>0.95</v>
      </c>
      <c r="BP43" s="178">
        <v>1</v>
      </c>
      <c r="BQ43" s="186">
        <v>2.5000000000000001E-3</v>
      </c>
    </row>
    <row r="44" spans="1:69" s="156" customFormat="1" ht="22.35" customHeight="1" x14ac:dyDescent="0.2">
      <c r="A44" s="165" t="s">
        <v>80</v>
      </c>
      <c r="B44" s="165" t="s">
        <v>81</v>
      </c>
      <c r="C44" s="165" t="s">
        <v>96</v>
      </c>
      <c r="D44" s="166">
        <v>2.3852260407777801</v>
      </c>
      <c r="E44" s="167"/>
      <c r="F44" s="168">
        <v>0.05</v>
      </c>
      <c r="G44" s="168">
        <v>0.05</v>
      </c>
      <c r="H44" s="169"/>
      <c r="I44" s="170">
        <v>5</v>
      </c>
      <c r="J44" s="170">
        <v>5</v>
      </c>
      <c r="K44" s="167"/>
      <c r="L44" s="171">
        <v>736.09851000000003</v>
      </c>
      <c r="M44" s="171">
        <v>1451.4196400000001</v>
      </c>
      <c r="N44" s="171">
        <v>2187.5181499999999</v>
      </c>
      <c r="O44" s="166">
        <v>917.11146558113705</v>
      </c>
      <c r="P44" s="172">
        <v>239.304</v>
      </c>
      <c r="Q44" s="178">
        <v>3.8324117673801399</v>
      </c>
      <c r="R44" s="179">
        <v>1529.96330940345</v>
      </c>
      <c r="S44" s="168">
        <v>0.01</v>
      </c>
      <c r="T44" s="168">
        <v>0.01</v>
      </c>
      <c r="U44" s="175">
        <v>0</v>
      </c>
      <c r="V44" s="176">
        <v>0</v>
      </c>
      <c r="W44" s="167"/>
      <c r="X44" s="175">
        <v>1266.24775</v>
      </c>
      <c r="Y44" s="166">
        <v>530.871174619199</v>
      </c>
      <c r="Z44" s="177">
        <v>573</v>
      </c>
      <c r="AA44" s="188">
        <v>0.92647674453612405</v>
      </c>
      <c r="AB44" s="171">
        <v>-308.23041861324998</v>
      </c>
      <c r="AC44" s="168"/>
      <c r="AD44" s="168"/>
      <c r="AE44" s="176">
        <v>101</v>
      </c>
      <c r="AF44" s="176">
        <v>374</v>
      </c>
      <c r="AG44" s="167"/>
      <c r="AH44" s="180">
        <v>180.1</v>
      </c>
      <c r="AI44" s="166">
        <v>75.506470632558006</v>
      </c>
      <c r="AJ44" s="181" t="s">
        <v>53</v>
      </c>
      <c r="AK44" s="178">
        <v>1.198515406866</v>
      </c>
      <c r="AL44" s="179">
        <v>6.98983486451184</v>
      </c>
      <c r="AM44" s="168">
        <v>0.02</v>
      </c>
      <c r="AN44" s="168">
        <v>0.02</v>
      </c>
      <c r="AO44" s="176">
        <v>0</v>
      </c>
      <c r="AP44" s="176">
        <v>1</v>
      </c>
      <c r="AQ44" s="167"/>
      <c r="AR44" s="180">
        <v>32.4</v>
      </c>
      <c r="AS44" s="166">
        <v>13.583618259272001</v>
      </c>
      <c r="AT44" s="181" t="s">
        <v>54</v>
      </c>
      <c r="AU44" s="188">
        <v>0.84897614120449705</v>
      </c>
      <c r="AV44" s="171">
        <v>-11.564486383616</v>
      </c>
      <c r="AW44" s="168"/>
      <c r="AX44" s="168"/>
      <c r="AY44" s="176">
        <v>6</v>
      </c>
      <c r="AZ44" s="176">
        <v>14</v>
      </c>
      <c r="BA44" s="167"/>
      <c r="BB44" s="184">
        <v>111.6</v>
      </c>
      <c r="BC44" s="180">
        <v>46.788018448603403</v>
      </c>
      <c r="BD44" s="181" t="s">
        <v>55</v>
      </c>
      <c r="BE44" s="178">
        <v>1.4621255765188601</v>
      </c>
      <c r="BF44" s="179">
        <v>23.671027232767901</v>
      </c>
      <c r="BG44" s="168">
        <v>0.02</v>
      </c>
      <c r="BH44" s="168">
        <v>0.02</v>
      </c>
      <c r="BI44" s="176">
        <v>0</v>
      </c>
      <c r="BJ44" s="176">
        <v>0</v>
      </c>
      <c r="BK44" s="169"/>
      <c r="BL44" s="185">
        <v>0.8</v>
      </c>
      <c r="BM44" s="182">
        <v>0.82</v>
      </c>
      <c r="BN44" s="186">
        <v>7.5000000000000002E-4</v>
      </c>
      <c r="BO44" s="187">
        <v>0.95</v>
      </c>
      <c r="BP44" s="178">
        <v>1</v>
      </c>
      <c r="BQ44" s="186">
        <v>2.5000000000000001E-3</v>
      </c>
    </row>
    <row r="45" spans="1:69" s="156" customFormat="1" ht="22.35" customHeight="1" x14ac:dyDescent="0.2">
      <c r="A45" s="165" t="s">
        <v>80</v>
      </c>
      <c r="B45" s="165" t="s">
        <v>81</v>
      </c>
      <c r="C45" s="165" t="s">
        <v>97</v>
      </c>
      <c r="D45" s="166">
        <v>2.94060150377778</v>
      </c>
      <c r="E45" s="167"/>
      <c r="F45" s="168">
        <v>4.8000000000000001E-2</v>
      </c>
      <c r="G45" s="168">
        <v>4.2999999999999997E-2</v>
      </c>
      <c r="H45" s="169"/>
      <c r="I45" s="170">
        <v>5</v>
      </c>
      <c r="J45" s="170">
        <v>5</v>
      </c>
      <c r="K45" s="167"/>
      <c r="L45" s="171">
        <v>3177.3970899999999</v>
      </c>
      <c r="M45" s="171">
        <v>1893.62923</v>
      </c>
      <c r="N45" s="171">
        <v>5071.0263199999999</v>
      </c>
      <c r="O45" s="166">
        <v>1724.48606636611</v>
      </c>
      <c r="P45" s="172">
        <v>287.5</v>
      </c>
      <c r="Q45" s="178">
        <v>5.9982124047516896</v>
      </c>
      <c r="R45" s="179">
        <v>4097.0991019488001</v>
      </c>
      <c r="S45" s="168">
        <v>0.01</v>
      </c>
      <c r="T45" s="168">
        <v>0.01</v>
      </c>
      <c r="U45" s="175">
        <v>0</v>
      </c>
      <c r="V45" s="176">
        <v>0</v>
      </c>
      <c r="W45" s="167"/>
      <c r="X45" s="175">
        <v>1904.8742199999999</v>
      </c>
      <c r="Y45" s="166">
        <v>647.78386923655501</v>
      </c>
      <c r="Z45" s="177">
        <v>573</v>
      </c>
      <c r="AA45" s="182">
        <v>1.13051286079678</v>
      </c>
      <c r="AB45" s="183">
        <v>-36.205070237697797</v>
      </c>
      <c r="AC45" s="168">
        <v>1.7999999999999999E-2</v>
      </c>
      <c r="AD45" s="168">
        <v>1.2999999999999999E-2</v>
      </c>
      <c r="AE45" s="176">
        <v>0</v>
      </c>
      <c r="AF45" s="176">
        <v>118</v>
      </c>
      <c r="AG45" s="167"/>
      <c r="AH45" s="180">
        <v>107.85</v>
      </c>
      <c r="AI45" s="166">
        <v>36.676169777321299</v>
      </c>
      <c r="AJ45" s="181" t="s">
        <v>53</v>
      </c>
      <c r="AK45" s="173">
        <v>0.58216142503684498</v>
      </c>
      <c r="AL45" s="174">
        <v>-105.567094738176</v>
      </c>
      <c r="AM45" s="168"/>
      <c r="AN45" s="168"/>
      <c r="AO45" s="176">
        <v>78</v>
      </c>
      <c r="AP45" s="176">
        <v>115</v>
      </c>
      <c r="AQ45" s="167"/>
      <c r="AR45" s="180">
        <v>17.8</v>
      </c>
      <c r="AS45" s="166">
        <v>6.0531833290340202</v>
      </c>
      <c r="AT45" s="181" t="s">
        <v>54</v>
      </c>
      <c r="AU45" s="173">
        <v>0.37832395806462599</v>
      </c>
      <c r="AV45" s="174">
        <v>-36.401166917631997</v>
      </c>
      <c r="AW45" s="168"/>
      <c r="AX45" s="168"/>
      <c r="AY45" s="176">
        <v>30</v>
      </c>
      <c r="AZ45" s="176">
        <v>39</v>
      </c>
      <c r="BA45" s="167"/>
      <c r="BB45" s="184">
        <v>122</v>
      </c>
      <c r="BC45" s="180">
        <v>41.488110457424099</v>
      </c>
      <c r="BD45" s="181" t="s">
        <v>55</v>
      </c>
      <c r="BE45" s="178">
        <v>1.2965034517945</v>
      </c>
      <c r="BF45" s="179">
        <v>13.5976661647359</v>
      </c>
      <c r="BG45" s="168">
        <v>0.02</v>
      </c>
      <c r="BH45" s="168">
        <v>0.02</v>
      </c>
      <c r="BI45" s="176">
        <v>0</v>
      </c>
      <c r="BJ45" s="176">
        <v>0</v>
      </c>
      <c r="BK45" s="169"/>
      <c r="BL45" s="185">
        <v>0.8</v>
      </c>
      <c r="BM45" s="182">
        <v>0.81</v>
      </c>
      <c r="BN45" s="186">
        <v>3.7500000000000001E-4</v>
      </c>
      <c r="BO45" s="187">
        <v>0.95</v>
      </c>
      <c r="BP45" s="178">
        <v>1</v>
      </c>
      <c r="BQ45" s="186">
        <v>2.5000000000000001E-3</v>
      </c>
    </row>
    <row r="46" spans="1:69" s="156" customFormat="1" ht="22.35" customHeight="1" x14ac:dyDescent="0.2">
      <c r="A46" s="165" t="s">
        <v>80</v>
      </c>
      <c r="B46" s="165" t="s">
        <v>81</v>
      </c>
      <c r="C46" s="165" t="s">
        <v>98</v>
      </c>
      <c r="D46" s="166">
        <v>8.6630214135555601</v>
      </c>
      <c r="E46" s="167"/>
      <c r="F46" s="168">
        <v>2.1999999999999999E-2</v>
      </c>
      <c r="G46" s="168">
        <v>1.7000000000000001E-2</v>
      </c>
      <c r="H46" s="169"/>
      <c r="I46" s="170">
        <v>3</v>
      </c>
      <c r="J46" s="170">
        <v>3</v>
      </c>
      <c r="K46" s="167"/>
      <c r="L46" s="171">
        <v>3857.9786600000002</v>
      </c>
      <c r="M46" s="171">
        <v>4722.2818500000003</v>
      </c>
      <c r="N46" s="171">
        <v>8580.2605100000001</v>
      </c>
      <c r="O46" s="166">
        <v>990.44664677544802</v>
      </c>
      <c r="P46" s="172">
        <v>276.44</v>
      </c>
      <c r="Q46" s="178">
        <v>3.58286299658316</v>
      </c>
      <c r="R46" s="179">
        <v>5821.4444132230801</v>
      </c>
      <c r="S46" s="168">
        <v>0.01</v>
      </c>
      <c r="T46" s="168">
        <v>0.01</v>
      </c>
      <c r="U46" s="175">
        <v>0</v>
      </c>
      <c r="V46" s="176">
        <v>0</v>
      </c>
      <c r="W46" s="167"/>
      <c r="X46" s="175">
        <v>4340.6493</v>
      </c>
      <c r="Y46" s="166">
        <v>501.05489676014503</v>
      </c>
      <c r="Z46" s="177">
        <v>573</v>
      </c>
      <c r="AA46" s="188">
        <v>0.87444135560234604</v>
      </c>
      <c r="AB46" s="171">
        <v>-1377.77648300237</v>
      </c>
      <c r="AC46" s="168"/>
      <c r="AD46" s="168"/>
      <c r="AE46" s="176">
        <v>624</v>
      </c>
      <c r="AF46" s="176">
        <v>1617</v>
      </c>
      <c r="AG46" s="167"/>
      <c r="AH46" s="180">
        <v>500.75</v>
      </c>
      <c r="AI46" s="166">
        <v>57.803158516547803</v>
      </c>
      <c r="AJ46" s="181" t="s">
        <v>53</v>
      </c>
      <c r="AK46" s="188">
        <v>0.91751045264361597</v>
      </c>
      <c r="AL46" s="171">
        <v>-127.977442110208</v>
      </c>
      <c r="AM46" s="168"/>
      <c r="AN46" s="168"/>
      <c r="AO46" s="176">
        <v>46</v>
      </c>
      <c r="AP46" s="176">
        <v>155</v>
      </c>
      <c r="AQ46" s="167"/>
      <c r="AR46" s="180">
        <v>23</v>
      </c>
      <c r="AS46" s="166">
        <v>2.65496284748997</v>
      </c>
      <c r="AT46" s="181" t="s">
        <v>54</v>
      </c>
      <c r="AU46" s="173">
        <v>0.16593517796812299</v>
      </c>
      <c r="AV46" s="174">
        <v>-136.67681069465601</v>
      </c>
      <c r="AW46" s="168"/>
      <c r="AX46" s="168"/>
      <c r="AY46" s="176">
        <v>116</v>
      </c>
      <c r="AZ46" s="176">
        <v>144</v>
      </c>
      <c r="BA46" s="167"/>
      <c r="BB46" s="184">
        <v>298</v>
      </c>
      <c r="BC46" s="180">
        <v>34.399083850087401</v>
      </c>
      <c r="BD46" s="181" t="s">
        <v>55</v>
      </c>
      <c r="BE46" s="182">
        <v>1.0749713703152299</v>
      </c>
      <c r="BF46" s="183">
        <v>-21.353621389312099</v>
      </c>
      <c r="BG46" s="168">
        <v>1.2E-2</v>
      </c>
      <c r="BH46" s="168">
        <v>7.0000000000000001E-3</v>
      </c>
      <c r="BI46" s="176">
        <v>0</v>
      </c>
      <c r="BJ46" s="176">
        <v>35</v>
      </c>
      <c r="BK46" s="169"/>
      <c r="BL46" s="185">
        <v>0.8</v>
      </c>
      <c r="BM46" s="188">
        <v>0.7</v>
      </c>
      <c r="BN46" s="186"/>
      <c r="BO46" s="187">
        <v>0.95</v>
      </c>
      <c r="BP46" s="178">
        <v>1</v>
      </c>
      <c r="BQ46" s="186">
        <v>2.5000000000000001E-3</v>
      </c>
    </row>
    <row r="47" spans="1:69" s="156" customFormat="1" ht="22.35" customHeight="1" x14ac:dyDescent="0.2">
      <c r="A47" s="165" t="s">
        <v>80</v>
      </c>
      <c r="B47" s="165" t="s">
        <v>81</v>
      </c>
      <c r="C47" s="165" t="s">
        <v>99</v>
      </c>
      <c r="D47" s="166">
        <v>2.3098195907777801</v>
      </c>
      <c r="E47" s="167"/>
      <c r="F47" s="168">
        <v>0.01</v>
      </c>
      <c r="G47" s="168">
        <v>0.01</v>
      </c>
      <c r="H47" s="169"/>
      <c r="I47" s="170">
        <v>2</v>
      </c>
      <c r="J47" s="170">
        <v>2</v>
      </c>
      <c r="K47" s="167"/>
      <c r="L47" s="171">
        <v>475.94411000000002</v>
      </c>
      <c r="M47" s="171">
        <v>1112.4302399999999</v>
      </c>
      <c r="N47" s="171">
        <v>1588.37435</v>
      </c>
      <c r="O47" s="166">
        <v>687.66164956855005</v>
      </c>
      <c r="P47" s="172">
        <v>236.59800000000001</v>
      </c>
      <c r="Q47" s="178">
        <v>2.90645588537752</v>
      </c>
      <c r="R47" s="179">
        <v>958.80785273925505</v>
      </c>
      <c r="S47" s="168">
        <v>0.01</v>
      </c>
      <c r="T47" s="168">
        <v>0.01</v>
      </c>
      <c r="U47" s="175">
        <v>0</v>
      </c>
      <c r="V47" s="176">
        <v>0</v>
      </c>
      <c r="W47" s="167"/>
      <c r="X47" s="175">
        <v>1091.26297</v>
      </c>
      <c r="Y47" s="166">
        <v>472.44510972068701</v>
      </c>
      <c r="Z47" s="177">
        <v>573</v>
      </c>
      <c r="AA47" s="188">
        <v>0.82451153528915699</v>
      </c>
      <c r="AB47" s="171">
        <v>-433.43970259405</v>
      </c>
      <c r="AC47" s="168"/>
      <c r="AD47" s="168"/>
      <c r="AE47" s="176">
        <v>233</v>
      </c>
      <c r="AF47" s="176">
        <v>497</v>
      </c>
      <c r="AG47" s="167"/>
      <c r="AH47" s="180">
        <v>98.75</v>
      </c>
      <c r="AI47" s="166">
        <v>42.7522566672613</v>
      </c>
      <c r="AJ47" s="181" t="s">
        <v>53</v>
      </c>
      <c r="AK47" s="173">
        <v>0.67860724868668698</v>
      </c>
      <c r="AL47" s="174">
        <v>-68.887466620288194</v>
      </c>
      <c r="AM47" s="168"/>
      <c r="AN47" s="168"/>
      <c r="AO47" s="176">
        <v>47</v>
      </c>
      <c r="AP47" s="176">
        <v>76</v>
      </c>
      <c r="AQ47" s="167"/>
      <c r="AR47" s="180">
        <v>1</v>
      </c>
      <c r="AS47" s="166">
        <v>0.43293424473176001</v>
      </c>
      <c r="AT47" s="181" t="s">
        <v>54</v>
      </c>
      <c r="AU47" s="173">
        <v>2.7058390295735001E-2</v>
      </c>
      <c r="AV47" s="174">
        <v>-41.574594697216</v>
      </c>
      <c r="AW47" s="168"/>
      <c r="AX47" s="168"/>
      <c r="AY47" s="176">
        <v>36</v>
      </c>
      <c r="AZ47" s="176">
        <v>44</v>
      </c>
      <c r="BA47" s="167"/>
      <c r="BB47" s="184">
        <v>63.2</v>
      </c>
      <c r="BC47" s="180">
        <v>27.361444267047201</v>
      </c>
      <c r="BD47" s="181" t="s">
        <v>55</v>
      </c>
      <c r="BE47" s="188">
        <v>0.85504513334522603</v>
      </c>
      <c r="BF47" s="171">
        <v>-21.9491893944321</v>
      </c>
      <c r="BG47" s="168"/>
      <c r="BH47" s="168"/>
      <c r="BI47" s="176">
        <v>11</v>
      </c>
      <c r="BJ47" s="176">
        <v>26</v>
      </c>
      <c r="BK47" s="169"/>
      <c r="BL47" s="185">
        <v>0.8</v>
      </c>
      <c r="BM47" s="188">
        <v>0.72</v>
      </c>
      <c r="BN47" s="186"/>
      <c r="BO47" s="187">
        <v>0.95</v>
      </c>
      <c r="BP47" s="178">
        <v>1</v>
      </c>
      <c r="BQ47" s="186">
        <v>2.5000000000000001E-3</v>
      </c>
    </row>
    <row r="48" spans="1:69" s="156" customFormat="1" ht="22.35" customHeight="1" x14ac:dyDescent="0.2">
      <c r="A48" s="165" t="s">
        <v>80</v>
      </c>
      <c r="B48" s="165" t="s">
        <v>100</v>
      </c>
      <c r="C48" s="165" t="s">
        <v>101</v>
      </c>
      <c r="D48" s="166">
        <v>2.9631336405555602</v>
      </c>
      <c r="E48" s="167"/>
      <c r="F48" s="168">
        <v>0.04</v>
      </c>
      <c r="G48" s="168">
        <v>0.04</v>
      </c>
      <c r="H48" s="169"/>
      <c r="I48" s="170">
        <v>4</v>
      </c>
      <c r="J48" s="170">
        <v>4</v>
      </c>
      <c r="K48" s="167"/>
      <c r="L48" s="171">
        <v>1650.86736</v>
      </c>
      <c r="M48" s="171">
        <v>1806.82844</v>
      </c>
      <c r="N48" s="171">
        <v>3457.6958</v>
      </c>
      <c r="O48" s="166">
        <v>1166.90511446244</v>
      </c>
      <c r="P48" s="172">
        <v>287.5</v>
      </c>
      <c r="Q48" s="178">
        <v>4.0588003981302299</v>
      </c>
      <c r="R48" s="179">
        <v>2476.3059382480001</v>
      </c>
      <c r="S48" s="168">
        <v>0.01</v>
      </c>
      <c r="T48" s="168">
        <v>0.01</v>
      </c>
      <c r="U48" s="175">
        <v>0</v>
      </c>
      <c r="V48" s="176">
        <v>0</v>
      </c>
      <c r="W48" s="167"/>
      <c r="X48" s="175">
        <v>1527.639275</v>
      </c>
      <c r="Y48" s="166">
        <v>515.54855781448396</v>
      </c>
      <c r="Z48" s="177">
        <v>573</v>
      </c>
      <c r="AA48" s="188">
        <v>0.89973570299212002</v>
      </c>
      <c r="AB48" s="171">
        <v>-428.31338859616301</v>
      </c>
      <c r="AC48" s="168"/>
      <c r="AD48" s="168"/>
      <c r="AE48" s="176">
        <v>171</v>
      </c>
      <c r="AF48" s="176">
        <v>510</v>
      </c>
      <c r="AG48" s="167"/>
      <c r="AH48" s="180">
        <v>166.5</v>
      </c>
      <c r="AI48" s="166">
        <v>56.190513219236003</v>
      </c>
      <c r="AJ48" s="181" t="s">
        <v>53</v>
      </c>
      <c r="AK48" s="188">
        <v>0.891912908241842</v>
      </c>
      <c r="AL48" s="171">
        <v>-48.552387096960302</v>
      </c>
      <c r="AM48" s="168"/>
      <c r="AN48" s="168"/>
      <c r="AO48" s="176">
        <v>21</v>
      </c>
      <c r="AP48" s="176">
        <v>58</v>
      </c>
      <c r="AQ48" s="167"/>
      <c r="AR48" s="180">
        <v>58.9</v>
      </c>
      <c r="AS48" s="166">
        <v>19.877604976654698</v>
      </c>
      <c r="AT48" s="181" t="s">
        <v>54</v>
      </c>
      <c r="AU48" s="178">
        <v>1.24235031104092</v>
      </c>
      <c r="AV48" s="179">
        <v>4.28352073727992</v>
      </c>
      <c r="AW48" s="168">
        <v>0.01</v>
      </c>
      <c r="AX48" s="168">
        <v>0.01</v>
      </c>
      <c r="AY48" s="176">
        <v>0</v>
      </c>
      <c r="AZ48" s="176">
        <v>0</v>
      </c>
      <c r="BA48" s="167"/>
      <c r="BB48" s="184">
        <v>122</v>
      </c>
      <c r="BC48" s="180">
        <v>41.172628304785597</v>
      </c>
      <c r="BD48" s="181" t="s">
        <v>55</v>
      </c>
      <c r="BE48" s="178">
        <v>1.2866446345245499</v>
      </c>
      <c r="BF48" s="179">
        <v>12.7670414745598</v>
      </c>
      <c r="BG48" s="168">
        <v>0.02</v>
      </c>
      <c r="BH48" s="168">
        <v>0.02</v>
      </c>
      <c r="BI48" s="176">
        <v>0</v>
      </c>
      <c r="BJ48" s="176">
        <v>0</v>
      </c>
      <c r="BK48" s="169"/>
      <c r="BL48" s="185">
        <v>0.8</v>
      </c>
      <c r="BM48" s="173">
        <v>0.64</v>
      </c>
      <c r="BN48" s="186"/>
      <c r="BO48" s="187">
        <v>0.95</v>
      </c>
      <c r="BP48" s="178">
        <v>1</v>
      </c>
      <c r="BQ48" s="186">
        <v>2.5000000000000001E-3</v>
      </c>
    </row>
    <row r="49" spans="1:69" s="156" customFormat="1" ht="22.35" customHeight="1" x14ac:dyDescent="0.2">
      <c r="A49" s="165" t="s">
        <v>80</v>
      </c>
      <c r="B49" s="165" t="s">
        <v>100</v>
      </c>
      <c r="C49" s="165" t="s">
        <v>102</v>
      </c>
      <c r="D49" s="166">
        <v>3.6627518924444402</v>
      </c>
      <c r="E49" s="167"/>
      <c r="F49" s="168">
        <v>0.01</v>
      </c>
      <c r="G49" s="168">
        <v>0.01</v>
      </c>
      <c r="H49" s="169"/>
      <c r="I49" s="170">
        <v>2</v>
      </c>
      <c r="J49" s="170">
        <v>2</v>
      </c>
      <c r="K49" s="167"/>
      <c r="L49" s="171">
        <v>3625.0295299999998</v>
      </c>
      <c r="M49" s="171">
        <v>96.404079999999993</v>
      </c>
      <c r="N49" s="171">
        <v>3721.43361</v>
      </c>
      <c r="O49" s="166">
        <v>1016.02121008431</v>
      </c>
      <c r="P49" s="172">
        <v>265.84899999999999</v>
      </c>
      <c r="Q49" s="178">
        <v>3.8217981263209899</v>
      </c>
      <c r="R49" s="179">
        <v>2599.6863651116601</v>
      </c>
      <c r="S49" s="168">
        <v>0.01</v>
      </c>
      <c r="T49" s="168">
        <v>0.01</v>
      </c>
      <c r="U49" s="175">
        <v>0</v>
      </c>
      <c r="V49" s="176">
        <v>0</v>
      </c>
      <c r="W49" s="167"/>
      <c r="X49" s="175">
        <v>1594.631875</v>
      </c>
      <c r="Y49" s="166">
        <v>435.36442593598002</v>
      </c>
      <c r="Z49" s="177">
        <v>573</v>
      </c>
      <c r="AA49" s="173">
        <v>0.75979830006279203</v>
      </c>
      <c r="AB49" s="174">
        <v>-823.13599819500496</v>
      </c>
      <c r="AC49" s="168"/>
      <c r="AD49" s="168"/>
      <c r="AE49" s="176">
        <v>505</v>
      </c>
      <c r="AF49" s="176">
        <v>924</v>
      </c>
      <c r="AG49" s="167"/>
      <c r="AH49" s="180">
        <v>122.6</v>
      </c>
      <c r="AI49" s="166">
        <v>33.472100650033198</v>
      </c>
      <c r="AJ49" s="181" t="s">
        <v>53</v>
      </c>
      <c r="AK49" s="173">
        <v>0.53130318492116202</v>
      </c>
      <c r="AL49" s="174">
        <v>-143.22788134604801</v>
      </c>
      <c r="AM49" s="168"/>
      <c r="AN49" s="168"/>
      <c r="AO49" s="176">
        <v>109</v>
      </c>
      <c r="AP49" s="176">
        <v>155</v>
      </c>
      <c r="AQ49" s="167"/>
      <c r="AR49" s="180">
        <v>4.8</v>
      </c>
      <c r="AS49" s="166">
        <v>1.31049007438955</v>
      </c>
      <c r="AT49" s="181" t="s">
        <v>54</v>
      </c>
      <c r="AU49" s="173">
        <v>8.1905629649346903E-2</v>
      </c>
      <c r="AV49" s="174">
        <v>-62.711842881535901</v>
      </c>
      <c r="AW49" s="168"/>
      <c r="AX49" s="168"/>
      <c r="AY49" s="176">
        <v>54</v>
      </c>
      <c r="AZ49" s="176">
        <v>66</v>
      </c>
      <c r="BA49" s="167"/>
      <c r="BB49" s="184">
        <v>98.6</v>
      </c>
      <c r="BC49" s="180">
        <v>26.919650278085399</v>
      </c>
      <c r="BD49" s="181" t="s">
        <v>55</v>
      </c>
      <c r="BE49" s="188">
        <v>0.84123907119016905</v>
      </c>
      <c r="BF49" s="171">
        <v>-36.423685763071802</v>
      </c>
      <c r="BG49" s="168"/>
      <c r="BH49" s="168"/>
      <c r="BI49" s="176">
        <v>19</v>
      </c>
      <c r="BJ49" s="176">
        <v>43</v>
      </c>
      <c r="BK49" s="169"/>
      <c r="BL49" s="185">
        <v>0.8</v>
      </c>
      <c r="BM49" s="173">
        <v>0.64</v>
      </c>
      <c r="BN49" s="186"/>
      <c r="BO49" s="187">
        <v>0.95</v>
      </c>
      <c r="BP49" s="178">
        <v>1</v>
      </c>
      <c r="BQ49" s="186">
        <v>2.5000000000000001E-3</v>
      </c>
    </row>
    <row r="50" spans="1:69" s="156" customFormat="1" ht="22.35" customHeight="1" x14ac:dyDescent="0.2">
      <c r="A50" s="165" t="s">
        <v>80</v>
      </c>
      <c r="B50" s="165" t="s">
        <v>100</v>
      </c>
      <c r="C50" s="165" t="s">
        <v>103</v>
      </c>
      <c r="D50" s="166">
        <v>4.5139963626666697</v>
      </c>
      <c r="E50" s="167"/>
      <c r="F50" s="168">
        <v>0.01</v>
      </c>
      <c r="G50" s="168">
        <v>0.01</v>
      </c>
      <c r="H50" s="169"/>
      <c r="I50" s="170">
        <v>2</v>
      </c>
      <c r="J50" s="170">
        <v>2</v>
      </c>
      <c r="K50" s="167"/>
      <c r="L50" s="171">
        <v>2450.5290500000001</v>
      </c>
      <c r="M50" s="171">
        <v>2148.5998</v>
      </c>
      <c r="N50" s="171">
        <v>4599.1288500000001</v>
      </c>
      <c r="O50" s="166">
        <v>1018.85967123001</v>
      </c>
      <c r="P50" s="172">
        <v>287.5</v>
      </c>
      <c r="Q50" s="178">
        <v>3.54385972601743</v>
      </c>
      <c r="R50" s="179">
        <v>3104.0932546847998</v>
      </c>
      <c r="S50" s="168">
        <v>0.01</v>
      </c>
      <c r="T50" s="168">
        <v>0.01</v>
      </c>
      <c r="U50" s="175">
        <v>0</v>
      </c>
      <c r="V50" s="176">
        <v>0</v>
      </c>
      <c r="W50" s="167"/>
      <c r="X50" s="175">
        <v>1459.9819399999999</v>
      </c>
      <c r="Y50" s="166">
        <v>323.43445202457099</v>
      </c>
      <c r="Z50" s="177">
        <v>573</v>
      </c>
      <c r="AA50" s="173">
        <v>0.56445803145649398</v>
      </c>
      <c r="AB50" s="174">
        <v>-1519.68900301082</v>
      </c>
      <c r="AC50" s="168"/>
      <c r="AD50" s="168"/>
      <c r="AE50" s="176">
        <v>1127</v>
      </c>
      <c r="AF50" s="176">
        <v>1644</v>
      </c>
      <c r="AG50" s="167"/>
      <c r="AH50" s="180">
        <v>147.69999999999999</v>
      </c>
      <c r="AI50" s="166">
        <v>32.720451709169197</v>
      </c>
      <c r="AJ50" s="181" t="s">
        <v>53</v>
      </c>
      <c r="AK50" s="173">
        <v>0.51937224935189197</v>
      </c>
      <c r="AL50" s="174">
        <v>-179.907800016896</v>
      </c>
      <c r="AM50" s="168"/>
      <c r="AN50" s="168"/>
      <c r="AO50" s="176">
        <v>137</v>
      </c>
      <c r="AP50" s="176">
        <v>194</v>
      </c>
      <c r="AQ50" s="167"/>
      <c r="AR50" s="180">
        <v>17.100000000000001</v>
      </c>
      <c r="AS50" s="166">
        <v>3.7882174964576398</v>
      </c>
      <c r="AT50" s="181" t="s">
        <v>54</v>
      </c>
      <c r="AU50" s="173">
        <v>0.23676359352860299</v>
      </c>
      <c r="AV50" s="174">
        <v>-66.101980956671994</v>
      </c>
      <c r="AW50" s="168"/>
      <c r="AX50" s="168"/>
      <c r="AY50" s="176">
        <v>56</v>
      </c>
      <c r="AZ50" s="176">
        <v>70</v>
      </c>
      <c r="BA50" s="167"/>
      <c r="BB50" s="184">
        <v>104.6</v>
      </c>
      <c r="BC50" s="180">
        <v>23.1723713526005</v>
      </c>
      <c r="BD50" s="181" t="s">
        <v>55</v>
      </c>
      <c r="BE50" s="173">
        <v>0.72413660476876596</v>
      </c>
      <c r="BF50" s="174">
        <v>-61.803961913344097</v>
      </c>
      <c r="BG50" s="168"/>
      <c r="BH50" s="168"/>
      <c r="BI50" s="176">
        <v>40</v>
      </c>
      <c r="BJ50" s="176">
        <v>69</v>
      </c>
      <c r="BK50" s="169"/>
      <c r="BL50" s="185">
        <v>0.8</v>
      </c>
      <c r="BM50" s="173">
        <v>0.68</v>
      </c>
      <c r="BN50" s="186"/>
      <c r="BO50" s="187">
        <v>0.95</v>
      </c>
      <c r="BP50" s="178">
        <v>1</v>
      </c>
      <c r="BQ50" s="186">
        <v>2.5000000000000001E-3</v>
      </c>
    </row>
    <row r="51" spans="1:69" s="156" customFormat="1" ht="22.35" customHeight="1" x14ac:dyDescent="0.2">
      <c r="A51" s="165" t="s">
        <v>80</v>
      </c>
      <c r="B51" s="165" t="s">
        <v>100</v>
      </c>
      <c r="C51" s="165" t="s">
        <v>104</v>
      </c>
      <c r="D51" s="166">
        <v>2.2098362645555598</v>
      </c>
      <c r="E51" s="167"/>
      <c r="F51" s="168">
        <v>3.7999999999999999E-2</v>
      </c>
      <c r="G51" s="168">
        <v>3.4000000000000002E-2</v>
      </c>
      <c r="H51" s="169"/>
      <c r="I51" s="170">
        <v>4</v>
      </c>
      <c r="J51" s="170">
        <v>4</v>
      </c>
      <c r="K51" s="167"/>
      <c r="L51" s="171">
        <v>134.19263000000001</v>
      </c>
      <c r="M51" s="171">
        <v>2188.4352100000001</v>
      </c>
      <c r="N51" s="171">
        <v>2322.6278400000001</v>
      </c>
      <c r="O51" s="166">
        <v>1051.04069349099</v>
      </c>
      <c r="P51" s="172">
        <v>287.5</v>
      </c>
      <c r="Q51" s="178">
        <v>3.6557937164904</v>
      </c>
      <c r="R51" s="179">
        <v>1590.7300691792</v>
      </c>
      <c r="S51" s="168">
        <v>0.01</v>
      </c>
      <c r="T51" s="168">
        <v>0.01</v>
      </c>
      <c r="U51" s="175">
        <v>0</v>
      </c>
      <c r="V51" s="176">
        <v>0</v>
      </c>
      <c r="W51" s="167"/>
      <c r="X51" s="175">
        <v>1123.290215</v>
      </c>
      <c r="Y51" s="166">
        <v>508.313775557447</v>
      </c>
      <c r="Z51" s="177">
        <v>573</v>
      </c>
      <c r="AA51" s="188">
        <v>0.88710955594667895</v>
      </c>
      <c r="AB51" s="171">
        <v>-335.413863888067</v>
      </c>
      <c r="AC51" s="168"/>
      <c r="AD51" s="168"/>
      <c r="AE51" s="176">
        <v>143</v>
      </c>
      <c r="AF51" s="176">
        <v>397</v>
      </c>
      <c r="AG51" s="167"/>
      <c r="AH51" s="180">
        <v>144.65</v>
      </c>
      <c r="AI51" s="166">
        <v>65.457338319629798</v>
      </c>
      <c r="AJ51" s="181" t="s">
        <v>53</v>
      </c>
      <c r="AK51" s="182">
        <v>1.0390053701528501</v>
      </c>
      <c r="AL51" s="183">
        <v>-15.731076736384299</v>
      </c>
      <c r="AM51" s="168">
        <v>8.0000000000000002E-3</v>
      </c>
      <c r="AN51" s="168">
        <v>4.0000000000000001E-3</v>
      </c>
      <c r="AO51" s="176">
        <v>0</v>
      </c>
      <c r="AP51" s="176">
        <v>23</v>
      </c>
      <c r="AQ51" s="167"/>
      <c r="AR51" s="180">
        <v>9.3000000000000007</v>
      </c>
      <c r="AS51" s="166">
        <v>4.2084565943488199</v>
      </c>
      <c r="AT51" s="181" t="s">
        <v>54</v>
      </c>
      <c r="AU51" s="173">
        <v>0.26302853714680102</v>
      </c>
      <c r="AV51" s="174">
        <v>-31.4317020282881</v>
      </c>
      <c r="AW51" s="168"/>
      <c r="AX51" s="168"/>
      <c r="AY51" s="176">
        <v>27</v>
      </c>
      <c r="AZ51" s="176">
        <v>34</v>
      </c>
      <c r="BA51" s="167"/>
      <c r="BB51" s="184">
        <v>104.6</v>
      </c>
      <c r="BC51" s="180">
        <v>47.333823631063098</v>
      </c>
      <c r="BD51" s="181" t="s">
        <v>55</v>
      </c>
      <c r="BE51" s="178">
        <v>1.47918198847072</v>
      </c>
      <c r="BF51" s="179">
        <v>23.136595943423899</v>
      </c>
      <c r="BG51" s="168">
        <v>0.02</v>
      </c>
      <c r="BH51" s="168">
        <v>0.02</v>
      </c>
      <c r="BI51" s="176">
        <v>0</v>
      </c>
      <c r="BJ51" s="176">
        <v>0</v>
      </c>
      <c r="BK51" s="169"/>
      <c r="BL51" s="185">
        <v>0.8</v>
      </c>
      <c r="BM51" s="188">
        <v>0.73</v>
      </c>
      <c r="BN51" s="186"/>
      <c r="BO51" s="187">
        <v>0.95</v>
      </c>
      <c r="BP51" s="178">
        <v>1</v>
      </c>
      <c r="BQ51" s="186">
        <v>2.5000000000000001E-3</v>
      </c>
    </row>
    <row r="52" spans="1:69" s="156" customFormat="1" ht="22.35" customHeight="1" x14ac:dyDescent="0.2">
      <c r="A52" s="165" t="s">
        <v>80</v>
      </c>
      <c r="B52" s="165" t="s">
        <v>100</v>
      </c>
      <c r="C52" s="165" t="s">
        <v>105</v>
      </c>
      <c r="D52" s="166">
        <v>7.7514398572222198</v>
      </c>
      <c r="E52" s="167"/>
      <c r="F52" s="168">
        <v>2.8000000000000001E-2</v>
      </c>
      <c r="G52" s="168">
        <v>0.02</v>
      </c>
      <c r="H52" s="169"/>
      <c r="I52" s="170">
        <v>4</v>
      </c>
      <c r="J52" s="170">
        <v>4</v>
      </c>
      <c r="K52" s="167"/>
      <c r="L52" s="171">
        <v>5702.8802100000003</v>
      </c>
      <c r="M52" s="171">
        <v>4598.6718899999996</v>
      </c>
      <c r="N52" s="171">
        <v>10301.552100000001</v>
      </c>
      <c r="O52" s="166">
        <v>1328.9856194138899</v>
      </c>
      <c r="P52" s="172">
        <v>287.5</v>
      </c>
      <c r="Q52" s="178">
        <v>4.6225586762222299</v>
      </c>
      <c r="R52" s="179">
        <v>7734.2752192879998</v>
      </c>
      <c r="S52" s="168">
        <v>0.01</v>
      </c>
      <c r="T52" s="168">
        <v>0.01</v>
      </c>
      <c r="U52" s="175">
        <v>0</v>
      </c>
      <c r="V52" s="176">
        <v>0</v>
      </c>
      <c r="W52" s="167"/>
      <c r="X52" s="175">
        <v>4692.9165499999999</v>
      </c>
      <c r="Y52" s="166">
        <v>605.42513861182601</v>
      </c>
      <c r="Z52" s="177">
        <v>573</v>
      </c>
      <c r="AA52" s="182">
        <v>1.0565883745407101</v>
      </c>
      <c r="AB52" s="183">
        <v>-423.77789399295898</v>
      </c>
      <c r="AC52" s="168">
        <v>0.01</v>
      </c>
      <c r="AD52" s="168">
        <v>6.0000000000000001E-3</v>
      </c>
      <c r="AE52" s="176">
        <v>0</v>
      </c>
      <c r="AF52" s="176">
        <v>637</v>
      </c>
      <c r="AG52" s="167"/>
      <c r="AH52" s="180">
        <v>437.7</v>
      </c>
      <c r="AI52" s="166">
        <v>56.466928475511999</v>
      </c>
      <c r="AJ52" s="181" t="s">
        <v>53</v>
      </c>
      <c r="AK52" s="188">
        <v>0.89630045199225294</v>
      </c>
      <c r="AL52" s="171">
        <v>-124.86849907776001</v>
      </c>
      <c r="AM52" s="168"/>
      <c r="AN52" s="168"/>
      <c r="AO52" s="176">
        <v>51</v>
      </c>
      <c r="AP52" s="176">
        <v>149</v>
      </c>
      <c r="AQ52" s="167"/>
      <c r="AR52" s="180">
        <v>82.6</v>
      </c>
      <c r="AS52" s="166">
        <v>10.656084743151199</v>
      </c>
      <c r="AT52" s="181" t="s">
        <v>54</v>
      </c>
      <c r="AU52" s="173">
        <v>0.66600529644695095</v>
      </c>
      <c r="AV52" s="174">
        <v>-60.274539448319899</v>
      </c>
      <c r="AW52" s="168"/>
      <c r="AX52" s="168"/>
      <c r="AY52" s="176">
        <v>42</v>
      </c>
      <c r="AZ52" s="176">
        <v>67</v>
      </c>
      <c r="BA52" s="167"/>
      <c r="BB52" s="184">
        <v>257.60000000000002</v>
      </c>
      <c r="BC52" s="180">
        <v>33.232535470166503</v>
      </c>
      <c r="BD52" s="181" t="s">
        <v>55</v>
      </c>
      <c r="BE52" s="182">
        <v>1.0385167334426999</v>
      </c>
      <c r="BF52" s="183">
        <v>-28.149078896639899</v>
      </c>
      <c r="BG52" s="168">
        <v>8.0000000000000002E-3</v>
      </c>
      <c r="BH52" s="168">
        <v>4.0000000000000001E-3</v>
      </c>
      <c r="BI52" s="176">
        <v>0</v>
      </c>
      <c r="BJ52" s="176">
        <v>41</v>
      </c>
      <c r="BK52" s="169"/>
      <c r="BL52" s="185">
        <v>0.8</v>
      </c>
      <c r="BM52" s="188">
        <v>0.73</v>
      </c>
      <c r="BN52" s="186"/>
      <c r="BO52" s="187">
        <v>0.95</v>
      </c>
      <c r="BP52" s="178">
        <v>1</v>
      </c>
      <c r="BQ52" s="186">
        <v>2.5000000000000001E-3</v>
      </c>
    </row>
    <row r="53" spans="1:69" s="156" customFormat="1" ht="22.35" customHeight="1" x14ac:dyDescent="0.2">
      <c r="A53" s="165" t="s">
        <v>80</v>
      </c>
      <c r="B53" s="165" t="s">
        <v>100</v>
      </c>
      <c r="C53" s="165" t="s">
        <v>106</v>
      </c>
      <c r="D53" s="166">
        <v>4.7798890690000002</v>
      </c>
      <c r="E53" s="167"/>
      <c r="F53" s="168">
        <v>2.3E-2</v>
      </c>
      <c r="G53" s="168">
        <v>1.7999999999999999E-2</v>
      </c>
      <c r="H53" s="169"/>
      <c r="I53" s="170">
        <v>3</v>
      </c>
      <c r="J53" s="170">
        <v>3</v>
      </c>
      <c r="K53" s="167"/>
      <c r="L53" s="171">
        <v>1301.6352300000001</v>
      </c>
      <c r="M53" s="171">
        <v>1440.46777</v>
      </c>
      <c r="N53" s="171">
        <v>2742.1030000000001</v>
      </c>
      <c r="O53" s="166">
        <v>573.67502894239203</v>
      </c>
      <c r="P53" s="172">
        <v>284.87700000000001</v>
      </c>
      <c r="Q53" s="178">
        <v>2.0137639365143301</v>
      </c>
      <c r="R53" s="179">
        <v>1173.44711202744</v>
      </c>
      <c r="S53" s="168">
        <v>0.01</v>
      </c>
      <c r="T53" s="168">
        <v>0.01</v>
      </c>
      <c r="U53" s="175">
        <v>0</v>
      </c>
      <c r="V53" s="176">
        <v>0</v>
      </c>
      <c r="W53" s="167"/>
      <c r="X53" s="175">
        <v>2345.832465</v>
      </c>
      <c r="Y53" s="166">
        <v>490.77131940444201</v>
      </c>
      <c r="Z53" s="177">
        <v>573</v>
      </c>
      <c r="AA53" s="188">
        <v>0.85649444922241202</v>
      </c>
      <c r="AB53" s="171">
        <v>-809.35318989062398</v>
      </c>
      <c r="AC53" s="168"/>
      <c r="AD53" s="168"/>
      <c r="AE53" s="176">
        <v>394</v>
      </c>
      <c r="AF53" s="176">
        <v>941</v>
      </c>
      <c r="AG53" s="167"/>
      <c r="AH53" s="180">
        <v>169.75</v>
      </c>
      <c r="AI53" s="166">
        <v>35.513376471624603</v>
      </c>
      <c r="AJ53" s="181" t="s">
        <v>53</v>
      </c>
      <c r="AK53" s="173">
        <v>0.56370438843848503</v>
      </c>
      <c r="AL53" s="174">
        <v>-177.155229071744</v>
      </c>
      <c r="AM53" s="168"/>
      <c r="AN53" s="168"/>
      <c r="AO53" s="176">
        <v>132</v>
      </c>
      <c r="AP53" s="176">
        <v>192</v>
      </c>
      <c r="AQ53" s="167"/>
      <c r="AR53" s="180">
        <v>24.2</v>
      </c>
      <c r="AS53" s="166">
        <v>5.0628790021402903</v>
      </c>
      <c r="AT53" s="181" t="s">
        <v>54</v>
      </c>
      <c r="AU53" s="173">
        <v>0.31642993763376798</v>
      </c>
      <c r="AV53" s="174">
        <v>-63.902915319808002</v>
      </c>
      <c r="AW53" s="168"/>
      <c r="AX53" s="168"/>
      <c r="AY53" s="176">
        <v>53</v>
      </c>
      <c r="AZ53" s="176">
        <v>68</v>
      </c>
      <c r="BA53" s="167"/>
      <c r="BB53" s="184">
        <v>165.8</v>
      </c>
      <c r="BC53" s="180">
        <v>34.686997460944603</v>
      </c>
      <c r="BD53" s="181" t="s">
        <v>55</v>
      </c>
      <c r="BE53" s="182">
        <v>1.08396867065452</v>
      </c>
      <c r="BF53" s="183">
        <v>-10.405830639615999</v>
      </c>
      <c r="BG53" s="168">
        <v>1.2999999999999999E-2</v>
      </c>
      <c r="BH53" s="168">
        <v>8.0000000000000002E-3</v>
      </c>
      <c r="BI53" s="176">
        <v>0</v>
      </c>
      <c r="BJ53" s="176">
        <v>18</v>
      </c>
      <c r="BK53" s="169"/>
      <c r="BL53" s="185">
        <v>0.8</v>
      </c>
      <c r="BM53" s="188">
        <v>0.7</v>
      </c>
      <c r="BN53" s="186"/>
      <c r="BO53" s="187">
        <v>0.95</v>
      </c>
      <c r="BP53" s="178">
        <v>1</v>
      </c>
      <c r="BQ53" s="186">
        <v>2.5000000000000001E-3</v>
      </c>
    </row>
    <row r="54" spans="1:69" s="156" customFormat="1" ht="22.35" customHeight="1" x14ac:dyDescent="0.2">
      <c r="A54" s="165" t="s">
        <v>80</v>
      </c>
      <c r="B54" s="165" t="s">
        <v>100</v>
      </c>
      <c r="C54" s="165" t="s">
        <v>107</v>
      </c>
      <c r="D54" s="166">
        <v>2.5187938062222202</v>
      </c>
      <c r="E54" s="167"/>
      <c r="F54" s="168">
        <v>6.0999999999999999E-2</v>
      </c>
      <c r="G54" s="168">
        <v>5.5E-2</v>
      </c>
      <c r="H54" s="169"/>
      <c r="I54" s="170">
        <v>5</v>
      </c>
      <c r="J54" s="170">
        <v>5</v>
      </c>
      <c r="K54" s="167"/>
      <c r="L54" s="171">
        <v>1282.325</v>
      </c>
      <c r="M54" s="171">
        <v>-337.92811</v>
      </c>
      <c r="N54" s="171">
        <v>944.39688999999998</v>
      </c>
      <c r="O54" s="166">
        <v>374.94013510238102</v>
      </c>
      <c r="P54" s="172">
        <v>239.02500000000001</v>
      </c>
      <c r="Q54" s="178">
        <v>1.5686230942469599</v>
      </c>
      <c r="R54" s="179">
        <v>250.82988765882899</v>
      </c>
      <c r="S54" s="168">
        <v>0.01</v>
      </c>
      <c r="T54" s="168">
        <v>0.01</v>
      </c>
      <c r="U54" s="175">
        <v>0</v>
      </c>
      <c r="V54" s="176">
        <v>0</v>
      </c>
      <c r="W54" s="167"/>
      <c r="X54" s="175">
        <v>1736.730775</v>
      </c>
      <c r="Y54" s="166">
        <v>689.50891125336398</v>
      </c>
      <c r="Z54" s="177">
        <v>573</v>
      </c>
      <c r="AA54" s="178">
        <v>1.20333143325194</v>
      </c>
      <c r="AB54" s="179">
        <v>74.085058687937405</v>
      </c>
      <c r="AC54" s="168">
        <v>0.02</v>
      </c>
      <c r="AD54" s="168">
        <v>0.02</v>
      </c>
      <c r="AE54" s="176">
        <v>0</v>
      </c>
      <c r="AF54" s="176">
        <v>0</v>
      </c>
      <c r="AG54" s="167"/>
      <c r="AH54" s="180">
        <v>168.8</v>
      </c>
      <c r="AI54" s="166">
        <v>67.016204177972099</v>
      </c>
      <c r="AJ54" s="181" t="s">
        <v>53</v>
      </c>
      <c r="AK54" s="182">
        <v>1.0637492726662201</v>
      </c>
      <c r="AL54" s="183">
        <v>-14.003979280383801</v>
      </c>
      <c r="AM54" s="168">
        <v>1.0999999999999999E-2</v>
      </c>
      <c r="AN54" s="168">
        <v>6.0000000000000001E-3</v>
      </c>
      <c r="AO54" s="176">
        <v>0</v>
      </c>
      <c r="AP54" s="176">
        <v>22</v>
      </c>
      <c r="AQ54" s="167"/>
      <c r="AR54" s="180">
        <v>15.8</v>
      </c>
      <c r="AS54" s="166">
        <v>6.2728437559950203</v>
      </c>
      <c r="AT54" s="181" t="s">
        <v>54</v>
      </c>
      <c r="AU54" s="173">
        <v>0.39205273474968899</v>
      </c>
      <c r="AV54" s="174">
        <v>-30.626407436288002</v>
      </c>
      <c r="AW54" s="168"/>
      <c r="AX54" s="168"/>
      <c r="AY54" s="176">
        <v>25</v>
      </c>
      <c r="AZ54" s="176">
        <v>33</v>
      </c>
      <c r="BA54" s="167"/>
      <c r="BB54" s="184">
        <v>95.8</v>
      </c>
      <c r="BC54" s="180">
        <v>38.034077963564698</v>
      </c>
      <c r="BD54" s="181" t="s">
        <v>55</v>
      </c>
      <c r="BE54" s="178">
        <v>1.1885649363613999</v>
      </c>
      <c r="BF54" s="179">
        <v>2.9471851274240799</v>
      </c>
      <c r="BG54" s="168">
        <v>0.02</v>
      </c>
      <c r="BH54" s="168">
        <v>1.9E-2</v>
      </c>
      <c r="BI54" s="176">
        <v>0</v>
      </c>
      <c r="BJ54" s="176">
        <v>1</v>
      </c>
      <c r="BK54" s="169"/>
      <c r="BL54" s="185">
        <v>0.8</v>
      </c>
      <c r="BM54" s="188">
        <v>0.7</v>
      </c>
      <c r="BN54" s="186"/>
      <c r="BO54" s="187">
        <v>0.95</v>
      </c>
      <c r="BP54" s="178">
        <v>1</v>
      </c>
      <c r="BQ54" s="186">
        <v>2.5000000000000001E-3</v>
      </c>
    </row>
    <row r="55" spans="1:69" s="156" customFormat="1" ht="22.35" customHeight="1" x14ac:dyDescent="0.2">
      <c r="A55" s="165" t="s">
        <v>80</v>
      </c>
      <c r="B55" s="165" t="s">
        <v>100</v>
      </c>
      <c r="C55" s="165" t="s">
        <v>108</v>
      </c>
      <c r="D55" s="166">
        <v>2.56970437377778</v>
      </c>
      <c r="E55" s="167"/>
      <c r="F55" s="168"/>
      <c r="G55" s="168"/>
      <c r="H55" s="169"/>
      <c r="I55" s="170">
        <v>1</v>
      </c>
      <c r="J55" s="170">
        <v>1</v>
      </c>
      <c r="K55" s="167"/>
      <c r="L55" s="171">
        <v>145.56924000000001</v>
      </c>
      <c r="M55" s="171">
        <v>490.56531999999999</v>
      </c>
      <c r="N55" s="171">
        <v>636.13455999999996</v>
      </c>
      <c r="O55" s="166">
        <v>247.55165087912599</v>
      </c>
      <c r="P55" s="172">
        <v>273.43799999999999</v>
      </c>
      <c r="Q55" s="188">
        <v>0.90533009632577099</v>
      </c>
      <c r="R55" s="171">
        <v>-173.32379788972</v>
      </c>
      <c r="S55" s="168"/>
      <c r="T55" s="168"/>
      <c r="U55" s="175">
        <v>67</v>
      </c>
      <c r="V55" s="176">
        <v>208</v>
      </c>
      <c r="W55" s="167"/>
      <c r="X55" s="175">
        <v>1039.0668599999999</v>
      </c>
      <c r="Y55" s="166">
        <v>404.35268375733199</v>
      </c>
      <c r="Z55" s="177">
        <v>573</v>
      </c>
      <c r="AA55" s="173">
        <v>0.70567658596393101</v>
      </c>
      <c r="AB55" s="174">
        <v>-657.18471831321801</v>
      </c>
      <c r="AC55" s="168"/>
      <c r="AD55" s="168"/>
      <c r="AE55" s="176">
        <v>434</v>
      </c>
      <c r="AF55" s="176">
        <v>728</v>
      </c>
      <c r="AG55" s="167"/>
      <c r="AH55" s="180">
        <v>101.1</v>
      </c>
      <c r="AI55" s="166">
        <v>39.343047018039201</v>
      </c>
      <c r="AJ55" s="181" t="s">
        <v>53</v>
      </c>
      <c r="AK55" s="173">
        <v>0.62449280981014499</v>
      </c>
      <c r="AL55" s="174">
        <v>-85.398864631296107</v>
      </c>
      <c r="AM55" s="168"/>
      <c r="AN55" s="168"/>
      <c r="AO55" s="176">
        <v>61</v>
      </c>
      <c r="AP55" s="176">
        <v>94</v>
      </c>
      <c r="AQ55" s="167"/>
      <c r="AR55" s="180">
        <v>7</v>
      </c>
      <c r="AS55" s="166">
        <v>2.7240487549582002</v>
      </c>
      <c r="AT55" s="181" t="s">
        <v>54</v>
      </c>
      <c r="AU55" s="173">
        <v>0.17025304718488701</v>
      </c>
      <c r="AV55" s="174">
        <v>-40.364791017472001</v>
      </c>
      <c r="AW55" s="168"/>
      <c r="AX55" s="168"/>
      <c r="AY55" s="176">
        <v>35</v>
      </c>
      <c r="AZ55" s="176">
        <v>43</v>
      </c>
      <c r="BA55" s="167"/>
      <c r="BB55" s="184">
        <v>59.4</v>
      </c>
      <c r="BC55" s="180">
        <v>23.115499434930999</v>
      </c>
      <c r="BD55" s="181" t="s">
        <v>55</v>
      </c>
      <c r="BE55" s="173">
        <v>0.72235935734159396</v>
      </c>
      <c r="BF55" s="174">
        <v>-35.329582034944103</v>
      </c>
      <c r="BG55" s="168"/>
      <c r="BH55" s="168"/>
      <c r="BI55" s="176">
        <v>23</v>
      </c>
      <c r="BJ55" s="176">
        <v>40</v>
      </c>
      <c r="BK55" s="169"/>
      <c r="BL55" s="185">
        <v>0.8</v>
      </c>
      <c r="BM55" s="188">
        <v>0.74</v>
      </c>
      <c r="BN55" s="186"/>
      <c r="BO55" s="187">
        <v>0.95</v>
      </c>
      <c r="BP55" s="178">
        <v>1</v>
      </c>
      <c r="BQ55" s="186">
        <v>2.5000000000000001E-3</v>
      </c>
    </row>
    <row r="56" spans="1:69" s="156" customFormat="1" ht="22.35" customHeight="1" x14ac:dyDescent="0.2">
      <c r="A56" s="165" t="s">
        <v>80</v>
      </c>
      <c r="B56" s="165" t="s">
        <v>100</v>
      </c>
      <c r="C56" s="165" t="s">
        <v>109</v>
      </c>
      <c r="D56" s="166">
        <v>5.2395012254444397</v>
      </c>
      <c r="E56" s="167"/>
      <c r="F56" s="168">
        <v>2.4E-2</v>
      </c>
      <c r="G56" s="168">
        <v>0.02</v>
      </c>
      <c r="H56" s="169"/>
      <c r="I56" s="170">
        <v>3</v>
      </c>
      <c r="J56" s="170">
        <v>3</v>
      </c>
      <c r="K56" s="167"/>
      <c r="L56" s="171">
        <v>2487.5550800000001</v>
      </c>
      <c r="M56" s="171">
        <v>789.82159000000001</v>
      </c>
      <c r="N56" s="171">
        <v>3277.3766700000001</v>
      </c>
      <c r="O56" s="166">
        <v>625.51310305724598</v>
      </c>
      <c r="P56" s="172">
        <v>287.5</v>
      </c>
      <c r="Q56" s="178">
        <v>2.1756977497643399</v>
      </c>
      <c r="R56" s="179">
        <v>1542.0538641328001</v>
      </c>
      <c r="S56" s="168">
        <v>0.01</v>
      </c>
      <c r="T56" s="168">
        <v>0.01</v>
      </c>
      <c r="U56" s="175">
        <v>0</v>
      </c>
      <c r="V56" s="176">
        <v>0</v>
      </c>
      <c r="W56" s="167"/>
      <c r="X56" s="175">
        <v>2417.3446399999998</v>
      </c>
      <c r="Y56" s="166">
        <v>461.36922886108198</v>
      </c>
      <c r="Z56" s="177">
        <v>573</v>
      </c>
      <c r="AA56" s="188">
        <v>0.80518190028112102</v>
      </c>
      <c r="AB56" s="171">
        <v>-1041.22916091097</v>
      </c>
      <c r="AC56" s="168"/>
      <c r="AD56" s="168"/>
      <c r="AE56" s="176">
        <v>585</v>
      </c>
      <c r="AF56" s="176">
        <v>1186</v>
      </c>
      <c r="AG56" s="167"/>
      <c r="AH56" s="180">
        <v>149.80000000000001</v>
      </c>
      <c r="AI56" s="166">
        <v>28.590507675144799</v>
      </c>
      <c r="AJ56" s="181" t="s">
        <v>53</v>
      </c>
      <c r="AK56" s="173">
        <v>0.453817582145156</v>
      </c>
      <c r="AL56" s="174">
        <v>-230.46204093785599</v>
      </c>
      <c r="AM56" s="168"/>
      <c r="AN56" s="168"/>
      <c r="AO56" s="176">
        <v>181</v>
      </c>
      <c r="AP56" s="176">
        <v>247</v>
      </c>
      <c r="AQ56" s="167"/>
      <c r="AR56" s="180">
        <v>29.3</v>
      </c>
      <c r="AS56" s="166">
        <v>5.5921353463400703</v>
      </c>
      <c r="AT56" s="181" t="s">
        <v>54</v>
      </c>
      <c r="AU56" s="173">
        <v>0.349508459146254</v>
      </c>
      <c r="AV56" s="174">
        <v>-67.274486587391905</v>
      </c>
      <c r="AW56" s="168"/>
      <c r="AX56" s="168"/>
      <c r="AY56" s="176">
        <v>55</v>
      </c>
      <c r="AZ56" s="176">
        <v>72</v>
      </c>
      <c r="BA56" s="167"/>
      <c r="BB56" s="184">
        <v>183.8</v>
      </c>
      <c r="BC56" s="180">
        <v>35.079674971239101</v>
      </c>
      <c r="BD56" s="181" t="s">
        <v>55</v>
      </c>
      <c r="BE56" s="182">
        <v>1.0962398428512199</v>
      </c>
      <c r="BF56" s="183">
        <v>-9.3489731747837901</v>
      </c>
      <c r="BG56" s="168">
        <v>1.4E-2</v>
      </c>
      <c r="BH56" s="168">
        <v>0.01</v>
      </c>
      <c r="BI56" s="176">
        <v>0</v>
      </c>
      <c r="BJ56" s="176">
        <v>18</v>
      </c>
      <c r="BK56" s="169"/>
      <c r="BL56" s="185">
        <v>0.8</v>
      </c>
      <c r="BM56" s="188">
        <v>0.7</v>
      </c>
      <c r="BN56" s="186"/>
      <c r="BO56" s="187">
        <v>0.95</v>
      </c>
      <c r="BP56" s="178">
        <v>1</v>
      </c>
      <c r="BQ56" s="186">
        <v>2.5000000000000001E-3</v>
      </c>
    </row>
    <row r="57" spans="1:69" s="156" customFormat="1" ht="22.35" customHeight="1" x14ac:dyDescent="0.2">
      <c r="A57" s="165" t="s">
        <v>80</v>
      </c>
      <c r="B57" s="165" t="s">
        <v>100</v>
      </c>
      <c r="C57" s="165" t="s">
        <v>110</v>
      </c>
      <c r="D57" s="166">
        <v>2.6352440239999999</v>
      </c>
      <c r="E57" s="167"/>
      <c r="F57" s="168">
        <v>0.06</v>
      </c>
      <c r="G57" s="168">
        <v>0.06</v>
      </c>
      <c r="H57" s="169"/>
      <c r="I57" s="170">
        <v>5</v>
      </c>
      <c r="J57" s="170">
        <v>5</v>
      </c>
      <c r="K57" s="167"/>
      <c r="L57" s="171">
        <v>306.17003999999997</v>
      </c>
      <c r="M57" s="171">
        <v>2645.66291</v>
      </c>
      <c r="N57" s="171">
        <v>2951.83295</v>
      </c>
      <c r="O57" s="166">
        <v>1120.1364743138499</v>
      </c>
      <c r="P57" s="172">
        <v>269.755</v>
      </c>
      <c r="Q57" s="178">
        <v>4.1524215466399097</v>
      </c>
      <c r="R57" s="179">
        <v>2132.9104200483698</v>
      </c>
      <c r="S57" s="168">
        <v>0.01</v>
      </c>
      <c r="T57" s="168">
        <v>0.01</v>
      </c>
      <c r="U57" s="175">
        <v>0</v>
      </c>
      <c r="V57" s="176">
        <v>0</v>
      </c>
      <c r="W57" s="167"/>
      <c r="X57" s="175">
        <v>1872.1274000000001</v>
      </c>
      <c r="Y57" s="166">
        <v>710.41899078413405</v>
      </c>
      <c r="Z57" s="177">
        <v>573</v>
      </c>
      <c r="AA57" s="178">
        <v>1.23982371864596</v>
      </c>
      <c r="AB57" s="179">
        <v>132.613360733696</v>
      </c>
      <c r="AC57" s="168">
        <v>0.02</v>
      </c>
      <c r="AD57" s="168">
        <v>0.02</v>
      </c>
      <c r="AE57" s="176">
        <v>0</v>
      </c>
      <c r="AF57" s="176">
        <v>0</v>
      </c>
      <c r="AG57" s="167"/>
      <c r="AH57" s="180">
        <v>147.44999999999999</v>
      </c>
      <c r="AI57" s="166">
        <v>55.953072526538797</v>
      </c>
      <c r="AJ57" s="181" t="s">
        <v>53</v>
      </c>
      <c r="AK57" s="188">
        <v>0.88814400835775897</v>
      </c>
      <c r="AL57" s="171">
        <v>-43.805470285824001</v>
      </c>
      <c r="AM57" s="168"/>
      <c r="AN57" s="168"/>
      <c r="AO57" s="176">
        <v>19</v>
      </c>
      <c r="AP57" s="176">
        <v>52</v>
      </c>
      <c r="AQ57" s="167"/>
      <c r="AR57" s="180">
        <v>63.4</v>
      </c>
      <c r="AS57" s="166">
        <v>24.058493036165199</v>
      </c>
      <c r="AT57" s="181" t="s">
        <v>54</v>
      </c>
      <c r="AU57" s="178">
        <v>1.5036558147603301</v>
      </c>
      <c r="AV57" s="179">
        <v>14.827182149632</v>
      </c>
      <c r="AW57" s="168">
        <v>0.01</v>
      </c>
      <c r="AX57" s="168">
        <v>0.01</v>
      </c>
      <c r="AY57" s="176">
        <v>0</v>
      </c>
      <c r="AZ57" s="176">
        <v>0</v>
      </c>
      <c r="BA57" s="167"/>
      <c r="BB57" s="184">
        <v>137.80000000000001</v>
      </c>
      <c r="BC57" s="180">
        <v>52.291172561255003</v>
      </c>
      <c r="BD57" s="181" t="s">
        <v>55</v>
      </c>
      <c r="BE57" s="178">
        <v>1.63409914253922</v>
      </c>
      <c r="BF57" s="179">
        <v>40.654364299264003</v>
      </c>
      <c r="BG57" s="168">
        <v>0.02</v>
      </c>
      <c r="BH57" s="168">
        <v>0.02</v>
      </c>
      <c r="BI57" s="176">
        <v>0</v>
      </c>
      <c r="BJ57" s="176">
        <v>0</v>
      </c>
      <c r="BK57" s="169"/>
      <c r="BL57" s="185">
        <v>0.8</v>
      </c>
      <c r="BM57" s="188">
        <v>0.73</v>
      </c>
      <c r="BN57" s="186"/>
      <c r="BO57" s="187">
        <v>0.95</v>
      </c>
      <c r="BP57" s="178">
        <v>1</v>
      </c>
      <c r="BQ57" s="186">
        <v>2.5000000000000001E-3</v>
      </c>
    </row>
    <row r="58" spans="1:69" s="156" customFormat="1" ht="22.35" customHeight="1" x14ac:dyDescent="0.2">
      <c r="A58" s="165" t="s">
        <v>80</v>
      </c>
      <c r="B58" s="165" t="s">
        <v>100</v>
      </c>
      <c r="C58" s="165" t="s">
        <v>111</v>
      </c>
      <c r="D58" s="166">
        <v>5.3559300766666702</v>
      </c>
      <c r="E58" s="167"/>
      <c r="F58" s="168">
        <v>0.03</v>
      </c>
      <c r="G58" s="168">
        <v>2.7E-2</v>
      </c>
      <c r="H58" s="169"/>
      <c r="I58" s="170">
        <v>3</v>
      </c>
      <c r="J58" s="170">
        <v>3</v>
      </c>
      <c r="K58" s="167"/>
      <c r="L58" s="171">
        <v>4186.8213100000003</v>
      </c>
      <c r="M58" s="171">
        <v>967.32651999999996</v>
      </c>
      <c r="N58" s="171">
        <v>5154.1478299999999</v>
      </c>
      <c r="O58" s="166">
        <v>962.32545164363898</v>
      </c>
      <c r="P58" s="172">
        <v>280.08499999999998</v>
      </c>
      <c r="Q58" s="178">
        <v>3.4358335921011101</v>
      </c>
      <c r="R58" s="179">
        <v>3426.01457179729</v>
      </c>
      <c r="S58" s="168">
        <v>0.01</v>
      </c>
      <c r="T58" s="168">
        <v>0.01</v>
      </c>
      <c r="U58" s="175">
        <v>0</v>
      </c>
      <c r="V58" s="176">
        <v>0</v>
      </c>
      <c r="W58" s="167"/>
      <c r="X58" s="175">
        <v>1938.418885</v>
      </c>
      <c r="Y58" s="166">
        <v>361.92012540357899</v>
      </c>
      <c r="Z58" s="177">
        <v>573</v>
      </c>
      <c r="AA58" s="173">
        <v>0.63162325550362797</v>
      </c>
      <c r="AB58" s="174">
        <v>-1597.00913488736</v>
      </c>
      <c r="AC58" s="168"/>
      <c r="AD58" s="168"/>
      <c r="AE58" s="176">
        <v>1131</v>
      </c>
      <c r="AF58" s="176">
        <v>1745</v>
      </c>
      <c r="AG58" s="167"/>
      <c r="AH58" s="180">
        <v>240.2</v>
      </c>
      <c r="AI58" s="166">
        <v>44.847486162383099</v>
      </c>
      <c r="AJ58" s="181" t="s">
        <v>53</v>
      </c>
      <c r="AK58" s="173">
        <v>0.71186485972036695</v>
      </c>
      <c r="AL58" s="174">
        <v>-148.51198124416001</v>
      </c>
      <c r="AM58" s="168"/>
      <c r="AN58" s="168"/>
      <c r="AO58" s="176">
        <v>98</v>
      </c>
      <c r="AP58" s="176">
        <v>165</v>
      </c>
      <c r="AQ58" s="167"/>
      <c r="AR58" s="180">
        <v>26.9</v>
      </c>
      <c r="AS58" s="166">
        <v>5.0224703487431599</v>
      </c>
      <c r="AT58" s="181" t="s">
        <v>54</v>
      </c>
      <c r="AU58" s="173">
        <v>0.31390439679644699</v>
      </c>
      <c r="AV58" s="174">
        <v>-71.820503173120002</v>
      </c>
      <c r="AW58" s="168"/>
      <c r="AX58" s="168"/>
      <c r="AY58" s="176">
        <v>59</v>
      </c>
      <c r="AZ58" s="176">
        <v>76</v>
      </c>
      <c r="BA58" s="167"/>
      <c r="BB58" s="184">
        <v>200.2</v>
      </c>
      <c r="BC58" s="180">
        <v>37.379128766482502</v>
      </c>
      <c r="BD58" s="181" t="s">
        <v>55</v>
      </c>
      <c r="BE58" s="178">
        <v>1.16809777395258</v>
      </c>
      <c r="BF58" s="179">
        <v>2.7589936537599402</v>
      </c>
      <c r="BG58" s="168">
        <v>0.02</v>
      </c>
      <c r="BH58" s="168">
        <v>1.7000000000000001E-2</v>
      </c>
      <c r="BI58" s="176">
        <v>0</v>
      </c>
      <c r="BJ58" s="176">
        <v>6</v>
      </c>
      <c r="BK58" s="169"/>
      <c r="BL58" s="185">
        <v>0.8</v>
      </c>
      <c r="BM58" s="173">
        <v>0.65</v>
      </c>
      <c r="BN58" s="186"/>
      <c r="BO58" s="187">
        <v>0.95</v>
      </c>
      <c r="BP58" s="178">
        <v>1</v>
      </c>
      <c r="BQ58" s="186">
        <v>2.5000000000000001E-3</v>
      </c>
    </row>
    <row r="59" spans="1:69" s="156" customFormat="1" ht="22.35" customHeight="1" x14ac:dyDescent="0.2">
      <c r="A59" s="165" t="s">
        <v>80</v>
      </c>
      <c r="B59" s="165" t="s">
        <v>100</v>
      </c>
      <c r="C59" s="165" t="s">
        <v>112</v>
      </c>
      <c r="D59" s="166">
        <v>1.38279080044444</v>
      </c>
      <c r="E59" s="167"/>
      <c r="F59" s="168">
        <v>0.01</v>
      </c>
      <c r="G59" s="168">
        <v>0.01</v>
      </c>
      <c r="H59" s="169"/>
      <c r="I59" s="170">
        <v>2</v>
      </c>
      <c r="J59" s="170">
        <v>2</v>
      </c>
      <c r="K59" s="167"/>
      <c r="L59" s="171">
        <v>466.33019000000002</v>
      </c>
      <c r="M59" s="171">
        <v>1475.0558799999999</v>
      </c>
      <c r="N59" s="171">
        <v>1941.38607</v>
      </c>
      <c r="O59" s="166">
        <v>1403.9622402579</v>
      </c>
      <c r="P59" s="172">
        <v>280.08499999999998</v>
      </c>
      <c r="Q59" s="178">
        <v>5.0126291670667804</v>
      </c>
      <c r="R59" s="179">
        <v>1495.21766653346</v>
      </c>
      <c r="S59" s="168">
        <v>0.01</v>
      </c>
      <c r="T59" s="168">
        <v>0.01</v>
      </c>
      <c r="U59" s="175">
        <v>0</v>
      </c>
      <c r="V59" s="176">
        <v>0</v>
      </c>
      <c r="W59" s="167"/>
      <c r="X59" s="175">
        <v>700.52949999999998</v>
      </c>
      <c r="Y59" s="166">
        <v>506.605554343319</v>
      </c>
      <c r="Z59" s="177">
        <v>573</v>
      </c>
      <c r="AA59" s="188">
        <v>0.88412836709130804</v>
      </c>
      <c r="AB59" s="171">
        <v>-212.24517621017301</v>
      </c>
      <c r="AC59" s="168"/>
      <c r="AD59" s="168"/>
      <c r="AE59" s="176">
        <v>92</v>
      </c>
      <c r="AF59" s="176">
        <v>251</v>
      </c>
      <c r="AG59" s="167"/>
      <c r="AH59" s="180">
        <v>62.8</v>
      </c>
      <c r="AI59" s="166">
        <v>45.4154019391909</v>
      </c>
      <c r="AJ59" s="181" t="s">
        <v>53</v>
      </c>
      <c r="AK59" s="173">
        <v>0.72087939586017302</v>
      </c>
      <c r="AL59" s="174">
        <v>-37.557425133055702</v>
      </c>
      <c r="AM59" s="168"/>
      <c r="AN59" s="168"/>
      <c r="AO59" s="176">
        <v>25</v>
      </c>
      <c r="AP59" s="176">
        <v>42</v>
      </c>
      <c r="AQ59" s="167"/>
      <c r="AR59" s="180">
        <v>5</v>
      </c>
      <c r="AS59" s="166">
        <v>3.61587595057253</v>
      </c>
      <c r="AT59" s="181" t="s">
        <v>54</v>
      </c>
      <c r="AU59" s="173">
        <v>0.22599224691078301</v>
      </c>
      <c r="AV59" s="174">
        <v>-20.4876000337919</v>
      </c>
      <c r="AW59" s="168"/>
      <c r="AX59" s="168"/>
      <c r="AY59" s="176">
        <v>18</v>
      </c>
      <c r="AZ59" s="176">
        <v>22</v>
      </c>
      <c r="BA59" s="167"/>
      <c r="BB59" s="184">
        <v>34</v>
      </c>
      <c r="BC59" s="180">
        <v>24.5879564638932</v>
      </c>
      <c r="BD59" s="181" t="s">
        <v>55</v>
      </c>
      <c r="BE59" s="188">
        <v>0.76837363949666104</v>
      </c>
      <c r="BF59" s="171">
        <v>-16.975200067583799</v>
      </c>
      <c r="BG59" s="168"/>
      <c r="BH59" s="168"/>
      <c r="BI59" s="176">
        <v>11</v>
      </c>
      <c r="BJ59" s="176">
        <v>20</v>
      </c>
      <c r="BK59" s="169"/>
      <c r="BL59" s="185">
        <v>0.8</v>
      </c>
      <c r="BM59" s="188">
        <v>0.75</v>
      </c>
      <c r="BN59" s="186"/>
      <c r="BO59" s="187">
        <v>0.95</v>
      </c>
      <c r="BP59" s="178">
        <v>1</v>
      </c>
      <c r="BQ59" s="186">
        <v>2.5000000000000001E-3</v>
      </c>
    </row>
    <row r="60" spans="1:69" s="156" customFormat="1" ht="22.35" customHeight="1" x14ac:dyDescent="0.2">
      <c r="A60" s="165" t="s">
        <v>80</v>
      </c>
      <c r="B60" s="165" t="s">
        <v>100</v>
      </c>
      <c r="C60" s="165" t="s">
        <v>113</v>
      </c>
      <c r="D60" s="166">
        <v>3.0026688585555599</v>
      </c>
      <c r="E60" s="167"/>
      <c r="F60" s="168">
        <v>0.05</v>
      </c>
      <c r="G60" s="168">
        <v>4.9000000000000002E-2</v>
      </c>
      <c r="H60" s="169"/>
      <c r="I60" s="170">
        <v>4</v>
      </c>
      <c r="J60" s="170">
        <v>4</v>
      </c>
      <c r="K60" s="167"/>
      <c r="L60" s="171">
        <v>1541.43714</v>
      </c>
      <c r="M60" s="171">
        <v>822.56421999999998</v>
      </c>
      <c r="N60" s="171">
        <v>2364.0013600000002</v>
      </c>
      <c r="O60" s="166">
        <v>787.30005583673005</v>
      </c>
      <c r="P60" s="172">
        <v>239.26400000000001</v>
      </c>
      <c r="Q60" s="178">
        <v>3.2905077898753299</v>
      </c>
      <c r="R60" s="179">
        <v>1536.369352837</v>
      </c>
      <c r="S60" s="168">
        <v>0.01</v>
      </c>
      <c r="T60" s="168">
        <v>0.01</v>
      </c>
      <c r="U60" s="175">
        <v>0</v>
      </c>
      <c r="V60" s="176">
        <v>0</v>
      </c>
      <c r="W60" s="167"/>
      <c r="X60" s="175">
        <v>2053.51919</v>
      </c>
      <c r="Y60" s="166">
        <v>683.89798766816102</v>
      </c>
      <c r="Z60" s="177">
        <v>573</v>
      </c>
      <c r="AA60" s="178">
        <v>1.19353924549417</v>
      </c>
      <c r="AB60" s="179">
        <v>71.469487142908804</v>
      </c>
      <c r="AC60" s="168">
        <v>0.02</v>
      </c>
      <c r="AD60" s="168">
        <v>1.9E-2</v>
      </c>
      <c r="AE60" s="176">
        <v>0</v>
      </c>
      <c r="AF60" s="176">
        <v>12</v>
      </c>
      <c r="AG60" s="167"/>
      <c r="AH60" s="180">
        <v>171.8</v>
      </c>
      <c r="AI60" s="166">
        <v>57.215766404106603</v>
      </c>
      <c r="AJ60" s="181" t="s">
        <v>53</v>
      </c>
      <c r="AK60" s="188">
        <v>0.90818676831915202</v>
      </c>
      <c r="AL60" s="171">
        <v>-46.121695078528298</v>
      </c>
      <c r="AM60" s="168"/>
      <c r="AN60" s="168"/>
      <c r="AO60" s="176">
        <v>18</v>
      </c>
      <c r="AP60" s="176">
        <v>56</v>
      </c>
      <c r="AQ60" s="167"/>
      <c r="AR60" s="180">
        <v>31.5</v>
      </c>
      <c r="AS60" s="166">
        <v>10.4906672976098</v>
      </c>
      <c r="AT60" s="181" t="s">
        <v>54</v>
      </c>
      <c r="AU60" s="173">
        <v>0.65566670610060995</v>
      </c>
      <c r="AV60" s="174">
        <v>-23.845192400896099</v>
      </c>
      <c r="AW60" s="168"/>
      <c r="AX60" s="168"/>
      <c r="AY60" s="176">
        <v>17</v>
      </c>
      <c r="AZ60" s="176">
        <v>27</v>
      </c>
      <c r="BA60" s="167"/>
      <c r="BB60" s="184">
        <v>131.80000000000001</v>
      </c>
      <c r="BC60" s="180">
        <v>43.894284121427503</v>
      </c>
      <c r="BD60" s="181" t="s">
        <v>55</v>
      </c>
      <c r="BE60" s="178">
        <v>1.3716963787946099</v>
      </c>
      <c r="BF60" s="179">
        <v>21.109615198207798</v>
      </c>
      <c r="BG60" s="168">
        <v>0.02</v>
      </c>
      <c r="BH60" s="168">
        <v>0.02</v>
      </c>
      <c r="BI60" s="176">
        <v>0</v>
      </c>
      <c r="BJ60" s="176">
        <v>0</v>
      </c>
      <c r="BK60" s="169"/>
      <c r="BL60" s="185">
        <v>0.8</v>
      </c>
      <c r="BM60" s="188">
        <v>0.73</v>
      </c>
      <c r="BN60" s="186"/>
      <c r="BO60" s="187">
        <v>0.95</v>
      </c>
      <c r="BP60" s="178">
        <v>1</v>
      </c>
      <c r="BQ60" s="186">
        <v>2.5000000000000001E-3</v>
      </c>
    </row>
    <row r="61" spans="1:69" s="156" customFormat="1" ht="22.35" customHeight="1" x14ac:dyDescent="0.2">
      <c r="A61" s="165" t="s">
        <v>80</v>
      </c>
      <c r="B61" s="165" t="s">
        <v>100</v>
      </c>
      <c r="C61" s="165" t="s">
        <v>114</v>
      </c>
      <c r="D61" s="166">
        <v>8.0969419465555603</v>
      </c>
      <c r="E61" s="167"/>
      <c r="F61" s="168">
        <v>4.1000000000000002E-2</v>
      </c>
      <c r="G61" s="168">
        <v>3.4000000000000002E-2</v>
      </c>
      <c r="H61" s="169"/>
      <c r="I61" s="170">
        <v>4</v>
      </c>
      <c r="J61" s="170">
        <v>4</v>
      </c>
      <c r="K61" s="167"/>
      <c r="L61" s="171">
        <v>5902.3992399999997</v>
      </c>
      <c r="M61" s="171">
        <v>3786.4012400000001</v>
      </c>
      <c r="N61" s="171">
        <v>9688.8004799999999</v>
      </c>
      <c r="O61" s="166">
        <v>1196.5999687229601</v>
      </c>
      <c r="P61" s="172">
        <v>262.83</v>
      </c>
      <c r="Q61" s="178">
        <v>4.5527526109004297</v>
      </c>
      <c r="R61" s="179">
        <v>7237.2071019112</v>
      </c>
      <c r="S61" s="168">
        <v>0.01</v>
      </c>
      <c r="T61" s="168">
        <v>0.01</v>
      </c>
      <c r="U61" s="175">
        <v>0</v>
      </c>
      <c r="V61" s="176">
        <v>0</v>
      </c>
      <c r="W61" s="167"/>
      <c r="X61" s="175">
        <v>4928.43289</v>
      </c>
      <c r="Y61" s="166">
        <v>608.67830380043199</v>
      </c>
      <c r="Z61" s="177">
        <v>573</v>
      </c>
      <c r="AA61" s="182">
        <v>1.0622658006988299</v>
      </c>
      <c r="AB61" s="183">
        <v>-416.32610115353901</v>
      </c>
      <c r="AC61" s="168">
        <v>1.0999999999999999E-2</v>
      </c>
      <c r="AD61" s="168">
        <v>6.0000000000000001E-3</v>
      </c>
      <c r="AE61" s="176">
        <v>0</v>
      </c>
      <c r="AF61" s="176">
        <v>640</v>
      </c>
      <c r="AG61" s="167"/>
      <c r="AH61" s="180">
        <v>422.8</v>
      </c>
      <c r="AI61" s="166">
        <v>52.217244830297901</v>
      </c>
      <c r="AJ61" s="181" t="s">
        <v>53</v>
      </c>
      <c r="AK61" s="188">
        <v>0.82884515603647402</v>
      </c>
      <c r="AL61" s="171">
        <v>-164.843658713216</v>
      </c>
      <c r="AM61" s="168"/>
      <c r="AN61" s="168"/>
      <c r="AO61" s="176">
        <v>88</v>
      </c>
      <c r="AP61" s="176">
        <v>190</v>
      </c>
      <c r="AQ61" s="167"/>
      <c r="AR61" s="180">
        <v>36.9</v>
      </c>
      <c r="AS61" s="166">
        <v>4.5572760980084901</v>
      </c>
      <c r="AT61" s="181" t="s">
        <v>54</v>
      </c>
      <c r="AU61" s="173">
        <v>0.28482975612553102</v>
      </c>
      <c r="AV61" s="174">
        <v>-112.342833958912</v>
      </c>
      <c r="AW61" s="168"/>
      <c r="AX61" s="168"/>
      <c r="AY61" s="176">
        <v>93</v>
      </c>
      <c r="AZ61" s="176">
        <v>119</v>
      </c>
      <c r="BA61" s="167"/>
      <c r="BB61" s="184">
        <v>305.60000000000002</v>
      </c>
      <c r="BC61" s="180">
        <v>37.742644323886097</v>
      </c>
      <c r="BD61" s="181" t="s">
        <v>55</v>
      </c>
      <c r="BE61" s="178">
        <v>1.1794576351214401</v>
      </c>
      <c r="BF61" s="179">
        <v>7.1143320821758502</v>
      </c>
      <c r="BG61" s="168">
        <v>0.02</v>
      </c>
      <c r="BH61" s="168">
        <v>1.7999999999999999E-2</v>
      </c>
      <c r="BI61" s="176">
        <v>0</v>
      </c>
      <c r="BJ61" s="176">
        <v>6</v>
      </c>
      <c r="BK61" s="169"/>
      <c r="BL61" s="185">
        <v>0.8</v>
      </c>
      <c r="BM61" s="173">
        <v>0.68</v>
      </c>
      <c r="BN61" s="186"/>
      <c r="BO61" s="187">
        <v>0.95</v>
      </c>
      <c r="BP61" s="178">
        <v>1</v>
      </c>
      <c r="BQ61" s="186">
        <v>2.5000000000000001E-3</v>
      </c>
    </row>
    <row r="62" spans="1:69" s="156" customFormat="1" ht="22.35" customHeight="1" x14ac:dyDescent="0.2">
      <c r="A62" s="165" t="s">
        <v>80</v>
      </c>
      <c r="B62" s="165" t="s">
        <v>100</v>
      </c>
      <c r="C62" s="165" t="s">
        <v>115</v>
      </c>
      <c r="D62" s="166">
        <v>1.895420369</v>
      </c>
      <c r="E62" s="167"/>
      <c r="F62" s="168">
        <v>5.3999999999999999E-2</v>
      </c>
      <c r="G62" s="168">
        <v>4.5999999999999999E-2</v>
      </c>
      <c r="H62" s="169"/>
      <c r="I62" s="170">
        <v>5</v>
      </c>
      <c r="J62" s="170">
        <v>5</v>
      </c>
      <c r="K62" s="167"/>
      <c r="L62" s="171">
        <v>2344.30879</v>
      </c>
      <c r="M62" s="171">
        <v>526.97019</v>
      </c>
      <c r="N62" s="171">
        <v>2871.27898</v>
      </c>
      <c r="O62" s="166">
        <v>1514.85075657114</v>
      </c>
      <c r="P62" s="172">
        <v>248.27199999999999</v>
      </c>
      <c r="Q62" s="178">
        <v>6.1015771273890698</v>
      </c>
      <c r="R62" s="179">
        <v>2329.1710436580702</v>
      </c>
      <c r="S62" s="168">
        <v>0.01</v>
      </c>
      <c r="T62" s="168">
        <v>0.01</v>
      </c>
      <c r="U62" s="175">
        <v>0</v>
      </c>
      <c r="V62" s="176">
        <v>0</v>
      </c>
      <c r="W62" s="167"/>
      <c r="X62" s="175">
        <v>1087.45571</v>
      </c>
      <c r="Y62" s="166">
        <v>573.72798550947698</v>
      </c>
      <c r="Z62" s="177">
        <v>573</v>
      </c>
      <c r="AA62" s="182">
        <v>1.00127048081933</v>
      </c>
      <c r="AB62" s="183">
        <v>-163.70369389542401</v>
      </c>
      <c r="AC62" s="168">
        <v>4.0000000000000001E-3</v>
      </c>
      <c r="AD62" s="168">
        <v>1E-3</v>
      </c>
      <c r="AE62" s="176">
        <v>0</v>
      </c>
      <c r="AF62" s="176">
        <v>216</v>
      </c>
      <c r="AG62" s="167"/>
      <c r="AH62" s="180">
        <v>137.4</v>
      </c>
      <c r="AI62" s="166">
        <v>72.490515690981297</v>
      </c>
      <c r="AJ62" s="181" t="s">
        <v>53</v>
      </c>
      <c r="AK62" s="178">
        <v>1.15064310620605</v>
      </c>
      <c r="AL62" s="179">
        <v>-0.16202870054399901</v>
      </c>
      <c r="AM62" s="168">
        <v>0.02</v>
      </c>
      <c r="AN62" s="168">
        <v>1.4999999999999999E-2</v>
      </c>
      <c r="AO62" s="176">
        <v>0</v>
      </c>
      <c r="AP62" s="176">
        <v>6</v>
      </c>
      <c r="AQ62" s="167"/>
      <c r="AR62" s="180">
        <v>28.9</v>
      </c>
      <c r="AS62" s="166">
        <v>15.2472773178265</v>
      </c>
      <c r="AT62" s="181" t="s">
        <v>54</v>
      </c>
      <c r="AU62" s="188">
        <v>0.95295483236415501</v>
      </c>
      <c r="AV62" s="171">
        <v>-6.0363882414079999</v>
      </c>
      <c r="AW62" s="168"/>
      <c r="AX62" s="168"/>
      <c r="AY62" s="176">
        <v>2</v>
      </c>
      <c r="AZ62" s="176">
        <v>8</v>
      </c>
      <c r="BA62" s="167"/>
      <c r="BB62" s="184">
        <v>82</v>
      </c>
      <c r="BC62" s="180">
        <v>43.262170936393503</v>
      </c>
      <c r="BD62" s="181" t="s">
        <v>55</v>
      </c>
      <c r="BE62" s="178">
        <v>1.3519428417623001</v>
      </c>
      <c r="BF62" s="179">
        <v>12.127223517183999</v>
      </c>
      <c r="BG62" s="168">
        <v>0.02</v>
      </c>
      <c r="BH62" s="168">
        <v>0.02</v>
      </c>
      <c r="BI62" s="176">
        <v>0</v>
      </c>
      <c r="BJ62" s="176">
        <v>0</v>
      </c>
      <c r="BK62" s="169"/>
      <c r="BL62" s="185">
        <v>0.8</v>
      </c>
      <c r="BM62" s="188">
        <v>0.8</v>
      </c>
      <c r="BN62" s="186">
        <v>0</v>
      </c>
      <c r="BO62" s="187">
        <v>0.95</v>
      </c>
      <c r="BP62" s="178">
        <v>1</v>
      </c>
      <c r="BQ62" s="186">
        <v>2.5000000000000001E-3</v>
      </c>
    </row>
    <row r="63" spans="1:69" s="156" customFormat="1" ht="22.35" customHeight="1" x14ac:dyDescent="0.2">
      <c r="A63" s="165" t="s">
        <v>80</v>
      </c>
      <c r="B63" s="165" t="s">
        <v>100</v>
      </c>
      <c r="C63" s="165" t="s">
        <v>116</v>
      </c>
      <c r="D63" s="166">
        <v>2.1204174575555599</v>
      </c>
      <c r="E63" s="167"/>
      <c r="F63" s="168">
        <v>4.2999999999999997E-2</v>
      </c>
      <c r="G63" s="168">
        <v>3.5999999999999997E-2</v>
      </c>
      <c r="H63" s="169"/>
      <c r="I63" s="170">
        <v>4</v>
      </c>
      <c r="J63" s="170">
        <v>3</v>
      </c>
      <c r="K63" s="167"/>
      <c r="L63" s="171">
        <v>894.07150000000001</v>
      </c>
      <c r="M63" s="171">
        <v>695.5652</v>
      </c>
      <c r="N63" s="171">
        <v>1589.6367</v>
      </c>
      <c r="O63" s="166">
        <v>749.681009433187</v>
      </c>
      <c r="P63" s="172">
        <v>256.27100000000002</v>
      </c>
      <c r="Q63" s="178">
        <v>2.9253446914913801</v>
      </c>
      <c r="R63" s="179">
        <v>963.63816939046501</v>
      </c>
      <c r="S63" s="168">
        <v>0.01</v>
      </c>
      <c r="T63" s="168">
        <v>0.01</v>
      </c>
      <c r="U63" s="175">
        <v>0</v>
      </c>
      <c r="V63" s="176">
        <v>0</v>
      </c>
      <c r="W63" s="167"/>
      <c r="X63" s="175">
        <v>1200.1435200000001</v>
      </c>
      <c r="Y63" s="166">
        <v>565.99398185654502</v>
      </c>
      <c r="Z63" s="177">
        <v>573</v>
      </c>
      <c r="AA63" s="182">
        <v>0.98777309224527898</v>
      </c>
      <c r="AB63" s="183">
        <v>-199.53556206259501</v>
      </c>
      <c r="AC63" s="168">
        <v>3.0000000000000001E-3</v>
      </c>
      <c r="AD63" s="168"/>
      <c r="AE63" s="176">
        <v>15</v>
      </c>
      <c r="AF63" s="176">
        <v>258</v>
      </c>
      <c r="AG63" s="167"/>
      <c r="AH63" s="180">
        <v>141.5</v>
      </c>
      <c r="AI63" s="166">
        <v>66.732142529670995</v>
      </c>
      <c r="AJ63" s="181" t="s">
        <v>53</v>
      </c>
      <c r="AK63" s="182">
        <v>1.0592403576138301</v>
      </c>
      <c r="AL63" s="183">
        <v>-12.391417399552299</v>
      </c>
      <c r="AM63" s="168">
        <v>0.01</v>
      </c>
      <c r="AN63" s="168">
        <v>6.0000000000000001E-3</v>
      </c>
      <c r="AO63" s="176">
        <v>0</v>
      </c>
      <c r="AP63" s="176">
        <v>19</v>
      </c>
      <c r="AQ63" s="167"/>
      <c r="AR63" s="180">
        <v>12.8</v>
      </c>
      <c r="AS63" s="166">
        <v>6.0365471687617598</v>
      </c>
      <c r="AT63" s="181" t="s">
        <v>54</v>
      </c>
      <c r="AU63" s="173">
        <v>0.37728419804760999</v>
      </c>
      <c r="AV63" s="174">
        <v>-26.283534577664099</v>
      </c>
      <c r="AW63" s="168"/>
      <c r="AX63" s="168"/>
      <c r="AY63" s="176">
        <v>22</v>
      </c>
      <c r="AZ63" s="176">
        <v>28</v>
      </c>
      <c r="BA63" s="167"/>
      <c r="BB63" s="184">
        <v>90.8</v>
      </c>
      <c r="BC63" s="180">
        <v>42.821756478403699</v>
      </c>
      <c r="BD63" s="181" t="s">
        <v>55</v>
      </c>
      <c r="BE63" s="178">
        <v>1.33817988995012</v>
      </c>
      <c r="BF63" s="179">
        <v>12.632930844671799</v>
      </c>
      <c r="BG63" s="168">
        <v>0.02</v>
      </c>
      <c r="BH63" s="168">
        <v>0.02</v>
      </c>
      <c r="BI63" s="176">
        <v>0</v>
      </c>
      <c r="BJ63" s="176">
        <v>0</v>
      </c>
      <c r="BK63" s="169"/>
      <c r="BL63" s="185">
        <v>0.8</v>
      </c>
      <c r="BM63" s="188">
        <v>0.73</v>
      </c>
      <c r="BN63" s="186"/>
      <c r="BO63" s="187">
        <v>0.95</v>
      </c>
      <c r="BP63" s="173">
        <v>0.71</v>
      </c>
      <c r="BQ63" s="186"/>
    </row>
    <row r="64" spans="1:69" s="156" customFormat="1" ht="22.35" customHeight="1" x14ac:dyDescent="0.2">
      <c r="A64" s="165" t="s">
        <v>80</v>
      </c>
      <c r="B64" s="165" t="s">
        <v>100</v>
      </c>
      <c r="C64" s="165" t="s">
        <v>117</v>
      </c>
      <c r="D64" s="166">
        <v>2.5505437582222199</v>
      </c>
      <c r="E64" s="167"/>
      <c r="F64" s="168">
        <v>0.05</v>
      </c>
      <c r="G64" s="168">
        <v>0.05</v>
      </c>
      <c r="H64" s="169"/>
      <c r="I64" s="170">
        <v>4</v>
      </c>
      <c r="J64" s="170">
        <v>4</v>
      </c>
      <c r="K64" s="167"/>
      <c r="L64" s="171">
        <v>1615.69109</v>
      </c>
      <c r="M64" s="171">
        <v>2813.27711</v>
      </c>
      <c r="N64" s="171">
        <v>4428.9682000000003</v>
      </c>
      <c r="O64" s="166">
        <v>1736.4799900892799</v>
      </c>
      <c r="P64" s="172">
        <v>273.43799999999999</v>
      </c>
      <c r="Q64" s="178">
        <v>6.3505437799036004</v>
      </c>
      <c r="R64" s="179">
        <v>3625.5454470467998</v>
      </c>
      <c r="S64" s="168">
        <v>0.01</v>
      </c>
      <c r="T64" s="168">
        <v>0.01</v>
      </c>
      <c r="U64" s="175">
        <v>0</v>
      </c>
      <c r="V64" s="176">
        <v>0</v>
      </c>
      <c r="W64" s="167"/>
      <c r="X64" s="175">
        <v>1786.4096099999999</v>
      </c>
      <c r="Y64" s="166">
        <v>700.40343524439697</v>
      </c>
      <c r="Z64" s="177">
        <v>573</v>
      </c>
      <c r="AA64" s="178">
        <v>1.22234456412635</v>
      </c>
      <c r="AB64" s="179">
        <v>102.80587737254599</v>
      </c>
      <c r="AC64" s="168">
        <v>0.02</v>
      </c>
      <c r="AD64" s="168">
        <v>0.02</v>
      </c>
      <c r="AE64" s="176">
        <v>0</v>
      </c>
      <c r="AF64" s="176">
        <v>0</v>
      </c>
      <c r="AG64" s="167"/>
      <c r="AH64" s="180">
        <v>124.45</v>
      </c>
      <c r="AI64" s="166">
        <v>48.793516911368002</v>
      </c>
      <c r="AJ64" s="181" t="s">
        <v>53</v>
      </c>
      <c r="AK64" s="188">
        <v>0.774500268434412</v>
      </c>
      <c r="AL64" s="171">
        <v>-60.658263796735802</v>
      </c>
      <c r="AM64" s="168"/>
      <c r="AN64" s="168"/>
      <c r="AO64" s="176">
        <v>37</v>
      </c>
      <c r="AP64" s="176">
        <v>69</v>
      </c>
      <c r="AQ64" s="167"/>
      <c r="AR64" s="180">
        <v>10.6</v>
      </c>
      <c r="AS64" s="166">
        <v>4.1559765308196104</v>
      </c>
      <c r="AT64" s="181" t="s">
        <v>54</v>
      </c>
      <c r="AU64" s="173">
        <v>0.25974853317622598</v>
      </c>
      <c r="AV64" s="174">
        <v>-36.411622551551901</v>
      </c>
      <c r="AW64" s="168"/>
      <c r="AX64" s="168"/>
      <c r="AY64" s="176">
        <v>31</v>
      </c>
      <c r="AZ64" s="176">
        <v>39</v>
      </c>
      <c r="BA64" s="167"/>
      <c r="BB64" s="184">
        <v>102.8</v>
      </c>
      <c r="BC64" s="180">
        <v>40.305130883797702</v>
      </c>
      <c r="BD64" s="181" t="s">
        <v>55</v>
      </c>
      <c r="BE64" s="178">
        <v>1.25953534011868</v>
      </c>
      <c r="BF64" s="179">
        <v>8.7767548968960902</v>
      </c>
      <c r="BG64" s="168">
        <v>0.02</v>
      </c>
      <c r="BH64" s="168">
        <v>0.02</v>
      </c>
      <c r="BI64" s="176">
        <v>0</v>
      </c>
      <c r="BJ64" s="176">
        <v>0</v>
      </c>
      <c r="BK64" s="169"/>
      <c r="BL64" s="185">
        <v>0.8</v>
      </c>
      <c r="BM64" s="173">
        <v>0.66</v>
      </c>
      <c r="BN64" s="186"/>
      <c r="BO64" s="187">
        <v>0.95</v>
      </c>
      <c r="BP64" s="178">
        <v>1</v>
      </c>
      <c r="BQ64" s="186">
        <v>2.5000000000000001E-3</v>
      </c>
    </row>
    <row r="65" spans="1:69" s="156" customFormat="1" ht="22.35" customHeight="1" x14ac:dyDescent="0.2">
      <c r="A65" s="165" t="s">
        <v>80</v>
      </c>
      <c r="B65" s="165" t="s">
        <v>118</v>
      </c>
      <c r="C65" s="165" t="s">
        <v>119</v>
      </c>
      <c r="D65" s="166">
        <v>2.7952903572222199</v>
      </c>
      <c r="E65" s="167"/>
      <c r="F65" s="168">
        <v>0.03</v>
      </c>
      <c r="G65" s="168">
        <v>0.03</v>
      </c>
      <c r="H65" s="169"/>
      <c r="I65" s="170">
        <v>2</v>
      </c>
      <c r="J65" s="170">
        <v>2</v>
      </c>
      <c r="K65" s="167"/>
      <c r="L65" s="171">
        <v>2852.4804199999999</v>
      </c>
      <c r="M65" s="171">
        <v>859.24388999999996</v>
      </c>
      <c r="N65" s="171">
        <v>3711.7243100000001</v>
      </c>
      <c r="O65" s="166">
        <v>1327.8492877886499</v>
      </c>
      <c r="P65" s="172">
        <v>264.72899999999998</v>
      </c>
      <c r="Q65" s="178">
        <v>5.0158814779969303</v>
      </c>
      <c r="R65" s="179">
        <v>2859.2507370344001</v>
      </c>
      <c r="S65" s="168">
        <v>0.01</v>
      </c>
      <c r="T65" s="168">
        <v>0.01</v>
      </c>
      <c r="U65" s="175">
        <v>0</v>
      </c>
      <c r="V65" s="176">
        <v>0</v>
      </c>
      <c r="W65" s="167"/>
      <c r="X65" s="175">
        <v>1410.7564199999999</v>
      </c>
      <c r="Y65" s="166">
        <v>504.69047566204102</v>
      </c>
      <c r="Z65" s="177">
        <v>573</v>
      </c>
      <c r="AA65" s="188">
        <v>0.88078617043986196</v>
      </c>
      <c r="AB65" s="171">
        <v>-434.40356364095902</v>
      </c>
      <c r="AC65" s="168"/>
      <c r="AD65" s="168"/>
      <c r="AE65" s="176">
        <v>191</v>
      </c>
      <c r="AF65" s="176">
        <v>512</v>
      </c>
      <c r="AG65" s="167"/>
      <c r="AH65" s="180">
        <v>155.25</v>
      </c>
      <c r="AI65" s="166">
        <v>55.5398474433537</v>
      </c>
      <c r="AJ65" s="181" t="s">
        <v>53</v>
      </c>
      <c r="AK65" s="188">
        <v>0.88158488005323399</v>
      </c>
      <c r="AL65" s="171">
        <v>-47.620992965759797</v>
      </c>
      <c r="AM65" s="168"/>
      <c r="AN65" s="168"/>
      <c r="AO65" s="176">
        <v>21</v>
      </c>
      <c r="AP65" s="176">
        <v>57</v>
      </c>
      <c r="AQ65" s="167"/>
      <c r="AR65" s="180">
        <v>14</v>
      </c>
      <c r="AS65" s="166">
        <v>5.0084242460995299</v>
      </c>
      <c r="AT65" s="181" t="s">
        <v>54</v>
      </c>
      <c r="AU65" s="173">
        <v>0.313026515381221</v>
      </c>
      <c r="AV65" s="174">
        <v>-37.522791864319998</v>
      </c>
      <c r="AW65" s="168"/>
      <c r="AX65" s="168"/>
      <c r="AY65" s="176">
        <v>31</v>
      </c>
      <c r="AZ65" s="176">
        <v>40</v>
      </c>
      <c r="BA65" s="167"/>
      <c r="BB65" s="184">
        <v>124.2</v>
      </c>
      <c r="BC65" s="180">
        <v>44.431877954683003</v>
      </c>
      <c r="BD65" s="181" t="s">
        <v>55</v>
      </c>
      <c r="BE65" s="178">
        <v>1.3884961860838401</v>
      </c>
      <c r="BF65" s="179">
        <v>21.154416271360098</v>
      </c>
      <c r="BG65" s="168">
        <v>0.02</v>
      </c>
      <c r="BH65" s="168">
        <v>0.02</v>
      </c>
      <c r="BI65" s="176">
        <v>0</v>
      </c>
      <c r="BJ65" s="176">
        <v>0</v>
      </c>
      <c r="BK65" s="169"/>
      <c r="BL65" s="185">
        <v>0.8</v>
      </c>
      <c r="BM65" s="173">
        <v>0.68</v>
      </c>
      <c r="BN65" s="186"/>
      <c r="BO65" s="187">
        <v>0.95</v>
      </c>
      <c r="BP65" s="188">
        <v>0.9</v>
      </c>
      <c r="BQ65" s="186"/>
    </row>
    <row r="66" spans="1:69" s="156" customFormat="1" ht="22.35" customHeight="1" x14ac:dyDescent="0.2">
      <c r="A66" s="165" t="s">
        <v>80</v>
      </c>
      <c r="B66" s="165" t="s">
        <v>118</v>
      </c>
      <c r="C66" s="165" t="s">
        <v>120</v>
      </c>
      <c r="D66" s="166">
        <v>1.42108807377778</v>
      </c>
      <c r="E66" s="167"/>
      <c r="F66" s="168">
        <v>0.03</v>
      </c>
      <c r="G66" s="168">
        <v>0.03</v>
      </c>
      <c r="H66" s="169"/>
      <c r="I66" s="170">
        <v>3</v>
      </c>
      <c r="J66" s="170">
        <v>3</v>
      </c>
      <c r="K66" s="167"/>
      <c r="L66" s="171">
        <v>2197.92515</v>
      </c>
      <c r="M66" s="171">
        <v>1245.6798100000001</v>
      </c>
      <c r="N66" s="171">
        <v>3443.6049600000001</v>
      </c>
      <c r="O66" s="166">
        <v>2423.21712745476</v>
      </c>
      <c r="P66" s="172">
        <v>287.5</v>
      </c>
      <c r="Q66" s="178">
        <v>8.42858131288612</v>
      </c>
      <c r="R66" s="179">
        <v>2972.9405899648</v>
      </c>
      <c r="S66" s="168">
        <v>0.01</v>
      </c>
      <c r="T66" s="168">
        <v>0.01</v>
      </c>
      <c r="U66" s="175">
        <v>0</v>
      </c>
      <c r="V66" s="176">
        <v>0</v>
      </c>
      <c r="W66" s="167"/>
      <c r="X66" s="175">
        <v>983.22652000000005</v>
      </c>
      <c r="Y66" s="166">
        <v>691.882887586425</v>
      </c>
      <c r="Z66" s="177">
        <v>573</v>
      </c>
      <c r="AA66" s="178">
        <v>1.20747449840563</v>
      </c>
      <c r="AB66" s="179">
        <v>45.171966851582702</v>
      </c>
      <c r="AC66" s="168">
        <v>0.02</v>
      </c>
      <c r="AD66" s="168">
        <v>0.02</v>
      </c>
      <c r="AE66" s="176">
        <v>0</v>
      </c>
      <c r="AF66" s="176">
        <v>0</v>
      </c>
      <c r="AG66" s="167"/>
      <c r="AH66" s="180">
        <v>64.2</v>
      </c>
      <c r="AI66" s="166">
        <v>45.176651035662204</v>
      </c>
      <c r="AJ66" s="181" t="s">
        <v>53</v>
      </c>
      <c r="AK66" s="173">
        <v>0.71708969897876496</v>
      </c>
      <c r="AL66" s="174">
        <v>-38.936888042496101</v>
      </c>
      <c r="AM66" s="168"/>
      <c r="AN66" s="168"/>
      <c r="AO66" s="176">
        <v>26</v>
      </c>
      <c r="AP66" s="176">
        <v>44</v>
      </c>
      <c r="AQ66" s="167"/>
      <c r="AR66" s="180">
        <v>11.6</v>
      </c>
      <c r="AS66" s="166">
        <v>8.1627593771601408</v>
      </c>
      <c r="AT66" s="181" t="s">
        <v>54</v>
      </c>
      <c r="AU66" s="173">
        <v>0.51017246107250902</v>
      </c>
      <c r="AV66" s="174">
        <v>-14.593495375871999</v>
      </c>
      <c r="AW66" s="168"/>
      <c r="AX66" s="168"/>
      <c r="AY66" s="176">
        <v>12</v>
      </c>
      <c r="AZ66" s="176">
        <v>16</v>
      </c>
      <c r="BA66" s="167"/>
      <c r="BB66" s="184">
        <v>43.6</v>
      </c>
      <c r="BC66" s="180">
        <v>30.6807162796709</v>
      </c>
      <c r="BD66" s="181" t="s">
        <v>55</v>
      </c>
      <c r="BE66" s="188">
        <v>0.95877238373971496</v>
      </c>
      <c r="BF66" s="171">
        <v>-8.7869907517440708</v>
      </c>
      <c r="BG66" s="168">
        <v>0</v>
      </c>
      <c r="BH66" s="168"/>
      <c r="BI66" s="176">
        <v>2</v>
      </c>
      <c r="BJ66" s="176">
        <v>11</v>
      </c>
      <c r="BK66" s="169"/>
      <c r="BL66" s="185">
        <v>0.8</v>
      </c>
      <c r="BM66" s="188">
        <v>0.75</v>
      </c>
      <c r="BN66" s="186"/>
      <c r="BO66" s="187">
        <v>0.95</v>
      </c>
      <c r="BP66" s="178">
        <v>1</v>
      </c>
      <c r="BQ66" s="186">
        <v>2.5000000000000001E-3</v>
      </c>
    </row>
    <row r="67" spans="1:69" s="156" customFormat="1" ht="22.35" customHeight="1" x14ac:dyDescent="0.2">
      <c r="A67" s="165" t="s">
        <v>80</v>
      </c>
      <c r="B67" s="165" t="s">
        <v>118</v>
      </c>
      <c r="C67" s="165" t="s">
        <v>121</v>
      </c>
      <c r="D67" s="166">
        <v>4.3565891625555597</v>
      </c>
      <c r="E67" s="167"/>
      <c r="F67" s="168">
        <v>0.03</v>
      </c>
      <c r="G67" s="168">
        <v>0.03</v>
      </c>
      <c r="H67" s="169"/>
      <c r="I67" s="170">
        <v>3</v>
      </c>
      <c r="J67" s="170">
        <v>3</v>
      </c>
      <c r="K67" s="167"/>
      <c r="L67" s="171">
        <v>3553.2466899999999</v>
      </c>
      <c r="M67" s="171">
        <v>2073.85358</v>
      </c>
      <c r="N67" s="171">
        <v>5627.1002699999999</v>
      </c>
      <c r="O67" s="166">
        <v>1291.6297727507499</v>
      </c>
      <c r="P67" s="172">
        <v>287.5</v>
      </c>
      <c r="Q67" s="178">
        <v>4.4926252965243503</v>
      </c>
      <c r="R67" s="179">
        <v>4184.1979393616002</v>
      </c>
      <c r="S67" s="168">
        <v>0.01</v>
      </c>
      <c r="T67" s="168">
        <v>0.01</v>
      </c>
      <c r="U67" s="175">
        <v>0</v>
      </c>
      <c r="V67" s="176">
        <v>0</v>
      </c>
      <c r="W67" s="167"/>
      <c r="X67" s="175">
        <v>1986.975715</v>
      </c>
      <c r="Y67" s="166">
        <v>456.08517141755198</v>
      </c>
      <c r="Z67" s="177">
        <v>573</v>
      </c>
      <c r="AA67" s="188">
        <v>0.79596015954197596</v>
      </c>
      <c r="AB67" s="171">
        <v>-888.79136484627395</v>
      </c>
      <c r="AC67" s="168"/>
      <c r="AD67" s="168"/>
      <c r="AE67" s="176">
        <v>510</v>
      </c>
      <c r="AF67" s="176">
        <v>1009</v>
      </c>
      <c r="AG67" s="167"/>
      <c r="AH67" s="180">
        <v>160.9</v>
      </c>
      <c r="AI67" s="166">
        <v>36.932562148140903</v>
      </c>
      <c r="AJ67" s="181" t="s">
        <v>53</v>
      </c>
      <c r="AK67" s="173">
        <v>0.58623114520858499</v>
      </c>
      <c r="AL67" s="174">
        <v>-155.283815061632</v>
      </c>
      <c r="AM67" s="168"/>
      <c r="AN67" s="168"/>
      <c r="AO67" s="176">
        <v>114</v>
      </c>
      <c r="AP67" s="176">
        <v>169</v>
      </c>
      <c r="AQ67" s="167"/>
      <c r="AR67" s="180">
        <v>50.4</v>
      </c>
      <c r="AS67" s="166">
        <v>11.568683233476101</v>
      </c>
      <c r="AT67" s="181" t="s">
        <v>54</v>
      </c>
      <c r="AU67" s="173">
        <v>0.72304270209225396</v>
      </c>
      <c r="AV67" s="174">
        <v>-29.900651444224099</v>
      </c>
      <c r="AW67" s="168"/>
      <c r="AX67" s="168"/>
      <c r="AY67" s="176">
        <v>20</v>
      </c>
      <c r="AZ67" s="176">
        <v>34</v>
      </c>
      <c r="BA67" s="167"/>
      <c r="BB67" s="184">
        <v>194.6</v>
      </c>
      <c r="BC67" s="180">
        <v>44.667971373699302</v>
      </c>
      <c r="BD67" s="181" t="s">
        <v>55</v>
      </c>
      <c r="BE67" s="178">
        <v>1.3958741054281001</v>
      </c>
      <c r="BF67" s="179">
        <v>33.998697111551799</v>
      </c>
      <c r="BG67" s="168">
        <v>0.02</v>
      </c>
      <c r="BH67" s="168">
        <v>0.02</v>
      </c>
      <c r="BI67" s="176">
        <v>0</v>
      </c>
      <c r="BJ67" s="176">
        <v>0</v>
      </c>
      <c r="BK67" s="169"/>
      <c r="BL67" s="185">
        <v>0.8</v>
      </c>
      <c r="BM67" s="188">
        <v>0.75</v>
      </c>
      <c r="BN67" s="186"/>
      <c r="BO67" s="187">
        <v>0.95</v>
      </c>
      <c r="BP67" s="178">
        <v>1</v>
      </c>
      <c r="BQ67" s="186">
        <v>2.5000000000000001E-3</v>
      </c>
    </row>
    <row r="68" spans="1:69" s="156" customFormat="1" ht="22.35" customHeight="1" x14ac:dyDescent="0.2">
      <c r="A68" s="165" t="s">
        <v>80</v>
      </c>
      <c r="B68" s="165" t="s">
        <v>118</v>
      </c>
      <c r="C68" s="165" t="s">
        <v>122</v>
      </c>
      <c r="D68" s="166">
        <v>4.5469934366666704</v>
      </c>
      <c r="E68" s="167"/>
      <c r="F68" s="168">
        <v>4.8000000000000001E-2</v>
      </c>
      <c r="G68" s="168">
        <v>0.04</v>
      </c>
      <c r="H68" s="169"/>
      <c r="I68" s="170">
        <v>5</v>
      </c>
      <c r="J68" s="170">
        <v>5</v>
      </c>
      <c r="K68" s="167"/>
      <c r="L68" s="171">
        <v>5184.4554099999996</v>
      </c>
      <c r="M68" s="171">
        <v>1881.6251999999999</v>
      </c>
      <c r="N68" s="171">
        <v>7066.08061</v>
      </c>
      <c r="O68" s="166">
        <v>1554.0116141403601</v>
      </c>
      <c r="P68" s="172">
        <v>287.5</v>
      </c>
      <c r="Q68" s="178">
        <v>5.4052577883142998</v>
      </c>
      <c r="R68" s="179">
        <v>5560.1163837759996</v>
      </c>
      <c r="S68" s="168">
        <v>0.01</v>
      </c>
      <c r="T68" s="168">
        <v>0.01</v>
      </c>
      <c r="U68" s="175">
        <v>0</v>
      </c>
      <c r="V68" s="176">
        <v>0</v>
      </c>
      <c r="W68" s="167"/>
      <c r="X68" s="175">
        <v>2810.4459449999999</v>
      </c>
      <c r="Y68" s="166">
        <v>618.08885017003604</v>
      </c>
      <c r="Z68" s="177">
        <v>573</v>
      </c>
      <c r="AA68" s="182">
        <v>1.07868909279238</v>
      </c>
      <c r="AB68" s="183">
        <v>-191.00623456992199</v>
      </c>
      <c r="AC68" s="168">
        <v>1.2E-2</v>
      </c>
      <c r="AD68" s="168">
        <v>8.0000000000000002E-3</v>
      </c>
      <c r="AE68" s="176">
        <v>0</v>
      </c>
      <c r="AF68" s="176">
        <v>317</v>
      </c>
      <c r="AG68" s="167"/>
      <c r="AH68" s="180">
        <v>292.55</v>
      </c>
      <c r="AI68" s="166">
        <v>64.3392175675679</v>
      </c>
      <c r="AJ68" s="181" t="s">
        <v>53</v>
      </c>
      <c r="AK68" s="182">
        <v>1.0212574217074299</v>
      </c>
      <c r="AL68" s="183">
        <v>-37.452595659520199</v>
      </c>
      <c r="AM68" s="168">
        <v>6.0000000000000001E-3</v>
      </c>
      <c r="AN68" s="168">
        <v>2E-3</v>
      </c>
      <c r="AO68" s="176">
        <v>0</v>
      </c>
      <c r="AP68" s="176">
        <v>52</v>
      </c>
      <c r="AQ68" s="167"/>
      <c r="AR68" s="180">
        <v>46.2</v>
      </c>
      <c r="AS68" s="166">
        <v>10.160560080743901</v>
      </c>
      <c r="AT68" s="181" t="s">
        <v>54</v>
      </c>
      <c r="AU68" s="173">
        <v>0.63503500504649601</v>
      </c>
      <c r="AV68" s="174">
        <v>-37.610183024640101</v>
      </c>
      <c r="AW68" s="168"/>
      <c r="AX68" s="168"/>
      <c r="AY68" s="176">
        <v>27</v>
      </c>
      <c r="AZ68" s="176">
        <v>42</v>
      </c>
      <c r="BA68" s="167"/>
      <c r="BB68" s="184">
        <v>215.8</v>
      </c>
      <c r="BC68" s="180">
        <v>47.459932152046299</v>
      </c>
      <c r="BD68" s="181" t="s">
        <v>55</v>
      </c>
      <c r="BE68" s="178">
        <v>1.48312287975145</v>
      </c>
      <c r="BF68" s="179">
        <v>48.179633950719897</v>
      </c>
      <c r="BG68" s="168">
        <v>0.02</v>
      </c>
      <c r="BH68" s="168">
        <v>0.02</v>
      </c>
      <c r="BI68" s="176">
        <v>0</v>
      </c>
      <c r="BJ68" s="176">
        <v>0</v>
      </c>
      <c r="BK68" s="169"/>
      <c r="BL68" s="185">
        <v>0.8</v>
      </c>
      <c r="BM68" s="188">
        <v>0.77</v>
      </c>
      <c r="BN68" s="186"/>
      <c r="BO68" s="187">
        <v>0.95</v>
      </c>
      <c r="BP68" s="178">
        <v>1</v>
      </c>
      <c r="BQ68" s="186">
        <v>2.5000000000000001E-3</v>
      </c>
    </row>
    <row r="69" spans="1:69" s="156" customFormat="1" ht="22.35" customHeight="1" x14ac:dyDescent="0.2">
      <c r="A69" s="165" t="s">
        <v>80</v>
      </c>
      <c r="B69" s="165" t="s">
        <v>118</v>
      </c>
      <c r="C69" s="165" t="s">
        <v>123</v>
      </c>
      <c r="D69" s="166">
        <v>1.5103209235555599</v>
      </c>
      <c r="E69" s="167"/>
      <c r="F69" s="168">
        <v>2.0500000000000001E-2</v>
      </c>
      <c r="G69" s="168">
        <v>1.2500000000000001E-2</v>
      </c>
      <c r="H69" s="169"/>
      <c r="I69" s="170">
        <v>4</v>
      </c>
      <c r="J69" s="170">
        <v>3</v>
      </c>
      <c r="K69" s="167"/>
      <c r="L69" s="171">
        <v>703.77817000000005</v>
      </c>
      <c r="M69" s="171">
        <v>-289.29102</v>
      </c>
      <c r="N69" s="171">
        <v>414.48714999999999</v>
      </c>
      <c r="O69" s="166">
        <v>274.43647474884102</v>
      </c>
      <c r="P69" s="172">
        <v>287.5</v>
      </c>
      <c r="Q69" s="188">
        <v>0.95456165130031601</v>
      </c>
      <c r="R69" s="171">
        <v>-85.731139881601393</v>
      </c>
      <c r="S69" s="168"/>
      <c r="T69" s="168"/>
      <c r="U69" s="175">
        <v>20</v>
      </c>
      <c r="V69" s="176">
        <v>107</v>
      </c>
      <c r="W69" s="167"/>
      <c r="X69" s="175">
        <v>643.10995500000001</v>
      </c>
      <c r="Y69" s="166">
        <v>425.81013410448497</v>
      </c>
      <c r="Z69" s="177">
        <v>573</v>
      </c>
      <c r="AA69" s="173">
        <v>0.74312414328880405</v>
      </c>
      <c r="AB69" s="174">
        <v>-353.84684535533103</v>
      </c>
      <c r="AC69" s="168"/>
      <c r="AD69" s="168"/>
      <c r="AE69" s="176">
        <v>223</v>
      </c>
      <c r="AF69" s="176">
        <v>396</v>
      </c>
      <c r="AG69" s="167"/>
      <c r="AH69" s="180">
        <v>92.65</v>
      </c>
      <c r="AI69" s="166">
        <v>61.3445781985765</v>
      </c>
      <c r="AJ69" s="181" t="s">
        <v>53</v>
      </c>
      <c r="AK69" s="182">
        <v>0.97372346346946803</v>
      </c>
      <c r="AL69" s="183">
        <v>-16.9630513479683</v>
      </c>
      <c r="AM69" s="168">
        <v>1E-3</v>
      </c>
      <c r="AN69" s="168"/>
      <c r="AO69" s="176">
        <v>3</v>
      </c>
      <c r="AP69" s="176">
        <v>22</v>
      </c>
      <c r="AQ69" s="167"/>
      <c r="AR69" s="180">
        <v>25.4</v>
      </c>
      <c r="AS69" s="166">
        <v>16.817617768417101</v>
      </c>
      <c r="AT69" s="181" t="s">
        <v>54</v>
      </c>
      <c r="AU69" s="182">
        <v>1.0511011105260699</v>
      </c>
      <c r="AV69" s="183">
        <v>-2.4382352629760802</v>
      </c>
      <c r="AW69" s="168">
        <v>4.4999999999999997E-3</v>
      </c>
      <c r="AX69" s="168">
        <v>2.5000000000000001E-3</v>
      </c>
      <c r="AY69" s="176">
        <v>0</v>
      </c>
      <c r="AZ69" s="176">
        <v>4</v>
      </c>
      <c r="BA69" s="167"/>
      <c r="BB69" s="184">
        <v>53.4</v>
      </c>
      <c r="BC69" s="180">
        <v>35.356723969821701</v>
      </c>
      <c r="BD69" s="181" t="s">
        <v>55</v>
      </c>
      <c r="BE69" s="182">
        <v>1.1048976240569299</v>
      </c>
      <c r="BF69" s="183">
        <v>-2.2764705259521598</v>
      </c>
      <c r="BG69" s="168">
        <v>1.4999999999999999E-2</v>
      </c>
      <c r="BH69" s="168">
        <v>0.01</v>
      </c>
      <c r="BI69" s="176">
        <v>0</v>
      </c>
      <c r="BJ69" s="176">
        <v>5</v>
      </c>
      <c r="BK69" s="169"/>
      <c r="BL69" s="185">
        <v>0.8</v>
      </c>
      <c r="BM69" s="173">
        <v>0.65</v>
      </c>
      <c r="BN69" s="186"/>
      <c r="BO69" s="187">
        <v>0.95</v>
      </c>
      <c r="BP69" s="178">
        <v>1</v>
      </c>
      <c r="BQ69" s="186">
        <v>2.5000000000000001E-3</v>
      </c>
    </row>
    <row r="70" spans="1:69" s="156" customFormat="1" ht="22.35" customHeight="1" x14ac:dyDescent="0.2">
      <c r="A70" s="165" t="s">
        <v>80</v>
      </c>
      <c r="B70" s="165" t="s">
        <v>118</v>
      </c>
      <c r="C70" s="165" t="s">
        <v>124</v>
      </c>
      <c r="D70" s="166">
        <v>3.0536943671111101</v>
      </c>
      <c r="E70" s="167"/>
      <c r="F70" s="168">
        <v>3.3000000000000002E-2</v>
      </c>
      <c r="G70" s="168">
        <v>3.1E-2</v>
      </c>
      <c r="H70" s="169"/>
      <c r="I70" s="170">
        <v>4</v>
      </c>
      <c r="J70" s="170">
        <v>4</v>
      </c>
      <c r="K70" s="167"/>
      <c r="L70" s="171">
        <v>2963.7654200000002</v>
      </c>
      <c r="M70" s="171">
        <v>818.18460000000005</v>
      </c>
      <c r="N70" s="171">
        <v>3781.9500200000002</v>
      </c>
      <c r="O70" s="166">
        <v>1238.48347782684</v>
      </c>
      <c r="P70" s="172">
        <v>253.321</v>
      </c>
      <c r="Q70" s="178">
        <v>4.88898858691873</v>
      </c>
      <c r="R70" s="179">
        <v>2890.8032427918602</v>
      </c>
      <c r="S70" s="168">
        <v>0.01</v>
      </c>
      <c r="T70" s="168">
        <v>0.01</v>
      </c>
      <c r="U70" s="175">
        <v>0</v>
      </c>
      <c r="V70" s="176">
        <v>0</v>
      </c>
      <c r="W70" s="167"/>
      <c r="X70" s="175">
        <v>1494.71325</v>
      </c>
      <c r="Y70" s="166">
        <v>489.47703021571402</v>
      </c>
      <c r="Z70" s="177">
        <v>573</v>
      </c>
      <c r="AA70" s="188">
        <v>0.85423565482672503</v>
      </c>
      <c r="AB70" s="171">
        <v>-521.01818695257498</v>
      </c>
      <c r="AC70" s="168"/>
      <c r="AD70" s="168"/>
      <c r="AE70" s="176">
        <v>256</v>
      </c>
      <c r="AF70" s="176">
        <v>606</v>
      </c>
      <c r="AG70" s="167"/>
      <c r="AH70" s="180">
        <v>120.3</v>
      </c>
      <c r="AI70" s="166">
        <v>39.394905166559802</v>
      </c>
      <c r="AJ70" s="181" t="s">
        <v>53</v>
      </c>
      <c r="AK70" s="173">
        <v>0.62531595502475801</v>
      </c>
      <c r="AL70" s="174">
        <v>-101.324922387456</v>
      </c>
      <c r="AM70" s="168"/>
      <c r="AN70" s="168"/>
      <c r="AO70" s="176">
        <v>73</v>
      </c>
      <c r="AP70" s="176">
        <v>111</v>
      </c>
      <c r="AQ70" s="167"/>
      <c r="AR70" s="180">
        <v>49.6</v>
      </c>
      <c r="AS70" s="166">
        <v>16.2426209165533</v>
      </c>
      <c r="AT70" s="181" t="s">
        <v>54</v>
      </c>
      <c r="AU70" s="182">
        <v>1.0151638072845801</v>
      </c>
      <c r="AV70" s="183">
        <v>-6.6856945745919703</v>
      </c>
      <c r="AW70" s="168">
        <v>3.0000000000000001E-3</v>
      </c>
      <c r="AX70" s="168">
        <v>1E-3</v>
      </c>
      <c r="AY70" s="176">
        <v>0</v>
      </c>
      <c r="AZ70" s="176">
        <v>10</v>
      </c>
      <c r="BA70" s="167"/>
      <c r="BB70" s="184">
        <v>166</v>
      </c>
      <c r="BC70" s="180">
        <v>54.3603845191099</v>
      </c>
      <c r="BD70" s="181" t="s">
        <v>55</v>
      </c>
      <c r="BE70" s="178">
        <v>1.6987620162221799</v>
      </c>
      <c r="BF70" s="179">
        <v>53.428610850816099</v>
      </c>
      <c r="BG70" s="168">
        <v>0.02</v>
      </c>
      <c r="BH70" s="168">
        <v>0.02</v>
      </c>
      <c r="BI70" s="176">
        <v>0</v>
      </c>
      <c r="BJ70" s="176">
        <v>0</v>
      </c>
      <c r="BK70" s="169"/>
      <c r="BL70" s="185">
        <v>0.8</v>
      </c>
      <c r="BM70" s="173">
        <v>0.62</v>
      </c>
      <c r="BN70" s="186"/>
      <c r="BO70" s="187">
        <v>0.95</v>
      </c>
      <c r="BP70" s="178">
        <v>1</v>
      </c>
      <c r="BQ70" s="186">
        <v>2.5000000000000001E-3</v>
      </c>
    </row>
    <row r="71" spans="1:69" s="156" customFormat="1" ht="22.35" customHeight="1" x14ac:dyDescent="0.2">
      <c r="A71" s="165" t="s">
        <v>80</v>
      </c>
      <c r="B71" s="165" t="s">
        <v>118</v>
      </c>
      <c r="C71" s="165" t="s">
        <v>125</v>
      </c>
      <c r="D71" s="166">
        <v>2.1938047859999998</v>
      </c>
      <c r="E71" s="167"/>
      <c r="F71" s="168">
        <v>0.04</v>
      </c>
      <c r="G71" s="168">
        <v>3.5999999999999997E-2</v>
      </c>
      <c r="H71" s="169"/>
      <c r="I71" s="170">
        <v>4</v>
      </c>
      <c r="J71" s="170">
        <v>4</v>
      </c>
      <c r="K71" s="167"/>
      <c r="L71" s="171">
        <v>1936.8040100000001</v>
      </c>
      <c r="M71" s="171">
        <v>178.91012000000001</v>
      </c>
      <c r="N71" s="171">
        <v>2115.7141299999998</v>
      </c>
      <c r="O71" s="166">
        <v>964.40400873480496</v>
      </c>
      <c r="P71" s="172">
        <v>252.24799999999999</v>
      </c>
      <c r="Q71" s="178">
        <v>3.8232374834876999</v>
      </c>
      <c r="R71" s="179">
        <v>1478.2170641529101</v>
      </c>
      <c r="S71" s="168">
        <v>0.01</v>
      </c>
      <c r="T71" s="168">
        <v>0.01</v>
      </c>
      <c r="U71" s="175">
        <v>0</v>
      </c>
      <c r="V71" s="176">
        <v>0</v>
      </c>
      <c r="W71" s="167"/>
      <c r="X71" s="175">
        <v>1327.3366149999999</v>
      </c>
      <c r="Y71" s="166">
        <v>605.03861759740005</v>
      </c>
      <c r="Z71" s="177">
        <v>573</v>
      </c>
      <c r="AA71" s="182">
        <v>1.0559138177965099</v>
      </c>
      <c r="AB71" s="183">
        <v>-120.785149019456</v>
      </c>
      <c r="AC71" s="168">
        <v>0.01</v>
      </c>
      <c r="AD71" s="168">
        <v>6.0000000000000001E-3</v>
      </c>
      <c r="AE71" s="176">
        <v>0</v>
      </c>
      <c r="AF71" s="176">
        <v>182</v>
      </c>
      <c r="AG71" s="167"/>
      <c r="AH71" s="180">
        <v>116.9</v>
      </c>
      <c r="AI71" s="166">
        <v>53.286418530039597</v>
      </c>
      <c r="AJ71" s="181" t="s">
        <v>53</v>
      </c>
      <c r="AK71" s="188">
        <v>0.84581616714348595</v>
      </c>
      <c r="AL71" s="171">
        <v>-42.317576148736002</v>
      </c>
      <c r="AM71" s="168"/>
      <c r="AN71" s="168"/>
      <c r="AO71" s="176">
        <v>22</v>
      </c>
      <c r="AP71" s="176">
        <v>49</v>
      </c>
      <c r="AQ71" s="167"/>
      <c r="AR71" s="180">
        <v>24.8</v>
      </c>
      <c r="AS71" s="166">
        <v>11.304560988408699</v>
      </c>
      <c r="AT71" s="181" t="s">
        <v>54</v>
      </c>
      <c r="AU71" s="173">
        <v>0.70653506177554604</v>
      </c>
      <c r="AV71" s="174">
        <v>-15.636209815552</v>
      </c>
      <c r="AW71" s="168"/>
      <c r="AX71" s="168"/>
      <c r="AY71" s="176">
        <v>11</v>
      </c>
      <c r="AZ71" s="176">
        <v>18</v>
      </c>
      <c r="BA71" s="167"/>
      <c r="BB71" s="184">
        <v>87.4</v>
      </c>
      <c r="BC71" s="180">
        <v>39.839460902698598</v>
      </c>
      <c r="BD71" s="181" t="s">
        <v>55</v>
      </c>
      <c r="BE71" s="178">
        <v>1.2449831532093301</v>
      </c>
      <c r="BF71" s="179">
        <v>6.5275803688960101</v>
      </c>
      <c r="BG71" s="168">
        <v>0.02</v>
      </c>
      <c r="BH71" s="168">
        <v>0.02</v>
      </c>
      <c r="BI71" s="176">
        <v>0</v>
      </c>
      <c r="BJ71" s="176">
        <v>0</v>
      </c>
      <c r="BK71" s="169"/>
      <c r="BL71" s="185">
        <v>0.8</v>
      </c>
      <c r="BM71" s="188">
        <v>0.74</v>
      </c>
      <c r="BN71" s="186"/>
      <c r="BO71" s="187">
        <v>0.95</v>
      </c>
      <c r="BP71" s="178">
        <v>1</v>
      </c>
      <c r="BQ71" s="186">
        <v>2.5000000000000001E-3</v>
      </c>
    </row>
    <row r="72" spans="1:69" s="156" customFormat="1" ht="22.35" customHeight="1" x14ac:dyDescent="0.2">
      <c r="A72" s="165" t="s">
        <v>80</v>
      </c>
      <c r="B72" s="165" t="s">
        <v>118</v>
      </c>
      <c r="C72" s="165" t="s">
        <v>126</v>
      </c>
      <c r="D72" s="166">
        <v>4.5919046557777801</v>
      </c>
      <c r="E72" s="167"/>
      <c r="F72" s="168">
        <v>7.5999999999999998E-2</v>
      </c>
      <c r="G72" s="168">
        <v>7.1999999999999995E-2</v>
      </c>
      <c r="H72" s="169"/>
      <c r="I72" s="170">
        <v>6</v>
      </c>
      <c r="J72" s="170">
        <v>6</v>
      </c>
      <c r="K72" s="167"/>
      <c r="L72" s="171">
        <v>2385.5431899999999</v>
      </c>
      <c r="M72" s="171">
        <v>1653.71958</v>
      </c>
      <c r="N72" s="171">
        <v>4039.2627699999998</v>
      </c>
      <c r="O72" s="166">
        <v>879.64865840966104</v>
      </c>
      <c r="P72" s="172">
        <v>287.5</v>
      </c>
      <c r="Q72" s="178">
        <v>3.0596475075118699</v>
      </c>
      <c r="R72" s="179">
        <v>2518.4239480064002</v>
      </c>
      <c r="S72" s="168">
        <v>0.01</v>
      </c>
      <c r="T72" s="168">
        <v>0.01</v>
      </c>
      <c r="U72" s="175">
        <v>0</v>
      </c>
      <c r="V72" s="176">
        <v>0</v>
      </c>
      <c r="W72" s="167"/>
      <c r="X72" s="175">
        <v>2938.8595949999999</v>
      </c>
      <c r="Y72" s="166">
        <v>640.008844979429</v>
      </c>
      <c r="Z72" s="177">
        <v>573</v>
      </c>
      <c r="AA72" s="182">
        <v>1.11694388303565</v>
      </c>
      <c r="AB72" s="183">
        <v>-92.238300660288601</v>
      </c>
      <c r="AC72" s="168">
        <v>1.6E-2</v>
      </c>
      <c r="AD72" s="168">
        <v>1.2E-2</v>
      </c>
      <c r="AE72" s="176">
        <v>0</v>
      </c>
      <c r="AF72" s="176">
        <v>219</v>
      </c>
      <c r="AG72" s="167"/>
      <c r="AH72" s="180">
        <v>371.35</v>
      </c>
      <c r="AI72" s="166">
        <v>80.870581564176803</v>
      </c>
      <c r="AJ72" s="181" t="s">
        <v>53</v>
      </c>
      <c r="AK72" s="178">
        <v>1.2836600248282</v>
      </c>
      <c r="AL72" s="179">
        <v>38.087927702271898</v>
      </c>
      <c r="AM72" s="168">
        <v>0.02</v>
      </c>
      <c r="AN72" s="168">
        <v>0.02</v>
      </c>
      <c r="AO72" s="176">
        <v>0</v>
      </c>
      <c r="AP72" s="176">
        <v>0</v>
      </c>
      <c r="AQ72" s="167"/>
      <c r="AR72" s="180">
        <v>90</v>
      </c>
      <c r="AS72" s="166">
        <v>19.599710086915099</v>
      </c>
      <c r="AT72" s="181" t="s">
        <v>54</v>
      </c>
      <c r="AU72" s="178">
        <v>1.2249818804321899</v>
      </c>
      <c r="AV72" s="179">
        <v>5.3620133847039897</v>
      </c>
      <c r="AW72" s="168">
        <v>0.01</v>
      </c>
      <c r="AX72" s="168">
        <v>0.01</v>
      </c>
      <c r="AY72" s="176">
        <v>0</v>
      </c>
      <c r="AZ72" s="176">
        <v>0</v>
      </c>
      <c r="BA72" s="167"/>
      <c r="BB72" s="184">
        <v>240.8</v>
      </c>
      <c r="BC72" s="180">
        <v>52.440113210323901</v>
      </c>
      <c r="BD72" s="181" t="s">
        <v>55</v>
      </c>
      <c r="BE72" s="178">
        <v>1.6387535378226199</v>
      </c>
      <c r="BF72" s="179">
        <v>71.524026769407996</v>
      </c>
      <c r="BG72" s="168">
        <v>0.02</v>
      </c>
      <c r="BH72" s="168">
        <v>0.02</v>
      </c>
      <c r="BI72" s="176">
        <v>0</v>
      </c>
      <c r="BJ72" s="176">
        <v>0</v>
      </c>
      <c r="BK72" s="169"/>
      <c r="BL72" s="185">
        <v>0.8</v>
      </c>
      <c r="BM72" s="173">
        <v>0.62</v>
      </c>
      <c r="BN72" s="186"/>
      <c r="BO72" s="187">
        <v>0.95</v>
      </c>
      <c r="BP72" s="182">
        <v>0.96</v>
      </c>
      <c r="BQ72" s="186">
        <v>5.0000000000000001E-4</v>
      </c>
    </row>
    <row r="73" spans="1:69" s="156" customFormat="1" ht="22.35" customHeight="1" x14ac:dyDescent="0.2">
      <c r="A73" s="165" t="s">
        <v>80</v>
      </c>
      <c r="B73" s="165" t="s">
        <v>118</v>
      </c>
      <c r="C73" s="165" t="s">
        <v>127</v>
      </c>
      <c r="D73" s="166">
        <v>2.7606706158888898</v>
      </c>
      <c r="E73" s="167"/>
      <c r="F73" s="168">
        <v>4.9000000000000002E-2</v>
      </c>
      <c r="G73" s="168">
        <v>4.3999999999999997E-2</v>
      </c>
      <c r="H73" s="169"/>
      <c r="I73" s="170">
        <v>4</v>
      </c>
      <c r="J73" s="170">
        <v>4</v>
      </c>
      <c r="K73" s="167"/>
      <c r="L73" s="171">
        <v>2143.2936599999998</v>
      </c>
      <c r="M73" s="171">
        <v>1046.29746</v>
      </c>
      <c r="N73" s="171">
        <v>3189.59112</v>
      </c>
      <c r="O73" s="166">
        <v>1155.36822887978</v>
      </c>
      <c r="P73" s="172">
        <v>276.39800000000002</v>
      </c>
      <c r="Q73" s="178">
        <v>4.1800889618585497</v>
      </c>
      <c r="R73" s="179">
        <v>2310.5646199021899</v>
      </c>
      <c r="S73" s="168">
        <v>0.01</v>
      </c>
      <c r="T73" s="168">
        <v>0.01</v>
      </c>
      <c r="U73" s="175">
        <v>0</v>
      </c>
      <c r="V73" s="176">
        <v>0</v>
      </c>
      <c r="W73" s="167"/>
      <c r="X73" s="175">
        <v>1802.933385</v>
      </c>
      <c r="Y73" s="166">
        <v>653.07805089941405</v>
      </c>
      <c r="Z73" s="177">
        <v>573</v>
      </c>
      <c r="AA73" s="182">
        <v>1.13975227033057</v>
      </c>
      <c r="AB73" s="183">
        <v>-19.374245865792499</v>
      </c>
      <c r="AC73" s="168">
        <v>1.9E-2</v>
      </c>
      <c r="AD73" s="168">
        <v>1.4E-2</v>
      </c>
      <c r="AE73" s="176">
        <v>0</v>
      </c>
      <c r="AF73" s="176">
        <v>96</v>
      </c>
      <c r="AG73" s="167"/>
      <c r="AH73" s="180">
        <v>161.9</v>
      </c>
      <c r="AI73" s="166">
        <v>58.645170875581201</v>
      </c>
      <c r="AJ73" s="181" t="s">
        <v>53</v>
      </c>
      <c r="AK73" s="188">
        <v>0.93087572818382902</v>
      </c>
      <c r="AL73" s="171">
        <v>-38.458430618751997</v>
      </c>
      <c r="AM73" s="168"/>
      <c r="AN73" s="168"/>
      <c r="AO73" s="176">
        <v>13</v>
      </c>
      <c r="AP73" s="176">
        <v>47</v>
      </c>
      <c r="AQ73" s="167"/>
      <c r="AR73" s="180">
        <v>30.8</v>
      </c>
      <c r="AS73" s="166">
        <v>11.1567094686096</v>
      </c>
      <c r="AT73" s="181" t="s">
        <v>54</v>
      </c>
      <c r="AU73" s="173">
        <v>0.69729434178810201</v>
      </c>
      <c r="AV73" s="174">
        <v>-20.084680792063999</v>
      </c>
      <c r="AW73" s="168"/>
      <c r="AX73" s="168"/>
      <c r="AY73" s="176">
        <v>14</v>
      </c>
      <c r="AZ73" s="176">
        <v>23</v>
      </c>
      <c r="BA73" s="167"/>
      <c r="BB73" s="184">
        <v>108</v>
      </c>
      <c r="BC73" s="180">
        <v>39.120929305514302</v>
      </c>
      <c r="BD73" s="181" t="s">
        <v>55</v>
      </c>
      <c r="BE73" s="178">
        <v>1.2225290407973199</v>
      </c>
      <c r="BF73" s="179">
        <v>6.2306384158719803</v>
      </c>
      <c r="BG73" s="168">
        <v>0.02</v>
      </c>
      <c r="BH73" s="168">
        <v>0.02</v>
      </c>
      <c r="BI73" s="176">
        <v>0</v>
      </c>
      <c r="BJ73" s="176">
        <v>0</v>
      </c>
      <c r="BK73" s="169"/>
      <c r="BL73" s="185">
        <v>0.8</v>
      </c>
      <c r="BM73" s="188">
        <v>0.72</v>
      </c>
      <c r="BN73" s="186"/>
      <c r="BO73" s="187">
        <v>0.95</v>
      </c>
      <c r="BP73" s="178">
        <v>1</v>
      </c>
      <c r="BQ73" s="186">
        <v>2.5000000000000001E-3</v>
      </c>
    </row>
    <row r="74" spans="1:69" s="156" customFormat="1" ht="22.35" customHeight="1" x14ac:dyDescent="0.2">
      <c r="A74" s="165" t="s">
        <v>80</v>
      </c>
      <c r="B74" s="165" t="s">
        <v>118</v>
      </c>
      <c r="C74" s="165" t="s">
        <v>128</v>
      </c>
      <c r="D74" s="166">
        <v>5.5965996495555599</v>
      </c>
      <c r="E74" s="167"/>
      <c r="F74" s="168">
        <v>3.95E-2</v>
      </c>
      <c r="G74" s="168">
        <v>3.6999999999999998E-2</v>
      </c>
      <c r="H74" s="169"/>
      <c r="I74" s="170">
        <v>4</v>
      </c>
      <c r="J74" s="170">
        <v>4</v>
      </c>
      <c r="K74" s="167"/>
      <c r="L74" s="171">
        <v>2681.7170299999998</v>
      </c>
      <c r="M74" s="171">
        <v>1446.9032099999999</v>
      </c>
      <c r="N74" s="171">
        <v>4128.6202400000002</v>
      </c>
      <c r="O74" s="166">
        <v>737.70155067780604</v>
      </c>
      <c r="P74" s="172">
        <v>242.33799999999999</v>
      </c>
      <c r="Q74" s="178">
        <v>3.0441018357740299</v>
      </c>
      <c r="R74" s="179">
        <v>2566.1986217131598</v>
      </c>
      <c r="S74" s="168">
        <v>0.01</v>
      </c>
      <c r="T74" s="168">
        <v>0.01</v>
      </c>
      <c r="U74" s="175">
        <v>0</v>
      </c>
      <c r="V74" s="176">
        <v>0</v>
      </c>
      <c r="W74" s="167"/>
      <c r="X74" s="175">
        <v>2384.00342</v>
      </c>
      <c r="Y74" s="166">
        <v>425.973549883869</v>
      </c>
      <c r="Z74" s="177">
        <v>573</v>
      </c>
      <c r="AA74" s="173">
        <v>0.74340933662106401</v>
      </c>
      <c r="AB74" s="174">
        <v>-1310.2896222730301</v>
      </c>
      <c r="AC74" s="168"/>
      <c r="AD74" s="168"/>
      <c r="AE74" s="176">
        <v>823</v>
      </c>
      <c r="AF74" s="176">
        <v>1465</v>
      </c>
      <c r="AG74" s="167"/>
      <c r="AH74" s="180">
        <v>276.7</v>
      </c>
      <c r="AI74" s="166">
        <v>49.440734968772297</v>
      </c>
      <c r="AJ74" s="181" t="s">
        <v>53</v>
      </c>
      <c r="AK74" s="188">
        <v>0.78477357093289302</v>
      </c>
      <c r="AL74" s="171">
        <v>-129.47881616614399</v>
      </c>
      <c r="AM74" s="168"/>
      <c r="AN74" s="168"/>
      <c r="AO74" s="176">
        <v>76</v>
      </c>
      <c r="AP74" s="176">
        <v>147</v>
      </c>
      <c r="AQ74" s="167"/>
      <c r="AR74" s="180">
        <v>102.5</v>
      </c>
      <c r="AS74" s="166">
        <v>18.3146922092489</v>
      </c>
      <c r="AT74" s="181" t="s">
        <v>54</v>
      </c>
      <c r="AU74" s="182">
        <v>1.14466826307805</v>
      </c>
      <c r="AV74" s="183">
        <v>-0.656524740608049</v>
      </c>
      <c r="AW74" s="168">
        <v>9.4999999999999998E-3</v>
      </c>
      <c r="AX74" s="168">
        <v>7.0000000000000001E-3</v>
      </c>
      <c r="AY74" s="176">
        <v>0</v>
      </c>
      <c r="AZ74" s="176">
        <v>5</v>
      </c>
      <c r="BA74" s="167"/>
      <c r="BB74" s="184">
        <v>265.60000000000002</v>
      </c>
      <c r="BC74" s="180">
        <v>47.457387812453597</v>
      </c>
      <c r="BD74" s="181" t="s">
        <v>55</v>
      </c>
      <c r="BE74" s="178">
        <v>1.48304336913918</v>
      </c>
      <c r="BF74" s="179">
        <v>59.286950518783897</v>
      </c>
      <c r="BG74" s="168">
        <v>0.02</v>
      </c>
      <c r="BH74" s="168">
        <v>0.02</v>
      </c>
      <c r="BI74" s="176">
        <v>0</v>
      </c>
      <c r="BJ74" s="176">
        <v>0</v>
      </c>
      <c r="BK74" s="169"/>
      <c r="BL74" s="185">
        <v>0.8</v>
      </c>
      <c r="BM74" s="173">
        <v>0.69</v>
      </c>
      <c r="BN74" s="186"/>
      <c r="BO74" s="187">
        <v>0.95</v>
      </c>
      <c r="BP74" s="178">
        <v>1</v>
      </c>
      <c r="BQ74" s="186">
        <v>2.5000000000000001E-3</v>
      </c>
    </row>
    <row r="75" spans="1:69" s="156" customFormat="1" ht="22.35" customHeight="1" x14ac:dyDescent="0.2">
      <c r="A75" s="165" t="s">
        <v>80</v>
      </c>
      <c r="B75" s="165" t="s">
        <v>118</v>
      </c>
      <c r="C75" s="165" t="s">
        <v>129</v>
      </c>
      <c r="D75" s="166">
        <v>4.2868855297777797</v>
      </c>
      <c r="E75" s="167"/>
      <c r="F75" s="168"/>
      <c r="G75" s="168"/>
      <c r="H75" s="169"/>
      <c r="I75" s="170">
        <v>0</v>
      </c>
      <c r="J75" s="170">
        <v>0</v>
      </c>
      <c r="K75" s="167"/>
      <c r="L75" s="171">
        <v>2236.3490299999999</v>
      </c>
      <c r="M75" s="171">
        <v>-1476.98821</v>
      </c>
      <c r="N75" s="171">
        <v>759.36081999999999</v>
      </c>
      <c r="O75" s="166">
        <v>177.13578184565199</v>
      </c>
      <c r="P75" s="172">
        <v>275.59500000000003</v>
      </c>
      <c r="Q75" s="173">
        <v>0.64273946133149096</v>
      </c>
      <c r="R75" s="174">
        <v>-601.66291865113101</v>
      </c>
      <c r="S75" s="168"/>
      <c r="T75" s="168"/>
      <c r="U75" s="175">
        <v>423</v>
      </c>
      <c r="V75" s="176">
        <v>659</v>
      </c>
      <c r="W75" s="167"/>
      <c r="X75" s="175">
        <v>2330.24368</v>
      </c>
      <c r="Y75" s="166">
        <v>543.57497157634498</v>
      </c>
      <c r="Z75" s="177">
        <v>573</v>
      </c>
      <c r="AA75" s="188">
        <v>0.94864741985400503</v>
      </c>
      <c r="AB75" s="171">
        <v>-499.51231066419302</v>
      </c>
      <c r="AC75" s="168"/>
      <c r="AD75" s="168"/>
      <c r="AE75" s="176">
        <v>127</v>
      </c>
      <c r="AF75" s="176">
        <v>618</v>
      </c>
      <c r="AG75" s="167"/>
      <c r="AH75" s="180">
        <v>170.9</v>
      </c>
      <c r="AI75" s="166">
        <v>39.865771738686703</v>
      </c>
      <c r="AJ75" s="181" t="s">
        <v>53</v>
      </c>
      <c r="AK75" s="173">
        <v>0.63279002759820202</v>
      </c>
      <c r="AL75" s="174">
        <v>-140.22500420915199</v>
      </c>
      <c r="AM75" s="168"/>
      <c r="AN75" s="168"/>
      <c r="AO75" s="176">
        <v>100</v>
      </c>
      <c r="AP75" s="176">
        <v>154</v>
      </c>
      <c r="AQ75" s="167"/>
      <c r="AR75" s="180">
        <v>10</v>
      </c>
      <c r="AS75" s="166">
        <v>2.3326958302332801</v>
      </c>
      <c r="AT75" s="181" t="s">
        <v>54</v>
      </c>
      <c r="AU75" s="173">
        <v>0.14579348938958001</v>
      </c>
      <c r="AV75" s="174">
        <v>-69.015874084863995</v>
      </c>
      <c r="AW75" s="168"/>
      <c r="AX75" s="168"/>
      <c r="AY75" s="176">
        <v>59</v>
      </c>
      <c r="AZ75" s="176">
        <v>73</v>
      </c>
      <c r="BA75" s="167"/>
      <c r="BB75" s="184">
        <v>126.4</v>
      </c>
      <c r="BC75" s="180">
        <v>29.4852752941486</v>
      </c>
      <c r="BD75" s="181" t="s">
        <v>55</v>
      </c>
      <c r="BE75" s="188">
        <v>0.92141485294214498</v>
      </c>
      <c r="BF75" s="171">
        <v>-31.631748169727999</v>
      </c>
      <c r="BG75" s="168"/>
      <c r="BH75" s="168"/>
      <c r="BI75" s="176">
        <v>11</v>
      </c>
      <c r="BJ75" s="176">
        <v>39</v>
      </c>
      <c r="BK75" s="169"/>
      <c r="BL75" s="185">
        <v>0.8</v>
      </c>
      <c r="BM75" s="188">
        <v>0.72</v>
      </c>
      <c r="BN75" s="186"/>
      <c r="BO75" s="187">
        <v>0.95</v>
      </c>
      <c r="BP75" s="188">
        <v>0.9</v>
      </c>
      <c r="BQ75" s="186"/>
    </row>
    <row r="76" spans="1:69" s="156" customFormat="1" ht="22.35" customHeight="1" x14ac:dyDescent="0.2">
      <c r="A76" s="165" t="s">
        <v>80</v>
      </c>
      <c r="B76" s="165" t="s">
        <v>118</v>
      </c>
      <c r="C76" s="165" t="s">
        <v>130</v>
      </c>
      <c r="D76" s="166">
        <v>5.9599043151111104</v>
      </c>
      <c r="E76" s="167"/>
      <c r="F76" s="168">
        <v>0.03</v>
      </c>
      <c r="G76" s="168">
        <v>2.1999999999999999E-2</v>
      </c>
      <c r="H76" s="169"/>
      <c r="I76" s="170">
        <v>4</v>
      </c>
      <c r="J76" s="170">
        <v>3</v>
      </c>
      <c r="K76" s="167"/>
      <c r="L76" s="171">
        <v>5595.1314499999999</v>
      </c>
      <c r="M76" s="171">
        <v>5570.76379</v>
      </c>
      <c r="N76" s="171">
        <v>11165.89524</v>
      </c>
      <c r="O76" s="166">
        <v>1873.5024338711801</v>
      </c>
      <c r="P76" s="172">
        <v>283.69400000000002</v>
      </c>
      <c r="Q76" s="178">
        <v>6.6039550849548503</v>
      </c>
      <c r="R76" s="179">
        <v>9218.1062028236593</v>
      </c>
      <c r="S76" s="168">
        <v>0.01</v>
      </c>
      <c r="T76" s="168">
        <v>0.01</v>
      </c>
      <c r="U76" s="175">
        <v>0</v>
      </c>
      <c r="V76" s="176">
        <v>0</v>
      </c>
      <c r="W76" s="167"/>
      <c r="X76" s="175">
        <v>3398.10059</v>
      </c>
      <c r="Y76" s="166">
        <v>570.16025934917195</v>
      </c>
      <c r="Z76" s="177">
        <v>573</v>
      </c>
      <c r="AA76" s="182">
        <v>0.99504408263380795</v>
      </c>
      <c r="AB76" s="183">
        <v>-536.00840878758299</v>
      </c>
      <c r="AC76" s="168">
        <v>4.0000000000000001E-3</v>
      </c>
      <c r="AD76" s="168">
        <v>0</v>
      </c>
      <c r="AE76" s="176">
        <v>17</v>
      </c>
      <c r="AF76" s="176">
        <v>700</v>
      </c>
      <c r="AG76" s="167"/>
      <c r="AH76" s="180">
        <v>257.5</v>
      </c>
      <c r="AI76" s="166">
        <v>43.205391628036502</v>
      </c>
      <c r="AJ76" s="181" t="s">
        <v>53</v>
      </c>
      <c r="AK76" s="173">
        <v>0.68579986711169005</v>
      </c>
      <c r="AL76" s="174">
        <v>-175.04601557350401</v>
      </c>
      <c r="AM76" s="168"/>
      <c r="AN76" s="168"/>
      <c r="AO76" s="176">
        <v>118</v>
      </c>
      <c r="AP76" s="176">
        <v>194</v>
      </c>
      <c r="AQ76" s="167"/>
      <c r="AR76" s="180">
        <v>33.799999999999997</v>
      </c>
      <c r="AS76" s="166">
        <v>5.6712319884568299</v>
      </c>
      <c r="AT76" s="181" t="s">
        <v>54</v>
      </c>
      <c r="AU76" s="173">
        <v>0.35445199927855198</v>
      </c>
      <c r="AV76" s="174">
        <v>-76.052956336128005</v>
      </c>
      <c r="AW76" s="168"/>
      <c r="AX76" s="168"/>
      <c r="AY76" s="176">
        <v>62</v>
      </c>
      <c r="AZ76" s="176">
        <v>81</v>
      </c>
      <c r="BA76" s="167"/>
      <c r="BB76" s="184">
        <v>213</v>
      </c>
      <c r="BC76" s="180">
        <v>35.738828802997098</v>
      </c>
      <c r="BD76" s="181" t="s">
        <v>55</v>
      </c>
      <c r="BE76" s="182">
        <v>1.11683840009366</v>
      </c>
      <c r="BF76" s="183">
        <v>-6.7059126722559199</v>
      </c>
      <c r="BG76" s="168">
        <v>1.6E-2</v>
      </c>
      <c r="BH76" s="168">
        <v>1.2E-2</v>
      </c>
      <c r="BI76" s="176">
        <v>0</v>
      </c>
      <c r="BJ76" s="176">
        <v>16</v>
      </c>
      <c r="BK76" s="169"/>
      <c r="BL76" s="185">
        <v>0.8</v>
      </c>
      <c r="BM76" s="173">
        <v>0.62</v>
      </c>
      <c r="BN76" s="186"/>
      <c r="BO76" s="187">
        <v>0.95</v>
      </c>
      <c r="BP76" s="178">
        <v>1</v>
      </c>
      <c r="BQ76" s="186">
        <v>2.5000000000000001E-3</v>
      </c>
    </row>
    <row r="77" spans="1:69" s="156" customFormat="1" ht="22.35" customHeight="1" x14ac:dyDescent="0.2">
      <c r="A77" s="165" t="s">
        <v>80</v>
      </c>
      <c r="B77" s="165" t="s">
        <v>118</v>
      </c>
      <c r="C77" s="165" t="s">
        <v>131</v>
      </c>
      <c r="D77" s="166">
        <v>8.4737407848888893</v>
      </c>
      <c r="E77" s="167"/>
      <c r="F77" s="168">
        <v>3.6499999999999998E-2</v>
      </c>
      <c r="G77" s="168">
        <v>3.2500000000000001E-2</v>
      </c>
      <c r="H77" s="169"/>
      <c r="I77" s="170">
        <v>5</v>
      </c>
      <c r="J77" s="170">
        <v>4</v>
      </c>
      <c r="K77" s="167"/>
      <c r="L77" s="171">
        <v>14439.212750000001</v>
      </c>
      <c r="M77" s="171">
        <v>6841.5149600000004</v>
      </c>
      <c r="N77" s="171">
        <v>21280.727709999999</v>
      </c>
      <c r="O77" s="166">
        <v>2511.3734595173901</v>
      </c>
      <c r="P77" s="172">
        <v>248.64599999999999</v>
      </c>
      <c r="Q77" s="178">
        <v>10.100196502326201</v>
      </c>
      <c r="R77" s="179">
        <v>18853.507772618199</v>
      </c>
      <c r="S77" s="168">
        <v>0.01</v>
      </c>
      <c r="T77" s="168">
        <v>0.01</v>
      </c>
      <c r="U77" s="175">
        <v>0</v>
      </c>
      <c r="V77" s="176">
        <v>0</v>
      </c>
      <c r="W77" s="167"/>
      <c r="X77" s="175">
        <v>3394.1264000000001</v>
      </c>
      <c r="Y77" s="166">
        <v>400.546404021787</v>
      </c>
      <c r="Z77" s="177">
        <v>573</v>
      </c>
      <c r="AA77" s="173">
        <v>0.69903386391236799</v>
      </c>
      <c r="AB77" s="174">
        <v>-2199.35599714202</v>
      </c>
      <c r="AC77" s="168"/>
      <c r="AD77" s="168"/>
      <c r="AE77" s="176">
        <v>1462</v>
      </c>
      <c r="AF77" s="176">
        <v>2433</v>
      </c>
      <c r="AG77" s="167"/>
      <c r="AH77" s="180">
        <v>524.6</v>
      </c>
      <c r="AI77" s="166">
        <v>61.908903436781102</v>
      </c>
      <c r="AJ77" s="181" t="s">
        <v>53</v>
      </c>
      <c r="AK77" s="182">
        <v>0.98268100693303295</v>
      </c>
      <c r="AL77" s="183">
        <v>-90.390211204096005</v>
      </c>
      <c r="AM77" s="168">
        <v>2E-3</v>
      </c>
      <c r="AN77" s="168"/>
      <c r="AO77" s="176">
        <v>10</v>
      </c>
      <c r="AP77" s="176">
        <v>117</v>
      </c>
      <c r="AQ77" s="167"/>
      <c r="AR77" s="180">
        <v>141.80000000000001</v>
      </c>
      <c r="AS77" s="166">
        <v>16.7340497661753</v>
      </c>
      <c r="AT77" s="181" t="s">
        <v>54</v>
      </c>
      <c r="AU77" s="182">
        <v>1.04587811038596</v>
      </c>
      <c r="AV77" s="183">
        <v>-14.387990147071999</v>
      </c>
      <c r="AW77" s="168">
        <v>4.4999999999999997E-3</v>
      </c>
      <c r="AX77" s="168">
        <v>2.5000000000000001E-3</v>
      </c>
      <c r="AY77" s="176">
        <v>0</v>
      </c>
      <c r="AZ77" s="176">
        <v>21</v>
      </c>
      <c r="BA77" s="167"/>
      <c r="BB77" s="184">
        <v>697.8</v>
      </c>
      <c r="BC77" s="180">
        <v>82.348518524944495</v>
      </c>
      <c r="BD77" s="181" t="s">
        <v>55</v>
      </c>
      <c r="BE77" s="178">
        <v>2.5733912039045101</v>
      </c>
      <c r="BF77" s="179">
        <v>385.42401970585598</v>
      </c>
      <c r="BG77" s="168">
        <v>0.02</v>
      </c>
      <c r="BH77" s="168">
        <v>0.02</v>
      </c>
      <c r="BI77" s="176">
        <v>0</v>
      </c>
      <c r="BJ77" s="176">
        <v>0</v>
      </c>
      <c r="BK77" s="169"/>
      <c r="BL77" s="185">
        <v>0.8</v>
      </c>
      <c r="BM77" s="173">
        <v>0.57999999999999996</v>
      </c>
      <c r="BN77" s="186"/>
      <c r="BO77" s="187">
        <v>0.95</v>
      </c>
      <c r="BP77" s="178">
        <v>1</v>
      </c>
      <c r="BQ77" s="186">
        <v>2.5000000000000001E-3</v>
      </c>
    </row>
    <row r="78" spans="1:69" s="156" customFormat="1" ht="22.35" customHeight="1" x14ac:dyDescent="0.2">
      <c r="A78" s="165" t="s">
        <v>80</v>
      </c>
      <c r="B78" s="165" t="s">
        <v>118</v>
      </c>
      <c r="C78" s="165" t="s">
        <v>132</v>
      </c>
      <c r="D78" s="166">
        <v>2.7902579681111099</v>
      </c>
      <c r="E78" s="167"/>
      <c r="F78" s="168">
        <v>1.2E-2</v>
      </c>
      <c r="G78" s="168">
        <v>8.0000000000000002E-3</v>
      </c>
      <c r="H78" s="169"/>
      <c r="I78" s="170">
        <v>1</v>
      </c>
      <c r="J78" s="170">
        <v>1</v>
      </c>
      <c r="K78" s="167"/>
      <c r="L78" s="171">
        <v>870.17633999999998</v>
      </c>
      <c r="M78" s="171">
        <v>-766.94721000000004</v>
      </c>
      <c r="N78" s="171">
        <v>103.22913</v>
      </c>
      <c r="O78" s="166">
        <v>36.996267434685201</v>
      </c>
      <c r="P78" s="172">
        <v>256.80599999999998</v>
      </c>
      <c r="Q78" s="173">
        <v>0.144063096012886</v>
      </c>
      <c r="R78" s="174">
        <v>-722.24221589806996</v>
      </c>
      <c r="S78" s="168"/>
      <c r="T78" s="168"/>
      <c r="U78" s="175">
        <v>614</v>
      </c>
      <c r="V78" s="176">
        <v>757</v>
      </c>
      <c r="W78" s="167"/>
      <c r="X78" s="175">
        <v>631.27008499999999</v>
      </c>
      <c r="Y78" s="166">
        <v>226.24076060872</v>
      </c>
      <c r="Z78" s="177">
        <v>573</v>
      </c>
      <c r="AA78" s="173">
        <v>0.39483553334855198</v>
      </c>
      <c r="AB78" s="174">
        <v>-1210.5680387182699</v>
      </c>
      <c r="AC78" s="168"/>
      <c r="AD78" s="168"/>
      <c r="AE78" s="176">
        <v>968</v>
      </c>
      <c r="AF78" s="176">
        <v>1288</v>
      </c>
      <c r="AG78" s="167"/>
      <c r="AH78" s="180">
        <v>131.44999999999999</v>
      </c>
      <c r="AI78" s="166">
        <v>47.110339438968097</v>
      </c>
      <c r="AJ78" s="181" t="s">
        <v>53</v>
      </c>
      <c r="AK78" s="173">
        <v>0.74778316569790704</v>
      </c>
      <c r="AL78" s="174">
        <v>-71.055762293631901</v>
      </c>
      <c r="AM78" s="168"/>
      <c r="AN78" s="168"/>
      <c r="AO78" s="176">
        <v>45</v>
      </c>
      <c r="AP78" s="176">
        <v>80</v>
      </c>
      <c r="AQ78" s="167"/>
      <c r="AR78" s="180">
        <v>17.3</v>
      </c>
      <c r="AS78" s="166">
        <v>6.2001435701342604</v>
      </c>
      <c r="AT78" s="181" t="s">
        <v>54</v>
      </c>
      <c r="AU78" s="173">
        <v>0.387508973133391</v>
      </c>
      <c r="AV78" s="174">
        <v>-34.130034868224001</v>
      </c>
      <c r="AW78" s="168"/>
      <c r="AX78" s="168"/>
      <c r="AY78" s="176">
        <v>28</v>
      </c>
      <c r="AZ78" s="176">
        <v>37</v>
      </c>
      <c r="BA78" s="167"/>
      <c r="BB78" s="184">
        <v>96.4</v>
      </c>
      <c r="BC78" s="180">
        <v>34.5487768879158</v>
      </c>
      <c r="BD78" s="181" t="s">
        <v>55</v>
      </c>
      <c r="BE78" s="182">
        <v>1.0796492777473701</v>
      </c>
      <c r="BF78" s="183">
        <v>-6.4600697364479496</v>
      </c>
      <c r="BG78" s="168">
        <v>1.2E-2</v>
      </c>
      <c r="BH78" s="168">
        <v>8.0000000000000002E-3</v>
      </c>
      <c r="BI78" s="176">
        <v>0</v>
      </c>
      <c r="BJ78" s="176">
        <v>11</v>
      </c>
      <c r="BK78" s="169"/>
      <c r="BL78" s="185">
        <v>0.8</v>
      </c>
      <c r="BM78" s="188">
        <v>0.73</v>
      </c>
      <c r="BN78" s="186"/>
      <c r="BO78" s="187">
        <v>0.95</v>
      </c>
      <c r="BP78" s="188">
        <v>0.88</v>
      </c>
      <c r="BQ78" s="186"/>
    </row>
    <row r="79" spans="1:69" s="156" customFormat="1" ht="22.35" customHeight="1" x14ac:dyDescent="0.2">
      <c r="A79" s="165" t="s">
        <v>80</v>
      </c>
      <c r="B79" s="165" t="s">
        <v>118</v>
      </c>
      <c r="C79" s="165" t="s">
        <v>133</v>
      </c>
      <c r="D79" s="166">
        <v>2.4499054332222201</v>
      </c>
      <c r="E79" s="167"/>
      <c r="F79" s="168">
        <v>6.5000000000000002E-2</v>
      </c>
      <c r="G79" s="168">
        <v>6.3E-2</v>
      </c>
      <c r="H79" s="169"/>
      <c r="I79" s="170">
        <v>5</v>
      </c>
      <c r="J79" s="170">
        <v>5</v>
      </c>
      <c r="K79" s="167"/>
      <c r="L79" s="171">
        <v>1145.66986</v>
      </c>
      <c r="M79" s="171">
        <v>-497.52332000000001</v>
      </c>
      <c r="N79" s="171">
        <v>648.14653999999996</v>
      </c>
      <c r="O79" s="166">
        <v>264.55981982436299</v>
      </c>
      <c r="P79" s="172">
        <v>249.55500000000001</v>
      </c>
      <c r="Q79" s="182">
        <v>1.0601263041187801</v>
      </c>
      <c r="R79" s="183">
        <v>-56.170305246712097</v>
      </c>
      <c r="S79" s="168">
        <v>5.0000000000000001E-3</v>
      </c>
      <c r="T79" s="168">
        <v>3.0000000000000001E-3</v>
      </c>
      <c r="U79" s="175">
        <v>0</v>
      </c>
      <c r="V79" s="176">
        <v>86</v>
      </c>
      <c r="W79" s="167"/>
      <c r="X79" s="175">
        <v>1702.55332</v>
      </c>
      <c r="Y79" s="166">
        <v>694.946546471685</v>
      </c>
      <c r="Z79" s="177">
        <v>573</v>
      </c>
      <c r="AA79" s="178">
        <v>1.2128211980308601</v>
      </c>
      <c r="AB79" s="179">
        <v>85.380543151745798</v>
      </c>
      <c r="AC79" s="168">
        <v>0.02</v>
      </c>
      <c r="AD79" s="168">
        <v>0.02</v>
      </c>
      <c r="AE79" s="176">
        <v>0</v>
      </c>
      <c r="AF79" s="176">
        <v>0</v>
      </c>
      <c r="AG79" s="167"/>
      <c r="AH79" s="180">
        <v>209.9</v>
      </c>
      <c r="AI79" s="166">
        <v>85.676776398642602</v>
      </c>
      <c r="AJ79" s="181" t="s">
        <v>53</v>
      </c>
      <c r="AK79" s="178">
        <v>1.3599488317244901</v>
      </c>
      <c r="AL79" s="179">
        <v>32.095663278464201</v>
      </c>
      <c r="AM79" s="168">
        <v>0.02</v>
      </c>
      <c r="AN79" s="168">
        <v>0.02</v>
      </c>
      <c r="AO79" s="176">
        <v>0</v>
      </c>
      <c r="AP79" s="176">
        <v>0</v>
      </c>
      <c r="AQ79" s="167"/>
      <c r="AR79" s="180">
        <v>19.8</v>
      </c>
      <c r="AS79" s="166">
        <v>8.0819446054936801</v>
      </c>
      <c r="AT79" s="181" t="s">
        <v>54</v>
      </c>
      <c r="AU79" s="173">
        <v>0.50512153784335501</v>
      </c>
      <c r="AV79" s="174">
        <v>-25.356656945151901</v>
      </c>
      <c r="AW79" s="168"/>
      <c r="AX79" s="168"/>
      <c r="AY79" s="176">
        <v>20</v>
      </c>
      <c r="AZ79" s="176">
        <v>28</v>
      </c>
      <c r="BA79" s="167"/>
      <c r="BB79" s="184">
        <v>145</v>
      </c>
      <c r="BC79" s="180">
        <v>59.185957969524402</v>
      </c>
      <c r="BD79" s="181" t="s">
        <v>55</v>
      </c>
      <c r="BE79" s="178">
        <v>1.84956118654764</v>
      </c>
      <c r="BF79" s="179">
        <v>54.686686109696097</v>
      </c>
      <c r="BG79" s="168">
        <v>0.02</v>
      </c>
      <c r="BH79" s="168">
        <v>0.02</v>
      </c>
      <c r="BI79" s="176">
        <v>0</v>
      </c>
      <c r="BJ79" s="176">
        <v>0</v>
      </c>
      <c r="BK79" s="169"/>
      <c r="BL79" s="185">
        <v>0.8</v>
      </c>
      <c r="BM79" s="173">
        <v>0.67</v>
      </c>
      <c r="BN79" s="186"/>
      <c r="BO79" s="187">
        <v>0.95</v>
      </c>
      <c r="BP79" s="178">
        <v>1</v>
      </c>
      <c r="BQ79" s="186">
        <v>2.5000000000000001E-3</v>
      </c>
    </row>
    <row r="80" spans="1:69" s="156" customFormat="1" ht="22.35" customHeight="1" x14ac:dyDescent="0.2">
      <c r="A80" s="165" t="s">
        <v>80</v>
      </c>
      <c r="B80" s="165" t="s">
        <v>118</v>
      </c>
      <c r="C80" s="165" t="s">
        <v>134</v>
      </c>
      <c r="D80" s="166">
        <v>2.67748065066667</v>
      </c>
      <c r="E80" s="167"/>
      <c r="F80" s="168">
        <v>0.05</v>
      </c>
      <c r="G80" s="168">
        <v>4.4999999999999998E-2</v>
      </c>
      <c r="H80" s="169"/>
      <c r="I80" s="170">
        <v>4</v>
      </c>
      <c r="J80" s="170">
        <v>4</v>
      </c>
      <c r="K80" s="167"/>
      <c r="L80" s="171">
        <v>1405.8121000000001</v>
      </c>
      <c r="M80" s="171">
        <v>699.39431000000002</v>
      </c>
      <c r="N80" s="171">
        <v>2105.2064099999998</v>
      </c>
      <c r="O80" s="166">
        <v>786.26391173950196</v>
      </c>
      <c r="P80" s="172">
        <v>236.18299999999999</v>
      </c>
      <c r="Q80" s="178">
        <v>3.3290453239204401</v>
      </c>
      <c r="R80" s="179">
        <v>1376.7099347810999</v>
      </c>
      <c r="S80" s="168">
        <v>0.01</v>
      </c>
      <c r="T80" s="168">
        <v>0.01</v>
      </c>
      <c r="U80" s="175">
        <v>0</v>
      </c>
      <c r="V80" s="176">
        <v>0</v>
      </c>
      <c r="W80" s="167"/>
      <c r="X80" s="175">
        <v>1461.0555300000001</v>
      </c>
      <c r="Y80" s="166">
        <v>545.68294625629198</v>
      </c>
      <c r="Z80" s="177">
        <v>573</v>
      </c>
      <c r="AA80" s="188">
        <v>0.95232625873698395</v>
      </c>
      <c r="AB80" s="171">
        <v>-306.33873758246602</v>
      </c>
      <c r="AC80" s="168"/>
      <c r="AD80" s="168"/>
      <c r="AE80" s="176">
        <v>74</v>
      </c>
      <c r="AF80" s="176">
        <v>380</v>
      </c>
      <c r="AG80" s="167"/>
      <c r="AH80" s="180">
        <v>194.55</v>
      </c>
      <c r="AI80" s="166">
        <v>72.6615895250481</v>
      </c>
      <c r="AJ80" s="181" t="s">
        <v>53</v>
      </c>
      <c r="AK80" s="178">
        <v>1.15335856388965</v>
      </c>
      <c r="AL80" s="179">
        <v>0.22916429721576001</v>
      </c>
      <c r="AM80" s="168">
        <v>0.02</v>
      </c>
      <c r="AN80" s="168">
        <v>1.4999999999999999E-2</v>
      </c>
      <c r="AO80" s="176">
        <v>0</v>
      </c>
      <c r="AP80" s="176">
        <v>8</v>
      </c>
      <c r="AQ80" s="167"/>
      <c r="AR80" s="180">
        <v>34.200000000000003</v>
      </c>
      <c r="AS80" s="166">
        <v>12.773201551049301</v>
      </c>
      <c r="AT80" s="181" t="s">
        <v>54</v>
      </c>
      <c r="AU80" s="188">
        <v>0.79832509694058196</v>
      </c>
      <c r="AV80" s="171">
        <v>-15.151323353088101</v>
      </c>
      <c r="AW80" s="168"/>
      <c r="AX80" s="168"/>
      <c r="AY80" s="176">
        <v>9</v>
      </c>
      <c r="AZ80" s="176">
        <v>18</v>
      </c>
      <c r="BA80" s="167"/>
      <c r="BB80" s="184">
        <v>138.6</v>
      </c>
      <c r="BC80" s="180">
        <v>51.765079970042002</v>
      </c>
      <c r="BD80" s="181" t="s">
        <v>55</v>
      </c>
      <c r="BE80" s="178">
        <v>1.6176587490638099</v>
      </c>
      <c r="BF80" s="179">
        <v>39.897353293823898</v>
      </c>
      <c r="BG80" s="168">
        <v>0.02</v>
      </c>
      <c r="BH80" s="168">
        <v>0.02</v>
      </c>
      <c r="BI80" s="176">
        <v>0</v>
      </c>
      <c r="BJ80" s="176">
        <v>0</v>
      </c>
      <c r="BK80" s="169"/>
      <c r="BL80" s="185">
        <v>0.8</v>
      </c>
      <c r="BM80" s="173">
        <v>0.68</v>
      </c>
      <c r="BN80" s="186"/>
      <c r="BO80" s="187">
        <v>0.95</v>
      </c>
      <c r="BP80" s="178">
        <v>1</v>
      </c>
      <c r="BQ80" s="186">
        <v>2.5000000000000001E-3</v>
      </c>
    </row>
    <row r="81" spans="1:69" s="156" customFormat="1" ht="22.35" customHeight="1" x14ac:dyDescent="0.2">
      <c r="A81" s="165" t="s">
        <v>80</v>
      </c>
      <c r="B81" s="165" t="s">
        <v>118</v>
      </c>
      <c r="C81" s="165" t="s">
        <v>135</v>
      </c>
      <c r="D81" s="166">
        <v>5.56134457377778</v>
      </c>
      <c r="E81" s="167"/>
      <c r="F81" s="168">
        <v>0.03</v>
      </c>
      <c r="G81" s="168">
        <v>0.03</v>
      </c>
      <c r="H81" s="169"/>
      <c r="I81" s="170">
        <v>3</v>
      </c>
      <c r="J81" s="170">
        <v>3</v>
      </c>
      <c r="K81" s="167"/>
      <c r="L81" s="171">
        <v>3461.32053</v>
      </c>
      <c r="M81" s="171">
        <v>489.49419</v>
      </c>
      <c r="N81" s="171">
        <v>3950.8147199999999</v>
      </c>
      <c r="O81" s="166">
        <v>710.40638960377203</v>
      </c>
      <c r="P81" s="172">
        <v>255.63</v>
      </c>
      <c r="Q81" s="178">
        <v>2.7790415428696602</v>
      </c>
      <c r="R81" s="179">
        <v>2313.0779365691801</v>
      </c>
      <c r="S81" s="168">
        <v>0.01</v>
      </c>
      <c r="T81" s="168">
        <v>0.01</v>
      </c>
      <c r="U81" s="175">
        <v>0</v>
      </c>
      <c r="V81" s="176">
        <v>0</v>
      </c>
      <c r="W81" s="167"/>
      <c r="X81" s="175">
        <v>2409.0119549999999</v>
      </c>
      <c r="Y81" s="166">
        <v>433.17077786524902</v>
      </c>
      <c r="Z81" s="177">
        <v>573</v>
      </c>
      <c r="AA81" s="173">
        <v>0.75596994391840999</v>
      </c>
      <c r="AB81" s="174">
        <v>-1262.00935277242</v>
      </c>
      <c r="AC81" s="168"/>
      <c r="AD81" s="168"/>
      <c r="AE81" s="176">
        <v>778</v>
      </c>
      <c r="AF81" s="176">
        <v>1415</v>
      </c>
      <c r="AG81" s="167"/>
      <c r="AH81" s="180">
        <v>253.5</v>
      </c>
      <c r="AI81" s="166">
        <v>45.582501971784801</v>
      </c>
      <c r="AJ81" s="181" t="s">
        <v>53</v>
      </c>
      <c r="AK81" s="173">
        <v>0.72353177732991703</v>
      </c>
      <c r="AL81" s="174">
        <v>-150.12014378649599</v>
      </c>
      <c r="AM81" s="168"/>
      <c r="AN81" s="168"/>
      <c r="AO81" s="176">
        <v>97</v>
      </c>
      <c r="AP81" s="176">
        <v>167</v>
      </c>
      <c r="AQ81" s="167"/>
      <c r="AR81" s="180">
        <v>43.8</v>
      </c>
      <c r="AS81" s="166">
        <v>7.8757932400953496</v>
      </c>
      <c r="AT81" s="181" t="s">
        <v>54</v>
      </c>
      <c r="AU81" s="173">
        <v>0.49223707750595902</v>
      </c>
      <c r="AV81" s="174">
        <v>-58.706703183872001</v>
      </c>
      <c r="AW81" s="168"/>
      <c r="AX81" s="168"/>
      <c r="AY81" s="176">
        <v>46</v>
      </c>
      <c r="AZ81" s="176">
        <v>63</v>
      </c>
      <c r="BA81" s="167"/>
      <c r="BB81" s="184">
        <v>220.2</v>
      </c>
      <c r="BC81" s="180">
        <v>39.5947413577397</v>
      </c>
      <c r="BD81" s="181" t="s">
        <v>55</v>
      </c>
      <c r="BE81" s="178">
        <v>1.2373356674293601</v>
      </c>
      <c r="BF81" s="179">
        <v>15.186593632255899</v>
      </c>
      <c r="BG81" s="168">
        <v>0.02</v>
      </c>
      <c r="BH81" s="168">
        <v>0.02</v>
      </c>
      <c r="BI81" s="176">
        <v>0</v>
      </c>
      <c r="BJ81" s="176">
        <v>0</v>
      </c>
      <c r="BK81" s="169"/>
      <c r="BL81" s="185">
        <v>0.8</v>
      </c>
      <c r="BM81" s="173">
        <v>0.62</v>
      </c>
      <c r="BN81" s="186"/>
      <c r="BO81" s="187">
        <v>0.95</v>
      </c>
      <c r="BP81" s="178">
        <v>1</v>
      </c>
      <c r="BQ81" s="186">
        <v>2.5000000000000001E-3</v>
      </c>
    </row>
    <row r="82" spans="1:69" s="156" customFormat="1" ht="22.35" customHeight="1" x14ac:dyDescent="0.2">
      <c r="A82" s="165" t="s">
        <v>80</v>
      </c>
      <c r="B82" s="165" t="s">
        <v>118</v>
      </c>
      <c r="C82" s="165" t="s">
        <v>136</v>
      </c>
      <c r="D82" s="166">
        <v>4.6816910714444404</v>
      </c>
      <c r="E82" s="167"/>
      <c r="F82" s="168">
        <v>0.03</v>
      </c>
      <c r="G82" s="168">
        <v>0.03</v>
      </c>
      <c r="H82" s="169"/>
      <c r="I82" s="170">
        <v>3</v>
      </c>
      <c r="J82" s="170">
        <v>3</v>
      </c>
      <c r="K82" s="167"/>
      <c r="L82" s="171">
        <v>3842.0020500000001</v>
      </c>
      <c r="M82" s="171">
        <v>1689.5984599999999</v>
      </c>
      <c r="N82" s="171">
        <v>5531.6005100000002</v>
      </c>
      <c r="O82" s="166">
        <v>1181.53898358213</v>
      </c>
      <c r="P82" s="172">
        <v>287.5</v>
      </c>
      <c r="Q82" s="178">
        <v>4.1097008124595797</v>
      </c>
      <c r="R82" s="179">
        <v>3981.0244271376</v>
      </c>
      <c r="S82" s="168">
        <v>0.01</v>
      </c>
      <c r="T82" s="168">
        <v>0.01</v>
      </c>
      <c r="U82" s="175">
        <v>0</v>
      </c>
      <c r="V82" s="176">
        <v>0</v>
      </c>
      <c r="W82" s="167"/>
      <c r="X82" s="175">
        <v>2300.87041</v>
      </c>
      <c r="Y82" s="166">
        <v>491.46139181074</v>
      </c>
      <c r="Z82" s="177">
        <v>573</v>
      </c>
      <c r="AA82" s="188">
        <v>0.85769876406760903</v>
      </c>
      <c r="AB82" s="171">
        <v>-789.49513949618904</v>
      </c>
      <c r="AC82" s="168"/>
      <c r="AD82" s="168"/>
      <c r="AE82" s="176">
        <v>382</v>
      </c>
      <c r="AF82" s="176">
        <v>919</v>
      </c>
      <c r="AG82" s="167"/>
      <c r="AH82" s="180">
        <v>189.7</v>
      </c>
      <c r="AI82" s="166">
        <v>40.519546699067398</v>
      </c>
      <c r="AJ82" s="181" t="s">
        <v>53</v>
      </c>
      <c r="AK82" s="173">
        <v>0.64316740792170402</v>
      </c>
      <c r="AL82" s="174">
        <v>-150.07841120115199</v>
      </c>
      <c r="AM82" s="168"/>
      <c r="AN82" s="168"/>
      <c r="AO82" s="176">
        <v>106</v>
      </c>
      <c r="AP82" s="176">
        <v>165</v>
      </c>
      <c r="AQ82" s="167"/>
      <c r="AR82" s="180">
        <v>60</v>
      </c>
      <c r="AS82" s="166">
        <v>12.815881929067199</v>
      </c>
      <c r="AT82" s="181" t="s">
        <v>54</v>
      </c>
      <c r="AU82" s="188">
        <v>0.80099262056669795</v>
      </c>
      <c r="AV82" s="171">
        <v>-26.292929828863901</v>
      </c>
      <c r="AW82" s="168"/>
      <c r="AX82" s="168"/>
      <c r="AY82" s="176">
        <v>15</v>
      </c>
      <c r="AZ82" s="176">
        <v>30</v>
      </c>
      <c r="BA82" s="167"/>
      <c r="BB82" s="184">
        <v>213.2</v>
      </c>
      <c r="BC82" s="180">
        <v>45.539100454618698</v>
      </c>
      <c r="BD82" s="181" t="s">
        <v>55</v>
      </c>
      <c r="BE82" s="178">
        <v>1.4230968892068301</v>
      </c>
      <c r="BF82" s="179">
        <v>40.614140342272201</v>
      </c>
      <c r="BG82" s="168">
        <v>0.02</v>
      </c>
      <c r="BH82" s="168">
        <v>0.02</v>
      </c>
      <c r="BI82" s="176">
        <v>0</v>
      </c>
      <c r="BJ82" s="176">
        <v>0</v>
      </c>
      <c r="BK82" s="169"/>
      <c r="BL82" s="185">
        <v>0.8</v>
      </c>
      <c r="BM82" s="173">
        <v>0.65</v>
      </c>
      <c r="BN82" s="186"/>
      <c r="BO82" s="187">
        <v>0.95</v>
      </c>
      <c r="BP82" s="178">
        <v>1</v>
      </c>
      <c r="BQ82" s="186">
        <v>2.5000000000000001E-3</v>
      </c>
    </row>
    <row r="83" spans="1:69" s="156" customFormat="1" ht="22.35" customHeight="1" x14ac:dyDescent="0.2">
      <c r="A83" s="165" t="s">
        <v>80</v>
      </c>
      <c r="B83" s="165" t="s">
        <v>118</v>
      </c>
      <c r="C83" s="165" t="s">
        <v>137</v>
      </c>
      <c r="D83" s="166">
        <v>2.8572871573333298</v>
      </c>
      <c r="E83" s="167"/>
      <c r="F83" s="168">
        <v>0.03</v>
      </c>
      <c r="G83" s="168">
        <v>0.03</v>
      </c>
      <c r="H83" s="169"/>
      <c r="I83" s="170">
        <v>3</v>
      </c>
      <c r="J83" s="170">
        <v>3</v>
      </c>
      <c r="K83" s="167"/>
      <c r="L83" s="171">
        <v>740.01553000000001</v>
      </c>
      <c r="M83" s="171">
        <v>715.26579000000004</v>
      </c>
      <c r="N83" s="171">
        <v>1455.2813200000001</v>
      </c>
      <c r="O83" s="166">
        <v>509.32273862113101</v>
      </c>
      <c r="P83" s="172">
        <v>255.63</v>
      </c>
      <c r="Q83" s="178">
        <v>1.9924216196108899</v>
      </c>
      <c r="R83" s="179">
        <v>613.85093993445503</v>
      </c>
      <c r="S83" s="168">
        <v>0.01</v>
      </c>
      <c r="T83" s="168">
        <v>0.01</v>
      </c>
      <c r="U83" s="175">
        <v>0</v>
      </c>
      <c r="V83" s="176">
        <v>0</v>
      </c>
      <c r="W83" s="167"/>
      <c r="X83" s="175">
        <v>610.28142000000003</v>
      </c>
      <c r="Y83" s="166">
        <v>213.58770973847999</v>
      </c>
      <c r="Z83" s="177">
        <v>573</v>
      </c>
      <c r="AA83" s="173">
        <v>0.372753420136964</v>
      </c>
      <c r="AB83" s="174">
        <v>-1275.8024034071</v>
      </c>
      <c r="AC83" s="168"/>
      <c r="AD83" s="168"/>
      <c r="AE83" s="176">
        <v>1027</v>
      </c>
      <c r="AF83" s="176">
        <v>1355</v>
      </c>
      <c r="AG83" s="167"/>
      <c r="AH83" s="180">
        <v>145.1</v>
      </c>
      <c r="AI83" s="166">
        <v>50.782435229723198</v>
      </c>
      <c r="AJ83" s="181" t="s">
        <v>53</v>
      </c>
      <c r="AK83" s="188">
        <v>0.80607040047179701</v>
      </c>
      <c r="AL83" s="171">
        <v>-62.270472730623702</v>
      </c>
      <c r="AM83" s="168"/>
      <c r="AN83" s="168"/>
      <c r="AO83" s="176">
        <v>35</v>
      </c>
      <c r="AP83" s="176">
        <v>71</v>
      </c>
      <c r="AQ83" s="167"/>
      <c r="AR83" s="180">
        <v>15.6</v>
      </c>
      <c r="AS83" s="166">
        <v>5.4597242562624597</v>
      </c>
      <c r="AT83" s="181" t="s">
        <v>54</v>
      </c>
      <c r="AU83" s="173">
        <v>0.34123276601640401</v>
      </c>
      <c r="AV83" s="174">
        <v>-37.065516883967902</v>
      </c>
      <c r="AW83" s="168"/>
      <c r="AX83" s="168"/>
      <c r="AY83" s="176">
        <v>31</v>
      </c>
      <c r="AZ83" s="176">
        <v>40</v>
      </c>
      <c r="BA83" s="167"/>
      <c r="BB83" s="184">
        <v>121.4</v>
      </c>
      <c r="BC83" s="180">
        <v>42.487854148093703</v>
      </c>
      <c r="BD83" s="181" t="s">
        <v>55</v>
      </c>
      <c r="BE83" s="178">
        <v>1.32774544212793</v>
      </c>
      <c r="BF83" s="179">
        <v>16.068966232064099</v>
      </c>
      <c r="BG83" s="168">
        <v>0.02</v>
      </c>
      <c r="BH83" s="168">
        <v>0.02</v>
      </c>
      <c r="BI83" s="176">
        <v>0</v>
      </c>
      <c r="BJ83" s="176">
        <v>0</v>
      </c>
      <c r="BK83" s="169"/>
      <c r="BL83" s="185">
        <v>0.8</v>
      </c>
      <c r="BM83" s="173">
        <v>0.66</v>
      </c>
      <c r="BN83" s="186"/>
      <c r="BO83" s="187">
        <v>0.95</v>
      </c>
      <c r="BP83" s="178">
        <v>1</v>
      </c>
      <c r="BQ83" s="186">
        <v>2.5000000000000001E-3</v>
      </c>
    </row>
    <row r="84" spans="1:69" s="156" customFormat="1" ht="22.35" customHeight="1" x14ac:dyDescent="0.2">
      <c r="A84" s="165" t="s">
        <v>80</v>
      </c>
      <c r="B84" s="165" t="s">
        <v>118</v>
      </c>
      <c r="C84" s="165" t="s">
        <v>138</v>
      </c>
      <c r="D84" s="166">
        <v>3.2583336913333301</v>
      </c>
      <c r="E84" s="167"/>
      <c r="F84" s="168">
        <v>0.01</v>
      </c>
      <c r="G84" s="168">
        <v>0.01</v>
      </c>
      <c r="H84" s="169"/>
      <c r="I84" s="170">
        <v>1</v>
      </c>
      <c r="J84" s="170">
        <v>1</v>
      </c>
      <c r="K84" s="167"/>
      <c r="L84" s="171">
        <v>3406.3163100000002</v>
      </c>
      <c r="M84" s="171">
        <v>1426.94805</v>
      </c>
      <c r="N84" s="171">
        <v>4833.2643600000001</v>
      </c>
      <c r="O84" s="166">
        <v>1483.35462781352</v>
      </c>
      <c r="P84" s="172">
        <v>287.5</v>
      </c>
      <c r="Q84" s="178">
        <v>5.1594943576122398</v>
      </c>
      <c r="R84" s="179">
        <v>3754.1042414304002</v>
      </c>
      <c r="S84" s="168">
        <v>0.01</v>
      </c>
      <c r="T84" s="168">
        <v>0.01</v>
      </c>
      <c r="U84" s="175">
        <v>0</v>
      </c>
      <c r="V84" s="176">
        <v>0</v>
      </c>
      <c r="W84" s="167"/>
      <c r="X84" s="175">
        <v>1253.4839999999999</v>
      </c>
      <c r="Y84" s="166">
        <v>384.70092959909999</v>
      </c>
      <c r="Z84" s="177">
        <v>573</v>
      </c>
      <c r="AA84" s="173">
        <v>0.67138033088848104</v>
      </c>
      <c r="AB84" s="174">
        <v>-897.32903631436602</v>
      </c>
      <c r="AC84" s="168"/>
      <c r="AD84" s="168"/>
      <c r="AE84" s="176">
        <v>614</v>
      </c>
      <c r="AF84" s="176">
        <v>987</v>
      </c>
      <c r="AG84" s="167"/>
      <c r="AH84" s="180">
        <v>63.55</v>
      </c>
      <c r="AI84" s="166">
        <v>19.503834174207899</v>
      </c>
      <c r="AJ84" s="181" t="s">
        <v>53</v>
      </c>
      <c r="AK84" s="173">
        <v>0.30958466943187102</v>
      </c>
      <c r="AL84" s="174">
        <v>-172.92682598220799</v>
      </c>
      <c r="AM84" s="168"/>
      <c r="AN84" s="168"/>
      <c r="AO84" s="176">
        <v>142</v>
      </c>
      <c r="AP84" s="176">
        <v>183</v>
      </c>
      <c r="AQ84" s="167"/>
      <c r="AR84" s="180">
        <v>14.6</v>
      </c>
      <c r="AS84" s="166">
        <v>4.4808179220052704</v>
      </c>
      <c r="AT84" s="181" t="s">
        <v>54</v>
      </c>
      <c r="AU84" s="173">
        <v>0.28005112012532901</v>
      </c>
      <c r="AV84" s="174">
        <v>-45.4576065986559</v>
      </c>
      <c r="AW84" s="168"/>
      <c r="AX84" s="168"/>
      <c r="AY84" s="176">
        <v>38</v>
      </c>
      <c r="AZ84" s="176">
        <v>48</v>
      </c>
      <c r="BA84" s="167"/>
      <c r="BB84" s="184">
        <v>83.2</v>
      </c>
      <c r="BC84" s="180">
        <v>25.534524048687601</v>
      </c>
      <c r="BD84" s="181" t="s">
        <v>55</v>
      </c>
      <c r="BE84" s="188">
        <v>0.79795387652148697</v>
      </c>
      <c r="BF84" s="171">
        <v>-36.9152131973119</v>
      </c>
      <c r="BG84" s="168"/>
      <c r="BH84" s="168"/>
      <c r="BI84" s="176">
        <v>22</v>
      </c>
      <c r="BJ84" s="176">
        <v>42</v>
      </c>
      <c r="BK84" s="169"/>
      <c r="BL84" s="185">
        <v>0.8</v>
      </c>
      <c r="BM84" s="173">
        <v>0.64</v>
      </c>
      <c r="BN84" s="186"/>
      <c r="BO84" s="187">
        <v>0.95</v>
      </c>
      <c r="BP84" s="173">
        <v>0.8</v>
      </c>
      <c r="BQ84" s="186"/>
    </row>
    <row r="85" spans="1:69" s="156" customFormat="1" ht="22.35" customHeight="1" x14ac:dyDescent="0.2">
      <c r="A85" s="165" t="s">
        <v>139</v>
      </c>
      <c r="B85" s="165" t="s">
        <v>140</v>
      </c>
      <c r="C85" s="165" t="s">
        <v>141</v>
      </c>
      <c r="D85" s="166">
        <v>3.7189131554444401</v>
      </c>
      <c r="E85" s="167"/>
      <c r="F85" s="168">
        <v>2.5000000000000001E-2</v>
      </c>
      <c r="G85" s="168">
        <v>1.9E-2</v>
      </c>
      <c r="H85" s="169"/>
      <c r="I85" s="170">
        <v>4</v>
      </c>
      <c r="J85" s="170">
        <v>3</v>
      </c>
      <c r="K85" s="167"/>
      <c r="L85" s="171">
        <v>9285.7829000000002</v>
      </c>
      <c r="M85" s="171">
        <v>2806.9027000000001</v>
      </c>
      <c r="N85" s="171">
        <v>12092.685600000001</v>
      </c>
      <c r="O85" s="166">
        <v>3251.6719521391501</v>
      </c>
      <c r="P85" s="172">
        <v>287.5</v>
      </c>
      <c r="Q85" s="178">
        <v>11.310163311788299</v>
      </c>
      <c r="R85" s="179">
        <v>10860.981562916801</v>
      </c>
      <c r="S85" s="168">
        <v>0.01</v>
      </c>
      <c r="T85" s="168">
        <v>0.01</v>
      </c>
      <c r="U85" s="175">
        <v>0</v>
      </c>
      <c r="V85" s="176">
        <v>0</v>
      </c>
      <c r="W85" s="167"/>
      <c r="X85" s="175">
        <v>2324.6242649999999</v>
      </c>
      <c r="Y85" s="166">
        <v>625.08162138628495</v>
      </c>
      <c r="Z85" s="177">
        <v>573</v>
      </c>
      <c r="AA85" s="182">
        <v>1.0908928820004999</v>
      </c>
      <c r="AB85" s="183">
        <v>-130.21543325625299</v>
      </c>
      <c r="AC85" s="168">
        <v>1.4E-2</v>
      </c>
      <c r="AD85" s="168">
        <v>8.9999999999999993E-3</v>
      </c>
      <c r="AE85" s="176">
        <v>0</v>
      </c>
      <c r="AF85" s="176">
        <v>233</v>
      </c>
      <c r="AG85" s="167"/>
      <c r="AH85" s="180">
        <v>161.4</v>
      </c>
      <c r="AI85" s="166">
        <v>43.399776562061497</v>
      </c>
      <c r="AJ85" s="181" t="s">
        <v>53</v>
      </c>
      <c r="AK85" s="173">
        <v>0.68888534225494402</v>
      </c>
      <c r="AL85" s="174">
        <v>-108.503841169536</v>
      </c>
      <c r="AM85" s="168"/>
      <c r="AN85" s="168"/>
      <c r="AO85" s="176">
        <v>73</v>
      </c>
      <c r="AP85" s="176">
        <v>120</v>
      </c>
      <c r="AQ85" s="167"/>
      <c r="AR85" s="180">
        <v>21.2</v>
      </c>
      <c r="AS85" s="166">
        <v>5.7005902299609899</v>
      </c>
      <c r="AT85" s="181" t="s">
        <v>54</v>
      </c>
      <c r="AU85" s="173">
        <v>0.35628688937256198</v>
      </c>
      <c r="AV85" s="174">
        <v>-47.347007281151903</v>
      </c>
      <c r="AW85" s="168"/>
      <c r="AX85" s="168"/>
      <c r="AY85" s="176">
        <v>39</v>
      </c>
      <c r="AZ85" s="176">
        <v>51</v>
      </c>
      <c r="BA85" s="167"/>
      <c r="BB85" s="184">
        <v>115.4</v>
      </c>
      <c r="BC85" s="180">
        <v>31.030571346108399</v>
      </c>
      <c r="BD85" s="181" t="s">
        <v>55</v>
      </c>
      <c r="BE85" s="182">
        <v>0.96970535456588802</v>
      </c>
      <c r="BF85" s="183">
        <v>-21.694014562303799</v>
      </c>
      <c r="BG85" s="168">
        <v>1E-3</v>
      </c>
      <c r="BH85" s="168"/>
      <c r="BI85" s="176">
        <v>4</v>
      </c>
      <c r="BJ85" s="176">
        <v>28</v>
      </c>
      <c r="BK85" s="169"/>
      <c r="BL85" s="185">
        <v>0.8</v>
      </c>
      <c r="BM85" s="188">
        <v>0.73</v>
      </c>
      <c r="BN85" s="186"/>
      <c r="BO85" s="187">
        <v>0.95</v>
      </c>
      <c r="BP85" s="178">
        <v>1</v>
      </c>
      <c r="BQ85" s="186">
        <v>2.5000000000000001E-3</v>
      </c>
    </row>
    <row r="86" spans="1:69" s="156" customFormat="1" ht="22.35" customHeight="1" x14ac:dyDescent="0.2">
      <c r="A86" s="165" t="s">
        <v>139</v>
      </c>
      <c r="B86" s="165" t="s">
        <v>140</v>
      </c>
      <c r="C86" s="165" t="s">
        <v>142</v>
      </c>
      <c r="D86" s="166">
        <v>8.0608712013333292</v>
      </c>
      <c r="E86" s="167"/>
      <c r="F86" s="168">
        <v>0.03</v>
      </c>
      <c r="G86" s="168">
        <v>2.5999999999999999E-2</v>
      </c>
      <c r="H86" s="169"/>
      <c r="I86" s="170">
        <v>3</v>
      </c>
      <c r="J86" s="170">
        <v>3</v>
      </c>
      <c r="K86" s="167"/>
      <c r="L86" s="171">
        <v>4597.7225200000003</v>
      </c>
      <c r="M86" s="171">
        <v>4168.5194499999998</v>
      </c>
      <c r="N86" s="171">
        <v>8766.2419699999991</v>
      </c>
      <c r="O86" s="166">
        <v>1087.50552527747</v>
      </c>
      <c r="P86" s="172">
        <v>287.5</v>
      </c>
      <c r="Q86" s="178">
        <v>3.7826279140085899</v>
      </c>
      <c r="R86" s="179">
        <v>6096.4814281183999</v>
      </c>
      <c r="S86" s="168">
        <v>0.01</v>
      </c>
      <c r="T86" s="168">
        <v>0.01</v>
      </c>
      <c r="U86" s="175">
        <v>0</v>
      </c>
      <c r="V86" s="176">
        <v>0</v>
      </c>
      <c r="W86" s="167"/>
      <c r="X86" s="175">
        <v>2733.32629</v>
      </c>
      <c r="Y86" s="166">
        <v>339.08571688230001</v>
      </c>
      <c r="Z86" s="177">
        <v>573</v>
      </c>
      <c r="AA86" s="173">
        <v>0.59177262981204204</v>
      </c>
      <c r="AB86" s="174">
        <v>-2587.6225465153302</v>
      </c>
      <c r="AC86" s="168"/>
      <c r="AD86" s="168"/>
      <c r="AE86" s="176">
        <v>1886</v>
      </c>
      <c r="AF86" s="176">
        <v>2810</v>
      </c>
      <c r="AG86" s="167"/>
      <c r="AH86" s="180">
        <v>297.89999999999998</v>
      </c>
      <c r="AI86" s="166">
        <v>36.956303178585102</v>
      </c>
      <c r="AJ86" s="181" t="s">
        <v>53</v>
      </c>
      <c r="AK86" s="173">
        <v>0.58660798696166805</v>
      </c>
      <c r="AL86" s="174">
        <v>-287.12578830796798</v>
      </c>
      <c r="AM86" s="168"/>
      <c r="AN86" s="168"/>
      <c r="AO86" s="176">
        <v>210</v>
      </c>
      <c r="AP86" s="176">
        <v>312</v>
      </c>
      <c r="AQ86" s="167"/>
      <c r="AR86" s="180">
        <v>52.6</v>
      </c>
      <c r="AS86" s="166">
        <v>6.5253492688606096</v>
      </c>
      <c r="AT86" s="181" t="s">
        <v>54</v>
      </c>
      <c r="AU86" s="173">
        <v>0.40783432930378799</v>
      </c>
      <c r="AV86" s="174">
        <v>-95.977977982975901</v>
      </c>
      <c r="AW86" s="168"/>
      <c r="AX86" s="168"/>
      <c r="AY86" s="176">
        <v>77</v>
      </c>
      <c r="AZ86" s="176">
        <v>103</v>
      </c>
      <c r="BA86" s="167"/>
      <c r="BB86" s="184">
        <v>298.39999999999998</v>
      </c>
      <c r="BC86" s="180">
        <v>37.018331213460201</v>
      </c>
      <c r="BD86" s="181" t="s">
        <v>55</v>
      </c>
      <c r="BE86" s="178">
        <v>1.1568228504206299</v>
      </c>
      <c r="BF86" s="179">
        <v>1.2440440340482199</v>
      </c>
      <c r="BG86" s="168">
        <v>0.02</v>
      </c>
      <c r="BH86" s="168">
        <v>1.6E-2</v>
      </c>
      <c r="BI86" s="176">
        <v>0</v>
      </c>
      <c r="BJ86" s="176">
        <v>12</v>
      </c>
      <c r="BK86" s="169"/>
      <c r="BL86" s="185">
        <v>0.8</v>
      </c>
      <c r="BM86" s="173">
        <v>0.6</v>
      </c>
      <c r="BN86" s="186"/>
      <c r="BO86" s="187">
        <v>0.95</v>
      </c>
      <c r="BP86" s="178">
        <v>1</v>
      </c>
      <c r="BQ86" s="186">
        <v>2.5000000000000001E-3</v>
      </c>
    </row>
    <row r="87" spans="1:69" s="156" customFormat="1" ht="22.35" customHeight="1" x14ac:dyDescent="0.2">
      <c r="A87" s="165" t="s">
        <v>139</v>
      </c>
      <c r="B87" s="165" t="s">
        <v>140</v>
      </c>
      <c r="C87" s="165" t="s">
        <v>143</v>
      </c>
      <c r="D87" s="166">
        <v>6.5973797197777797</v>
      </c>
      <c r="E87" s="167"/>
      <c r="F87" s="168">
        <v>0.03</v>
      </c>
      <c r="G87" s="168">
        <v>0.03</v>
      </c>
      <c r="H87" s="169"/>
      <c r="I87" s="170">
        <v>3</v>
      </c>
      <c r="J87" s="170">
        <v>3</v>
      </c>
      <c r="K87" s="167"/>
      <c r="L87" s="171">
        <v>12823.08959</v>
      </c>
      <c r="M87" s="171">
        <v>2018.0499400000001</v>
      </c>
      <c r="N87" s="171">
        <v>14841.13953</v>
      </c>
      <c r="O87" s="166">
        <v>2249.5506034780601</v>
      </c>
      <c r="P87" s="172">
        <v>271.31</v>
      </c>
      <c r="Q87" s="178">
        <v>8.2914400629466591</v>
      </c>
      <c r="R87" s="179">
        <v>12779.134304277601</v>
      </c>
      <c r="S87" s="168">
        <v>0.01</v>
      </c>
      <c r="T87" s="168">
        <v>0.01</v>
      </c>
      <c r="U87" s="175">
        <v>0</v>
      </c>
      <c r="V87" s="176">
        <v>0</v>
      </c>
      <c r="W87" s="167"/>
      <c r="X87" s="175">
        <v>3046.65852</v>
      </c>
      <c r="Y87" s="166">
        <v>461.79826679774902</v>
      </c>
      <c r="Z87" s="177">
        <v>573</v>
      </c>
      <c r="AA87" s="188">
        <v>0.805930657587695</v>
      </c>
      <c r="AB87" s="171">
        <v>-1308.2454435064301</v>
      </c>
      <c r="AC87" s="168"/>
      <c r="AD87" s="168"/>
      <c r="AE87" s="176">
        <v>734</v>
      </c>
      <c r="AF87" s="176">
        <v>1490</v>
      </c>
      <c r="AG87" s="167"/>
      <c r="AH87" s="180">
        <v>312.8</v>
      </c>
      <c r="AI87" s="166">
        <v>47.412762837082298</v>
      </c>
      <c r="AJ87" s="181" t="s">
        <v>53</v>
      </c>
      <c r="AK87" s="173">
        <v>0.75258353709654402</v>
      </c>
      <c r="AL87" s="174">
        <v>-166.011430542592</v>
      </c>
      <c r="AM87" s="168"/>
      <c r="AN87" s="168"/>
      <c r="AO87" s="176">
        <v>103</v>
      </c>
      <c r="AP87" s="176">
        <v>186</v>
      </c>
      <c r="AQ87" s="167"/>
      <c r="AR87" s="180">
        <v>51.4</v>
      </c>
      <c r="AS87" s="166">
        <v>7.7909718984208096</v>
      </c>
      <c r="AT87" s="181" t="s">
        <v>54</v>
      </c>
      <c r="AU87" s="173">
        <v>0.48693574365130099</v>
      </c>
      <c r="AV87" s="174">
        <v>-70.202902994943997</v>
      </c>
      <c r="AW87" s="168"/>
      <c r="AX87" s="168"/>
      <c r="AY87" s="176">
        <v>55</v>
      </c>
      <c r="AZ87" s="176">
        <v>76</v>
      </c>
      <c r="BA87" s="167"/>
      <c r="BB87" s="184">
        <v>256.39999999999998</v>
      </c>
      <c r="BC87" s="180">
        <v>38.863914294846197</v>
      </c>
      <c r="BD87" s="181" t="s">
        <v>55</v>
      </c>
      <c r="BE87" s="178">
        <v>1.2144973217139401</v>
      </c>
      <c r="BF87" s="179">
        <v>13.1941940101119</v>
      </c>
      <c r="BG87" s="168">
        <v>0.02</v>
      </c>
      <c r="BH87" s="168">
        <v>0.02</v>
      </c>
      <c r="BI87" s="176">
        <v>0</v>
      </c>
      <c r="BJ87" s="176">
        <v>0</v>
      </c>
      <c r="BK87" s="169"/>
      <c r="BL87" s="185">
        <v>0.8</v>
      </c>
      <c r="BM87" s="188">
        <v>0.74</v>
      </c>
      <c r="BN87" s="186"/>
      <c r="BO87" s="187">
        <v>0.95</v>
      </c>
      <c r="BP87" s="178">
        <v>1</v>
      </c>
      <c r="BQ87" s="186">
        <v>2.5000000000000001E-3</v>
      </c>
    </row>
    <row r="88" spans="1:69" s="156" customFormat="1" ht="22.35" customHeight="1" x14ac:dyDescent="0.2">
      <c r="A88" s="165" t="s">
        <v>139</v>
      </c>
      <c r="B88" s="165" t="s">
        <v>140</v>
      </c>
      <c r="C88" s="165" t="s">
        <v>144</v>
      </c>
      <c r="D88" s="166">
        <v>1.00891054722222</v>
      </c>
      <c r="E88" s="167"/>
      <c r="F88" s="168">
        <v>0.02</v>
      </c>
      <c r="G88" s="168">
        <v>0.02</v>
      </c>
      <c r="H88" s="169"/>
      <c r="I88" s="170">
        <v>2</v>
      </c>
      <c r="J88" s="170">
        <v>2</v>
      </c>
      <c r="K88" s="167"/>
      <c r="L88" s="171">
        <v>-8753.2823599999992</v>
      </c>
      <c r="M88" s="171">
        <v>-1747.70876</v>
      </c>
      <c r="N88" s="171">
        <v>-10500.991120000001</v>
      </c>
      <c r="O88" s="166">
        <v>-10408.2479352722</v>
      </c>
      <c r="P88" s="172">
        <v>287.5</v>
      </c>
      <c r="Q88" s="173">
        <v>-36.202601513990103</v>
      </c>
      <c r="R88" s="174">
        <v>-10835.14229324</v>
      </c>
      <c r="S88" s="168"/>
      <c r="T88" s="168"/>
      <c r="U88" s="175">
        <v>10792</v>
      </c>
      <c r="V88" s="176">
        <v>10850</v>
      </c>
      <c r="W88" s="167"/>
      <c r="X88" s="175">
        <v>354.96262000000002</v>
      </c>
      <c r="Y88" s="166">
        <v>351.82764317143801</v>
      </c>
      <c r="Z88" s="177">
        <v>573</v>
      </c>
      <c r="AA88" s="173">
        <v>0.61400984846673201</v>
      </c>
      <c r="AB88" s="174">
        <v>-311.015196579198</v>
      </c>
      <c r="AC88" s="168"/>
      <c r="AD88" s="168"/>
      <c r="AE88" s="176">
        <v>224</v>
      </c>
      <c r="AF88" s="176">
        <v>339</v>
      </c>
      <c r="AG88" s="167"/>
      <c r="AH88" s="180">
        <v>23.6</v>
      </c>
      <c r="AI88" s="166">
        <v>23.3915683258308</v>
      </c>
      <c r="AJ88" s="181" t="s">
        <v>53</v>
      </c>
      <c r="AK88" s="173">
        <v>0.371294735330648</v>
      </c>
      <c r="AL88" s="174">
        <v>-49.622691875199799</v>
      </c>
      <c r="AM88" s="168"/>
      <c r="AN88" s="168"/>
      <c r="AO88" s="176">
        <v>40</v>
      </c>
      <c r="AP88" s="176">
        <v>53</v>
      </c>
      <c r="AQ88" s="167"/>
      <c r="AR88" s="180"/>
      <c r="AS88" s="166" t="s">
        <v>145</v>
      </c>
      <c r="AT88" s="181" t="s">
        <v>54</v>
      </c>
      <c r="AU88" s="173"/>
      <c r="AV88" s="174"/>
      <c r="AW88" s="168"/>
      <c r="AX88" s="168"/>
      <c r="AY88" s="176">
        <v>17</v>
      </c>
      <c r="AZ88" s="176">
        <v>20</v>
      </c>
      <c r="BA88" s="167"/>
      <c r="BB88" s="184">
        <v>60.4</v>
      </c>
      <c r="BC88" s="180">
        <v>59.866556223736602</v>
      </c>
      <c r="BD88" s="181" t="s">
        <v>55</v>
      </c>
      <c r="BE88" s="178">
        <v>1.8708298819917699</v>
      </c>
      <c r="BF88" s="179">
        <v>23.207521587200102</v>
      </c>
      <c r="BG88" s="168">
        <v>0.02</v>
      </c>
      <c r="BH88" s="168">
        <v>0.02</v>
      </c>
      <c r="BI88" s="176">
        <v>0</v>
      </c>
      <c r="BJ88" s="176">
        <v>0</v>
      </c>
      <c r="BK88" s="169"/>
      <c r="BL88" s="185">
        <v>0.8</v>
      </c>
      <c r="BM88" s="173"/>
      <c r="BN88" s="186"/>
      <c r="BO88" s="187">
        <v>0.95</v>
      </c>
      <c r="BP88" s="178">
        <v>1</v>
      </c>
      <c r="BQ88" s="186">
        <v>2.5000000000000001E-3</v>
      </c>
    </row>
    <row r="89" spans="1:69" s="156" customFormat="1" ht="22.35" customHeight="1" x14ac:dyDescent="0.2">
      <c r="A89" s="165" t="s">
        <v>139</v>
      </c>
      <c r="B89" s="165" t="s">
        <v>140</v>
      </c>
      <c r="C89" s="165" t="s">
        <v>146</v>
      </c>
      <c r="D89" s="166">
        <v>1.63022700111111</v>
      </c>
      <c r="E89" s="167"/>
      <c r="F89" s="168"/>
      <c r="G89" s="168"/>
      <c r="H89" s="169"/>
      <c r="I89" s="170">
        <v>2</v>
      </c>
      <c r="J89" s="170">
        <v>2</v>
      </c>
      <c r="K89" s="167"/>
      <c r="L89" s="171">
        <v>-7896.3955299999998</v>
      </c>
      <c r="M89" s="171">
        <v>-1205.2751499999999</v>
      </c>
      <c r="N89" s="171">
        <v>-9101.6706799999993</v>
      </c>
      <c r="O89" s="166">
        <v>-5583.0695196414899</v>
      </c>
      <c r="P89" s="172">
        <v>264.70999999999998</v>
      </c>
      <c r="Q89" s="173">
        <v>-21.091267876700901</v>
      </c>
      <c r="R89" s="174">
        <v>-9598.80175266267</v>
      </c>
      <c r="S89" s="168"/>
      <c r="T89" s="168"/>
      <c r="U89" s="175">
        <v>9534</v>
      </c>
      <c r="V89" s="176">
        <v>9620</v>
      </c>
      <c r="W89" s="167"/>
      <c r="X89" s="175">
        <v>368.50261</v>
      </c>
      <c r="Y89" s="166">
        <v>226.04374099364099</v>
      </c>
      <c r="Z89" s="177">
        <v>573</v>
      </c>
      <c r="AA89" s="173">
        <v>0.39449169457877997</v>
      </c>
      <c r="AB89" s="174">
        <v>-707.60371252543905</v>
      </c>
      <c r="AC89" s="168"/>
      <c r="AD89" s="168"/>
      <c r="AE89" s="176">
        <v>566</v>
      </c>
      <c r="AF89" s="176">
        <v>753</v>
      </c>
      <c r="AG89" s="167"/>
      <c r="AH89" s="180">
        <v>65.2</v>
      </c>
      <c r="AI89" s="166">
        <v>39.994430196262101</v>
      </c>
      <c r="AJ89" s="181" t="s">
        <v>53</v>
      </c>
      <c r="AK89" s="173">
        <v>0.63483222533749295</v>
      </c>
      <c r="AL89" s="174">
        <v>-53.115354832639902</v>
      </c>
      <c r="AM89" s="168"/>
      <c r="AN89" s="168"/>
      <c r="AO89" s="176">
        <v>38</v>
      </c>
      <c r="AP89" s="176">
        <v>59</v>
      </c>
      <c r="AQ89" s="167"/>
      <c r="AR89" s="180">
        <v>1.8</v>
      </c>
      <c r="AS89" s="166">
        <v>1.1041407109397501</v>
      </c>
      <c r="AT89" s="181" t="s">
        <v>54</v>
      </c>
      <c r="AU89" s="173">
        <v>6.9008794433734394E-2</v>
      </c>
      <c r="AV89" s="174">
        <v>-28.248344084479999</v>
      </c>
      <c r="AW89" s="168"/>
      <c r="AX89" s="168"/>
      <c r="AY89" s="176">
        <v>25</v>
      </c>
      <c r="AZ89" s="176">
        <v>30</v>
      </c>
      <c r="BA89" s="167"/>
      <c r="BB89" s="184">
        <v>26</v>
      </c>
      <c r="BC89" s="180">
        <v>15.9486991580186</v>
      </c>
      <c r="BD89" s="181" t="s">
        <v>55</v>
      </c>
      <c r="BE89" s="173">
        <v>0.49839684868808198</v>
      </c>
      <c r="BF89" s="174">
        <v>-34.096688168959901</v>
      </c>
      <c r="BG89" s="168"/>
      <c r="BH89" s="168"/>
      <c r="BI89" s="176">
        <v>27</v>
      </c>
      <c r="BJ89" s="176">
        <v>37</v>
      </c>
      <c r="BK89" s="169"/>
      <c r="BL89" s="185">
        <v>0.8</v>
      </c>
      <c r="BM89" s="178">
        <v>1</v>
      </c>
      <c r="BN89" s="186">
        <v>7.4999999999999997E-3</v>
      </c>
      <c r="BO89" s="187">
        <v>0.95</v>
      </c>
      <c r="BP89" s="178">
        <v>1</v>
      </c>
      <c r="BQ89" s="186">
        <v>2.5000000000000001E-3</v>
      </c>
    </row>
    <row r="90" spans="1:69" s="156" customFormat="1" ht="22.35" customHeight="1" x14ac:dyDescent="0.2">
      <c r="A90" s="165" t="s">
        <v>139</v>
      </c>
      <c r="B90" s="165" t="s">
        <v>140</v>
      </c>
      <c r="C90" s="165" t="s">
        <v>147</v>
      </c>
      <c r="D90" s="166">
        <v>4.5991464215555604</v>
      </c>
      <c r="E90" s="167"/>
      <c r="F90" s="168">
        <v>0.03</v>
      </c>
      <c r="G90" s="168">
        <v>2.5000000000000001E-2</v>
      </c>
      <c r="H90" s="169"/>
      <c r="I90" s="170">
        <v>3</v>
      </c>
      <c r="J90" s="170">
        <v>3</v>
      </c>
      <c r="K90" s="167"/>
      <c r="L90" s="171">
        <v>1660.2193</v>
      </c>
      <c r="M90" s="171">
        <v>3839.4746100000002</v>
      </c>
      <c r="N90" s="171">
        <v>5499.69391</v>
      </c>
      <c r="O90" s="166">
        <v>1195.80752728891</v>
      </c>
      <c r="P90" s="172">
        <v>265.83499999999998</v>
      </c>
      <c r="Q90" s="178">
        <v>4.4983073232979498</v>
      </c>
      <c r="R90" s="179">
        <v>4091.2424795017</v>
      </c>
      <c r="S90" s="168">
        <v>0.01</v>
      </c>
      <c r="T90" s="168">
        <v>0.01</v>
      </c>
      <c r="U90" s="175">
        <v>0</v>
      </c>
      <c r="V90" s="176">
        <v>0</v>
      </c>
      <c r="W90" s="167"/>
      <c r="X90" s="175">
        <v>2340.2378050000002</v>
      </c>
      <c r="Y90" s="166">
        <v>508.84176986225799</v>
      </c>
      <c r="Z90" s="177">
        <v>573</v>
      </c>
      <c r="AA90" s="188">
        <v>0.88803101197601797</v>
      </c>
      <c r="AB90" s="171">
        <v>-695.64035128313799</v>
      </c>
      <c r="AC90" s="168"/>
      <c r="AD90" s="168"/>
      <c r="AE90" s="176">
        <v>296</v>
      </c>
      <c r="AF90" s="176">
        <v>823</v>
      </c>
      <c r="AG90" s="167"/>
      <c r="AH90" s="180">
        <v>262.89999999999998</v>
      </c>
      <c r="AI90" s="166">
        <v>57.162781069075002</v>
      </c>
      <c r="AJ90" s="181" t="s">
        <v>53</v>
      </c>
      <c r="AK90" s="188">
        <v>0.90734573125515905</v>
      </c>
      <c r="AL90" s="171">
        <v>-70.887650690816301</v>
      </c>
      <c r="AM90" s="168"/>
      <c r="AN90" s="168"/>
      <c r="AO90" s="176">
        <v>27</v>
      </c>
      <c r="AP90" s="176">
        <v>85</v>
      </c>
      <c r="AQ90" s="167"/>
      <c r="AR90" s="180">
        <v>57</v>
      </c>
      <c r="AS90" s="166">
        <v>12.393604111590999</v>
      </c>
      <c r="AT90" s="181" t="s">
        <v>54</v>
      </c>
      <c r="AU90" s="188">
        <v>0.77460025697443702</v>
      </c>
      <c r="AV90" s="171">
        <v>-27.771466842112101</v>
      </c>
      <c r="AW90" s="168"/>
      <c r="AX90" s="168"/>
      <c r="AY90" s="176">
        <v>17</v>
      </c>
      <c r="AZ90" s="176">
        <v>32</v>
      </c>
      <c r="BA90" s="167"/>
      <c r="BB90" s="184">
        <v>169.4</v>
      </c>
      <c r="BC90" s="180">
        <v>36.832921693044099</v>
      </c>
      <c r="BD90" s="181" t="s">
        <v>55</v>
      </c>
      <c r="BE90" s="178">
        <v>1.1510288029076301</v>
      </c>
      <c r="BF90" s="179">
        <v>-0.14293368422411801</v>
      </c>
      <c r="BG90" s="168">
        <v>0.02</v>
      </c>
      <c r="BH90" s="168">
        <v>1.4999999999999999E-2</v>
      </c>
      <c r="BI90" s="176">
        <v>0</v>
      </c>
      <c r="BJ90" s="176">
        <v>8</v>
      </c>
      <c r="BK90" s="169"/>
      <c r="BL90" s="185">
        <v>0.8</v>
      </c>
      <c r="BM90" s="188">
        <v>0.74</v>
      </c>
      <c r="BN90" s="186"/>
      <c r="BO90" s="187">
        <v>0.95</v>
      </c>
      <c r="BP90" s="178">
        <v>1</v>
      </c>
      <c r="BQ90" s="186">
        <v>2.5000000000000001E-3</v>
      </c>
    </row>
    <row r="91" spans="1:69" s="156" customFormat="1" ht="22.35" customHeight="1" x14ac:dyDescent="0.2">
      <c r="A91" s="165" t="s">
        <v>139</v>
      </c>
      <c r="B91" s="165" t="s">
        <v>140</v>
      </c>
      <c r="C91" s="165" t="s">
        <v>148</v>
      </c>
      <c r="D91" s="166">
        <v>5.8587699798888897</v>
      </c>
      <c r="E91" s="167"/>
      <c r="F91" s="168">
        <v>0.03</v>
      </c>
      <c r="G91" s="168">
        <v>0.03</v>
      </c>
      <c r="H91" s="169"/>
      <c r="I91" s="170">
        <v>3</v>
      </c>
      <c r="J91" s="170">
        <v>3</v>
      </c>
      <c r="K91" s="167"/>
      <c r="L91" s="171">
        <v>5422.3206300000002</v>
      </c>
      <c r="M91" s="171">
        <v>3281.1582899999999</v>
      </c>
      <c r="N91" s="171">
        <v>8703.4789199999996</v>
      </c>
      <c r="O91" s="166">
        <v>1485.54712847168</v>
      </c>
      <c r="P91" s="172">
        <v>266.37799999999999</v>
      </c>
      <c r="Q91" s="178">
        <v>5.5768386596178399</v>
      </c>
      <c r="R91" s="179">
        <v>6905.6130809823198</v>
      </c>
      <c r="S91" s="168">
        <v>0.01</v>
      </c>
      <c r="T91" s="168">
        <v>0.01</v>
      </c>
      <c r="U91" s="175">
        <v>0</v>
      </c>
      <c r="V91" s="176">
        <v>0</v>
      </c>
      <c r="W91" s="167"/>
      <c r="X91" s="175">
        <v>2511.7253449999998</v>
      </c>
      <c r="Y91" s="166">
        <v>428.71205963399802</v>
      </c>
      <c r="Z91" s="177">
        <v>573</v>
      </c>
      <c r="AA91" s="173">
        <v>0.74818858574868696</v>
      </c>
      <c r="AB91" s="174">
        <v>-1355.62528364474</v>
      </c>
      <c r="AC91" s="168"/>
      <c r="AD91" s="168"/>
      <c r="AE91" s="176">
        <v>846</v>
      </c>
      <c r="AF91" s="176">
        <v>1517</v>
      </c>
      <c r="AG91" s="167"/>
      <c r="AH91" s="180">
        <v>293.2</v>
      </c>
      <c r="AI91" s="166">
        <v>50.044634113722402</v>
      </c>
      <c r="AJ91" s="181" t="s">
        <v>53</v>
      </c>
      <c r="AK91" s="188">
        <v>0.79435927164638598</v>
      </c>
      <c r="AL91" s="171">
        <v>-132.006090060416</v>
      </c>
      <c r="AM91" s="168"/>
      <c r="AN91" s="168"/>
      <c r="AO91" s="176">
        <v>76</v>
      </c>
      <c r="AP91" s="176">
        <v>150</v>
      </c>
      <c r="AQ91" s="167"/>
      <c r="AR91" s="180">
        <v>23.4</v>
      </c>
      <c r="AS91" s="166">
        <v>3.9940124088032198</v>
      </c>
      <c r="AT91" s="181" t="s">
        <v>54</v>
      </c>
      <c r="AU91" s="173">
        <v>0.24962577555020099</v>
      </c>
      <c r="AV91" s="174">
        <v>-84.588848269311995</v>
      </c>
      <c r="AW91" s="168"/>
      <c r="AX91" s="168"/>
      <c r="AY91" s="176">
        <v>71</v>
      </c>
      <c r="AZ91" s="176">
        <v>90</v>
      </c>
      <c r="BA91" s="167"/>
      <c r="BB91" s="184">
        <v>236</v>
      </c>
      <c r="BC91" s="180">
        <v>40.281492669981198</v>
      </c>
      <c r="BD91" s="181" t="s">
        <v>55</v>
      </c>
      <c r="BE91" s="178">
        <v>1.25879664593691</v>
      </c>
      <c r="BF91" s="179">
        <v>20.022303461376001</v>
      </c>
      <c r="BG91" s="168">
        <v>0.02</v>
      </c>
      <c r="BH91" s="168">
        <v>0.02</v>
      </c>
      <c r="BI91" s="176">
        <v>0</v>
      </c>
      <c r="BJ91" s="176">
        <v>0</v>
      </c>
      <c r="BK91" s="169"/>
      <c r="BL91" s="185">
        <v>0.8</v>
      </c>
      <c r="BM91" s="188">
        <v>0.72</v>
      </c>
      <c r="BN91" s="186"/>
      <c r="BO91" s="187">
        <v>0.95</v>
      </c>
      <c r="BP91" s="178">
        <v>1</v>
      </c>
      <c r="BQ91" s="186">
        <v>2.5000000000000001E-3</v>
      </c>
    </row>
    <row r="92" spans="1:69" s="156" customFormat="1" ht="22.35" customHeight="1" x14ac:dyDescent="0.2">
      <c r="A92" s="165" t="s">
        <v>139</v>
      </c>
      <c r="B92" s="165" t="s">
        <v>140</v>
      </c>
      <c r="C92" s="165" t="s">
        <v>149</v>
      </c>
      <c r="D92" s="166">
        <v>3.2458373859999998</v>
      </c>
      <c r="E92" s="167"/>
      <c r="F92" s="168">
        <v>3.4000000000000002E-2</v>
      </c>
      <c r="G92" s="168">
        <v>0.03</v>
      </c>
      <c r="H92" s="169"/>
      <c r="I92" s="170">
        <v>4</v>
      </c>
      <c r="J92" s="170">
        <v>3</v>
      </c>
      <c r="K92" s="167"/>
      <c r="L92" s="171">
        <v>2339.5276899999999</v>
      </c>
      <c r="M92" s="171">
        <v>2523.2092400000001</v>
      </c>
      <c r="N92" s="171">
        <v>4862.73693</v>
      </c>
      <c r="O92" s="166">
        <v>1498.1455790034499</v>
      </c>
      <c r="P92" s="172">
        <v>247.02500000000001</v>
      </c>
      <c r="Q92" s="178">
        <v>6.0647528752290301</v>
      </c>
      <c r="R92" s="179">
        <v>3939.0598967213</v>
      </c>
      <c r="S92" s="168">
        <v>0.01</v>
      </c>
      <c r="T92" s="168">
        <v>0.01</v>
      </c>
      <c r="U92" s="175">
        <v>0</v>
      </c>
      <c r="V92" s="176">
        <v>0</v>
      </c>
      <c r="W92" s="167"/>
      <c r="X92" s="175">
        <v>1858.2697900000001</v>
      </c>
      <c r="Y92" s="166">
        <v>572.50859147014603</v>
      </c>
      <c r="Z92" s="177">
        <v>573</v>
      </c>
      <c r="AA92" s="182">
        <v>0.99914239349065603</v>
      </c>
      <c r="AB92" s="183">
        <v>-284.29448514905602</v>
      </c>
      <c r="AC92" s="168">
        <v>4.0000000000000001E-3</v>
      </c>
      <c r="AD92" s="168">
        <v>0</v>
      </c>
      <c r="AE92" s="176">
        <v>2</v>
      </c>
      <c r="AF92" s="176">
        <v>374</v>
      </c>
      <c r="AG92" s="167"/>
      <c r="AH92" s="180">
        <v>196.3</v>
      </c>
      <c r="AI92" s="166">
        <v>60.477459791018603</v>
      </c>
      <c r="AJ92" s="181" t="s">
        <v>53</v>
      </c>
      <c r="AK92" s="188">
        <v>0.95995967922251801</v>
      </c>
      <c r="AL92" s="171">
        <v>-39.269894126335998</v>
      </c>
      <c r="AM92" s="168">
        <v>0</v>
      </c>
      <c r="AN92" s="168"/>
      <c r="AO92" s="176">
        <v>9</v>
      </c>
      <c r="AP92" s="176">
        <v>50</v>
      </c>
      <c r="AQ92" s="167"/>
      <c r="AR92" s="180">
        <v>30.6</v>
      </c>
      <c r="AS92" s="166">
        <v>9.4274593459254703</v>
      </c>
      <c r="AT92" s="181" t="s">
        <v>54</v>
      </c>
      <c r="AU92" s="173">
        <v>0.589216209120342</v>
      </c>
      <c r="AV92" s="174">
        <v>-29.227274698752002</v>
      </c>
      <c r="AW92" s="168"/>
      <c r="AX92" s="168"/>
      <c r="AY92" s="176">
        <v>22</v>
      </c>
      <c r="AZ92" s="176">
        <v>32</v>
      </c>
      <c r="BA92" s="167"/>
      <c r="BB92" s="184">
        <v>145.6</v>
      </c>
      <c r="BC92" s="180">
        <v>44.857453619828398</v>
      </c>
      <c r="BD92" s="181" t="s">
        <v>55</v>
      </c>
      <c r="BE92" s="178">
        <v>1.4017954256196401</v>
      </c>
      <c r="BF92" s="179">
        <v>25.945450602495999</v>
      </c>
      <c r="BG92" s="168">
        <v>0.02</v>
      </c>
      <c r="BH92" s="168">
        <v>0.02</v>
      </c>
      <c r="BI92" s="176">
        <v>0</v>
      </c>
      <c r="BJ92" s="176">
        <v>0</v>
      </c>
      <c r="BK92" s="169"/>
      <c r="BL92" s="185">
        <v>0.8</v>
      </c>
      <c r="BM92" s="188">
        <v>0.72</v>
      </c>
      <c r="BN92" s="186"/>
      <c r="BO92" s="187">
        <v>0.95</v>
      </c>
      <c r="BP92" s="178">
        <v>1</v>
      </c>
      <c r="BQ92" s="186">
        <v>2.5000000000000001E-3</v>
      </c>
    </row>
    <row r="93" spans="1:69" s="156" customFormat="1" ht="22.35" customHeight="1" x14ac:dyDescent="0.2">
      <c r="A93" s="165" t="s">
        <v>139</v>
      </c>
      <c r="B93" s="165" t="s">
        <v>140</v>
      </c>
      <c r="C93" s="165" t="s">
        <v>150</v>
      </c>
      <c r="D93" s="166">
        <v>5.9735728475555598</v>
      </c>
      <c r="E93" s="167"/>
      <c r="F93" s="168">
        <v>0.01</v>
      </c>
      <c r="G93" s="168">
        <v>0.01</v>
      </c>
      <c r="H93" s="169"/>
      <c r="I93" s="170">
        <v>2</v>
      </c>
      <c r="J93" s="170">
        <v>2</v>
      </c>
      <c r="K93" s="167"/>
      <c r="L93" s="171">
        <v>3053.6942600000002</v>
      </c>
      <c r="M93" s="171">
        <v>3100.7545399999999</v>
      </c>
      <c r="N93" s="171">
        <v>6154.4488000000001</v>
      </c>
      <c r="O93" s="166">
        <v>1030.27935827692</v>
      </c>
      <c r="P93" s="172">
        <v>287.5</v>
      </c>
      <c r="Q93" s="178">
        <v>3.58358037661537</v>
      </c>
      <c r="R93" s="179">
        <v>4176.0014728896003</v>
      </c>
      <c r="S93" s="168">
        <v>0.01</v>
      </c>
      <c r="T93" s="168">
        <v>0.01</v>
      </c>
      <c r="U93" s="175">
        <v>0</v>
      </c>
      <c r="V93" s="176">
        <v>0</v>
      </c>
      <c r="W93" s="167"/>
      <c r="X93" s="175">
        <v>2283.9616850000002</v>
      </c>
      <c r="Y93" s="166">
        <v>382.34432613216001</v>
      </c>
      <c r="Z93" s="177">
        <v>573</v>
      </c>
      <c r="AA93" s="173">
        <v>0.66726758487287996</v>
      </c>
      <c r="AB93" s="174">
        <v>-1659.16985738003</v>
      </c>
      <c r="AC93" s="168"/>
      <c r="AD93" s="168"/>
      <c r="AE93" s="176">
        <v>1139</v>
      </c>
      <c r="AF93" s="176">
        <v>1824</v>
      </c>
      <c r="AG93" s="167"/>
      <c r="AH93" s="180">
        <v>327.10000000000002</v>
      </c>
      <c r="AI93" s="166">
        <v>54.7578490038591</v>
      </c>
      <c r="AJ93" s="181" t="s">
        <v>53</v>
      </c>
      <c r="AK93" s="188">
        <v>0.869172206410463</v>
      </c>
      <c r="AL93" s="171">
        <v>-106.438022984192</v>
      </c>
      <c r="AM93" s="168"/>
      <c r="AN93" s="168"/>
      <c r="AO93" s="176">
        <v>50</v>
      </c>
      <c r="AP93" s="176">
        <v>125</v>
      </c>
      <c r="AQ93" s="167"/>
      <c r="AR93" s="180">
        <v>32.4</v>
      </c>
      <c r="AS93" s="166">
        <v>5.4238896598136197</v>
      </c>
      <c r="AT93" s="181" t="s">
        <v>54</v>
      </c>
      <c r="AU93" s="173">
        <v>0.33899310373835101</v>
      </c>
      <c r="AV93" s="174">
        <v>-77.704894726144104</v>
      </c>
      <c r="AW93" s="168"/>
      <c r="AX93" s="168"/>
      <c r="AY93" s="176">
        <v>64</v>
      </c>
      <c r="AZ93" s="176">
        <v>83</v>
      </c>
      <c r="BA93" s="167"/>
      <c r="BB93" s="184">
        <v>146.19999999999999</v>
      </c>
      <c r="BC93" s="180">
        <v>24.474465069899701</v>
      </c>
      <c r="BD93" s="181" t="s">
        <v>55</v>
      </c>
      <c r="BE93" s="188">
        <v>0.76482703343436698</v>
      </c>
      <c r="BF93" s="171">
        <v>-74.009789452288103</v>
      </c>
      <c r="BG93" s="168"/>
      <c r="BH93" s="168"/>
      <c r="BI93" s="176">
        <v>45</v>
      </c>
      <c r="BJ93" s="176">
        <v>84</v>
      </c>
      <c r="BK93" s="169"/>
      <c r="BL93" s="185">
        <v>0.8</v>
      </c>
      <c r="BM93" s="188">
        <v>0.76</v>
      </c>
      <c r="BN93" s="186"/>
      <c r="BO93" s="187">
        <v>0.95</v>
      </c>
      <c r="BP93" s="178">
        <v>1</v>
      </c>
      <c r="BQ93" s="186">
        <v>2.5000000000000001E-3</v>
      </c>
    </row>
    <row r="94" spans="1:69" s="156" customFormat="1" ht="22.35" customHeight="1" x14ac:dyDescent="0.2">
      <c r="A94" s="165" t="s">
        <v>139</v>
      </c>
      <c r="B94" s="165" t="s">
        <v>140</v>
      </c>
      <c r="C94" s="165" t="s">
        <v>151</v>
      </c>
      <c r="D94" s="166">
        <v>5.3472902687777797</v>
      </c>
      <c r="E94" s="167"/>
      <c r="F94" s="168"/>
      <c r="G94" s="168"/>
      <c r="H94" s="169"/>
      <c r="I94" s="170">
        <v>1</v>
      </c>
      <c r="J94" s="170">
        <v>1</v>
      </c>
      <c r="K94" s="167"/>
      <c r="L94" s="171">
        <v>2396.19931</v>
      </c>
      <c r="M94" s="171">
        <v>-1134.2665400000001</v>
      </c>
      <c r="N94" s="171">
        <v>1261.9327699999999</v>
      </c>
      <c r="O94" s="166">
        <v>235.99481355412499</v>
      </c>
      <c r="P94" s="172">
        <v>287.5</v>
      </c>
      <c r="Q94" s="188">
        <v>0.82085152540565298</v>
      </c>
      <c r="R94" s="171">
        <v>-509.08976701920102</v>
      </c>
      <c r="S94" s="168"/>
      <c r="T94" s="168"/>
      <c r="U94" s="175">
        <v>276</v>
      </c>
      <c r="V94" s="176">
        <v>583</v>
      </c>
      <c r="W94" s="167"/>
      <c r="X94" s="175">
        <v>2528.8302650000001</v>
      </c>
      <c r="Y94" s="166">
        <v>472.91808334504498</v>
      </c>
      <c r="Z94" s="177">
        <v>573</v>
      </c>
      <c r="AA94" s="188">
        <v>0.82533696918856103</v>
      </c>
      <c r="AB94" s="171">
        <v>-1000.89465225914</v>
      </c>
      <c r="AC94" s="168"/>
      <c r="AD94" s="168"/>
      <c r="AE94" s="176">
        <v>536</v>
      </c>
      <c r="AF94" s="176">
        <v>1148</v>
      </c>
      <c r="AG94" s="167"/>
      <c r="AH94" s="180">
        <v>307.45</v>
      </c>
      <c r="AI94" s="166">
        <v>57.496411181410103</v>
      </c>
      <c r="AJ94" s="181" t="s">
        <v>53</v>
      </c>
      <c r="AK94" s="188">
        <v>0.91264144732396901</v>
      </c>
      <c r="AL94" s="171">
        <v>-80.634938546816102</v>
      </c>
      <c r="AM94" s="168"/>
      <c r="AN94" s="168"/>
      <c r="AO94" s="176">
        <v>30</v>
      </c>
      <c r="AP94" s="176">
        <v>97</v>
      </c>
      <c r="AQ94" s="167"/>
      <c r="AR94" s="180">
        <v>19.100000000000001</v>
      </c>
      <c r="AS94" s="166">
        <v>3.5719025973814702</v>
      </c>
      <c r="AT94" s="181" t="s">
        <v>54</v>
      </c>
      <c r="AU94" s="173">
        <v>0.223243912336342</v>
      </c>
      <c r="AV94" s="174">
        <v>-79.461254234112005</v>
      </c>
      <c r="AW94" s="168"/>
      <c r="AX94" s="168"/>
      <c r="AY94" s="176">
        <v>67</v>
      </c>
      <c r="AZ94" s="176">
        <v>84</v>
      </c>
      <c r="BA94" s="167"/>
      <c r="BB94" s="184">
        <v>159</v>
      </c>
      <c r="BC94" s="180">
        <v>29.734686543646799</v>
      </c>
      <c r="BD94" s="181" t="s">
        <v>55</v>
      </c>
      <c r="BE94" s="188">
        <v>0.92920895448896201</v>
      </c>
      <c r="BF94" s="171">
        <v>-38.122508468224098</v>
      </c>
      <c r="BG94" s="168"/>
      <c r="BH94" s="168"/>
      <c r="BI94" s="176">
        <v>13</v>
      </c>
      <c r="BJ94" s="176">
        <v>47</v>
      </c>
      <c r="BK94" s="169"/>
      <c r="BL94" s="185">
        <v>0.8</v>
      </c>
      <c r="BM94" s="188">
        <v>0.7</v>
      </c>
      <c r="BN94" s="186"/>
      <c r="BO94" s="187">
        <v>0.95</v>
      </c>
      <c r="BP94" s="178">
        <v>1</v>
      </c>
      <c r="BQ94" s="186">
        <v>2.5000000000000001E-3</v>
      </c>
    </row>
    <row r="95" spans="1:69" s="156" customFormat="1" ht="22.35" customHeight="1" x14ac:dyDescent="0.2">
      <c r="A95" s="165" t="s">
        <v>139</v>
      </c>
      <c r="B95" s="165" t="s">
        <v>140</v>
      </c>
      <c r="C95" s="165" t="s">
        <v>152</v>
      </c>
      <c r="D95" s="166">
        <v>1.85767322355556</v>
      </c>
      <c r="E95" s="167"/>
      <c r="F95" s="168">
        <v>3.5000000000000003E-2</v>
      </c>
      <c r="G95" s="168">
        <v>3.1E-2</v>
      </c>
      <c r="H95" s="169"/>
      <c r="I95" s="170">
        <v>4</v>
      </c>
      <c r="J95" s="170">
        <v>4</v>
      </c>
      <c r="K95" s="167"/>
      <c r="L95" s="171">
        <v>2061.8902699999999</v>
      </c>
      <c r="M95" s="171">
        <v>727.69448999999997</v>
      </c>
      <c r="N95" s="171">
        <v>2789.5847600000002</v>
      </c>
      <c r="O95" s="166">
        <v>1501.6552559555</v>
      </c>
      <c r="P95" s="172">
        <v>247.02500000000001</v>
      </c>
      <c r="Q95" s="178">
        <v>6.0789606556239297</v>
      </c>
      <c r="R95" s="179">
        <v>2260.9414892877699</v>
      </c>
      <c r="S95" s="168">
        <v>0.01</v>
      </c>
      <c r="T95" s="168">
        <v>0.01</v>
      </c>
      <c r="U95" s="175">
        <v>0</v>
      </c>
      <c r="V95" s="176">
        <v>0</v>
      </c>
      <c r="W95" s="167"/>
      <c r="X95" s="175">
        <v>1069.0662500000001</v>
      </c>
      <c r="Y95" s="166">
        <v>575.48670909613702</v>
      </c>
      <c r="Z95" s="177">
        <v>573</v>
      </c>
      <c r="AA95" s="182">
        <v>1.0043398064505</v>
      </c>
      <c r="AB95" s="183">
        <v>-157.176414176131</v>
      </c>
      <c r="AC95" s="168">
        <v>5.0000000000000001E-3</v>
      </c>
      <c r="AD95" s="168">
        <v>1E-3</v>
      </c>
      <c r="AE95" s="176">
        <v>0</v>
      </c>
      <c r="AF95" s="176">
        <v>209</v>
      </c>
      <c r="AG95" s="167"/>
      <c r="AH95" s="180">
        <v>101.7</v>
      </c>
      <c r="AI95" s="166">
        <v>54.745904021455303</v>
      </c>
      <c r="AJ95" s="181" t="s">
        <v>53</v>
      </c>
      <c r="AK95" s="188">
        <v>0.86898260351516399</v>
      </c>
      <c r="AL95" s="171">
        <v>-33.1224918727683</v>
      </c>
      <c r="AM95" s="168"/>
      <c r="AN95" s="168"/>
      <c r="AO95" s="176">
        <v>16</v>
      </c>
      <c r="AP95" s="176">
        <v>39</v>
      </c>
      <c r="AQ95" s="167"/>
      <c r="AR95" s="180">
        <v>25.9</v>
      </c>
      <c r="AS95" s="166">
        <v>13.942172213920299</v>
      </c>
      <c r="AT95" s="181" t="s">
        <v>54</v>
      </c>
      <c r="AU95" s="188">
        <v>0.87138576337001705</v>
      </c>
      <c r="AV95" s="171">
        <v>-8.3406328565760806</v>
      </c>
      <c r="AW95" s="168"/>
      <c r="AX95" s="168"/>
      <c r="AY95" s="176">
        <v>4</v>
      </c>
      <c r="AZ95" s="176">
        <v>10</v>
      </c>
      <c r="BA95" s="167"/>
      <c r="BB95" s="184">
        <v>93</v>
      </c>
      <c r="BC95" s="180">
        <v>50.062626096316102</v>
      </c>
      <c r="BD95" s="181" t="s">
        <v>55</v>
      </c>
      <c r="BE95" s="178">
        <v>1.56445706550988</v>
      </c>
      <c r="BF95" s="179">
        <v>24.518734286847799</v>
      </c>
      <c r="BG95" s="168">
        <v>0.02</v>
      </c>
      <c r="BH95" s="168">
        <v>0.02</v>
      </c>
      <c r="BI95" s="176">
        <v>0</v>
      </c>
      <c r="BJ95" s="176">
        <v>0</v>
      </c>
      <c r="BK95" s="169"/>
      <c r="BL95" s="185">
        <v>0.8</v>
      </c>
      <c r="BM95" s="188">
        <v>0.77</v>
      </c>
      <c r="BN95" s="186"/>
      <c r="BO95" s="187">
        <v>0.95</v>
      </c>
      <c r="BP95" s="178">
        <v>1</v>
      </c>
      <c r="BQ95" s="186">
        <v>2.5000000000000001E-3</v>
      </c>
    </row>
    <row r="96" spans="1:69" s="156" customFormat="1" ht="22.35" customHeight="1" x14ac:dyDescent="0.2">
      <c r="A96" s="165" t="s">
        <v>139</v>
      </c>
      <c r="B96" s="165" t="s">
        <v>140</v>
      </c>
      <c r="C96" s="165" t="s">
        <v>153</v>
      </c>
      <c r="D96" s="166">
        <v>3.3075077187777802</v>
      </c>
      <c r="E96" s="167"/>
      <c r="F96" s="168">
        <v>5.1999999999999998E-2</v>
      </c>
      <c r="G96" s="168">
        <v>4.2999999999999997E-2</v>
      </c>
      <c r="H96" s="169"/>
      <c r="I96" s="170">
        <v>5</v>
      </c>
      <c r="J96" s="170">
        <v>5</v>
      </c>
      <c r="K96" s="167"/>
      <c r="L96" s="171">
        <v>1923.9039399999999</v>
      </c>
      <c r="M96" s="171">
        <v>1117.5435</v>
      </c>
      <c r="N96" s="171">
        <v>3041.4474399999999</v>
      </c>
      <c r="O96" s="166">
        <v>919.55868242808106</v>
      </c>
      <c r="P96" s="172">
        <v>248.167</v>
      </c>
      <c r="Q96" s="178">
        <v>3.7054027426212199</v>
      </c>
      <c r="R96" s="179">
        <v>2095.8694032110898</v>
      </c>
      <c r="S96" s="168">
        <v>0.01</v>
      </c>
      <c r="T96" s="168">
        <v>0.01</v>
      </c>
      <c r="U96" s="175">
        <v>0</v>
      </c>
      <c r="V96" s="176">
        <v>0</v>
      </c>
      <c r="W96" s="167"/>
      <c r="X96" s="175">
        <v>2065.9301399999999</v>
      </c>
      <c r="Y96" s="166">
        <v>624.61838812077599</v>
      </c>
      <c r="Z96" s="177">
        <v>573</v>
      </c>
      <c r="AA96" s="182">
        <v>1.09008444698216</v>
      </c>
      <c r="AB96" s="183">
        <v>-117.342475134338</v>
      </c>
      <c r="AC96" s="168">
        <v>1.4E-2</v>
      </c>
      <c r="AD96" s="168">
        <v>8.9999999999999993E-3</v>
      </c>
      <c r="AE96" s="176">
        <v>0</v>
      </c>
      <c r="AF96" s="176">
        <v>209</v>
      </c>
      <c r="AG96" s="167"/>
      <c r="AH96" s="180">
        <v>216.25</v>
      </c>
      <c r="AI96" s="166">
        <v>65.381555656629203</v>
      </c>
      <c r="AJ96" s="181" t="s">
        <v>53</v>
      </c>
      <c r="AK96" s="182">
        <v>1.0378024707401501</v>
      </c>
      <c r="AL96" s="183">
        <v>-23.7956801980162</v>
      </c>
      <c r="AM96" s="168">
        <v>8.0000000000000002E-3</v>
      </c>
      <c r="AN96" s="168">
        <v>4.0000000000000001E-3</v>
      </c>
      <c r="AO96" s="176">
        <v>0</v>
      </c>
      <c r="AP96" s="176">
        <v>34</v>
      </c>
      <c r="AQ96" s="167"/>
      <c r="AR96" s="180">
        <v>14.6</v>
      </c>
      <c r="AS96" s="166">
        <v>4.4141998269909202</v>
      </c>
      <c r="AT96" s="181" t="s">
        <v>54</v>
      </c>
      <c r="AU96" s="173">
        <v>0.27588748918693301</v>
      </c>
      <c r="AV96" s="174">
        <v>-46.363982272511997</v>
      </c>
      <c r="AW96" s="168"/>
      <c r="AX96" s="168"/>
      <c r="AY96" s="176">
        <v>39</v>
      </c>
      <c r="AZ96" s="176">
        <v>49</v>
      </c>
      <c r="BA96" s="167"/>
      <c r="BB96" s="184">
        <v>133.6</v>
      </c>
      <c r="BC96" s="180">
        <v>40.392951841505997</v>
      </c>
      <c r="BD96" s="181" t="s">
        <v>55</v>
      </c>
      <c r="BE96" s="178">
        <v>1.26227974504706</v>
      </c>
      <c r="BF96" s="179">
        <v>11.6720354549759</v>
      </c>
      <c r="BG96" s="168">
        <v>0.02</v>
      </c>
      <c r="BH96" s="168">
        <v>0.02</v>
      </c>
      <c r="BI96" s="176">
        <v>0</v>
      </c>
      <c r="BJ96" s="176">
        <v>0</v>
      </c>
      <c r="BK96" s="169"/>
      <c r="BL96" s="185">
        <v>0.8</v>
      </c>
      <c r="BM96" s="188">
        <v>0.71</v>
      </c>
      <c r="BN96" s="186"/>
      <c r="BO96" s="187">
        <v>0.95</v>
      </c>
      <c r="BP96" s="178">
        <v>1</v>
      </c>
      <c r="BQ96" s="186">
        <v>2.5000000000000001E-3</v>
      </c>
    </row>
    <row r="97" spans="1:69" s="156" customFormat="1" ht="22.35" customHeight="1" x14ac:dyDescent="0.2">
      <c r="A97" s="165" t="s">
        <v>139</v>
      </c>
      <c r="B97" s="165" t="s">
        <v>140</v>
      </c>
      <c r="C97" s="165" t="s">
        <v>154</v>
      </c>
      <c r="D97" s="166">
        <v>3.0547893162222199</v>
      </c>
      <c r="E97" s="167"/>
      <c r="F97" s="168">
        <v>1.2E-2</v>
      </c>
      <c r="G97" s="168">
        <v>0.01</v>
      </c>
      <c r="H97" s="169"/>
      <c r="I97" s="170">
        <v>3</v>
      </c>
      <c r="J97" s="170">
        <v>2</v>
      </c>
      <c r="K97" s="167"/>
      <c r="L97" s="171">
        <v>1526.53475</v>
      </c>
      <c r="M97" s="171">
        <v>1572.2740899999999</v>
      </c>
      <c r="N97" s="171">
        <v>3098.8088400000001</v>
      </c>
      <c r="O97" s="166">
        <v>1014.41000318549</v>
      </c>
      <c r="P97" s="172">
        <v>285.53899999999999</v>
      </c>
      <c r="Q97" s="178">
        <v>3.5526145401696101</v>
      </c>
      <c r="R97" s="179">
        <v>2093.9636074773798</v>
      </c>
      <c r="S97" s="168">
        <v>0.01</v>
      </c>
      <c r="T97" s="168">
        <v>0.01</v>
      </c>
      <c r="U97" s="175">
        <v>0</v>
      </c>
      <c r="V97" s="176">
        <v>0</v>
      </c>
      <c r="W97" s="167"/>
      <c r="X97" s="175">
        <v>1070.5426600000001</v>
      </c>
      <c r="Y97" s="166">
        <v>350.44729740115503</v>
      </c>
      <c r="Z97" s="177">
        <v>573</v>
      </c>
      <c r="AA97" s="173">
        <v>0.61160086806484304</v>
      </c>
      <c r="AB97" s="174">
        <v>-945.91154848102303</v>
      </c>
      <c r="AC97" s="168"/>
      <c r="AD97" s="168"/>
      <c r="AE97" s="176">
        <v>680</v>
      </c>
      <c r="AF97" s="176">
        <v>1030</v>
      </c>
      <c r="AG97" s="167"/>
      <c r="AH97" s="180">
        <v>142.5</v>
      </c>
      <c r="AI97" s="166">
        <v>46.648061535132598</v>
      </c>
      <c r="AJ97" s="181" t="s">
        <v>53</v>
      </c>
      <c r="AK97" s="173">
        <v>0.74044542119258205</v>
      </c>
      <c r="AL97" s="174">
        <v>-79.204389414143805</v>
      </c>
      <c r="AM97" s="168"/>
      <c r="AN97" s="168"/>
      <c r="AO97" s="176">
        <v>50</v>
      </c>
      <c r="AP97" s="176">
        <v>89</v>
      </c>
      <c r="AQ97" s="167"/>
      <c r="AR97" s="180">
        <v>17.399999999999999</v>
      </c>
      <c r="AS97" s="166">
        <v>5.69597382955304</v>
      </c>
      <c r="AT97" s="181" t="s">
        <v>54</v>
      </c>
      <c r="AU97" s="173">
        <v>0.355998364347065</v>
      </c>
      <c r="AV97" s="174">
        <v>-38.905876676607903</v>
      </c>
      <c r="AW97" s="168"/>
      <c r="AX97" s="168"/>
      <c r="AY97" s="176">
        <v>32</v>
      </c>
      <c r="AZ97" s="176">
        <v>42</v>
      </c>
      <c r="BA97" s="167"/>
      <c r="BB97" s="184">
        <v>95.6</v>
      </c>
      <c r="BC97" s="180">
        <v>31.295120580762699</v>
      </c>
      <c r="BD97" s="181" t="s">
        <v>55</v>
      </c>
      <c r="BE97" s="182">
        <v>0.97797251814883301</v>
      </c>
      <c r="BF97" s="183">
        <v>-17.011753353215902</v>
      </c>
      <c r="BG97" s="168">
        <v>2E-3</v>
      </c>
      <c r="BH97" s="168"/>
      <c r="BI97" s="176">
        <v>3</v>
      </c>
      <c r="BJ97" s="176">
        <v>22</v>
      </c>
      <c r="BK97" s="169"/>
      <c r="BL97" s="185">
        <v>0.8</v>
      </c>
      <c r="BM97" s="188">
        <v>0.78</v>
      </c>
      <c r="BN97" s="186"/>
      <c r="BO97" s="187">
        <v>0.95</v>
      </c>
      <c r="BP97" s="178">
        <v>1</v>
      </c>
      <c r="BQ97" s="186">
        <v>2.5000000000000001E-3</v>
      </c>
    </row>
    <row r="98" spans="1:69" s="156" customFormat="1" ht="22.35" customHeight="1" x14ac:dyDescent="0.2">
      <c r="A98" s="165" t="s">
        <v>139</v>
      </c>
      <c r="B98" s="165" t="s">
        <v>140</v>
      </c>
      <c r="C98" s="165" t="s">
        <v>155</v>
      </c>
      <c r="D98" s="166">
        <v>2.7451908808888899</v>
      </c>
      <c r="E98" s="167"/>
      <c r="F98" s="168">
        <v>3.1E-2</v>
      </c>
      <c r="G98" s="168">
        <v>0.03</v>
      </c>
      <c r="H98" s="169"/>
      <c r="I98" s="170">
        <v>4</v>
      </c>
      <c r="J98" s="170">
        <v>3</v>
      </c>
      <c r="K98" s="167"/>
      <c r="L98" s="171">
        <v>479.52219000000002</v>
      </c>
      <c r="M98" s="171">
        <v>579.21705999999995</v>
      </c>
      <c r="N98" s="171">
        <v>1058.7392500000001</v>
      </c>
      <c r="O98" s="166">
        <v>385.67054020563501</v>
      </c>
      <c r="P98" s="172">
        <v>287.5</v>
      </c>
      <c r="Q98" s="178">
        <v>1.34146274854134</v>
      </c>
      <c r="R98" s="179">
        <v>149.53203024960001</v>
      </c>
      <c r="S98" s="168">
        <v>0.01</v>
      </c>
      <c r="T98" s="168">
        <v>0.01</v>
      </c>
      <c r="U98" s="175">
        <v>0</v>
      </c>
      <c r="V98" s="176">
        <v>0</v>
      </c>
      <c r="W98" s="167"/>
      <c r="X98" s="175">
        <v>720.57326</v>
      </c>
      <c r="Y98" s="166">
        <v>262.48566721403301</v>
      </c>
      <c r="Z98" s="177">
        <v>573</v>
      </c>
      <c r="AA98" s="173">
        <v>0.45809016965799898</v>
      </c>
      <c r="AB98" s="174">
        <v>-1091.5162597112301</v>
      </c>
      <c r="AC98" s="168"/>
      <c r="AD98" s="168"/>
      <c r="AE98" s="176">
        <v>853</v>
      </c>
      <c r="AF98" s="176">
        <v>1168</v>
      </c>
      <c r="AG98" s="167"/>
      <c r="AH98" s="180">
        <v>167.4</v>
      </c>
      <c r="AI98" s="166">
        <v>60.979366194672799</v>
      </c>
      <c r="AJ98" s="181" t="s">
        <v>53</v>
      </c>
      <c r="AK98" s="182">
        <v>0.96792644753448898</v>
      </c>
      <c r="AL98" s="183">
        <v>-31.834973371392099</v>
      </c>
      <c r="AM98" s="168">
        <v>1E-3</v>
      </c>
      <c r="AN98" s="168"/>
      <c r="AO98" s="176">
        <v>6</v>
      </c>
      <c r="AP98" s="176">
        <v>41</v>
      </c>
      <c r="AQ98" s="167"/>
      <c r="AR98" s="180">
        <v>23.6</v>
      </c>
      <c r="AS98" s="166">
        <v>8.5968521039084695</v>
      </c>
      <c r="AT98" s="181" t="s">
        <v>54</v>
      </c>
      <c r="AU98" s="173">
        <v>0.53730325649427901</v>
      </c>
      <c r="AV98" s="174">
        <v>-26.999358316544001</v>
      </c>
      <c r="AW98" s="168"/>
      <c r="AX98" s="168"/>
      <c r="AY98" s="176">
        <v>21</v>
      </c>
      <c r="AZ98" s="176">
        <v>30</v>
      </c>
      <c r="BA98" s="167"/>
      <c r="BB98" s="184">
        <v>106.4</v>
      </c>
      <c r="BC98" s="180">
        <v>38.758689146434797</v>
      </c>
      <c r="BD98" s="181" t="s">
        <v>55</v>
      </c>
      <c r="BE98" s="178">
        <v>1.2112090358260901</v>
      </c>
      <c r="BF98" s="179">
        <v>5.2012833669119702</v>
      </c>
      <c r="BG98" s="168">
        <v>0.02</v>
      </c>
      <c r="BH98" s="168">
        <v>0.02</v>
      </c>
      <c r="BI98" s="176">
        <v>0</v>
      </c>
      <c r="BJ98" s="176">
        <v>0</v>
      </c>
      <c r="BK98" s="169"/>
      <c r="BL98" s="185">
        <v>0.8</v>
      </c>
      <c r="BM98" s="188">
        <v>0.7</v>
      </c>
      <c r="BN98" s="186"/>
      <c r="BO98" s="187">
        <v>0.95</v>
      </c>
      <c r="BP98" s="178">
        <v>1</v>
      </c>
      <c r="BQ98" s="186">
        <v>2.5000000000000001E-3</v>
      </c>
    </row>
    <row r="99" spans="1:69" s="156" customFormat="1" ht="22.35" customHeight="1" x14ac:dyDescent="0.2">
      <c r="A99" s="165" t="s">
        <v>139</v>
      </c>
      <c r="B99" s="165" t="s">
        <v>140</v>
      </c>
      <c r="C99" s="165" t="s">
        <v>156</v>
      </c>
      <c r="D99" s="166">
        <v>3.756503602</v>
      </c>
      <c r="E99" s="167"/>
      <c r="F99" s="168">
        <v>3.7999999999999999E-2</v>
      </c>
      <c r="G99" s="168">
        <v>3.3000000000000002E-2</v>
      </c>
      <c r="H99" s="169"/>
      <c r="I99" s="170">
        <v>4</v>
      </c>
      <c r="J99" s="170">
        <v>4</v>
      </c>
      <c r="K99" s="167"/>
      <c r="L99" s="171">
        <v>2429.1472800000001</v>
      </c>
      <c r="M99" s="171">
        <v>164.08503999999999</v>
      </c>
      <c r="N99" s="171">
        <v>2593.2323200000001</v>
      </c>
      <c r="O99" s="166">
        <v>690.33138118630802</v>
      </c>
      <c r="P99" s="172">
        <v>261.89100000000002</v>
      </c>
      <c r="Q99" s="178">
        <v>2.6359492353166298</v>
      </c>
      <c r="R99" s="179">
        <v>1459.9010734742501</v>
      </c>
      <c r="S99" s="168">
        <v>0.01</v>
      </c>
      <c r="T99" s="168">
        <v>0.01</v>
      </c>
      <c r="U99" s="175">
        <v>0</v>
      </c>
      <c r="V99" s="176">
        <v>0</v>
      </c>
      <c r="W99" s="167"/>
      <c r="X99" s="175">
        <v>2223.6574049999999</v>
      </c>
      <c r="Y99" s="166">
        <v>591.948695008865</v>
      </c>
      <c r="Z99" s="177">
        <v>573</v>
      </c>
      <c r="AA99" s="182">
        <v>1.03306927575718</v>
      </c>
      <c r="AB99" s="183">
        <v>-255.99559666579199</v>
      </c>
      <c r="AC99" s="168">
        <v>8.0000000000000002E-3</v>
      </c>
      <c r="AD99" s="168">
        <v>3.0000000000000001E-3</v>
      </c>
      <c r="AE99" s="176">
        <v>0</v>
      </c>
      <c r="AF99" s="176">
        <v>360</v>
      </c>
      <c r="AG99" s="167"/>
      <c r="AH99" s="180">
        <v>223.85</v>
      </c>
      <c r="AI99" s="166">
        <v>59.589986784737803</v>
      </c>
      <c r="AJ99" s="181" t="s">
        <v>53</v>
      </c>
      <c r="AK99" s="188">
        <v>0.94587280610694902</v>
      </c>
      <c r="AL99" s="171">
        <v>-48.782005418752</v>
      </c>
      <c r="AM99" s="168"/>
      <c r="AN99" s="168"/>
      <c r="AO99" s="176">
        <v>13</v>
      </c>
      <c r="AP99" s="176">
        <v>61</v>
      </c>
      <c r="AQ99" s="167"/>
      <c r="AR99" s="180">
        <v>25</v>
      </c>
      <c r="AS99" s="166">
        <v>6.65512472467476</v>
      </c>
      <c r="AT99" s="181" t="s">
        <v>54</v>
      </c>
      <c r="AU99" s="173">
        <v>0.415945295292173</v>
      </c>
      <c r="AV99" s="174">
        <v>-44.239874392064003</v>
      </c>
      <c r="AW99" s="168"/>
      <c r="AX99" s="168"/>
      <c r="AY99" s="176">
        <v>36</v>
      </c>
      <c r="AZ99" s="176">
        <v>48</v>
      </c>
      <c r="BA99" s="167"/>
      <c r="BB99" s="184">
        <v>155</v>
      </c>
      <c r="BC99" s="180">
        <v>41.261773292983499</v>
      </c>
      <c r="BD99" s="181" t="s">
        <v>55</v>
      </c>
      <c r="BE99" s="178">
        <v>1.2894304154057299</v>
      </c>
      <c r="BF99" s="179">
        <v>16.520251215872001</v>
      </c>
      <c r="BG99" s="168">
        <v>0.02</v>
      </c>
      <c r="BH99" s="168">
        <v>0.02</v>
      </c>
      <c r="BI99" s="176">
        <v>0</v>
      </c>
      <c r="BJ99" s="176">
        <v>0</v>
      </c>
      <c r="BK99" s="169"/>
      <c r="BL99" s="185">
        <v>0.8</v>
      </c>
      <c r="BM99" s="188">
        <v>0.71</v>
      </c>
      <c r="BN99" s="186"/>
      <c r="BO99" s="187">
        <v>0.95</v>
      </c>
      <c r="BP99" s="178">
        <v>1</v>
      </c>
      <c r="BQ99" s="186">
        <v>2.5000000000000001E-3</v>
      </c>
    </row>
    <row r="100" spans="1:69" s="156" customFormat="1" ht="22.35" customHeight="1" x14ac:dyDescent="0.2">
      <c r="A100" s="165" t="s">
        <v>139</v>
      </c>
      <c r="B100" s="165" t="s">
        <v>140</v>
      </c>
      <c r="C100" s="165" t="s">
        <v>157</v>
      </c>
      <c r="D100" s="166">
        <v>2.8448773448888902</v>
      </c>
      <c r="E100" s="167"/>
      <c r="F100" s="168">
        <v>0.01</v>
      </c>
      <c r="G100" s="168">
        <v>0.01</v>
      </c>
      <c r="H100" s="169"/>
      <c r="I100" s="170">
        <v>2</v>
      </c>
      <c r="J100" s="170">
        <v>2</v>
      </c>
      <c r="K100" s="167"/>
      <c r="L100" s="171">
        <v>1193.30927</v>
      </c>
      <c r="M100" s="171">
        <v>-242.08170999999999</v>
      </c>
      <c r="N100" s="171">
        <v>951.22756000000004</v>
      </c>
      <c r="O100" s="166">
        <v>334.36505152286298</v>
      </c>
      <c r="P100" s="172">
        <v>228.56200000000001</v>
      </c>
      <c r="Q100" s="178">
        <v>1.46290744534465</v>
      </c>
      <c r="R100" s="179">
        <v>202.161614230726</v>
      </c>
      <c r="S100" s="168">
        <v>0.01</v>
      </c>
      <c r="T100" s="168">
        <v>0.01</v>
      </c>
      <c r="U100" s="175">
        <v>0</v>
      </c>
      <c r="V100" s="176">
        <v>0</v>
      </c>
      <c r="W100" s="167"/>
      <c r="X100" s="175">
        <v>962.27698499999997</v>
      </c>
      <c r="Y100" s="166">
        <v>338.24902389160201</v>
      </c>
      <c r="Z100" s="177">
        <v>573</v>
      </c>
      <c r="AA100" s="173">
        <v>0.59031243262059696</v>
      </c>
      <c r="AB100" s="174">
        <v>-915.61517085177695</v>
      </c>
      <c r="AC100" s="168"/>
      <c r="AD100" s="168"/>
      <c r="AE100" s="176">
        <v>668</v>
      </c>
      <c r="AF100" s="176">
        <v>994</v>
      </c>
      <c r="AG100" s="167"/>
      <c r="AH100" s="180">
        <v>106</v>
      </c>
      <c r="AI100" s="166">
        <v>37.2599543493289</v>
      </c>
      <c r="AJ100" s="181" t="s">
        <v>53</v>
      </c>
      <c r="AK100" s="173">
        <v>0.59142784681474403</v>
      </c>
      <c r="AL100" s="174">
        <v>-100.469818182656</v>
      </c>
      <c r="AM100" s="168"/>
      <c r="AN100" s="168"/>
      <c r="AO100" s="176">
        <v>74</v>
      </c>
      <c r="AP100" s="176">
        <v>110</v>
      </c>
      <c r="AQ100" s="167"/>
      <c r="AR100" s="180">
        <v>1</v>
      </c>
      <c r="AS100" s="166">
        <v>0.35150900329555601</v>
      </c>
      <c r="AT100" s="181" t="s">
        <v>54</v>
      </c>
      <c r="AU100" s="173">
        <v>2.1969312705972199E-2</v>
      </c>
      <c r="AV100" s="174">
        <v>-51.436779220992001</v>
      </c>
      <c r="AW100" s="168"/>
      <c r="AX100" s="168"/>
      <c r="AY100" s="176">
        <v>45</v>
      </c>
      <c r="AZ100" s="176">
        <v>54</v>
      </c>
      <c r="BA100" s="167"/>
      <c r="BB100" s="184">
        <v>49.4</v>
      </c>
      <c r="BC100" s="180">
        <v>17.364544762800399</v>
      </c>
      <c r="BD100" s="181" t="s">
        <v>55</v>
      </c>
      <c r="BE100" s="173">
        <v>0.54264202383751403</v>
      </c>
      <c r="BF100" s="174">
        <v>-55.473558441983997</v>
      </c>
      <c r="BG100" s="168"/>
      <c r="BH100" s="168"/>
      <c r="BI100" s="176">
        <v>42</v>
      </c>
      <c r="BJ100" s="176">
        <v>60</v>
      </c>
      <c r="BK100" s="169"/>
      <c r="BL100" s="185">
        <v>0.8</v>
      </c>
      <c r="BM100" s="188">
        <v>0.75</v>
      </c>
      <c r="BN100" s="186"/>
      <c r="BO100" s="187">
        <v>0.95</v>
      </c>
      <c r="BP100" s="178">
        <v>1</v>
      </c>
      <c r="BQ100" s="186">
        <v>2.5000000000000001E-3</v>
      </c>
    </row>
    <row r="101" spans="1:69" s="156" customFormat="1" ht="22.35" customHeight="1" x14ac:dyDescent="0.2">
      <c r="A101" s="165" t="s">
        <v>139</v>
      </c>
      <c r="B101" s="165" t="s">
        <v>140</v>
      </c>
      <c r="C101" s="165" t="s">
        <v>158</v>
      </c>
      <c r="D101" s="166">
        <v>2.4566604814444402</v>
      </c>
      <c r="E101" s="167"/>
      <c r="F101" s="168">
        <v>0.01</v>
      </c>
      <c r="G101" s="168">
        <v>0.01</v>
      </c>
      <c r="H101" s="169"/>
      <c r="I101" s="170">
        <v>2</v>
      </c>
      <c r="J101" s="170">
        <v>2</v>
      </c>
      <c r="K101" s="167"/>
      <c r="L101" s="171">
        <v>806.66012000000001</v>
      </c>
      <c r="M101" s="171">
        <v>356.66287</v>
      </c>
      <c r="N101" s="171">
        <v>1163.3229899999999</v>
      </c>
      <c r="O101" s="166">
        <v>473.53836591859903</v>
      </c>
      <c r="P101" s="172">
        <v>287.5</v>
      </c>
      <c r="Q101" s="178">
        <v>1.64708996841252</v>
      </c>
      <c r="R101" s="179">
        <v>349.67703854560102</v>
      </c>
      <c r="S101" s="168">
        <v>0.01</v>
      </c>
      <c r="T101" s="168">
        <v>0.01</v>
      </c>
      <c r="U101" s="175">
        <v>0</v>
      </c>
      <c r="V101" s="176">
        <v>0</v>
      </c>
      <c r="W101" s="167"/>
      <c r="X101" s="175">
        <v>741.78253500000005</v>
      </c>
      <c r="Y101" s="166">
        <v>301.94751802408302</v>
      </c>
      <c r="Z101" s="177">
        <v>573</v>
      </c>
      <c r="AA101" s="173">
        <v>0.52695901923923805</v>
      </c>
      <c r="AB101" s="174">
        <v>-879.84922215954896</v>
      </c>
      <c r="AC101" s="168"/>
      <c r="AD101" s="168"/>
      <c r="AE101" s="176">
        <v>666</v>
      </c>
      <c r="AF101" s="176">
        <v>948</v>
      </c>
      <c r="AG101" s="167"/>
      <c r="AH101" s="180">
        <v>88.3</v>
      </c>
      <c r="AI101" s="166">
        <v>35.9431027066802</v>
      </c>
      <c r="AJ101" s="181" t="s">
        <v>53</v>
      </c>
      <c r="AK101" s="173">
        <v>0.57052543978857395</v>
      </c>
      <c r="AL101" s="174">
        <v>-89.994591101311698</v>
      </c>
      <c r="AM101" s="168"/>
      <c r="AN101" s="168"/>
      <c r="AO101" s="176">
        <v>67</v>
      </c>
      <c r="AP101" s="176">
        <v>98</v>
      </c>
      <c r="AQ101" s="167"/>
      <c r="AR101" s="180">
        <v>1.5</v>
      </c>
      <c r="AS101" s="166">
        <v>0.61058498369218805</v>
      </c>
      <c r="AT101" s="181" t="s">
        <v>54</v>
      </c>
      <c r="AU101" s="173">
        <v>3.8161561480761802E-2</v>
      </c>
      <c r="AV101" s="174">
        <v>-43.781165993983898</v>
      </c>
      <c r="AW101" s="168"/>
      <c r="AX101" s="168"/>
      <c r="AY101" s="176">
        <v>38</v>
      </c>
      <c r="AZ101" s="176">
        <v>46</v>
      </c>
      <c r="BA101" s="167"/>
      <c r="BB101" s="184">
        <v>72.400000000000006</v>
      </c>
      <c r="BC101" s="180">
        <v>29.470901879543</v>
      </c>
      <c r="BD101" s="181" t="s">
        <v>55</v>
      </c>
      <c r="BE101" s="188">
        <v>0.92096568373571697</v>
      </c>
      <c r="BF101" s="171">
        <v>-18.1623319879678</v>
      </c>
      <c r="BG101" s="168"/>
      <c r="BH101" s="168"/>
      <c r="BI101" s="176">
        <v>7</v>
      </c>
      <c r="BJ101" s="176">
        <v>22</v>
      </c>
      <c r="BK101" s="169"/>
      <c r="BL101" s="185">
        <v>0.8</v>
      </c>
      <c r="BM101" s="188">
        <v>0.77</v>
      </c>
      <c r="BN101" s="186"/>
      <c r="BO101" s="187">
        <v>0.95</v>
      </c>
      <c r="BP101" s="178">
        <v>1</v>
      </c>
      <c r="BQ101" s="186">
        <v>2.5000000000000001E-3</v>
      </c>
    </row>
    <row r="102" spans="1:69" s="156" customFormat="1" ht="22.35" customHeight="1" x14ac:dyDescent="0.2">
      <c r="A102" s="165" t="s">
        <v>139</v>
      </c>
      <c r="B102" s="165" t="s">
        <v>159</v>
      </c>
      <c r="C102" s="165" t="s">
        <v>160</v>
      </c>
      <c r="D102" s="166">
        <v>3.9968760643333301</v>
      </c>
      <c r="E102" s="167"/>
      <c r="F102" s="168">
        <v>0.01</v>
      </c>
      <c r="G102" s="168">
        <v>0.01</v>
      </c>
      <c r="H102" s="169"/>
      <c r="I102" s="170">
        <v>2</v>
      </c>
      <c r="J102" s="170">
        <v>2</v>
      </c>
      <c r="K102" s="167"/>
      <c r="L102" s="171">
        <v>3825.2139900000002</v>
      </c>
      <c r="M102" s="171">
        <v>-361.18516</v>
      </c>
      <c r="N102" s="171">
        <v>3464.0288300000002</v>
      </c>
      <c r="O102" s="166">
        <v>866.68407382248597</v>
      </c>
      <c r="P102" s="172">
        <v>274.60399999999998</v>
      </c>
      <c r="Q102" s="178">
        <v>3.1561232677691802</v>
      </c>
      <c r="R102" s="179">
        <v>2199.6418357047401</v>
      </c>
      <c r="S102" s="168">
        <v>0.01</v>
      </c>
      <c r="T102" s="168">
        <v>0.01</v>
      </c>
      <c r="U102" s="175">
        <v>0</v>
      </c>
      <c r="V102" s="176">
        <v>0</v>
      </c>
      <c r="W102" s="167"/>
      <c r="X102" s="175">
        <v>1702.159975</v>
      </c>
      <c r="Y102" s="166">
        <v>425.87259339599098</v>
      </c>
      <c r="Z102" s="177">
        <v>573</v>
      </c>
      <c r="AA102" s="173">
        <v>0.74323314728794299</v>
      </c>
      <c r="AB102" s="174">
        <v>-936.16192756217401</v>
      </c>
      <c r="AC102" s="168"/>
      <c r="AD102" s="168"/>
      <c r="AE102" s="176">
        <v>589</v>
      </c>
      <c r="AF102" s="176">
        <v>1047</v>
      </c>
      <c r="AG102" s="167"/>
      <c r="AH102" s="180">
        <v>129.5</v>
      </c>
      <c r="AI102" s="166">
        <v>32.400304116409998</v>
      </c>
      <c r="AJ102" s="181" t="s">
        <v>53</v>
      </c>
      <c r="AK102" s="173">
        <v>0.51429054153031795</v>
      </c>
      <c r="AL102" s="174">
        <v>-160.577277245056</v>
      </c>
      <c r="AM102" s="168"/>
      <c r="AN102" s="168"/>
      <c r="AO102" s="176">
        <v>123</v>
      </c>
      <c r="AP102" s="176">
        <v>173</v>
      </c>
      <c r="AQ102" s="167"/>
      <c r="AR102" s="180">
        <v>8</v>
      </c>
      <c r="AS102" s="166">
        <v>2.0015631886585301</v>
      </c>
      <c r="AT102" s="181" t="s">
        <v>54</v>
      </c>
      <c r="AU102" s="173">
        <v>0.12509769929115799</v>
      </c>
      <c r="AV102" s="174">
        <v>-65.670419617791893</v>
      </c>
      <c r="AW102" s="168"/>
      <c r="AX102" s="168"/>
      <c r="AY102" s="176">
        <v>56</v>
      </c>
      <c r="AZ102" s="176">
        <v>69</v>
      </c>
      <c r="BA102" s="167"/>
      <c r="BB102" s="184">
        <v>98.2</v>
      </c>
      <c r="BC102" s="180">
        <v>24.569188140783499</v>
      </c>
      <c r="BD102" s="181" t="s">
        <v>55</v>
      </c>
      <c r="BE102" s="188">
        <v>0.76778712939948401</v>
      </c>
      <c r="BF102" s="171">
        <v>-49.140839235583897</v>
      </c>
      <c r="BG102" s="168"/>
      <c r="BH102" s="168"/>
      <c r="BI102" s="176">
        <v>30</v>
      </c>
      <c r="BJ102" s="176">
        <v>56</v>
      </c>
      <c r="BK102" s="169"/>
      <c r="BL102" s="185">
        <v>0.8</v>
      </c>
      <c r="BM102" s="188">
        <v>0.71</v>
      </c>
      <c r="BN102" s="186"/>
      <c r="BO102" s="187">
        <v>0.95</v>
      </c>
      <c r="BP102" s="178">
        <v>1</v>
      </c>
      <c r="BQ102" s="186">
        <v>2.5000000000000001E-3</v>
      </c>
    </row>
    <row r="103" spans="1:69" s="156" customFormat="1" ht="22.35" customHeight="1" x14ac:dyDescent="0.2">
      <c r="A103" s="165" t="s">
        <v>139</v>
      </c>
      <c r="B103" s="165" t="s">
        <v>159</v>
      </c>
      <c r="C103" s="165" t="s">
        <v>161</v>
      </c>
      <c r="D103" s="166">
        <v>3.1170158208888901</v>
      </c>
      <c r="E103" s="167"/>
      <c r="F103" s="168">
        <v>1.7999999999999999E-2</v>
      </c>
      <c r="G103" s="168">
        <v>1.4E-2</v>
      </c>
      <c r="H103" s="169"/>
      <c r="I103" s="170">
        <v>3</v>
      </c>
      <c r="J103" s="170">
        <v>3</v>
      </c>
      <c r="K103" s="167"/>
      <c r="L103" s="171">
        <v>3081.0904700000001</v>
      </c>
      <c r="M103" s="171">
        <v>1688.83386</v>
      </c>
      <c r="N103" s="171">
        <v>4769.9243299999998</v>
      </c>
      <c r="O103" s="166">
        <v>1530.2855693044701</v>
      </c>
      <c r="P103" s="172">
        <v>254.25200000000001</v>
      </c>
      <c r="Q103" s="178">
        <v>6.0187749528203103</v>
      </c>
      <c r="R103" s="179">
        <v>3856.95568252048</v>
      </c>
      <c r="S103" s="168">
        <v>0.01</v>
      </c>
      <c r="T103" s="168">
        <v>0.01</v>
      </c>
      <c r="U103" s="175">
        <v>0</v>
      </c>
      <c r="V103" s="176">
        <v>0</v>
      </c>
      <c r="W103" s="167"/>
      <c r="X103" s="175">
        <v>1399.0134350000001</v>
      </c>
      <c r="Y103" s="166">
        <v>448.831034358061</v>
      </c>
      <c r="Z103" s="177">
        <v>573</v>
      </c>
      <c r="AA103" s="188">
        <v>0.78330023448178199</v>
      </c>
      <c r="AB103" s="171">
        <v>-658.51624030547305</v>
      </c>
      <c r="AC103" s="168"/>
      <c r="AD103" s="168"/>
      <c r="AE103" s="176">
        <v>388</v>
      </c>
      <c r="AF103" s="176">
        <v>745</v>
      </c>
      <c r="AG103" s="167"/>
      <c r="AH103" s="180">
        <v>100.3</v>
      </c>
      <c r="AI103" s="166">
        <v>32.178213317953897</v>
      </c>
      <c r="AJ103" s="181" t="s">
        <v>53</v>
      </c>
      <c r="AK103" s="173">
        <v>0.51076529076117405</v>
      </c>
      <c r="AL103" s="174">
        <v>-125.92054021683199</v>
      </c>
      <c r="AM103" s="168"/>
      <c r="AN103" s="168"/>
      <c r="AO103" s="176">
        <v>97</v>
      </c>
      <c r="AP103" s="176">
        <v>136</v>
      </c>
      <c r="AQ103" s="167"/>
      <c r="AR103" s="180">
        <v>32.4</v>
      </c>
      <c r="AS103" s="166">
        <v>10.394557442689001</v>
      </c>
      <c r="AT103" s="181" t="s">
        <v>54</v>
      </c>
      <c r="AU103" s="173">
        <v>0.649659840168063</v>
      </c>
      <c r="AV103" s="174">
        <v>-25.052835610624001</v>
      </c>
      <c r="AW103" s="168"/>
      <c r="AX103" s="168"/>
      <c r="AY103" s="176">
        <v>18</v>
      </c>
      <c r="AZ103" s="176">
        <v>28</v>
      </c>
      <c r="BA103" s="167"/>
      <c r="BB103" s="184">
        <v>103.8</v>
      </c>
      <c r="BC103" s="180">
        <v>33.301082177503702</v>
      </c>
      <c r="BD103" s="181" t="s">
        <v>55</v>
      </c>
      <c r="BE103" s="182">
        <v>1.04065881804699</v>
      </c>
      <c r="BF103" s="183">
        <v>-11.105671221248</v>
      </c>
      <c r="BG103" s="168">
        <v>8.0000000000000002E-3</v>
      </c>
      <c r="BH103" s="168">
        <v>4.0000000000000001E-3</v>
      </c>
      <c r="BI103" s="176">
        <v>0</v>
      </c>
      <c r="BJ103" s="176">
        <v>16</v>
      </c>
      <c r="BK103" s="169"/>
      <c r="BL103" s="185">
        <v>0.8</v>
      </c>
      <c r="BM103" s="188">
        <v>0.74</v>
      </c>
      <c r="BN103" s="186"/>
      <c r="BO103" s="187">
        <v>0.95</v>
      </c>
      <c r="BP103" s="178">
        <v>1</v>
      </c>
      <c r="BQ103" s="186">
        <v>2.5000000000000001E-3</v>
      </c>
    </row>
    <row r="104" spans="1:69" s="156" customFormat="1" ht="22.35" customHeight="1" x14ac:dyDescent="0.2">
      <c r="A104" s="165" t="s">
        <v>139</v>
      </c>
      <c r="B104" s="165" t="s">
        <v>159</v>
      </c>
      <c r="C104" s="165" t="s">
        <v>162</v>
      </c>
      <c r="D104" s="166">
        <v>3.5189073529999999</v>
      </c>
      <c r="E104" s="167"/>
      <c r="F104" s="168">
        <v>4.2999999999999997E-2</v>
      </c>
      <c r="G104" s="168">
        <v>3.5999999999999997E-2</v>
      </c>
      <c r="H104" s="169"/>
      <c r="I104" s="170">
        <v>4</v>
      </c>
      <c r="J104" s="170">
        <v>4</v>
      </c>
      <c r="K104" s="167"/>
      <c r="L104" s="171">
        <v>1401.4790599999999</v>
      </c>
      <c r="M104" s="171">
        <v>1533.03432</v>
      </c>
      <c r="N104" s="171">
        <v>2934.5133799999999</v>
      </c>
      <c r="O104" s="166">
        <v>833.92743417874203</v>
      </c>
      <c r="P104" s="172">
        <v>274.60399999999998</v>
      </c>
      <c r="Q104" s="178">
        <v>3.0368364414893501</v>
      </c>
      <c r="R104" s="179">
        <v>1821.3288279527801</v>
      </c>
      <c r="S104" s="168">
        <v>0.01</v>
      </c>
      <c r="T104" s="168">
        <v>0.01</v>
      </c>
      <c r="U104" s="175">
        <v>0</v>
      </c>
      <c r="V104" s="176">
        <v>0</v>
      </c>
      <c r="W104" s="167"/>
      <c r="X104" s="175">
        <v>2360.880365</v>
      </c>
      <c r="Y104" s="166">
        <v>670.91290794776398</v>
      </c>
      <c r="Z104" s="177">
        <v>573</v>
      </c>
      <c r="AA104" s="178">
        <v>1.17087767530151</v>
      </c>
      <c r="AB104" s="179">
        <v>38.063696914112398</v>
      </c>
      <c r="AC104" s="168">
        <v>0.02</v>
      </c>
      <c r="AD104" s="168">
        <v>1.7000000000000001E-2</v>
      </c>
      <c r="AE104" s="176">
        <v>0</v>
      </c>
      <c r="AF104" s="176">
        <v>59</v>
      </c>
      <c r="AG104" s="167"/>
      <c r="AH104" s="180">
        <v>206</v>
      </c>
      <c r="AI104" s="166">
        <v>58.540899016388501</v>
      </c>
      <c r="AJ104" s="181" t="s">
        <v>53</v>
      </c>
      <c r="AK104" s="188">
        <v>0.92922061930775401</v>
      </c>
      <c r="AL104" s="171">
        <v>-49.388220051327998</v>
      </c>
      <c r="AM104" s="168"/>
      <c r="AN104" s="168"/>
      <c r="AO104" s="176">
        <v>16</v>
      </c>
      <c r="AP104" s="176">
        <v>61</v>
      </c>
      <c r="AQ104" s="167"/>
      <c r="AR104" s="180">
        <v>25.5</v>
      </c>
      <c r="AS104" s="166">
        <v>7.2465675966888696</v>
      </c>
      <c r="AT104" s="181" t="s">
        <v>54</v>
      </c>
      <c r="AU104" s="173">
        <v>0.45291047479305402</v>
      </c>
      <c r="AV104" s="174">
        <v>-39.360500330496002</v>
      </c>
      <c r="AW104" s="168"/>
      <c r="AX104" s="168"/>
      <c r="AY104" s="176">
        <v>31</v>
      </c>
      <c r="AZ104" s="176">
        <v>43</v>
      </c>
      <c r="BA104" s="167"/>
      <c r="BB104" s="184">
        <v>122.4</v>
      </c>
      <c r="BC104" s="180">
        <v>34.783524464106598</v>
      </c>
      <c r="BD104" s="181" t="s">
        <v>55</v>
      </c>
      <c r="BE104" s="182">
        <v>1.0869851395033301</v>
      </c>
      <c r="BF104" s="183">
        <v>-7.32100066099198</v>
      </c>
      <c r="BG104" s="168">
        <v>1.2999999999999999E-2</v>
      </c>
      <c r="BH104" s="168">
        <v>8.9999999999999993E-3</v>
      </c>
      <c r="BI104" s="176">
        <v>0</v>
      </c>
      <c r="BJ104" s="176">
        <v>13</v>
      </c>
      <c r="BK104" s="169"/>
      <c r="BL104" s="185">
        <v>0.8</v>
      </c>
      <c r="BM104" s="173">
        <v>0.68</v>
      </c>
      <c r="BN104" s="186"/>
      <c r="BO104" s="187">
        <v>0.95</v>
      </c>
      <c r="BP104" s="178">
        <v>1</v>
      </c>
      <c r="BQ104" s="186">
        <v>2.5000000000000001E-3</v>
      </c>
    </row>
    <row r="105" spans="1:69" s="156" customFormat="1" ht="22.35" customHeight="1" x14ac:dyDescent="0.2">
      <c r="A105" s="165" t="s">
        <v>139</v>
      </c>
      <c r="B105" s="165" t="s">
        <v>159</v>
      </c>
      <c r="C105" s="165" t="s">
        <v>163</v>
      </c>
      <c r="D105" s="166">
        <v>3.27682426844444</v>
      </c>
      <c r="E105" s="167"/>
      <c r="F105" s="168">
        <v>2.8000000000000001E-2</v>
      </c>
      <c r="G105" s="168">
        <v>0.02</v>
      </c>
      <c r="H105" s="169"/>
      <c r="I105" s="170">
        <v>4</v>
      </c>
      <c r="J105" s="170">
        <v>4</v>
      </c>
      <c r="K105" s="167"/>
      <c r="L105" s="171">
        <v>3432.7529199999999</v>
      </c>
      <c r="M105" s="171">
        <v>2508.5054100000002</v>
      </c>
      <c r="N105" s="171">
        <v>5941.2583299999997</v>
      </c>
      <c r="O105" s="166">
        <v>1813.1147242816301</v>
      </c>
      <c r="P105" s="172">
        <v>246.58500000000001</v>
      </c>
      <c r="Q105" s="178">
        <v>7.3528995043560199</v>
      </c>
      <c r="R105" s="179">
        <v>5010.4242295060003</v>
      </c>
      <c r="S105" s="168">
        <v>0.01</v>
      </c>
      <c r="T105" s="168">
        <v>0.01</v>
      </c>
      <c r="U105" s="175">
        <v>0</v>
      </c>
      <c r="V105" s="176">
        <v>0</v>
      </c>
      <c r="W105" s="167"/>
      <c r="X105" s="175">
        <v>1906.7642499999999</v>
      </c>
      <c r="Y105" s="166">
        <v>581.89396006431798</v>
      </c>
      <c r="Z105" s="177">
        <v>573</v>
      </c>
      <c r="AA105" s="182">
        <v>1.0155217453129499</v>
      </c>
      <c r="AB105" s="183">
        <v>-256.254342303101</v>
      </c>
      <c r="AC105" s="168">
        <v>6.0000000000000001E-3</v>
      </c>
      <c r="AD105" s="168">
        <v>2E-3</v>
      </c>
      <c r="AE105" s="176">
        <v>0</v>
      </c>
      <c r="AF105" s="176">
        <v>347</v>
      </c>
      <c r="AG105" s="167"/>
      <c r="AH105" s="180">
        <v>122.9</v>
      </c>
      <c r="AI105" s="166">
        <v>37.505825742172703</v>
      </c>
      <c r="AJ105" s="181" t="s">
        <v>53</v>
      </c>
      <c r="AK105" s="173">
        <v>0.59533056733607503</v>
      </c>
      <c r="AL105" s="174">
        <v>-114.918798106624</v>
      </c>
      <c r="AM105" s="168"/>
      <c r="AN105" s="168"/>
      <c r="AO105" s="176">
        <v>84</v>
      </c>
      <c r="AP105" s="176">
        <v>125</v>
      </c>
      <c r="AQ105" s="167"/>
      <c r="AR105" s="180">
        <v>12.8</v>
      </c>
      <c r="AS105" s="166">
        <v>3.9062210699740501</v>
      </c>
      <c r="AT105" s="181" t="s">
        <v>54</v>
      </c>
      <c r="AU105" s="173">
        <v>0.24413881687337799</v>
      </c>
      <c r="AV105" s="174">
        <v>-47.598424915967897</v>
      </c>
      <c r="AW105" s="168"/>
      <c r="AX105" s="168"/>
      <c r="AY105" s="176">
        <v>40</v>
      </c>
      <c r="AZ105" s="176">
        <v>51</v>
      </c>
      <c r="BA105" s="167"/>
      <c r="BB105" s="184">
        <v>113</v>
      </c>
      <c r="BC105" s="180">
        <v>34.484607883364703</v>
      </c>
      <c r="BD105" s="181" t="s">
        <v>55</v>
      </c>
      <c r="BE105" s="182">
        <v>1.0776439963551501</v>
      </c>
      <c r="BF105" s="183">
        <v>-7.7968498319358304</v>
      </c>
      <c r="BG105" s="168">
        <v>1.2E-2</v>
      </c>
      <c r="BH105" s="168">
        <v>8.0000000000000002E-3</v>
      </c>
      <c r="BI105" s="176">
        <v>0</v>
      </c>
      <c r="BJ105" s="176">
        <v>13</v>
      </c>
      <c r="BK105" s="169"/>
      <c r="BL105" s="185">
        <v>0.8</v>
      </c>
      <c r="BM105" s="188">
        <v>0.75</v>
      </c>
      <c r="BN105" s="186"/>
      <c r="BO105" s="187">
        <v>0.95</v>
      </c>
      <c r="BP105" s="178">
        <v>1</v>
      </c>
      <c r="BQ105" s="186">
        <v>2.5000000000000001E-3</v>
      </c>
    </row>
    <row r="106" spans="1:69" s="156" customFormat="1" ht="22.35" customHeight="1" x14ac:dyDescent="0.2">
      <c r="A106" s="165" t="s">
        <v>139</v>
      </c>
      <c r="B106" s="165" t="s">
        <v>159</v>
      </c>
      <c r="C106" s="165" t="s">
        <v>164</v>
      </c>
      <c r="D106" s="166">
        <v>2.5224867724444402</v>
      </c>
      <c r="E106" s="167"/>
      <c r="F106" s="168">
        <v>0.01</v>
      </c>
      <c r="G106" s="168">
        <v>0.01</v>
      </c>
      <c r="H106" s="169"/>
      <c r="I106" s="170">
        <v>2</v>
      </c>
      <c r="J106" s="170">
        <v>2</v>
      </c>
      <c r="K106" s="167"/>
      <c r="L106" s="171">
        <v>737.25931000000003</v>
      </c>
      <c r="M106" s="171">
        <v>401.18900000000002</v>
      </c>
      <c r="N106" s="171">
        <v>1138.44831</v>
      </c>
      <c r="O106" s="166">
        <v>451.31983344228701</v>
      </c>
      <c r="P106" s="172">
        <v>260.82400000000001</v>
      </c>
      <c r="Q106" s="178">
        <v>1.7303615980212199</v>
      </c>
      <c r="R106" s="179">
        <v>380.51860639367197</v>
      </c>
      <c r="S106" s="168">
        <v>0.01</v>
      </c>
      <c r="T106" s="168">
        <v>0.01</v>
      </c>
      <c r="U106" s="175">
        <v>0</v>
      </c>
      <c r="V106" s="176">
        <v>0</v>
      </c>
      <c r="W106" s="167"/>
      <c r="X106" s="175">
        <v>1274.62373</v>
      </c>
      <c r="Y106" s="166">
        <v>505.30442574523801</v>
      </c>
      <c r="Z106" s="177">
        <v>573</v>
      </c>
      <c r="AA106" s="188">
        <v>0.88185763655364502</v>
      </c>
      <c r="AB106" s="171">
        <v>-390.45969854348499</v>
      </c>
      <c r="AC106" s="168"/>
      <c r="AD106" s="168"/>
      <c r="AE106" s="176">
        <v>171</v>
      </c>
      <c r="AF106" s="176">
        <v>460</v>
      </c>
      <c r="AG106" s="167"/>
      <c r="AH106" s="180">
        <v>110.2</v>
      </c>
      <c r="AI106" s="166">
        <v>43.687047719663298</v>
      </c>
      <c r="AJ106" s="181" t="s">
        <v>53</v>
      </c>
      <c r="AK106" s="173">
        <v>0.69344520189941805</v>
      </c>
      <c r="AL106" s="174">
        <v>-72.871999996927599</v>
      </c>
      <c r="AM106" s="168"/>
      <c r="AN106" s="168"/>
      <c r="AO106" s="176">
        <v>49</v>
      </c>
      <c r="AP106" s="176">
        <v>81</v>
      </c>
      <c r="AQ106" s="167"/>
      <c r="AR106" s="180">
        <v>5</v>
      </c>
      <c r="AS106" s="166">
        <v>1.9821709491680299</v>
      </c>
      <c r="AT106" s="181" t="s">
        <v>54</v>
      </c>
      <c r="AU106" s="173">
        <v>0.123885684323002</v>
      </c>
      <c r="AV106" s="174">
        <v>-41.494476189695902</v>
      </c>
      <c r="AW106" s="168"/>
      <c r="AX106" s="168"/>
      <c r="AY106" s="176">
        <v>36</v>
      </c>
      <c r="AZ106" s="176">
        <v>44</v>
      </c>
      <c r="BA106" s="167"/>
      <c r="BB106" s="184">
        <v>38.6</v>
      </c>
      <c r="BC106" s="180">
        <v>15.302359727577199</v>
      </c>
      <c r="BD106" s="181" t="s">
        <v>55</v>
      </c>
      <c r="BE106" s="173">
        <v>0.47819874148678698</v>
      </c>
      <c r="BF106" s="174">
        <v>-54.388952379391803</v>
      </c>
      <c r="BG106" s="168"/>
      <c r="BH106" s="168"/>
      <c r="BI106" s="176">
        <v>43</v>
      </c>
      <c r="BJ106" s="176">
        <v>59</v>
      </c>
      <c r="BK106" s="169"/>
      <c r="BL106" s="185">
        <v>0.8</v>
      </c>
      <c r="BM106" s="188">
        <v>0.77</v>
      </c>
      <c r="BN106" s="186"/>
      <c r="BO106" s="187">
        <v>0.95</v>
      </c>
      <c r="BP106" s="178">
        <v>1</v>
      </c>
      <c r="BQ106" s="186">
        <v>2.5000000000000001E-3</v>
      </c>
    </row>
    <row r="107" spans="1:69" s="156" customFormat="1" ht="22.35" customHeight="1" x14ac:dyDescent="0.2">
      <c r="A107" s="165" t="s">
        <v>139</v>
      </c>
      <c r="B107" s="165" t="s">
        <v>159</v>
      </c>
      <c r="C107" s="165" t="s">
        <v>165</v>
      </c>
      <c r="D107" s="166">
        <v>5.5385385716666704</v>
      </c>
      <c r="E107" s="167"/>
      <c r="F107" s="168">
        <v>2.4E-2</v>
      </c>
      <c r="G107" s="168">
        <v>1.9E-2</v>
      </c>
      <c r="H107" s="169"/>
      <c r="I107" s="170">
        <v>3</v>
      </c>
      <c r="J107" s="170">
        <v>3</v>
      </c>
      <c r="K107" s="167"/>
      <c r="L107" s="171">
        <v>4912.6676299999999</v>
      </c>
      <c r="M107" s="171">
        <v>-1904.0705599999999</v>
      </c>
      <c r="N107" s="171">
        <v>3008.5970699999998</v>
      </c>
      <c r="O107" s="166">
        <v>543.21136001308901</v>
      </c>
      <c r="P107" s="172">
        <v>236.32499999999999</v>
      </c>
      <c r="Q107" s="178">
        <v>2.2985776367844699</v>
      </c>
      <c r="R107" s="179">
        <v>1500.7498826026099</v>
      </c>
      <c r="S107" s="168">
        <v>0.01</v>
      </c>
      <c r="T107" s="168">
        <v>0.01</v>
      </c>
      <c r="U107" s="175">
        <v>0</v>
      </c>
      <c r="V107" s="176">
        <v>0</v>
      </c>
      <c r="W107" s="167"/>
      <c r="X107" s="175">
        <v>2147.85547</v>
      </c>
      <c r="Y107" s="166">
        <v>387.80184379101701</v>
      </c>
      <c r="Z107" s="177">
        <v>573</v>
      </c>
      <c r="AA107" s="173">
        <v>0.67679204850090202</v>
      </c>
      <c r="AB107" s="174">
        <v>-1508.11168700288</v>
      </c>
      <c r="AC107" s="168"/>
      <c r="AD107" s="168"/>
      <c r="AE107" s="176">
        <v>1026</v>
      </c>
      <c r="AF107" s="176">
        <v>1661</v>
      </c>
      <c r="AG107" s="167"/>
      <c r="AH107" s="180">
        <v>197.6</v>
      </c>
      <c r="AI107" s="166">
        <v>35.6772815505621</v>
      </c>
      <c r="AJ107" s="181" t="s">
        <v>53</v>
      </c>
      <c r="AK107" s="173">
        <v>0.56630605635812903</v>
      </c>
      <c r="AL107" s="174">
        <v>-204.36497537727999</v>
      </c>
      <c r="AM107" s="168"/>
      <c r="AN107" s="168"/>
      <c r="AO107" s="176">
        <v>152</v>
      </c>
      <c r="AP107" s="176">
        <v>222</v>
      </c>
      <c r="AQ107" s="167"/>
      <c r="AR107" s="180">
        <v>37.6</v>
      </c>
      <c r="AS107" s="166">
        <v>6.7887944650867196</v>
      </c>
      <c r="AT107" s="181" t="s">
        <v>54</v>
      </c>
      <c r="AU107" s="173">
        <v>0.42429965406791997</v>
      </c>
      <c r="AV107" s="174">
        <v>-64.486342952960001</v>
      </c>
      <c r="AW107" s="168"/>
      <c r="AX107" s="168"/>
      <c r="AY107" s="176">
        <v>52</v>
      </c>
      <c r="AZ107" s="176">
        <v>69</v>
      </c>
      <c r="BA107" s="167"/>
      <c r="BB107" s="184">
        <v>193.6</v>
      </c>
      <c r="BC107" s="180">
        <v>34.955069373425303</v>
      </c>
      <c r="BD107" s="181" t="s">
        <v>55</v>
      </c>
      <c r="BE107" s="182">
        <v>1.0923459179195401</v>
      </c>
      <c r="BF107" s="183">
        <v>-10.5726859059201</v>
      </c>
      <c r="BG107" s="168">
        <v>1.4E-2</v>
      </c>
      <c r="BH107" s="168">
        <v>8.9999999999999993E-3</v>
      </c>
      <c r="BI107" s="176">
        <v>0</v>
      </c>
      <c r="BJ107" s="176">
        <v>20</v>
      </c>
      <c r="BK107" s="169"/>
      <c r="BL107" s="185">
        <v>0.8</v>
      </c>
      <c r="BM107" s="188">
        <v>0.71</v>
      </c>
      <c r="BN107" s="186"/>
      <c r="BO107" s="187">
        <v>0.95</v>
      </c>
      <c r="BP107" s="178">
        <v>1</v>
      </c>
      <c r="BQ107" s="186">
        <v>2.5000000000000001E-3</v>
      </c>
    </row>
    <row r="108" spans="1:69" s="156" customFormat="1" ht="22.35" customHeight="1" x14ac:dyDescent="0.2">
      <c r="A108" s="165" t="s">
        <v>139</v>
      </c>
      <c r="B108" s="165" t="s">
        <v>159</v>
      </c>
      <c r="C108" s="165" t="s">
        <v>166</v>
      </c>
      <c r="D108" s="166">
        <v>4.7470153233333301</v>
      </c>
      <c r="E108" s="167"/>
      <c r="F108" s="168">
        <v>2.7E-2</v>
      </c>
      <c r="G108" s="168">
        <v>2.4500000000000001E-2</v>
      </c>
      <c r="H108" s="169"/>
      <c r="I108" s="170">
        <v>3</v>
      </c>
      <c r="J108" s="170">
        <v>3</v>
      </c>
      <c r="K108" s="167"/>
      <c r="L108" s="171">
        <v>4121.0306300000002</v>
      </c>
      <c r="M108" s="171">
        <v>-2633.9624100000001</v>
      </c>
      <c r="N108" s="171">
        <v>1487.0682200000001</v>
      </c>
      <c r="O108" s="166">
        <v>313.26383394856799</v>
      </c>
      <c r="P108" s="172">
        <v>287.5</v>
      </c>
      <c r="Q108" s="182">
        <v>1.08961333547328</v>
      </c>
      <c r="R108" s="183">
        <v>-85.143255087998995</v>
      </c>
      <c r="S108" s="168">
        <v>7.0000000000000001E-3</v>
      </c>
      <c r="T108" s="168">
        <v>4.4999999999999997E-3</v>
      </c>
      <c r="U108" s="175">
        <v>0</v>
      </c>
      <c r="V108" s="176">
        <v>151</v>
      </c>
      <c r="W108" s="167"/>
      <c r="X108" s="175">
        <v>2035.5579600000001</v>
      </c>
      <c r="Y108" s="166">
        <v>428.80796065571599</v>
      </c>
      <c r="Z108" s="177">
        <v>573</v>
      </c>
      <c r="AA108" s="173">
        <v>0.74835595227873597</v>
      </c>
      <c r="AB108" s="174">
        <v>-1097.9278668710399</v>
      </c>
      <c r="AC108" s="168"/>
      <c r="AD108" s="168"/>
      <c r="AE108" s="176">
        <v>685</v>
      </c>
      <c r="AF108" s="176">
        <v>1229</v>
      </c>
      <c r="AG108" s="167"/>
      <c r="AH108" s="180">
        <v>211.8</v>
      </c>
      <c r="AI108" s="166">
        <v>44.617509229204501</v>
      </c>
      <c r="AJ108" s="181" t="s">
        <v>53</v>
      </c>
      <c r="AK108" s="173">
        <v>0.70821443220959501</v>
      </c>
      <c r="AL108" s="174">
        <v>-132.71938410624</v>
      </c>
      <c r="AM108" s="168"/>
      <c r="AN108" s="168"/>
      <c r="AO108" s="176">
        <v>88</v>
      </c>
      <c r="AP108" s="176">
        <v>148</v>
      </c>
      <c r="AQ108" s="167"/>
      <c r="AR108" s="180">
        <v>40.700000000000003</v>
      </c>
      <c r="AS108" s="166">
        <v>8.5738084307300397</v>
      </c>
      <c r="AT108" s="181" t="s">
        <v>54</v>
      </c>
      <c r="AU108" s="173">
        <v>0.53586302692062804</v>
      </c>
      <c r="AV108" s="174">
        <v>-46.796986439679898</v>
      </c>
      <c r="AW108" s="168"/>
      <c r="AX108" s="168"/>
      <c r="AY108" s="176">
        <v>36</v>
      </c>
      <c r="AZ108" s="176">
        <v>51</v>
      </c>
      <c r="BA108" s="167"/>
      <c r="BB108" s="184">
        <v>184.8</v>
      </c>
      <c r="BC108" s="180">
        <v>38.929724766558003</v>
      </c>
      <c r="BD108" s="181" t="s">
        <v>55</v>
      </c>
      <c r="BE108" s="178">
        <v>1.21655389895494</v>
      </c>
      <c r="BF108" s="179">
        <v>9.8060271206401506</v>
      </c>
      <c r="BG108" s="168">
        <v>0.02</v>
      </c>
      <c r="BH108" s="168">
        <v>0.02</v>
      </c>
      <c r="BI108" s="176">
        <v>0</v>
      </c>
      <c r="BJ108" s="176">
        <v>0</v>
      </c>
      <c r="BK108" s="169"/>
      <c r="BL108" s="185">
        <v>0.8</v>
      </c>
      <c r="BM108" s="173">
        <v>0.64</v>
      </c>
      <c r="BN108" s="186"/>
      <c r="BO108" s="187">
        <v>0.95</v>
      </c>
      <c r="BP108" s="178">
        <v>1</v>
      </c>
      <c r="BQ108" s="186">
        <v>2.5000000000000001E-3</v>
      </c>
    </row>
    <row r="109" spans="1:69" s="156" customFormat="1" ht="22.35" customHeight="1" x14ac:dyDescent="0.2">
      <c r="A109" s="165" t="s">
        <v>139</v>
      </c>
      <c r="B109" s="165" t="s">
        <v>159</v>
      </c>
      <c r="C109" s="165" t="s">
        <v>167</v>
      </c>
      <c r="D109" s="166">
        <v>5.8254724778888898</v>
      </c>
      <c r="E109" s="167"/>
      <c r="F109" s="168">
        <v>2E-3</v>
      </c>
      <c r="G109" s="168"/>
      <c r="H109" s="169"/>
      <c r="I109" s="170">
        <v>2</v>
      </c>
      <c r="J109" s="170">
        <v>1</v>
      </c>
      <c r="K109" s="167"/>
      <c r="L109" s="171">
        <v>1730.2373</v>
      </c>
      <c r="M109" s="171">
        <v>-847.68658000000005</v>
      </c>
      <c r="N109" s="171">
        <v>882.55071999999996</v>
      </c>
      <c r="O109" s="166">
        <v>151.49856485457599</v>
      </c>
      <c r="P109" s="172">
        <v>236.41900000000001</v>
      </c>
      <c r="Q109" s="173">
        <v>0.64080537035761298</v>
      </c>
      <c r="R109" s="174">
        <v>-704.04401916801498</v>
      </c>
      <c r="S109" s="168"/>
      <c r="T109" s="168"/>
      <c r="U109" s="175">
        <v>495</v>
      </c>
      <c r="V109" s="176">
        <v>771</v>
      </c>
      <c r="W109" s="167"/>
      <c r="X109" s="175">
        <v>2790.9751099999999</v>
      </c>
      <c r="Y109" s="166">
        <v>479.09849726239401</v>
      </c>
      <c r="Z109" s="177">
        <v>573</v>
      </c>
      <c r="AA109" s="188">
        <v>0.83612303187154202</v>
      </c>
      <c r="AB109" s="171">
        <v>-1054.3959707645399</v>
      </c>
      <c r="AC109" s="168"/>
      <c r="AD109" s="168"/>
      <c r="AE109" s="176">
        <v>548</v>
      </c>
      <c r="AF109" s="176">
        <v>1215</v>
      </c>
      <c r="AG109" s="167"/>
      <c r="AH109" s="180">
        <v>270.60000000000002</v>
      </c>
      <c r="AI109" s="166">
        <v>46.4511678712906</v>
      </c>
      <c r="AJ109" s="181" t="s">
        <v>53</v>
      </c>
      <c r="AK109" s="173">
        <v>0.73732012494112098</v>
      </c>
      <c r="AL109" s="174">
        <v>-152.189490555264</v>
      </c>
      <c r="AM109" s="168"/>
      <c r="AN109" s="168"/>
      <c r="AO109" s="176">
        <v>97</v>
      </c>
      <c r="AP109" s="176">
        <v>170</v>
      </c>
      <c r="AQ109" s="167"/>
      <c r="AR109" s="180">
        <v>19.399999999999999</v>
      </c>
      <c r="AS109" s="166">
        <v>3.3302019833815102</v>
      </c>
      <c r="AT109" s="181" t="s">
        <v>54</v>
      </c>
      <c r="AU109" s="173">
        <v>0.208137623961344</v>
      </c>
      <c r="AV109" s="174">
        <v>-87.975108712448005</v>
      </c>
      <c r="AW109" s="168"/>
      <c r="AX109" s="168"/>
      <c r="AY109" s="176">
        <v>74</v>
      </c>
      <c r="AZ109" s="176">
        <v>93</v>
      </c>
      <c r="BA109" s="167"/>
      <c r="BB109" s="184">
        <v>183.4</v>
      </c>
      <c r="BC109" s="180">
        <v>31.4824249356788</v>
      </c>
      <c r="BD109" s="181" t="s">
        <v>55</v>
      </c>
      <c r="BE109" s="182">
        <v>0.98382577923996395</v>
      </c>
      <c r="BF109" s="183">
        <v>-31.350217424896002</v>
      </c>
      <c r="BG109" s="168">
        <v>2E-3</v>
      </c>
      <c r="BH109" s="168"/>
      <c r="BI109" s="176">
        <v>4</v>
      </c>
      <c r="BJ109" s="176">
        <v>41</v>
      </c>
      <c r="BK109" s="169"/>
      <c r="BL109" s="185">
        <v>0.8</v>
      </c>
      <c r="BM109" s="173">
        <v>0.63</v>
      </c>
      <c r="BN109" s="186"/>
      <c r="BO109" s="187">
        <v>0.95</v>
      </c>
      <c r="BP109" s="178">
        <v>1</v>
      </c>
      <c r="BQ109" s="186">
        <v>2.5000000000000001E-3</v>
      </c>
    </row>
    <row r="110" spans="1:69" s="156" customFormat="1" ht="22.35" customHeight="1" x14ac:dyDescent="0.2">
      <c r="A110" s="165" t="s">
        <v>139</v>
      </c>
      <c r="B110" s="165" t="s">
        <v>159</v>
      </c>
      <c r="C110" s="165" t="s">
        <v>168</v>
      </c>
      <c r="D110" s="166">
        <v>2.9978898042222202</v>
      </c>
      <c r="E110" s="167"/>
      <c r="F110" s="168">
        <v>3.7999999999999999E-2</v>
      </c>
      <c r="G110" s="168">
        <v>2.9000000000000001E-2</v>
      </c>
      <c r="H110" s="169"/>
      <c r="I110" s="170">
        <v>4</v>
      </c>
      <c r="J110" s="170">
        <v>4</v>
      </c>
      <c r="K110" s="167"/>
      <c r="L110" s="171">
        <v>2295.0004300000001</v>
      </c>
      <c r="M110" s="171">
        <v>-491.92626999999999</v>
      </c>
      <c r="N110" s="171">
        <v>1803.0741599999999</v>
      </c>
      <c r="O110" s="166">
        <v>601.44777752022605</v>
      </c>
      <c r="P110" s="172">
        <v>244.03100000000001</v>
      </c>
      <c r="Q110" s="178">
        <v>2.4646367777873501</v>
      </c>
      <c r="R110" s="179">
        <v>960.29625007009599</v>
      </c>
      <c r="S110" s="168">
        <v>0.01</v>
      </c>
      <c r="T110" s="168">
        <v>0.01</v>
      </c>
      <c r="U110" s="175">
        <v>0</v>
      </c>
      <c r="V110" s="176">
        <v>0</v>
      </c>
      <c r="W110" s="167"/>
      <c r="X110" s="175">
        <v>1879.86205</v>
      </c>
      <c r="Y110" s="166">
        <v>627.06175769116203</v>
      </c>
      <c r="Z110" s="177">
        <v>573</v>
      </c>
      <c r="AA110" s="182">
        <v>1.09434861726206</v>
      </c>
      <c r="AB110" s="183">
        <v>-99.033018207870299</v>
      </c>
      <c r="AC110" s="168">
        <v>1.4E-2</v>
      </c>
      <c r="AD110" s="168">
        <v>8.9999999999999993E-3</v>
      </c>
      <c r="AE110" s="176">
        <v>0</v>
      </c>
      <c r="AF110" s="176">
        <v>182</v>
      </c>
      <c r="AG110" s="167"/>
      <c r="AH110" s="180">
        <v>127.35</v>
      </c>
      <c r="AI110" s="166">
        <v>42.479880288008097</v>
      </c>
      <c r="AJ110" s="181" t="s">
        <v>53</v>
      </c>
      <c r="AK110" s="173">
        <v>0.67428381409536597</v>
      </c>
      <c r="AL110" s="174">
        <v>-90.2248504312318</v>
      </c>
      <c r="AM110" s="168"/>
      <c r="AN110" s="168"/>
      <c r="AO110" s="176">
        <v>62</v>
      </c>
      <c r="AP110" s="176">
        <v>100</v>
      </c>
      <c r="AQ110" s="167"/>
      <c r="AR110" s="180">
        <v>6.8</v>
      </c>
      <c r="AS110" s="166">
        <v>2.2682621590769898</v>
      </c>
      <c r="AT110" s="181" t="s">
        <v>54</v>
      </c>
      <c r="AU110" s="173">
        <v>0.141766384942312</v>
      </c>
      <c r="AV110" s="174">
        <v>-48.457104871423901</v>
      </c>
      <c r="AW110" s="168"/>
      <c r="AX110" s="168"/>
      <c r="AY110" s="176">
        <v>42</v>
      </c>
      <c r="AZ110" s="176">
        <v>51</v>
      </c>
      <c r="BA110" s="167"/>
      <c r="BB110" s="184">
        <v>105.2</v>
      </c>
      <c r="BC110" s="180">
        <v>35.091349872779404</v>
      </c>
      <c r="BD110" s="181" t="s">
        <v>55</v>
      </c>
      <c r="BE110" s="182">
        <v>1.0966046835243499</v>
      </c>
      <c r="BF110" s="183">
        <v>-5.3142097428478898</v>
      </c>
      <c r="BG110" s="168">
        <v>1.4E-2</v>
      </c>
      <c r="BH110" s="168">
        <v>0.01</v>
      </c>
      <c r="BI110" s="176">
        <v>0</v>
      </c>
      <c r="BJ110" s="176">
        <v>10</v>
      </c>
      <c r="BK110" s="169"/>
      <c r="BL110" s="185">
        <v>0.8</v>
      </c>
      <c r="BM110" s="188">
        <v>0.72</v>
      </c>
      <c r="BN110" s="186"/>
      <c r="BO110" s="187">
        <v>0.95</v>
      </c>
      <c r="BP110" s="178">
        <v>1</v>
      </c>
      <c r="BQ110" s="186">
        <v>2.5000000000000001E-3</v>
      </c>
    </row>
    <row r="111" spans="1:69" s="156" customFormat="1" ht="22.35" customHeight="1" x14ac:dyDescent="0.2">
      <c r="A111" s="165" t="s">
        <v>139</v>
      </c>
      <c r="B111" s="165" t="s">
        <v>159</v>
      </c>
      <c r="C111" s="165" t="s">
        <v>169</v>
      </c>
      <c r="D111" s="166">
        <v>3.5180638414444401</v>
      </c>
      <c r="E111" s="167"/>
      <c r="F111" s="168">
        <v>2.3E-2</v>
      </c>
      <c r="G111" s="168">
        <v>1.7999999999999999E-2</v>
      </c>
      <c r="H111" s="169"/>
      <c r="I111" s="170">
        <v>3</v>
      </c>
      <c r="J111" s="170">
        <v>3</v>
      </c>
      <c r="K111" s="167"/>
      <c r="L111" s="171">
        <v>3643.7562200000002</v>
      </c>
      <c r="M111" s="171">
        <v>531.72627</v>
      </c>
      <c r="N111" s="171">
        <v>4175.4824900000003</v>
      </c>
      <c r="O111" s="166">
        <v>1186.86944813532</v>
      </c>
      <c r="P111" s="172">
        <v>287.5</v>
      </c>
      <c r="Q111" s="178">
        <v>4.12824155873155</v>
      </c>
      <c r="R111" s="179">
        <v>3010.2997457135998</v>
      </c>
      <c r="S111" s="168">
        <v>0.01</v>
      </c>
      <c r="T111" s="168">
        <v>0.01</v>
      </c>
      <c r="U111" s="175">
        <v>0</v>
      </c>
      <c r="V111" s="176">
        <v>0</v>
      </c>
      <c r="W111" s="167"/>
      <c r="X111" s="175">
        <v>1640.6866500000001</v>
      </c>
      <c r="Y111" s="166">
        <v>466.36068131337998</v>
      </c>
      <c r="Z111" s="177">
        <v>573</v>
      </c>
      <c r="AA111" s="188">
        <v>0.81389298658530596</v>
      </c>
      <c r="AB111" s="171">
        <v>-681.57321948210904</v>
      </c>
      <c r="AC111" s="168"/>
      <c r="AD111" s="168"/>
      <c r="AE111" s="176">
        <v>376</v>
      </c>
      <c r="AF111" s="176">
        <v>779</v>
      </c>
      <c r="AG111" s="167"/>
      <c r="AH111" s="180">
        <v>164</v>
      </c>
      <c r="AI111" s="166">
        <v>46.616550293375298</v>
      </c>
      <c r="AJ111" s="181" t="s">
        <v>53</v>
      </c>
      <c r="AK111" s="173">
        <v>0.73994524275198803</v>
      </c>
      <c r="AL111" s="174">
        <v>-91.327001356671602</v>
      </c>
      <c r="AM111" s="168"/>
      <c r="AN111" s="168"/>
      <c r="AO111" s="176">
        <v>58</v>
      </c>
      <c r="AP111" s="176">
        <v>102</v>
      </c>
      <c r="AQ111" s="167"/>
      <c r="AR111" s="180">
        <v>39.700000000000003</v>
      </c>
      <c r="AS111" s="166">
        <v>11.284616138091399</v>
      </c>
      <c r="AT111" s="181" t="s">
        <v>54</v>
      </c>
      <c r="AU111" s="173">
        <v>0.70528850863071602</v>
      </c>
      <c r="AV111" s="174">
        <v>-25.144952725503899</v>
      </c>
      <c r="AW111" s="168"/>
      <c r="AX111" s="168"/>
      <c r="AY111" s="176">
        <v>17</v>
      </c>
      <c r="AZ111" s="176">
        <v>28</v>
      </c>
      <c r="BA111" s="167"/>
      <c r="BB111" s="184">
        <v>122</v>
      </c>
      <c r="BC111" s="180">
        <v>34.678165462145003</v>
      </c>
      <c r="BD111" s="181" t="s">
        <v>55</v>
      </c>
      <c r="BE111" s="182">
        <v>1.08369267069203</v>
      </c>
      <c r="BF111" s="183">
        <v>-7.6899054510078004</v>
      </c>
      <c r="BG111" s="168">
        <v>1.2999999999999999E-2</v>
      </c>
      <c r="BH111" s="168">
        <v>8.0000000000000002E-3</v>
      </c>
      <c r="BI111" s="176">
        <v>0</v>
      </c>
      <c r="BJ111" s="176">
        <v>14</v>
      </c>
      <c r="BK111" s="169"/>
      <c r="BL111" s="185">
        <v>0.8</v>
      </c>
      <c r="BM111" s="188">
        <v>0.76</v>
      </c>
      <c r="BN111" s="186"/>
      <c r="BO111" s="187">
        <v>0.95</v>
      </c>
      <c r="BP111" s="178">
        <v>1</v>
      </c>
      <c r="BQ111" s="186">
        <v>2.5000000000000001E-3</v>
      </c>
    </row>
    <row r="112" spans="1:69" s="156" customFormat="1" ht="22.35" customHeight="1" x14ac:dyDescent="0.2">
      <c r="A112" s="165" t="s">
        <v>139</v>
      </c>
      <c r="B112" s="165" t="s">
        <v>159</v>
      </c>
      <c r="C112" s="165" t="s">
        <v>170</v>
      </c>
      <c r="D112" s="166">
        <v>3.33057645111111</v>
      </c>
      <c r="E112" s="167"/>
      <c r="F112" s="168">
        <v>0.01</v>
      </c>
      <c r="G112" s="168">
        <v>0.01</v>
      </c>
      <c r="H112" s="169"/>
      <c r="I112" s="170">
        <v>2</v>
      </c>
      <c r="J112" s="170">
        <v>2</v>
      </c>
      <c r="K112" s="167"/>
      <c r="L112" s="171">
        <v>1752.0404799999999</v>
      </c>
      <c r="M112" s="171">
        <v>1393.4347299999999</v>
      </c>
      <c r="N112" s="171">
        <v>3145.4752100000001</v>
      </c>
      <c r="O112" s="166">
        <v>944.42366244156904</v>
      </c>
      <c r="P112" s="172">
        <v>287.5</v>
      </c>
      <c r="Q112" s="178">
        <v>3.2849518693619801</v>
      </c>
      <c r="R112" s="179">
        <v>2042.3882893919999</v>
      </c>
      <c r="S112" s="168">
        <v>0.01</v>
      </c>
      <c r="T112" s="168">
        <v>0.01</v>
      </c>
      <c r="U112" s="175">
        <v>0</v>
      </c>
      <c r="V112" s="176">
        <v>0</v>
      </c>
      <c r="W112" s="167"/>
      <c r="X112" s="175">
        <v>1689.517625</v>
      </c>
      <c r="Y112" s="166">
        <v>507.274836593636</v>
      </c>
      <c r="Z112" s="177">
        <v>573</v>
      </c>
      <c r="AA112" s="188">
        <v>0.88529639894177303</v>
      </c>
      <c r="AB112" s="171">
        <v>-508.98256807263903</v>
      </c>
      <c r="AC112" s="168"/>
      <c r="AD112" s="168"/>
      <c r="AE112" s="176">
        <v>219</v>
      </c>
      <c r="AF112" s="176">
        <v>601</v>
      </c>
      <c r="AG112" s="167"/>
      <c r="AH112" s="180">
        <v>86.5</v>
      </c>
      <c r="AI112" s="166">
        <v>25.971480093526399</v>
      </c>
      <c r="AJ112" s="181" t="s">
        <v>53</v>
      </c>
      <c r="AK112" s="173">
        <v>0.41224571577025998</v>
      </c>
      <c r="AL112" s="174">
        <v>-155.21991651584</v>
      </c>
      <c r="AM112" s="168"/>
      <c r="AN112" s="168"/>
      <c r="AO112" s="176">
        <v>124</v>
      </c>
      <c r="AP112" s="176">
        <v>166</v>
      </c>
      <c r="AQ112" s="167"/>
      <c r="AR112" s="180">
        <v>15.6</v>
      </c>
      <c r="AS112" s="166">
        <v>4.6838738665781703</v>
      </c>
      <c r="AT112" s="181" t="s">
        <v>54</v>
      </c>
      <c r="AU112" s="173">
        <v>0.29274211666113598</v>
      </c>
      <c r="AV112" s="174">
        <v>-45.789185146880001</v>
      </c>
      <c r="AW112" s="168"/>
      <c r="AX112" s="168"/>
      <c r="AY112" s="176">
        <v>38</v>
      </c>
      <c r="AZ112" s="176">
        <v>49</v>
      </c>
      <c r="BA112" s="167"/>
      <c r="BB112" s="184">
        <v>100.8</v>
      </c>
      <c r="BC112" s="180">
        <v>30.2650311378897</v>
      </c>
      <c r="BD112" s="181" t="s">
        <v>55</v>
      </c>
      <c r="BE112" s="188">
        <v>0.94578222305905302</v>
      </c>
      <c r="BF112" s="171">
        <v>-21.978370293759902</v>
      </c>
      <c r="BG112" s="168"/>
      <c r="BH112" s="168"/>
      <c r="BI112" s="176">
        <v>6</v>
      </c>
      <c r="BJ112" s="176">
        <v>28</v>
      </c>
      <c r="BK112" s="169"/>
      <c r="BL112" s="185">
        <v>0.8</v>
      </c>
      <c r="BM112" s="188">
        <v>0.74</v>
      </c>
      <c r="BN112" s="186"/>
      <c r="BO112" s="187">
        <v>0.95</v>
      </c>
      <c r="BP112" s="178">
        <v>1</v>
      </c>
      <c r="BQ112" s="186">
        <v>2.5000000000000001E-3</v>
      </c>
    </row>
    <row r="113" spans="1:69" s="156" customFormat="1" ht="22.35" customHeight="1" x14ac:dyDescent="0.2">
      <c r="A113" s="165" t="s">
        <v>139</v>
      </c>
      <c r="B113" s="165" t="s">
        <v>159</v>
      </c>
      <c r="C113" s="165" t="s">
        <v>171</v>
      </c>
      <c r="D113" s="166">
        <v>7.6444229506666703</v>
      </c>
      <c r="E113" s="167"/>
      <c r="F113" s="168">
        <v>0.01</v>
      </c>
      <c r="G113" s="168">
        <v>0.01</v>
      </c>
      <c r="H113" s="169"/>
      <c r="I113" s="170">
        <v>2</v>
      </c>
      <c r="J113" s="170">
        <v>2</v>
      </c>
      <c r="K113" s="167"/>
      <c r="L113" s="171">
        <v>5850.23675</v>
      </c>
      <c r="M113" s="171">
        <v>350.88114000000002</v>
      </c>
      <c r="N113" s="171">
        <v>6201.1178900000004</v>
      </c>
      <c r="O113" s="166">
        <v>811.19502806411401</v>
      </c>
      <c r="P113" s="172">
        <v>287.5</v>
      </c>
      <c r="Q113" s="178">
        <v>2.8215479237012602</v>
      </c>
      <c r="R113" s="179">
        <v>3669.2850087391998</v>
      </c>
      <c r="S113" s="168">
        <v>0.01</v>
      </c>
      <c r="T113" s="168">
        <v>0.01</v>
      </c>
      <c r="U113" s="175">
        <v>0</v>
      </c>
      <c r="V113" s="176">
        <v>0</v>
      </c>
      <c r="W113" s="167"/>
      <c r="X113" s="175">
        <v>4088.57654</v>
      </c>
      <c r="Y113" s="166">
        <v>534.84436515164805</v>
      </c>
      <c r="Z113" s="177">
        <v>573</v>
      </c>
      <c r="AA113" s="188">
        <v>0.93341075942695995</v>
      </c>
      <c r="AB113" s="171">
        <v>-957.47647204326597</v>
      </c>
      <c r="AC113" s="168"/>
      <c r="AD113" s="168"/>
      <c r="AE113" s="176">
        <v>292</v>
      </c>
      <c r="AF113" s="176">
        <v>1168</v>
      </c>
      <c r="AG113" s="167"/>
      <c r="AH113" s="180">
        <v>348.05</v>
      </c>
      <c r="AI113" s="166">
        <v>45.529924527481398</v>
      </c>
      <c r="AJ113" s="181" t="s">
        <v>53</v>
      </c>
      <c r="AK113" s="173">
        <v>0.72269721472192705</v>
      </c>
      <c r="AL113" s="174">
        <v>-206.75164006758399</v>
      </c>
      <c r="AM113" s="168"/>
      <c r="AN113" s="168"/>
      <c r="AO113" s="176">
        <v>134</v>
      </c>
      <c r="AP113" s="176">
        <v>230</v>
      </c>
      <c r="AQ113" s="167"/>
      <c r="AR113" s="180">
        <v>30.8</v>
      </c>
      <c r="AS113" s="166">
        <v>4.0290810959529599</v>
      </c>
      <c r="AT113" s="181" t="s">
        <v>54</v>
      </c>
      <c r="AU113" s="173">
        <v>0.25181756849706</v>
      </c>
      <c r="AV113" s="174">
        <v>-110.10200382668801</v>
      </c>
      <c r="AW113" s="168"/>
      <c r="AX113" s="168"/>
      <c r="AY113" s="176">
        <v>92</v>
      </c>
      <c r="AZ113" s="176">
        <v>116</v>
      </c>
      <c r="BA113" s="167"/>
      <c r="BB113" s="184">
        <v>211.4</v>
      </c>
      <c r="BC113" s="180">
        <v>27.654147522222601</v>
      </c>
      <c r="BD113" s="181" t="s">
        <v>55</v>
      </c>
      <c r="BE113" s="188">
        <v>0.86419211006945496</v>
      </c>
      <c r="BF113" s="171">
        <v>-70.404007653376098</v>
      </c>
      <c r="BG113" s="168"/>
      <c r="BH113" s="168"/>
      <c r="BI113" s="176">
        <v>34</v>
      </c>
      <c r="BJ113" s="176">
        <v>83</v>
      </c>
      <c r="BK113" s="169"/>
      <c r="BL113" s="185">
        <v>0.8</v>
      </c>
      <c r="BM113" s="188">
        <v>0.7</v>
      </c>
      <c r="BN113" s="186"/>
      <c r="BO113" s="187">
        <v>0.95</v>
      </c>
      <c r="BP113" s="178">
        <v>1</v>
      </c>
      <c r="BQ113" s="186">
        <v>2.5000000000000001E-3</v>
      </c>
    </row>
    <row r="114" spans="1:69" s="156" customFormat="1" ht="22.35" customHeight="1" x14ac:dyDescent="0.2">
      <c r="A114" s="165" t="s">
        <v>139</v>
      </c>
      <c r="B114" s="165" t="s">
        <v>159</v>
      </c>
      <c r="C114" s="165" t="s">
        <v>172</v>
      </c>
      <c r="D114" s="166">
        <v>6.0447914316666704</v>
      </c>
      <c r="E114" s="167"/>
      <c r="F114" s="168">
        <v>0.04</v>
      </c>
      <c r="G114" s="168">
        <v>3.2000000000000001E-2</v>
      </c>
      <c r="H114" s="169"/>
      <c r="I114" s="170">
        <v>4</v>
      </c>
      <c r="J114" s="170">
        <v>4</v>
      </c>
      <c r="K114" s="167"/>
      <c r="L114" s="171">
        <v>3686.4754699999999</v>
      </c>
      <c r="M114" s="171">
        <v>-280.53476000000001</v>
      </c>
      <c r="N114" s="171">
        <v>3405.9407099999999</v>
      </c>
      <c r="O114" s="166">
        <v>563.45049262699104</v>
      </c>
      <c r="P114" s="172">
        <v>260.82400000000001</v>
      </c>
      <c r="Q114" s="178">
        <v>2.16027088238426</v>
      </c>
      <c r="R114" s="179">
        <v>1589.66677421027</v>
      </c>
      <c r="S114" s="168">
        <v>0.01</v>
      </c>
      <c r="T114" s="168">
        <v>0.01</v>
      </c>
      <c r="U114" s="175">
        <v>0</v>
      </c>
      <c r="V114" s="176">
        <v>0</v>
      </c>
      <c r="W114" s="167"/>
      <c r="X114" s="175">
        <v>4010.9373949999999</v>
      </c>
      <c r="Y114" s="166">
        <v>663.53611044179695</v>
      </c>
      <c r="Z114" s="177">
        <v>573</v>
      </c>
      <c r="AA114" s="178">
        <v>1.1580036831445</v>
      </c>
      <c r="AB114" s="179">
        <v>20.794750122558099</v>
      </c>
      <c r="AC114" s="168">
        <v>0.02</v>
      </c>
      <c r="AD114" s="168">
        <v>1.6E-2</v>
      </c>
      <c r="AE114" s="176">
        <v>0</v>
      </c>
      <c r="AF114" s="176">
        <v>146</v>
      </c>
      <c r="AG114" s="167"/>
      <c r="AH114" s="180">
        <v>235.1</v>
      </c>
      <c r="AI114" s="166">
        <v>38.892987898372901</v>
      </c>
      <c r="AJ114" s="181" t="s">
        <v>53</v>
      </c>
      <c r="AK114" s="173">
        <v>0.61734901425988797</v>
      </c>
      <c r="AL114" s="174">
        <v>-203.60678294464</v>
      </c>
      <c r="AM114" s="168"/>
      <c r="AN114" s="168"/>
      <c r="AO114" s="176">
        <v>146</v>
      </c>
      <c r="AP114" s="176">
        <v>222</v>
      </c>
      <c r="AQ114" s="167"/>
      <c r="AR114" s="180">
        <v>38.799999999999997</v>
      </c>
      <c r="AS114" s="166">
        <v>6.4187491725090098</v>
      </c>
      <c r="AT114" s="181" t="s">
        <v>54</v>
      </c>
      <c r="AU114" s="173">
        <v>0.401171823281813</v>
      </c>
      <c r="AV114" s="174">
        <v>-72.617595668480106</v>
      </c>
      <c r="AW114" s="168"/>
      <c r="AX114" s="168"/>
      <c r="AY114" s="176">
        <v>58</v>
      </c>
      <c r="AZ114" s="176">
        <v>78</v>
      </c>
      <c r="BA114" s="167"/>
      <c r="BB114" s="184">
        <v>204.2</v>
      </c>
      <c r="BC114" s="180">
        <v>33.781148995524198</v>
      </c>
      <c r="BD114" s="181" t="s">
        <v>55</v>
      </c>
      <c r="BE114" s="182">
        <v>1.0556609061101301</v>
      </c>
      <c r="BF114" s="183">
        <v>-18.635191336960101</v>
      </c>
      <c r="BG114" s="168">
        <v>0.01</v>
      </c>
      <c r="BH114" s="168">
        <v>6.0000000000000001E-3</v>
      </c>
      <c r="BI114" s="176">
        <v>0</v>
      </c>
      <c r="BJ114" s="176">
        <v>28</v>
      </c>
      <c r="BK114" s="169"/>
      <c r="BL114" s="185">
        <v>0.8</v>
      </c>
      <c r="BM114" s="188">
        <v>0.72</v>
      </c>
      <c r="BN114" s="186"/>
      <c r="BO114" s="187">
        <v>0.95</v>
      </c>
      <c r="BP114" s="178">
        <v>1</v>
      </c>
      <c r="BQ114" s="186">
        <v>2.5000000000000001E-3</v>
      </c>
    </row>
    <row r="115" spans="1:69" s="156" customFormat="1" ht="22.35" customHeight="1" x14ac:dyDescent="0.2">
      <c r="A115" s="165" t="s">
        <v>139</v>
      </c>
      <c r="B115" s="165" t="s">
        <v>159</v>
      </c>
      <c r="C115" s="165" t="s">
        <v>173</v>
      </c>
      <c r="D115" s="166">
        <v>4.01034421888889</v>
      </c>
      <c r="E115" s="167"/>
      <c r="F115" s="168">
        <v>4.2000000000000003E-2</v>
      </c>
      <c r="G115" s="168">
        <v>3.4000000000000002E-2</v>
      </c>
      <c r="H115" s="169"/>
      <c r="I115" s="170">
        <v>5</v>
      </c>
      <c r="J115" s="170">
        <v>5</v>
      </c>
      <c r="K115" s="167"/>
      <c r="L115" s="171">
        <v>2702.5806200000002</v>
      </c>
      <c r="M115" s="171">
        <v>594.60127</v>
      </c>
      <c r="N115" s="171">
        <v>3297.1818899999998</v>
      </c>
      <c r="O115" s="166">
        <v>822.16929770520301</v>
      </c>
      <c r="P115" s="172">
        <v>234.23500000000001</v>
      </c>
      <c r="Q115" s="178">
        <v>3.5100189882178299</v>
      </c>
      <c r="R115" s="179">
        <v>2215.0357392156202</v>
      </c>
      <c r="S115" s="168">
        <v>0.01</v>
      </c>
      <c r="T115" s="168">
        <v>0.01</v>
      </c>
      <c r="U115" s="175">
        <v>0</v>
      </c>
      <c r="V115" s="176">
        <v>0</v>
      </c>
      <c r="W115" s="167"/>
      <c r="X115" s="175">
        <v>3401.3980150000002</v>
      </c>
      <c r="Y115" s="166">
        <v>848.15612559622002</v>
      </c>
      <c r="Z115" s="177">
        <v>573</v>
      </c>
      <c r="AA115" s="178">
        <v>1.48020266247159</v>
      </c>
      <c r="AB115" s="179">
        <v>754.18583748831998</v>
      </c>
      <c r="AC115" s="168">
        <v>0.02</v>
      </c>
      <c r="AD115" s="168">
        <v>0.02</v>
      </c>
      <c r="AE115" s="176">
        <v>0</v>
      </c>
      <c r="AF115" s="176">
        <v>0</v>
      </c>
      <c r="AG115" s="167"/>
      <c r="AH115" s="180">
        <v>260.05</v>
      </c>
      <c r="AI115" s="166">
        <v>64.8448077786325</v>
      </c>
      <c r="AJ115" s="181" t="s">
        <v>53</v>
      </c>
      <c r="AK115" s="182">
        <v>1.0292826631529</v>
      </c>
      <c r="AL115" s="183">
        <v>-31.004742030079999</v>
      </c>
      <c r="AM115" s="168">
        <v>7.0000000000000001E-3</v>
      </c>
      <c r="AN115" s="168">
        <v>3.0000000000000001E-3</v>
      </c>
      <c r="AO115" s="176">
        <v>0</v>
      </c>
      <c r="AP115" s="176">
        <v>44</v>
      </c>
      <c r="AQ115" s="167"/>
      <c r="AR115" s="180">
        <v>28.8</v>
      </c>
      <c r="AS115" s="166">
        <v>7.1814284330883096</v>
      </c>
      <c r="AT115" s="181" t="s">
        <v>54</v>
      </c>
      <c r="AU115" s="173">
        <v>0.44883927706801902</v>
      </c>
      <c r="AV115" s="174">
        <v>-45.118664642559999</v>
      </c>
      <c r="AW115" s="168"/>
      <c r="AX115" s="168"/>
      <c r="AY115" s="176">
        <v>36</v>
      </c>
      <c r="AZ115" s="176">
        <v>49</v>
      </c>
      <c r="BA115" s="167"/>
      <c r="BB115" s="184">
        <v>129.4</v>
      </c>
      <c r="BC115" s="180">
        <v>32.266556918112101</v>
      </c>
      <c r="BD115" s="181" t="s">
        <v>55</v>
      </c>
      <c r="BE115" s="182">
        <v>1.0083299036910001</v>
      </c>
      <c r="BF115" s="183">
        <v>-18.437329285120001</v>
      </c>
      <c r="BG115" s="168">
        <v>5.0000000000000001E-3</v>
      </c>
      <c r="BH115" s="168">
        <v>1E-3</v>
      </c>
      <c r="BI115" s="176">
        <v>0</v>
      </c>
      <c r="BJ115" s="176">
        <v>25</v>
      </c>
      <c r="BK115" s="169"/>
      <c r="BL115" s="185">
        <v>0.8</v>
      </c>
      <c r="BM115" s="188">
        <v>0.74</v>
      </c>
      <c r="BN115" s="186"/>
      <c r="BO115" s="187">
        <v>0.95</v>
      </c>
      <c r="BP115" s="178">
        <v>1</v>
      </c>
      <c r="BQ115" s="186">
        <v>2.5000000000000001E-3</v>
      </c>
    </row>
    <row r="116" spans="1:69" s="156" customFormat="1" ht="22.35" customHeight="1" x14ac:dyDescent="0.2">
      <c r="A116" s="165" t="s">
        <v>139</v>
      </c>
      <c r="B116" s="165" t="s">
        <v>159</v>
      </c>
      <c r="C116" s="165" t="s">
        <v>174</v>
      </c>
      <c r="D116" s="166">
        <v>2.3561526822222199</v>
      </c>
      <c r="E116" s="167"/>
      <c r="F116" s="168">
        <v>1.9E-2</v>
      </c>
      <c r="G116" s="168">
        <v>1.4999999999999999E-2</v>
      </c>
      <c r="H116" s="169"/>
      <c r="I116" s="170">
        <v>3</v>
      </c>
      <c r="J116" s="170">
        <v>3</v>
      </c>
      <c r="K116" s="167"/>
      <c r="L116" s="171">
        <v>2098.7437799999998</v>
      </c>
      <c r="M116" s="171">
        <v>1008.75653</v>
      </c>
      <c r="N116" s="171">
        <v>3107.5003099999999</v>
      </c>
      <c r="O116" s="166">
        <v>1318.88749546958</v>
      </c>
      <c r="P116" s="172">
        <v>258.77999999999997</v>
      </c>
      <c r="Q116" s="178">
        <v>5.096558835573</v>
      </c>
      <c r="R116" s="179">
        <v>2405.0968898464998</v>
      </c>
      <c r="S116" s="168">
        <v>0.01</v>
      </c>
      <c r="T116" s="168">
        <v>0.01</v>
      </c>
      <c r="U116" s="175">
        <v>0</v>
      </c>
      <c r="V116" s="176">
        <v>0</v>
      </c>
      <c r="W116" s="167"/>
      <c r="X116" s="175">
        <v>1419.1634349999999</v>
      </c>
      <c r="Y116" s="166">
        <v>602.32235614778006</v>
      </c>
      <c r="Z116" s="177">
        <v>573</v>
      </c>
      <c r="AA116" s="182">
        <v>1.05117339641846</v>
      </c>
      <c r="AB116" s="183">
        <v>-136.123525924158</v>
      </c>
      <c r="AC116" s="168">
        <v>8.9999999999999993E-3</v>
      </c>
      <c r="AD116" s="168">
        <v>5.0000000000000001E-3</v>
      </c>
      <c r="AE116" s="176">
        <v>0</v>
      </c>
      <c r="AF116" s="176">
        <v>201</v>
      </c>
      <c r="AG116" s="167"/>
      <c r="AH116" s="180">
        <v>131.5</v>
      </c>
      <c r="AI116" s="166">
        <v>55.811323685515497</v>
      </c>
      <c r="AJ116" s="181" t="s">
        <v>53</v>
      </c>
      <c r="AK116" s="188">
        <v>0.88589402675421403</v>
      </c>
      <c r="AL116" s="171">
        <v>-39.500137064959802</v>
      </c>
      <c r="AM116" s="168"/>
      <c r="AN116" s="168"/>
      <c r="AO116" s="176">
        <v>17</v>
      </c>
      <c r="AP116" s="176">
        <v>47</v>
      </c>
      <c r="AQ116" s="167"/>
      <c r="AR116" s="180">
        <v>9</v>
      </c>
      <c r="AS116" s="166">
        <v>3.8197864119364202</v>
      </c>
      <c r="AT116" s="181" t="s">
        <v>54</v>
      </c>
      <c r="AU116" s="173">
        <v>0.23873665074602601</v>
      </c>
      <c r="AV116" s="174">
        <v>-34.428606238719901</v>
      </c>
      <c r="AW116" s="168"/>
      <c r="AX116" s="168"/>
      <c r="AY116" s="176">
        <v>29</v>
      </c>
      <c r="AZ116" s="176">
        <v>37</v>
      </c>
      <c r="BA116" s="167"/>
      <c r="BB116" s="184">
        <v>63.2</v>
      </c>
      <c r="BC116" s="180">
        <v>26.823389026042399</v>
      </c>
      <c r="BD116" s="181" t="s">
        <v>55</v>
      </c>
      <c r="BE116" s="188">
        <v>0.83823090706382597</v>
      </c>
      <c r="BF116" s="171">
        <v>-23.657212477439899</v>
      </c>
      <c r="BG116" s="168"/>
      <c r="BH116" s="168"/>
      <c r="BI116" s="176">
        <v>13</v>
      </c>
      <c r="BJ116" s="176">
        <v>28</v>
      </c>
      <c r="BK116" s="169"/>
      <c r="BL116" s="185">
        <v>0.8</v>
      </c>
      <c r="BM116" s="188">
        <v>0.72</v>
      </c>
      <c r="BN116" s="186"/>
      <c r="BO116" s="187">
        <v>0.95</v>
      </c>
      <c r="BP116" s="178">
        <v>1</v>
      </c>
      <c r="BQ116" s="186">
        <v>2.5000000000000001E-3</v>
      </c>
    </row>
    <row r="117" spans="1:69" s="156" customFormat="1" ht="22.35" customHeight="1" x14ac:dyDescent="0.2">
      <c r="A117" s="165" t="s">
        <v>175</v>
      </c>
      <c r="B117" s="165" t="s">
        <v>176</v>
      </c>
      <c r="C117" s="165" t="s">
        <v>177</v>
      </c>
      <c r="D117" s="166">
        <v>5.36114939544444</v>
      </c>
      <c r="E117" s="167"/>
      <c r="F117" s="168">
        <v>3.3000000000000002E-2</v>
      </c>
      <c r="G117" s="168">
        <v>0.03</v>
      </c>
      <c r="H117" s="169"/>
      <c r="I117" s="170">
        <v>5</v>
      </c>
      <c r="J117" s="170">
        <v>4</v>
      </c>
      <c r="K117" s="167"/>
      <c r="L117" s="171">
        <v>3651.5404899999999</v>
      </c>
      <c r="M117" s="171">
        <v>2825.3200700000002</v>
      </c>
      <c r="N117" s="171">
        <v>6476.8605600000001</v>
      </c>
      <c r="O117" s="166">
        <v>1208.1104409259001</v>
      </c>
      <c r="P117" s="172">
        <v>227.6</v>
      </c>
      <c r="Q117" s="178">
        <v>5.3080423590768904</v>
      </c>
      <c r="R117" s="179">
        <v>5071.1929220315697</v>
      </c>
      <c r="S117" s="168">
        <v>0.01</v>
      </c>
      <c r="T117" s="168">
        <v>0.01</v>
      </c>
      <c r="U117" s="175">
        <v>0</v>
      </c>
      <c r="V117" s="176">
        <v>0</v>
      </c>
      <c r="W117" s="167"/>
      <c r="X117" s="175">
        <v>2821.5930699999999</v>
      </c>
      <c r="Y117" s="166">
        <v>526.30375724981798</v>
      </c>
      <c r="Z117" s="177">
        <v>573</v>
      </c>
      <c r="AA117" s="188">
        <v>0.91850568455465598</v>
      </c>
      <c r="AB117" s="171">
        <v>-717.28020133529299</v>
      </c>
      <c r="AC117" s="168"/>
      <c r="AD117" s="168"/>
      <c r="AE117" s="176">
        <v>251</v>
      </c>
      <c r="AF117" s="176">
        <v>865</v>
      </c>
      <c r="AG117" s="167"/>
      <c r="AH117" s="180">
        <v>333.35</v>
      </c>
      <c r="AI117" s="166">
        <v>62.178830584959798</v>
      </c>
      <c r="AJ117" s="181" t="s">
        <v>53</v>
      </c>
      <c r="AK117" s="182">
        <v>0.98696556484063203</v>
      </c>
      <c r="AL117" s="183">
        <v>-55.740778523775603</v>
      </c>
      <c r="AM117" s="168">
        <v>3.0000000000000001E-3</v>
      </c>
      <c r="AN117" s="168"/>
      <c r="AO117" s="176">
        <v>5</v>
      </c>
      <c r="AP117" s="176">
        <v>72</v>
      </c>
      <c r="AQ117" s="167"/>
      <c r="AR117" s="180">
        <v>54.6</v>
      </c>
      <c r="AS117" s="166">
        <v>10.1843832306549</v>
      </c>
      <c r="AT117" s="181" t="s">
        <v>54</v>
      </c>
      <c r="AU117" s="173">
        <v>0.63652395191593003</v>
      </c>
      <c r="AV117" s="174">
        <v>-44.216705656831898</v>
      </c>
      <c r="AW117" s="168"/>
      <c r="AX117" s="168"/>
      <c r="AY117" s="176">
        <v>32</v>
      </c>
      <c r="AZ117" s="176">
        <v>49</v>
      </c>
      <c r="BA117" s="167"/>
      <c r="BB117" s="184">
        <v>214.4</v>
      </c>
      <c r="BC117" s="180">
        <v>39.991424261033103</v>
      </c>
      <c r="BD117" s="181" t="s">
        <v>55</v>
      </c>
      <c r="BE117" s="178">
        <v>1.24973200815728</v>
      </c>
      <c r="BF117" s="179">
        <v>16.766588686336199</v>
      </c>
      <c r="BG117" s="168">
        <v>0.02</v>
      </c>
      <c r="BH117" s="168">
        <v>0.02</v>
      </c>
      <c r="BI117" s="176">
        <v>0</v>
      </c>
      <c r="BJ117" s="176">
        <v>0</v>
      </c>
      <c r="BK117" s="169"/>
      <c r="BL117" s="185">
        <v>0.8</v>
      </c>
      <c r="BM117" s="182">
        <v>0.83</v>
      </c>
      <c r="BN117" s="186">
        <v>1.1249999999999999E-3</v>
      </c>
      <c r="BO117" s="187">
        <v>0.95</v>
      </c>
      <c r="BP117" s="178">
        <v>1</v>
      </c>
      <c r="BQ117" s="186">
        <v>2.5000000000000001E-3</v>
      </c>
    </row>
    <row r="118" spans="1:69" s="156" customFormat="1" ht="22.35" customHeight="1" x14ac:dyDescent="0.2">
      <c r="A118" s="165" t="s">
        <v>175</v>
      </c>
      <c r="B118" s="165" t="s">
        <v>176</v>
      </c>
      <c r="C118" s="165" t="s">
        <v>178</v>
      </c>
      <c r="D118" s="166">
        <v>9.7145609433333302</v>
      </c>
      <c r="E118" s="167"/>
      <c r="F118" s="168">
        <v>7.7499999999999999E-2</v>
      </c>
      <c r="G118" s="168">
        <v>7.4999999999999997E-2</v>
      </c>
      <c r="H118" s="169"/>
      <c r="I118" s="170">
        <v>6</v>
      </c>
      <c r="J118" s="170">
        <v>6</v>
      </c>
      <c r="K118" s="167"/>
      <c r="L118" s="171">
        <v>5710.6198299999996</v>
      </c>
      <c r="M118" s="171">
        <v>2614.38733</v>
      </c>
      <c r="N118" s="171">
        <v>8325.0071599999992</v>
      </c>
      <c r="O118" s="166">
        <v>856.96175139166496</v>
      </c>
      <c r="P118" s="172">
        <v>242.374</v>
      </c>
      <c r="Q118" s="178">
        <v>3.5356999983152702</v>
      </c>
      <c r="R118" s="179">
        <v>5612.5575028204503</v>
      </c>
      <c r="S118" s="168">
        <v>0.01</v>
      </c>
      <c r="T118" s="168">
        <v>0.01</v>
      </c>
      <c r="U118" s="175">
        <v>0</v>
      </c>
      <c r="V118" s="176">
        <v>0</v>
      </c>
      <c r="W118" s="167"/>
      <c r="X118" s="175">
        <v>6772.8553650000003</v>
      </c>
      <c r="Y118" s="166">
        <v>697.18594638576099</v>
      </c>
      <c r="Z118" s="177">
        <v>573</v>
      </c>
      <c r="AA118" s="178">
        <v>1.21672940032419</v>
      </c>
      <c r="AB118" s="179">
        <v>360.31254454944298</v>
      </c>
      <c r="AC118" s="168">
        <v>0.02</v>
      </c>
      <c r="AD118" s="168">
        <v>0.02</v>
      </c>
      <c r="AE118" s="176">
        <v>0</v>
      </c>
      <c r="AF118" s="176">
        <v>0</v>
      </c>
      <c r="AG118" s="167"/>
      <c r="AH118" s="180">
        <v>761.4</v>
      </c>
      <c r="AI118" s="166">
        <v>78.377191150621599</v>
      </c>
      <c r="AJ118" s="181" t="s">
        <v>53</v>
      </c>
      <c r="AK118" s="178">
        <v>1.24408239921622</v>
      </c>
      <c r="AL118" s="179">
        <v>56.356024976640398</v>
      </c>
      <c r="AM118" s="168">
        <v>0.02</v>
      </c>
      <c r="AN118" s="168">
        <v>0.02</v>
      </c>
      <c r="AO118" s="176">
        <v>0</v>
      </c>
      <c r="AP118" s="176">
        <v>0</v>
      </c>
      <c r="AQ118" s="167"/>
      <c r="AR118" s="180">
        <v>171.1</v>
      </c>
      <c r="AS118" s="166">
        <v>17.612736282993598</v>
      </c>
      <c r="AT118" s="181" t="s">
        <v>54</v>
      </c>
      <c r="AU118" s="182">
        <v>1.1007960176870999</v>
      </c>
      <c r="AV118" s="183">
        <v>-7.95878730751991</v>
      </c>
      <c r="AW118" s="168">
        <v>7.4999999999999997E-3</v>
      </c>
      <c r="AX118" s="168">
        <v>5.0000000000000001E-3</v>
      </c>
      <c r="AY118" s="176">
        <v>0</v>
      </c>
      <c r="AZ118" s="176">
        <v>16</v>
      </c>
      <c r="BA118" s="167"/>
      <c r="BB118" s="184">
        <v>496.2</v>
      </c>
      <c r="BC118" s="180">
        <v>51.077964603281401</v>
      </c>
      <c r="BD118" s="181" t="s">
        <v>55</v>
      </c>
      <c r="BE118" s="178">
        <v>1.59618639385254</v>
      </c>
      <c r="BF118" s="179">
        <v>138.08242538496</v>
      </c>
      <c r="BG118" s="168">
        <v>0.02</v>
      </c>
      <c r="BH118" s="168">
        <v>0.02</v>
      </c>
      <c r="BI118" s="176">
        <v>0</v>
      </c>
      <c r="BJ118" s="176">
        <v>0</v>
      </c>
      <c r="BK118" s="169"/>
      <c r="BL118" s="185">
        <v>0.8</v>
      </c>
      <c r="BM118" s="188">
        <v>0.76</v>
      </c>
      <c r="BN118" s="186"/>
      <c r="BO118" s="187">
        <v>0.95</v>
      </c>
      <c r="BP118" s="178">
        <v>1</v>
      </c>
      <c r="BQ118" s="186">
        <v>2.5000000000000001E-3</v>
      </c>
    </row>
    <row r="119" spans="1:69" s="156" customFormat="1" ht="22.35" customHeight="1" x14ac:dyDescent="0.2">
      <c r="A119" s="165" t="s">
        <v>175</v>
      </c>
      <c r="B119" s="165" t="s">
        <v>176</v>
      </c>
      <c r="C119" s="165" t="s">
        <v>179</v>
      </c>
      <c r="D119" s="166">
        <v>2.7303992304444402</v>
      </c>
      <c r="E119" s="167"/>
      <c r="F119" s="168">
        <v>0.08</v>
      </c>
      <c r="G119" s="168">
        <v>0.08</v>
      </c>
      <c r="H119" s="169"/>
      <c r="I119" s="170">
        <v>7</v>
      </c>
      <c r="J119" s="170">
        <v>7</v>
      </c>
      <c r="K119" s="167"/>
      <c r="L119" s="171">
        <v>597.04618000000005</v>
      </c>
      <c r="M119" s="171">
        <v>2965.1457399999999</v>
      </c>
      <c r="N119" s="171">
        <v>3562.1919200000002</v>
      </c>
      <c r="O119" s="166">
        <v>1304.64141664007</v>
      </c>
      <c r="P119" s="172">
        <v>212.5</v>
      </c>
      <c r="Q119" s="178">
        <v>6.1394890194826797</v>
      </c>
      <c r="R119" s="179">
        <v>2893.7901883872</v>
      </c>
      <c r="S119" s="168">
        <v>0.01</v>
      </c>
      <c r="T119" s="168">
        <v>0.01</v>
      </c>
      <c r="U119" s="175">
        <v>0</v>
      </c>
      <c r="V119" s="176">
        <v>0</v>
      </c>
      <c r="W119" s="167"/>
      <c r="X119" s="175">
        <v>1954.0461600000001</v>
      </c>
      <c r="Y119" s="166">
        <v>715.66316684096296</v>
      </c>
      <c r="Z119" s="177">
        <v>573</v>
      </c>
      <c r="AA119" s="178">
        <v>1.2489758583611901</v>
      </c>
      <c r="AB119" s="179">
        <v>151.72054958054699</v>
      </c>
      <c r="AC119" s="168">
        <v>0.02</v>
      </c>
      <c r="AD119" s="168">
        <v>0.02</v>
      </c>
      <c r="AE119" s="176">
        <v>0</v>
      </c>
      <c r="AF119" s="176">
        <v>0</v>
      </c>
      <c r="AG119" s="167"/>
      <c r="AH119" s="180">
        <v>226.05</v>
      </c>
      <c r="AI119" s="166">
        <v>82.790090723547493</v>
      </c>
      <c r="AJ119" s="181" t="s">
        <v>53</v>
      </c>
      <c r="AK119" s="178">
        <v>1.31412842418329</v>
      </c>
      <c r="AL119" s="179">
        <v>27.888545451264399</v>
      </c>
      <c r="AM119" s="168">
        <v>0.02</v>
      </c>
      <c r="AN119" s="168">
        <v>0.02</v>
      </c>
      <c r="AO119" s="176">
        <v>0</v>
      </c>
      <c r="AP119" s="176">
        <v>0</v>
      </c>
      <c r="AQ119" s="167"/>
      <c r="AR119" s="180">
        <v>64.599999999999994</v>
      </c>
      <c r="AS119" s="166">
        <v>23.6595437325422</v>
      </c>
      <c r="AT119" s="181" t="s">
        <v>54</v>
      </c>
      <c r="AU119" s="178">
        <v>1.47872148328389</v>
      </c>
      <c r="AV119" s="179">
        <v>14.273281384448101</v>
      </c>
      <c r="AW119" s="168">
        <v>0.01</v>
      </c>
      <c r="AX119" s="168">
        <v>0.01</v>
      </c>
      <c r="AY119" s="176">
        <v>0</v>
      </c>
      <c r="AZ119" s="176">
        <v>0</v>
      </c>
      <c r="BA119" s="167"/>
      <c r="BB119" s="184">
        <v>158</v>
      </c>
      <c r="BC119" s="180">
        <v>57.866995506837</v>
      </c>
      <c r="BD119" s="181" t="s">
        <v>55</v>
      </c>
      <c r="BE119" s="178">
        <v>1.80834360958866</v>
      </c>
      <c r="BF119" s="179">
        <v>57.346562768896199</v>
      </c>
      <c r="BG119" s="168">
        <v>0.02</v>
      </c>
      <c r="BH119" s="168">
        <v>0.02</v>
      </c>
      <c r="BI119" s="176">
        <v>0</v>
      </c>
      <c r="BJ119" s="176">
        <v>0</v>
      </c>
      <c r="BK119" s="169"/>
      <c r="BL119" s="185">
        <v>0.8</v>
      </c>
      <c r="BM119" s="182">
        <v>0.87</v>
      </c>
      <c r="BN119" s="186">
        <v>2.6250000000000002E-3</v>
      </c>
      <c r="BO119" s="187">
        <v>0.95</v>
      </c>
      <c r="BP119" s="178">
        <v>1</v>
      </c>
      <c r="BQ119" s="186">
        <v>2.5000000000000001E-3</v>
      </c>
    </row>
    <row r="120" spans="1:69" s="156" customFormat="1" ht="22.35" customHeight="1" x14ac:dyDescent="0.2">
      <c r="A120" s="165" t="s">
        <v>175</v>
      </c>
      <c r="B120" s="165" t="s">
        <v>176</v>
      </c>
      <c r="C120" s="165" t="s">
        <v>180</v>
      </c>
      <c r="D120" s="166">
        <v>3.1380264342222199</v>
      </c>
      <c r="E120" s="167"/>
      <c r="F120" s="168">
        <v>2.9000000000000001E-2</v>
      </c>
      <c r="G120" s="168">
        <v>2.3E-2</v>
      </c>
      <c r="H120" s="169"/>
      <c r="I120" s="170">
        <v>5</v>
      </c>
      <c r="J120" s="170">
        <v>5</v>
      </c>
      <c r="K120" s="167"/>
      <c r="L120" s="171">
        <v>1366.1096500000001</v>
      </c>
      <c r="M120" s="171">
        <v>1332.1825899999999</v>
      </c>
      <c r="N120" s="171">
        <v>2698.2922400000002</v>
      </c>
      <c r="O120" s="166">
        <v>859.86918738904399</v>
      </c>
      <c r="P120" s="172">
        <v>212.5</v>
      </c>
      <c r="Q120" s="178">
        <v>4.0464432347719699</v>
      </c>
      <c r="R120" s="179">
        <v>1930.1033689024</v>
      </c>
      <c r="S120" s="168">
        <v>0.01</v>
      </c>
      <c r="T120" s="168">
        <v>0.01</v>
      </c>
      <c r="U120" s="175">
        <v>0</v>
      </c>
      <c r="V120" s="176">
        <v>0</v>
      </c>
      <c r="W120" s="167"/>
      <c r="X120" s="175">
        <v>1634.3838450000001</v>
      </c>
      <c r="Y120" s="166">
        <v>520.83176456896001</v>
      </c>
      <c r="Z120" s="177">
        <v>573</v>
      </c>
      <c r="AA120" s="188">
        <v>0.90895595910813198</v>
      </c>
      <c r="AB120" s="171">
        <v>-437.01485212435</v>
      </c>
      <c r="AC120" s="168"/>
      <c r="AD120" s="168"/>
      <c r="AE120" s="176">
        <v>164</v>
      </c>
      <c r="AF120" s="176">
        <v>524</v>
      </c>
      <c r="AG120" s="167"/>
      <c r="AH120" s="180">
        <v>174.7</v>
      </c>
      <c r="AI120" s="166">
        <v>55.671933829104397</v>
      </c>
      <c r="AJ120" s="181" t="s">
        <v>53</v>
      </c>
      <c r="AK120" s="188">
        <v>0.88368148935086299</v>
      </c>
      <c r="AL120" s="171">
        <v>-53.045406490111802</v>
      </c>
      <c r="AM120" s="168"/>
      <c r="AN120" s="168"/>
      <c r="AO120" s="176">
        <v>23</v>
      </c>
      <c r="AP120" s="176">
        <v>63</v>
      </c>
      <c r="AQ120" s="167"/>
      <c r="AR120" s="180">
        <v>57.1</v>
      </c>
      <c r="AS120" s="166">
        <v>18.1961500952597</v>
      </c>
      <c r="AT120" s="181" t="s">
        <v>54</v>
      </c>
      <c r="AU120" s="182">
        <v>1.1372593809537299</v>
      </c>
      <c r="AV120" s="183">
        <v>-0.74010323558395197</v>
      </c>
      <c r="AW120" s="168">
        <v>8.9999999999999993E-3</v>
      </c>
      <c r="AX120" s="168">
        <v>7.0000000000000001E-3</v>
      </c>
      <c r="AY120" s="176">
        <v>0</v>
      </c>
      <c r="AZ120" s="176">
        <v>4</v>
      </c>
      <c r="BA120" s="167"/>
      <c r="BB120" s="184">
        <v>106.2</v>
      </c>
      <c r="BC120" s="180">
        <v>33.842927147400601</v>
      </c>
      <c r="BD120" s="181" t="s">
        <v>55</v>
      </c>
      <c r="BE120" s="182">
        <v>1.0575914733562699</v>
      </c>
      <c r="BF120" s="183">
        <v>-9.4802064711679002</v>
      </c>
      <c r="BG120" s="168">
        <v>0.01</v>
      </c>
      <c r="BH120" s="168">
        <v>6.0000000000000001E-3</v>
      </c>
      <c r="BI120" s="176">
        <v>0</v>
      </c>
      <c r="BJ120" s="176">
        <v>15</v>
      </c>
      <c r="BK120" s="169"/>
      <c r="BL120" s="185">
        <v>0.8</v>
      </c>
      <c r="BM120" s="182">
        <v>0.86</v>
      </c>
      <c r="BN120" s="186">
        <v>2.2499999999999998E-3</v>
      </c>
      <c r="BO120" s="187">
        <v>0.95</v>
      </c>
      <c r="BP120" s="178">
        <v>1</v>
      </c>
      <c r="BQ120" s="186">
        <v>2.5000000000000001E-3</v>
      </c>
    </row>
    <row r="121" spans="1:69" s="156" customFormat="1" ht="22.35" customHeight="1" x14ac:dyDescent="0.2">
      <c r="A121" s="165" t="s">
        <v>175</v>
      </c>
      <c r="B121" s="165" t="s">
        <v>176</v>
      </c>
      <c r="C121" s="165" t="s">
        <v>181</v>
      </c>
      <c r="D121" s="166">
        <v>2.9645688838888899</v>
      </c>
      <c r="E121" s="167"/>
      <c r="F121" s="168">
        <v>0.08</v>
      </c>
      <c r="G121" s="168">
        <v>0.08</v>
      </c>
      <c r="H121" s="169"/>
      <c r="I121" s="170">
        <v>7</v>
      </c>
      <c r="J121" s="170">
        <v>7</v>
      </c>
      <c r="K121" s="167"/>
      <c r="L121" s="171">
        <v>1068.9679799999999</v>
      </c>
      <c r="M121" s="171">
        <v>-163.35276999999999</v>
      </c>
      <c r="N121" s="171">
        <v>905.61521000000005</v>
      </c>
      <c r="O121" s="166">
        <v>305.47956396682702</v>
      </c>
      <c r="P121" s="172">
        <v>221.85</v>
      </c>
      <c r="Q121" s="178">
        <v>1.3769644533100101</v>
      </c>
      <c r="R121" s="179">
        <v>147.956782861856</v>
      </c>
      <c r="S121" s="168">
        <v>0.01</v>
      </c>
      <c r="T121" s="168">
        <v>0.01</v>
      </c>
      <c r="U121" s="175">
        <v>0</v>
      </c>
      <c r="V121" s="176">
        <v>0</v>
      </c>
      <c r="W121" s="167"/>
      <c r="X121" s="175">
        <v>2294.6258699999998</v>
      </c>
      <c r="Y121" s="166">
        <v>774.01671537142204</v>
      </c>
      <c r="Z121" s="177">
        <v>573</v>
      </c>
      <c r="AA121" s="178">
        <v>1.3508145119920101</v>
      </c>
      <c r="AB121" s="179">
        <v>337.72580802047997</v>
      </c>
      <c r="AC121" s="168">
        <v>0.02</v>
      </c>
      <c r="AD121" s="168">
        <v>0.02</v>
      </c>
      <c r="AE121" s="176">
        <v>0</v>
      </c>
      <c r="AF121" s="176">
        <v>0</v>
      </c>
      <c r="AG121" s="167"/>
      <c r="AH121" s="180">
        <v>266.89999999999998</v>
      </c>
      <c r="AI121" s="166">
        <v>90.029953916902599</v>
      </c>
      <c r="AJ121" s="181" t="s">
        <v>53</v>
      </c>
      <c r="AK121" s="178">
        <v>1.4290468875698801</v>
      </c>
      <c r="AL121" s="179">
        <v>51.743448682879901</v>
      </c>
      <c r="AM121" s="168">
        <v>0.02</v>
      </c>
      <c r="AN121" s="168">
        <v>0.02</v>
      </c>
      <c r="AO121" s="176">
        <v>0</v>
      </c>
      <c r="AP121" s="176">
        <v>0</v>
      </c>
      <c r="AQ121" s="167"/>
      <c r="AR121" s="180">
        <v>73.5</v>
      </c>
      <c r="AS121" s="166">
        <v>24.792812337550899</v>
      </c>
      <c r="AT121" s="181" t="s">
        <v>54</v>
      </c>
      <c r="AU121" s="178">
        <v>1.5495507710969301</v>
      </c>
      <c r="AV121" s="179">
        <v>18.857066332159999</v>
      </c>
      <c r="AW121" s="168">
        <v>0.01</v>
      </c>
      <c r="AX121" s="168">
        <v>0.01</v>
      </c>
      <c r="AY121" s="176">
        <v>0</v>
      </c>
      <c r="AZ121" s="176">
        <v>0</v>
      </c>
      <c r="BA121" s="167"/>
      <c r="BB121" s="184">
        <v>196</v>
      </c>
      <c r="BC121" s="180">
        <v>66.114166233469106</v>
      </c>
      <c r="BD121" s="181" t="s">
        <v>55</v>
      </c>
      <c r="BE121" s="178">
        <v>2.06606769479591</v>
      </c>
      <c r="BF121" s="179">
        <v>86.714132664320005</v>
      </c>
      <c r="BG121" s="168">
        <v>0.02</v>
      </c>
      <c r="BH121" s="168">
        <v>0.02</v>
      </c>
      <c r="BI121" s="176">
        <v>0</v>
      </c>
      <c r="BJ121" s="176">
        <v>0</v>
      </c>
      <c r="BK121" s="169"/>
      <c r="BL121" s="185">
        <v>0.8</v>
      </c>
      <c r="BM121" s="182">
        <v>0.86</v>
      </c>
      <c r="BN121" s="186">
        <v>2.2499999999999998E-3</v>
      </c>
      <c r="BO121" s="187">
        <v>0.95</v>
      </c>
      <c r="BP121" s="178">
        <v>1</v>
      </c>
      <c r="BQ121" s="186">
        <v>2.5000000000000001E-3</v>
      </c>
    </row>
    <row r="122" spans="1:69" s="156" customFormat="1" ht="22.35" customHeight="1" x14ac:dyDescent="0.2">
      <c r="A122" s="165" t="s">
        <v>175</v>
      </c>
      <c r="B122" s="165" t="s">
        <v>176</v>
      </c>
      <c r="C122" s="165" t="s">
        <v>182</v>
      </c>
      <c r="D122" s="166">
        <v>3.25939735288889</v>
      </c>
      <c r="E122" s="167"/>
      <c r="F122" s="168">
        <v>0.03</v>
      </c>
      <c r="G122" s="168">
        <v>0.03</v>
      </c>
      <c r="H122" s="169"/>
      <c r="I122" s="170">
        <v>3</v>
      </c>
      <c r="J122" s="170">
        <v>3</v>
      </c>
      <c r="K122" s="167"/>
      <c r="L122" s="171">
        <v>1166.70171</v>
      </c>
      <c r="M122" s="171">
        <v>581.06061999999997</v>
      </c>
      <c r="N122" s="171">
        <v>1747.76233</v>
      </c>
      <c r="O122" s="166">
        <v>536.22254078684603</v>
      </c>
      <c r="P122" s="172">
        <v>225.95400000000001</v>
      </c>
      <c r="Q122" s="178">
        <v>2.37314914003225</v>
      </c>
      <c r="R122" s="179">
        <v>899.34443236519598</v>
      </c>
      <c r="S122" s="168">
        <v>0.01</v>
      </c>
      <c r="T122" s="168">
        <v>0.01</v>
      </c>
      <c r="U122" s="175">
        <v>0</v>
      </c>
      <c r="V122" s="176">
        <v>0</v>
      </c>
      <c r="W122" s="167"/>
      <c r="X122" s="175">
        <v>1707.83403</v>
      </c>
      <c r="Y122" s="166">
        <v>523.972331414672</v>
      </c>
      <c r="Z122" s="177">
        <v>573</v>
      </c>
      <c r="AA122" s="188">
        <v>0.91443687855963596</v>
      </c>
      <c r="AB122" s="171">
        <v>-443.68112505254499</v>
      </c>
      <c r="AC122" s="168"/>
      <c r="AD122" s="168"/>
      <c r="AE122" s="176">
        <v>160</v>
      </c>
      <c r="AF122" s="176">
        <v>534</v>
      </c>
      <c r="AG122" s="167"/>
      <c r="AH122" s="180">
        <v>172.75</v>
      </c>
      <c r="AI122" s="166">
        <v>53.000595293141302</v>
      </c>
      <c r="AJ122" s="181" t="s">
        <v>53</v>
      </c>
      <c r="AK122" s="188">
        <v>0.84127929036732196</v>
      </c>
      <c r="AL122" s="171">
        <v>-63.804022283264104</v>
      </c>
      <c r="AM122" s="168"/>
      <c r="AN122" s="168"/>
      <c r="AO122" s="176">
        <v>33</v>
      </c>
      <c r="AP122" s="176">
        <v>74</v>
      </c>
      <c r="AQ122" s="167"/>
      <c r="AR122" s="180">
        <v>29.1</v>
      </c>
      <c r="AS122" s="166">
        <v>8.9280308134900803</v>
      </c>
      <c r="AT122" s="181" t="s">
        <v>54</v>
      </c>
      <c r="AU122" s="173">
        <v>0.55800192584313002</v>
      </c>
      <c r="AV122" s="174">
        <v>-30.977212008447999</v>
      </c>
      <c r="AW122" s="168"/>
      <c r="AX122" s="168"/>
      <c r="AY122" s="176">
        <v>24</v>
      </c>
      <c r="AZ122" s="176">
        <v>34</v>
      </c>
      <c r="BA122" s="167"/>
      <c r="BB122" s="184">
        <v>125</v>
      </c>
      <c r="BC122" s="180">
        <v>38.350647824270098</v>
      </c>
      <c r="BD122" s="181" t="s">
        <v>55</v>
      </c>
      <c r="BE122" s="178">
        <v>1.1984577445084399</v>
      </c>
      <c r="BF122" s="179">
        <v>4.84557598310397</v>
      </c>
      <c r="BG122" s="168">
        <v>0.02</v>
      </c>
      <c r="BH122" s="168">
        <v>0.02</v>
      </c>
      <c r="BI122" s="176">
        <v>0</v>
      </c>
      <c r="BJ122" s="176">
        <v>1</v>
      </c>
      <c r="BK122" s="169"/>
      <c r="BL122" s="185">
        <v>0.8</v>
      </c>
      <c r="BM122" s="188">
        <v>0.78</v>
      </c>
      <c r="BN122" s="186"/>
      <c r="BO122" s="187">
        <v>0.95</v>
      </c>
      <c r="BP122" s="178">
        <v>1</v>
      </c>
      <c r="BQ122" s="186">
        <v>2.5000000000000001E-3</v>
      </c>
    </row>
    <row r="123" spans="1:69" s="156" customFormat="1" ht="22.35" customHeight="1" x14ac:dyDescent="0.2">
      <c r="A123" s="165" t="s">
        <v>175</v>
      </c>
      <c r="B123" s="165" t="s">
        <v>176</v>
      </c>
      <c r="C123" s="165" t="s">
        <v>183</v>
      </c>
      <c r="D123" s="166">
        <v>2.4762819977777801</v>
      </c>
      <c r="E123" s="167"/>
      <c r="F123" s="168">
        <v>2.1000000000000001E-2</v>
      </c>
      <c r="G123" s="168">
        <v>1.6E-2</v>
      </c>
      <c r="H123" s="169"/>
      <c r="I123" s="170">
        <v>4</v>
      </c>
      <c r="J123" s="170">
        <v>4</v>
      </c>
      <c r="K123" s="167"/>
      <c r="L123" s="171">
        <v>292.65922999999998</v>
      </c>
      <c r="M123" s="171">
        <v>1907.5241799999999</v>
      </c>
      <c r="N123" s="171">
        <v>2200.1834100000001</v>
      </c>
      <c r="O123" s="166">
        <v>888.50276825274796</v>
      </c>
      <c r="P123" s="172">
        <v>224.404</v>
      </c>
      <c r="Q123" s="178">
        <v>3.9593891742248299</v>
      </c>
      <c r="R123" s="179">
        <v>1560.0313115854201</v>
      </c>
      <c r="S123" s="168">
        <v>0.01</v>
      </c>
      <c r="T123" s="168">
        <v>0.01</v>
      </c>
      <c r="U123" s="175">
        <v>0</v>
      </c>
      <c r="V123" s="176">
        <v>0</v>
      </c>
      <c r="W123" s="167"/>
      <c r="X123" s="175">
        <v>1050.08323</v>
      </c>
      <c r="Y123" s="166">
        <v>424.05640025746197</v>
      </c>
      <c r="Z123" s="177">
        <v>573</v>
      </c>
      <c r="AA123" s="173">
        <v>0.740063525754732</v>
      </c>
      <c r="AB123" s="174">
        <v>-584.500611605122</v>
      </c>
      <c r="AC123" s="168"/>
      <c r="AD123" s="168"/>
      <c r="AE123" s="176">
        <v>369</v>
      </c>
      <c r="AF123" s="176">
        <v>653</v>
      </c>
      <c r="AG123" s="167"/>
      <c r="AH123" s="180">
        <v>146</v>
      </c>
      <c r="AI123" s="166">
        <v>58.959359285824803</v>
      </c>
      <c r="AJ123" s="181" t="s">
        <v>53</v>
      </c>
      <c r="AK123" s="188">
        <v>0.93586284580674295</v>
      </c>
      <c r="AL123" s="171">
        <v>-33.718642270720203</v>
      </c>
      <c r="AM123" s="168"/>
      <c r="AN123" s="168"/>
      <c r="AO123" s="176">
        <v>11</v>
      </c>
      <c r="AP123" s="176">
        <v>42</v>
      </c>
      <c r="AQ123" s="167"/>
      <c r="AR123" s="180">
        <v>29.9</v>
      </c>
      <c r="AS123" s="166">
        <v>12.074553716754499</v>
      </c>
      <c r="AT123" s="181" t="s">
        <v>54</v>
      </c>
      <c r="AU123" s="173">
        <v>0.75465960729715797</v>
      </c>
      <c r="AV123" s="174">
        <v>-15.742829783039999</v>
      </c>
      <c r="AW123" s="168"/>
      <c r="AX123" s="168"/>
      <c r="AY123" s="176">
        <v>10</v>
      </c>
      <c r="AZ123" s="176">
        <v>18</v>
      </c>
      <c r="BA123" s="167"/>
      <c r="BB123" s="184">
        <v>84.2</v>
      </c>
      <c r="BC123" s="180">
        <v>34.002589396345499</v>
      </c>
      <c r="BD123" s="181" t="s">
        <v>55</v>
      </c>
      <c r="BE123" s="182">
        <v>1.0625809186358</v>
      </c>
      <c r="BF123" s="183">
        <v>-7.0856595660800803</v>
      </c>
      <c r="BG123" s="168">
        <v>1.0999999999999999E-2</v>
      </c>
      <c r="BH123" s="168">
        <v>6.0000000000000001E-3</v>
      </c>
      <c r="BI123" s="176">
        <v>0</v>
      </c>
      <c r="BJ123" s="176">
        <v>11</v>
      </c>
      <c r="BK123" s="169"/>
      <c r="BL123" s="185">
        <v>0.8</v>
      </c>
      <c r="BM123" s="182">
        <v>0.84</v>
      </c>
      <c r="BN123" s="186">
        <v>1.5E-3</v>
      </c>
      <c r="BO123" s="187">
        <v>0.95</v>
      </c>
      <c r="BP123" s="178">
        <v>1</v>
      </c>
      <c r="BQ123" s="186">
        <v>2.5000000000000001E-3</v>
      </c>
    </row>
    <row r="124" spans="1:69" s="156" customFormat="1" ht="22.35" customHeight="1" x14ac:dyDescent="0.2">
      <c r="A124" s="165" t="s">
        <v>175</v>
      </c>
      <c r="B124" s="165" t="s">
        <v>176</v>
      </c>
      <c r="C124" s="165" t="s">
        <v>184</v>
      </c>
      <c r="D124" s="166">
        <v>6.49187964211111</v>
      </c>
      <c r="E124" s="167"/>
      <c r="F124" s="168">
        <v>8.9999999999999993E-3</v>
      </c>
      <c r="G124" s="168">
        <v>1E-3</v>
      </c>
      <c r="H124" s="169"/>
      <c r="I124" s="170">
        <v>3</v>
      </c>
      <c r="J124" s="170">
        <v>2</v>
      </c>
      <c r="K124" s="167"/>
      <c r="L124" s="171">
        <v>2527.58772</v>
      </c>
      <c r="M124" s="171">
        <v>-881.99388999999996</v>
      </c>
      <c r="N124" s="171">
        <v>1645.59383</v>
      </c>
      <c r="O124" s="166">
        <v>253.48495670275</v>
      </c>
      <c r="P124" s="172">
        <v>272.23099999999999</v>
      </c>
      <c r="Q124" s="188">
        <v>0.93113920421535401</v>
      </c>
      <c r="R124" s="171">
        <v>-390.32527165298501</v>
      </c>
      <c r="S124" s="168"/>
      <c r="T124" s="168"/>
      <c r="U124" s="175">
        <v>122</v>
      </c>
      <c r="V124" s="176">
        <v>476</v>
      </c>
      <c r="W124" s="167"/>
      <c r="X124" s="175">
        <v>3717.3947549999998</v>
      </c>
      <c r="Y124" s="166">
        <v>572.62225425225699</v>
      </c>
      <c r="Z124" s="177">
        <v>573</v>
      </c>
      <c r="AA124" s="182">
        <v>0.999340757857342</v>
      </c>
      <c r="AB124" s="183">
        <v>-567.86902923897503</v>
      </c>
      <c r="AC124" s="168">
        <v>4.0000000000000001E-3</v>
      </c>
      <c r="AD124" s="168">
        <v>0</v>
      </c>
      <c r="AE124" s="176">
        <v>3</v>
      </c>
      <c r="AF124" s="176">
        <v>747</v>
      </c>
      <c r="AG124" s="167"/>
      <c r="AH124" s="180">
        <v>225.4</v>
      </c>
      <c r="AI124" s="166">
        <v>34.720298654012197</v>
      </c>
      <c r="AJ124" s="181" t="s">
        <v>53</v>
      </c>
      <c r="AK124" s="173">
        <v>0.55111585165098798</v>
      </c>
      <c r="AL124" s="174">
        <v>-245.754656905856</v>
      </c>
      <c r="AM124" s="168"/>
      <c r="AN124" s="168"/>
      <c r="AO124" s="176">
        <v>184</v>
      </c>
      <c r="AP124" s="176">
        <v>266</v>
      </c>
      <c r="AQ124" s="167"/>
      <c r="AR124" s="180">
        <v>56.8</v>
      </c>
      <c r="AS124" s="166">
        <v>8.7493920299374306</v>
      </c>
      <c r="AT124" s="181" t="s">
        <v>54</v>
      </c>
      <c r="AU124" s="173">
        <v>0.54683700187108897</v>
      </c>
      <c r="AV124" s="174">
        <v>-62.858325563392</v>
      </c>
      <c r="AW124" s="168"/>
      <c r="AX124" s="168"/>
      <c r="AY124" s="176">
        <v>48</v>
      </c>
      <c r="AZ124" s="176">
        <v>68</v>
      </c>
      <c r="BA124" s="167"/>
      <c r="BB124" s="184">
        <v>209.6</v>
      </c>
      <c r="BC124" s="180">
        <v>32.2864888992057</v>
      </c>
      <c r="BD124" s="181" t="s">
        <v>55</v>
      </c>
      <c r="BE124" s="182">
        <v>1.0089527781001799</v>
      </c>
      <c r="BF124" s="183">
        <v>-29.716651126783901</v>
      </c>
      <c r="BG124" s="168">
        <v>5.0000000000000001E-3</v>
      </c>
      <c r="BH124" s="168">
        <v>1E-3</v>
      </c>
      <c r="BI124" s="176">
        <v>0</v>
      </c>
      <c r="BJ124" s="176">
        <v>40</v>
      </c>
      <c r="BK124" s="169"/>
      <c r="BL124" s="185">
        <v>0.8</v>
      </c>
      <c r="BM124" s="188">
        <v>0.79</v>
      </c>
      <c r="BN124" s="186"/>
      <c r="BO124" s="187">
        <v>0.95</v>
      </c>
      <c r="BP124" s="178">
        <v>1</v>
      </c>
      <c r="BQ124" s="186">
        <v>2.5000000000000001E-3</v>
      </c>
    </row>
    <row r="125" spans="1:69" s="156" customFormat="1" ht="22.35" customHeight="1" x14ac:dyDescent="0.2">
      <c r="A125" s="165" t="s">
        <v>175</v>
      </c>
      <c r="B125" s="165" t="s">
        <v>176</v>
      </c>
      <c r="C125" s="165" t="s">
        <v>185</v>
      </c>
      <c r="D125" s="166">
        <v>2.7823128829999999</v>
      </c>
      <c r="E125" s="167"/>
      <c r="F125" s="168">
        <v>0.03</v>
      </c>
      <c r="G125" s="168">
        <v>2.5999999999999999E-2</v>
      </c>
      <c r="H125" s="169"/>
      <c r="I125" s="170">
        <v>4</v>
      </c>
      <c r="J125" s="170">
        <v>4</v>
      </c>
      <c r="K125" s="167"/>
      <c r="L125" s="171">
        <v>387.42970000000003</v>
      </c>
      <c r="M125" s="171">
        <v>862.80961000000002</v>
      </c>
      <c r="N125" s="171">
        <v>1250.2393099999999</v>
      </c>
      <c r="O125" s="166">
        <v>449.35252165167799</v>
      </c>
      <c r="P125" s="172">
        <v>278.23599999999999</v>
      </c>
      <c r="Q125" s="178">
        <v>1.61500496575453</v>
      </c>
      <c r="R125" s="179">
        <v>358.43048237382499</v>
      </c>
      <c r="S125" s="168">
        <v>0.01</v>
      </c>
      <c r="T125" s="168">
        <v>0.01</v>
      </c>
      <c r="U125" s="175">
        <v>0</v>
      </c>
      <c r="V125" s="176">
        <v>0</v>
      </c>
      <c r="W125" s="167"/>
      <c r="X125" s="175">
        <v>1310.940965</v>
      </c>
      <c r="Y125" s="166">
        <v>471.16949822929001</v>
      </c>
      <c r="Z125" s="177">
        <v>573</v>
      </c>
      <c r="AA125" s="188">
        <v>0.82228533722389197</v>
      </c>
      <c r="AB125" s="171">
        <v>-525.65263981676799</v>
      </c>
      <c r="AC125" s="168"/>
      <c r="AD125" s="168"/>
      <c r="AE125" s="176">
        <v>284</v>
      </c>
      <c r="AF125" s="176">
        <v>603</v>
      </c>
      <c r="AG125" s="167"/>
      <c r="AH125" s="180">
        <v>135.35</v>
      </c>
      <c r="AI125" s="166">
        <v>48.646577754425699</v>
      </c>
      <c r="AJ125" s="181" t="s">
        <v>53</v>
      </c>
      <c r="AK125" s="188">
        <v>0.77216790086390097</v>
      </c>
      <c r="AL125" s="171">
        <v>-66.579139796608004</v>
      </c>
      <c r="AM125" s="168"/>
      <c r="AN125" s="168"/>
      <c r="AO125" s="176">
        <v>40</v>
      </c>
      <c r="AP125" s="176">
        <v>75</v>
      </c>
      <c r="AQ125" s="167"/>
      <c r="AR125" s="180">
        <v>20.100000000000001</v>
      </c>
      <c r="AS125" s="166">
        <v>7.2242054884666302</v>
      </c>
      <c r="AT125" s="181" t="s">
        <v>54</v>
      </c>
      <c r="AU125" s="173">
        <v>0.451512843029164</v>
      </c>
      <c r="AV125" s="174">
        <v>-31.183591059455999</v>
      </c>
      <c r="AW125" s="168"/>
      <c r="AX125" s="168"/>
      <c r="AY125" s="176">
        <v>25</v>
      </c>
      <c r="AZ125" s="176">
        <v>34</v>
      </c>
      <c r="BA125" s="167"/>
      <c r="BB125" s="184">
        <v>103</v>
      </c>
      <c r="BC125" s="180">
        <v>37.019560463286702</v>
      </c>
      <c r="BD125" s="181" t="s">
        <v>55</v>
      </c>
      <c r="BE125" s="178">
        <v>1.1568612644777101</v>
      </c>
      <c r="BF125" s="179">
        <v>0.43281788108799901</v>
      </c>
      <c r="BG125" s="168">
        <v>0.02</v>
      </c>
      <c r="BH125" s="168">
        <v>1.6E-2</v>
      </c>
      <c r="BI125" s="176">
        <v>0</v>
      </c>
      <c r="BJ125" s="176">
        <v>4</v>
      </c>
      <c r="BK125" s="169"/>
      <c r="BL125" s="185">
        <v>0.8</v>
      </c>
      <c r="BM125" s="182">
        <v>0.84</v>
      </c>
      <c r="BN125" s="186">
        <v>1.5E-3</v>
      </c>
      <c r="BO125" s="187">
        <v>0.95</v>
      </c>
      <c r="BP125" s="178">
        <v>1</v>
      </c>
      <c r="BQ125" s="186">
        <v>2.5000000000000001E-3</v>
      </c>
    </row>
    <row r="126" spans="1:69" s="156" customFormat="1" ht="22.35" customHeight="1" x14ac:dyDescent="0.2">
      <c r="A126" s="165" t="s">
        <v>175</v>
      </c>
      <c r="B126" s="165" t="s">
        <v>176</v>
      </c>
      <c r="C126" s="165" t="s">
        <v>186</v>
      </c>
      <c r="D126" s="166">
        <v>6.3293904736666704</v>
      </c>
      <c r="E126" s="167"/>
      <c r="F126" s="168">
        <v>2.3E-2</v>
      </c>
      <c r="G126" s="168">
        <v>1.9E-2</v>
      </c>
      <c r="H126" s="169"/>
      <c r="I126" s="170">
        <v>3</v>
      </c>
      <c r="J126" s="170">
        <v>3</v>
      </c>
      <c r="K126" s="167"/>
      <c r="L126" s="171">
        <v>2434.8150999999998</v>
      </c>
      <c r="M126" s="171">
        <v>1138.9459999999999</v>
      </c>
      <c r="N126" s="171">
        <v>3573.7611000000002</v>
      </c>
      <c r="O126" s="166">
        <v>564.62958240111402</v>
      </c>
      <c r="P126" s="172">
        <v>213.245</v>
      </c>
      <c r="Q126" s="178">
        <v>2.6477975211663298</v>
      </c>
      <c r="R126" s="179">
        <v>2018.89417596628</v>
      </c>
      <c r="S126" s="168">
        <v>0.01</v>
      </c>
      <c r="T126" s="168">
        <v>0.01</v>
      </c>
      <c r="U126" s="175">
        <v>0</v>
      </c>
      <c r="V126" s="176">
        <v>0</v>
      </c>
      <c r="W126" s="167"/>
      <c r="X126" s="175">
        <v>3052.6689150000002</v>
      </c>
      <c r="Y126" s="166">
        <v>482.30061452213801</v>
      </c>
      <c r="Z126" s="177">
        <v>573</v>
      </c>
      <c r="AA126" s="188">
        <v>0.84171136914858302</v>
      </c>
      <c r="AB126" s="171">
        <v>-1125.33641910547</v>
      </c>
      <c r="AC126" s="168"/>
      <c r="AD126" s="168"/>
      <c r="AE126" s="176">
        <v>575</v>
      </c>
      <c r="AF126" s="176">
        <v>1300</v>
      </c>
      <c r="AG126" s="167"/>
      <c r="AH126" s="180">
        <v>257.2</v>
      </c>
      <c r="AI126" s="166">
        <v>40.635824424180598</v>
      </c>
      <c r="AJ126" s="181" t="s">
        <v>53</v>
      </c>
      <c r="AK126" s="173">
        <v>0.64501308609810504</v>
      </c>
      <c r="AL126" s="174">
        <v>-202.16184301683199</v>
      </c>
      <c r="AM126" s="168"/>
      <c r="AN126" s="168"/>
      <c r="AO126" s="176">
        <v>142</v>
      </c>
      <c r="AP126" s="176">
        <v>222</v>
      </c>
      <c r="AQ126" s="167"/>
      <c r="AR126" s="180">
        <v>85.9</v>
      </c>
      <c r="AS126" s="166">
        <v>13.571606990813001</v>
      </c>
      <c r="AT126" s="181" t="s">
        <v>54</v>
      </c>
      <c r="AU126" s="188">
        <v>0.84822543692581498</v>
      </c>
      <c r="AV126" s="171">
        <v>-30.763325210624</v>
      </c>
      <c r="AW126" s="168"/>
      <c r="AX126" s="168"/>
      <c r="AY126" s="176">
        <v>16</v>
      </c>
      <c r="AZ126" s="176">
        <v>36</v>
      </c>
      <c r="BA126" s="167"/>
      <c r="BB126" s="184">
        <v>220.6</v>
      </c>
      <c r="BC126" s="180">
        <v>34.853277091657198</v>
      </c>
      <c r="BD126" s="181" t="s">
        <v>55</v>
      </c>
      <c r="BE126" s="182">
        <v>1.0891649091142901</v>
      </c>
      <c r="BF126" s="183">
        <v>-12.726650421248101</v>
      </c>
      <c r="BG126" s="168">
        <v>1.2999999999999999E-2</v>
      </c>
      <c r="BH126" s="168">
        <v>8.9999999999999993E-3</v>
      </c>
      <c r="BI126" s="176">
        <v>0</v>
      </c>
      <c r="BJ126" s="176">
        <v>23</v>
      </c>
      <c r="BK126" s="169"/>
      <c r="BL126" s="185">
        <v>0.8</v>
      </c>
      <c r="BM126" s="188">
        <v>0.74</v>
      </c>
      <c r="BN126" s="186"/>
      <c r="BO126" s="187">
        <v>0.95</v>
      </c>
      <c r="BP126" s="178">
        <v>1</v>
      </c>
      <c r="BQ126" s="186">
        <v>2.5000000000000001E-3</v>
      </c>
    </row>
    <row r="127" spans="1:69" s="156" customFormat="1" ht="22.35" customHeight="1" x14ac:dyDescent="0.2">
      <c r="A127" s="165" t="s">
        <v>175</v>
      </c>
      <c r="B127" s="165" t="s">
        <v>187</v>
      </c>
      <c r="C127" s="165" t="s">
        <v>188</v>
      </c>
      <c r="D127" s="166">
        <v>2.9213564213333298</v>
      </c>
      <c r="E127" s="167"/>
      <c r="F127" s="168">
        <v>5.6000000000000001E-2</v>
      </c>
      <c r="G127" s="168">
        <v>4.9000000000000002E-2</v>
      </c>
      <c r="H127" s="169"/>
      <c r="I127" s="170">
        <v>6</v>
      </c>
      <c r="J127" s="170">
        <v>6</v>
      </c>
      <c r="K127" s="167"/>
      <c r="L127" s="171">
        <v>1450.0682099999999</v>
      </c>
      <c r="M127" s="171">
        <v>1188.96126</v>
      </c>
      <c r="N127" s="171">
        <v>2639.0294699999999</v>
      </c>
      <c r="O127" s="166">
        <v>903.35758099503801</v>
      </c>
      <c r="P127" s="172">
        <v>212.5</v>
      </c>
      <c r="Q127" s="178">
        <v>4.25109449880018</v>
      </c>
      <c r="R127" s="179">
        <v>1923.8814180576001</v>
      </c>
      <c r="S127" s="168">
        <v>0.01</v>
      </c>
      <c r="T127" s="168">
        <v>0.01</v>
      </c>
      <c r="U127" s="175">
        <v>0</v>
      </c>
      <c r="V127" s="176">
        <v>0</v>
      </c>
      <c r="W127" s="167"/>
      <c r="X127" s="175">
        <v>1966.57457</v>
      </c>
      <c r="Y127" s="166">
        <v>673.17173475957998</v>
      </c>
      <c r="Z127" s="177">
        <v>573</v>
      </c>
      <c r="AA127" s="178">
        <v>1.1748197814303301</v>
      </c>
      <c r="AB127" s="179">
        <v>38.1988817035542</v>
      </c>
      <c r="AC127" s="168">
        <v>0.02</v>
      </c>
      <c r="AD127" s="168">
        <v>1.7000000000000001E-2</v>
      </c>
      <c r="AE127" s="176">
        <v>0</v>
      </c>
      <c r="AF127" s="176">
        <v>43</v>
      </c>
      <c r="AG127" s="167"/>
      <c r="AH127" s="180">
        <v>187</v>
      </c>
      <c r="AI127" s="166">
        <v>64.011360830340394</v>
      </c>
      <c r="AJ127" s="181" t="s">
        <v>53</v>
      </c>
      <c r="AK127" s="182">
        <v>1.0160533465133399</v>
      </c>
      <c r="AL127" s="183">
        <v>-25.020363634687701</v>
      </c>
      <c r="AM127" s="168">
        <v>6.0000000000000001E-3</v>
      </c>
      <c r="AN127" s="168">
        <v>2E-3</v>
      </c>
      <c r="AO127" s="176">
        <v>0</v>
      </c>
      <c r="AP127" s="176">
        <v>34</v>
      </c>
      <c r="AQ127" s="167"/>
      <c r="AR127" s="180">
        <v>17.399999999999999</v>
      </c>
      <c r="AS127" s="166">
        <v>5.9561373179033303</v>
      </c>
      <c r="AT127" s="181" t="s">
        <v>54</v>
      </c>
      <c r="AU127" s="173">
        <v>0.37225858236895798</v>
      </c>
      <c r="AV127" s="174">
        <v>-36.446441558015898</v>
      </c>
      <c r="AW127" s="168"/>
      <c r="AX127" s="168"/>
      <c r="AY127" s="176">
        <v>30</v>
      </c>
      <c r="AZ127" s="176">
        <v>39</v>
      </c>
      <c r="BA127" s="167"/>
      <c r="BB127" s="184">
        <v>125.4</v>
      </c>
      <c r="BC127" s="180">
        <v>42.925265497993003</v>
      </c>
      <c r="BD127" s="181" t="s">
        <v>55</v>
      </c>
      <c r="BE127" s="178">
        <v>1.34141454681228</v>
      </c>
      <c r="BF127" s="179">
        <v>17.707116883968101</v>
      </c>
      <c r="BG127" s="168">
        <v>0.02</v>
      </c>
      <c r="BH127" s="168">
        <v>0.02</v>
      </c>
      <c r="BI127" s="176">
        <v>0</v>
      </c>
      <c r="BJ127" s="176">
        <v>0</v>
      </c>
      <c r="BK127" s="169"/>
      <c r="BL127" s="185">
        <v>0.8</v>
      </c>
      <c r="BM127" s="182">
        <v>0.85</v>
      </c>
      <c r="BN127" s="186">
        <v>1.8749999999999999E-3</v>
      </c>
      <c r="BO127" s="187">
        <v>0.95</v>
      </c>
      <c r="BP127" s="178">
        <v>1</v>
      </c>
      <c r="BQ127" s="186">
        <v>2.5000000000000001E-3</v>
      </c>
    </row>
    <row r="128" spans="1:69" s="156" customFormat="1" ht="22.35" customHeight="1" x14ac:dyDescent="0.2">
      <c r="A128" s="165" t="s">
        <v>175</v>
      </c>
      <c r="B128" s="165" t="s">
        <v>187</v>
      </c>
      <c r="C128" s="165" t="s">
        <v>189</v>
      </c>
      <c r="D128" s="166">
        <v>8.5281722426666704</v>
      </c>
      <c r="E128" s="167"/>
      <c r="F128" s="168">
        <v>0.04</v>
      </c>
      <c r="G128" s="168">
        <v>0.04</v>
      </c>
      <c r="H128" s="169"/>
      <c r="I128" s="170">
        <v>4</v>
      </c>
      <c r="J128" s="170">
        <v>4</v>
      </c>
      <c r="K128" s="167"/>
      <c r="L128" s="171">
        <v>9000.1027400000003</v>
      </c>
      <c r="M128" s="171">
        <v>2920.8792699999999</v>
      </c>
      <c r="N128" s="171">
        <v>11920.98201</v>
      </c>
      <c r="O128" s="166">
        <v>1397.8355116186599</v>
      </c>
      <c r="P128" s="172">
        <v>246.12100000000001</v>
      </c>
      <c r="Q128" s="178">
        <v>5.6794646195109699</v>
      </c>
      <c r="R128" s="179">
        <v>9502.9774628209598</v>
      </c>
      <c r="S128" s="168">
        <v>0.01</v>
      </c>
      <c r="T128" s="168">
        <v>0.01</v>
      </c>
      <c r="U128" s="175">
        <v>0</v>
      </c>
      <c r="V128" s="176">
        <v>0</v>
      </c>
      <c r="W128" s="167"/>
      <c r="X128" s="175">
        <v>4298.3748850000002</v>
      </c>
      <c r="Y128" s="166">
        <v>504.0206462406</v>
      </c>
      <c r="Z128" s="177">
        <v>573</v>
      </c>
      <c r="AA128" s="188">
        <v>0.87961718366596797</v>
      </c>
      <c r="AB128" s="171">
        <v>-1331.0374996953001</v>
      </c>
      <c r="AC128" s="168"/>
      <c r="AD128" s="168"/>
      <c r="AE128" s="176">
        <v>589</v>
      </c>
      <c r="AF128" s="176">
        <v>1566</v>
      </c>
      <c r="AG128" s="167"/>
      <c r="AH128" s="180">
        <v>394.55</v>
      </c>
      <c r="AI128" s="166">
        <v>46.264309487800503</v>
      </c>
      <c r="AJ128" s="181" t="s">
        <v>53</v>
      </c>
      <c r="AK128" s="173">
        <v>0.73435411885397595</v>
      </c>
      <c r="AL128" s="174">
        <v>-224.39062868377599</v>
      </c>
      <c r="AM128" s="168"/>
      <c r="AN128" s="168"/>
      <c r="AO128" s="176">
        <v>143</v>
      </c>
      <c r="AP128" s="176">
        <v>251</v>
      </c>
      <c r="AQ128" s="167"/>
      <c r="AR128" s="180">
        <v>197.6</v>
      </c>
      <c r="AS128" s="166">
        <v>23.1702637302987</v>
      </c>
      <c r="AT128" s="181" t="s">
        <v>54</v>
      </c>
      <c r="AU128" s="178">
        <v>1.4481414831436701</v>
      </c>
      <c r="AV128" s="179">
        <v>40.408729223167903</v>
      </c>
      <c r="AW128" s="168">
        <v>0.01</v>
      </c>
      <c r="AX128" s="168">
        <v>0.01</v>
      </c>
      <c r="AY128" s="176">
        <v>0</v>
      </c>
      <c r="AZ128" s="176">
        <v>0</v>
      </c>
      <c r="BA128" s="167"/>
      <c r="BB128" s="184">
        <v>424.2</v>
      </c>
      <c r="BC128" s="180">
        <v>49.741021631542097</v>
      </c>
      <c r="BD128" s="181" t="s">
        <v>55</v>
      </c>
      <c r="BE128" s="178">
        <v>1.5544069259856901</v>
      </c>
      <c r="BF128" s="179">
        <v>109.817458446336</v>
      </c>
      <c r="BG128" s="168">
        <v>0.02</v>
      </c>
      <c r="BH128" s="168">
        <v>0.02</v>
      </c>
      <c r="BI128" s="176">
        <v>0</v>
      </c>
      <c r="BJ128" s="176">
        <v>0</v>
      </c>
      <c r="BK128" s="169"/>
      <c r="BL128" s="185">
        <v>0.8</v>
      </c>
      <c r="BM128" s="188">
        <v>0.79</v>
      </c>
      <c r="BN128" s="186"/>
      <c r="BO128" s="187">
        <v>0.95</v>
      </c>
      <c r="BP128" s="178">
        <v>1</v>
      </c>
      <c r="BQ128" s="186">
        <v>2.5000000000000001E-3</v>
      </c>
    </row>
    <row r="129" spans="1:69" s="156" customFormat="1" ht="22.35" customHeight="1" x14ac:dyDescent="0.2">
      <c r="A129" s="165" t="s">
        <v>175</v>
      </c>
      <c r="B129" s="165" t="s">
        <v>187</v>
      </c>
      <c r="C129" s="165" t="s">
        <v>187</v>
      </c>
      <c r="D129" s="166">
        <v>4.1541729739999997</v>
      </c>
      <c r="E129" s="167"/>
      <c r="F129" s="168">
        <v>0.08</v>
      </c>
      <c r="G129" s="168">
        <v>7.2999999999999995E-2</v>
      </c>
      <c r="H129" s="169"/>
      <c r="I129" s="170">
        <v>7</v>
      </c>
      <c r="J129" s="170">
        <v>7</v>
      </c>
      <c r="K129" s="167"/>
      <c r="L129" s="171">
        <v>2166.03784</v>
      </c>
      <c r="M129" s="171">
        <v>2899.36951</v>
      </c>
      <c r="N129" s="171">
        <v>5065.4073500000004</v>
      </c>
      <c r="O129" s="166">
        <v>1219.3539801311099</v>
      </c>
      <c r="P129" s="172">
        <v>212.5</v>
      </c>
      <c r="Q129" s="178">
        <v>5.7381363770875797</v>
      </c>
      <c r="R129" s="179">
        <v>4048.4658059648</v>
      </c>
      <c r="S129" s="168">
        <v>0.01</v>
      </c>
      <c r="T129" s="168">
        <v>0.01</v>
      </c>
      <c r="U129" s="175">
        <v>0</v>
      </c>
      <c r="V129" s="176">
        <v>0</v>
      </c>
      <c r="W129" s="167"/>
      <c r="X129" s="175">
        <v>2797.5131000000001</v>
      </c>
      <c r="Y129" s="166">
        <v>673.42239177544604</v>
      </c>
      <c r="Z129" s="177">
        <v>573</v>
      </c>
      <c r="AA129" s="178">
        <v>1.1752572282294</v>
      </c>
      <c r="AB129" s="179">
        <v>55.360136554495497</v>
      </c>
      <c r="AC129" s="168">
        <v>0.02</v>
      </c>
      <c r="AD129" s="168">
        <v>1.7999999999999999E-2</v>
      </c>
      <c r="AE129" s="176">
        <v>0</v>
      </c>
      <c r="AF129" s="176">
        <v>59</v>
      </c>
      <c r="AG129" s="167"/>
      <c r="AH129" s="180">
        <v>301</v>
      </c>
      <c r="AI129" s="166">
        <v>72.4572621034051</v>
      </c>
      <c r="AJ129" s="181" t="s">
        <v>53</v>
      </c>
      <c r="AK129" s="178">
        <v>1.1501152714826199</v>
      </c>
      <c r="AL129" s="179">
        <v>-0.49325776102404001</v>
      </c>
      <c r="AM129" s="168">
        <v>0.02</v>
      </c>
      <c r="AN129" s="168">
        <v>1.4999999999999999E-2</v>
      </c>
      <c r="AO129" s="176">
        <v>0</v>
      </c>
      <c r="AP129" s="176">
        <v>14</v>
      </c>
      <c r="AQ129" s="167"/>
      <c r="AR129" s="180">
        <v>101.8</v>
      </c>
      <c r="AS129" s="166">
        <v>24.505479342613398</v>
      </c>
      <c r="AT129" s="181" t="s">
        <v>54</v>
      </c>
      <c r="AU129" s="178">
        <v>1.5315924589133401</v>
      </c>
      <c r="AV129" s="179">
        <v>25.230283743232</v>
      </c>
      <c r="AW129" s="168">
        <v>0.01</v>
      </c>
      <c r="AX129" s="168">
        <v>0.01</v>
      </c>
      <c r="AY129" s="176">
        <v>0</v>
      </c>
      <c r="AZ129" s="176">
        <v>0</v>
      </c>
      <c r="BA129" s="167"/>
      <c r="BB129" s="184">
        <v>234.8</v>
      </c>
      <c r="BC129" s="180">
        <v>56.521478876676198</v>
      </c>
      <c r="BD129" s="181" t="s">
        <v>55</v>
      </c>
      <c r="BE129" s="178">
        <v>1.7662962148961301</v>
      </c>
      <c r="BF129" s="179">
        <v>81.660567486464004</v>
      </c>
      <c r="BG129" s="168">
        <v>0.02</v>
      </c>
      <c r="BH129" s="168">
        <v>0.02</v>
      </c>
      <c r="BI129" s="176">
        <v>0</v>
      </c>
      <c r="BJ129" s="176">
        <v>0</v>
      </c>
      <c r="BK129" s="169"/>
      <c r="BL129" s="185">
        <v>0.8</v>
      </c>
      <c r="BM129" s="182">
        <v>0.82</v>
      </c>
      <c r="BN129" s="186">
        <v>7.5000000000000002E-4</v>
      </c>
      <c r="BO129" s="187">
        <v>0.95</v>
      </c>
      <c r="BP129" s="178">
        <v>1</v>
      </c>
      <c r="BQ129" s="186">
        <v>2.5000000000000001E-3</v>
      </c>
    </row>
    <row r="130" spans="1:69" s="156" customFormat="1" ht="22.35" customHeight="1" x14ac:dyDescent="0.2">
      <c r="A130" s="165" t="s">
        <v>175</v>
      </c>
      <c r="B130" s="165" t="s">
        <v>187</v>
      </c>
      <c r="C130" s="165" t="s">
        <v>190</v>
      </c>
      <c r="D130" s="166">
        <v>3.1974210582222198</v>
      </c>
      <c r="E130" s="167"/>
      <c r="F130" s="168">
        <v>0.03</v>
      </c>
      <c r="G130" s="168">
        <v>2.9000000000000001E-2</v>
      </c>
      <c r="H130" s="169"/>
      <c r="I130" s="170">
        <v>4</v>
      </c>
      <c r="J130" s="170">
        <v>4</v>
      </c>
      <c r="K130" s="167"/>
      <c r="L130" s="171">
        <v>1131.03747</v>
      </c>
      <c r="M130" s="171">
        <v>2484.0332699999999</v>
      </c>
      <c r="N130" s="171">
        <v>3615.0707400000001</v>
      </c>
      <c r="O130" s="166">
        <v>1130.62079537626</v>
      </c>
      <c r="P130" s="172">
        <v>212.5</v>
      </c>
      <c r="Q130" s="178">
        <v>5.3205684488294596</v>
      </c>
      <c r="R130" s="179">
        <v>2832.3420649472</v>
      </c>
      <c r="S130" s="168">
        <v>0.01</v>
      </c>
      <c r="T130" s="168">
        <v>0.01</v>
      </c>
      <c r="U130" s="175">
        <v>0</v>
      </c>
      <c r="V130" s="176">
        <v>0</v>
      </c>
      <c r="W130" s="167"/>
      <c r="X130" s="175">
        <v>1302.9017550000001</v>
      </c>
      <c r="Y130" s="166">
        <v>407.48519862580099</v>
      </c>
      <c r="Z130" s="177">
        <v>573</v>
      </c>
      <c r="AA130" s="173">
        <v>0.71114345309912796</v>
      </c>
      <c r="AB130" s="174">
        <v>-807.70309584825497</v>
      </c>
      <c r="AC130" s="168"/>
      <c r="AD130" s="168"/>
      <c r="AE130" s="176">
        <v>530</v>
      </c>
      <c r="AF130" s="176">
        <v>896</v>
      </c>
      <c r="AG130" s="167"/>
      <c r="AH130" s="180">
        <v>111.5</v>
      </c>
      <c r="AI130" s="166">
        <v>34.871853900278701</v>
      </c>
      <c r="AJ130" s="181" t="s">
        <v>53</v>
      </c>
      <c r="AK130" s="173">
        <v>0.55352149048061505</v>
      </c>
      <c r="AL130" s="174">
        <v>-120.556030721536</v>
      </c>
      <c r="AM130" s="168"/>
      <c r="AN130" s="168"/>
      <c r="AO130" s="176">
        <v>90</v>
      </c>
      <c r="AP130" s="176">
        <v>131</v>
      </c>
      <c r="AQ130" s="167"/>
      <c r="AR130" s="180">
        <v>27</v>
      </c>
      <c r="AS130" s="166">
        <v>8.4443054287670503</v>
      </c>
      <c r="AT130" s="181" t="s">
        <v>54</v>
      </c>
      <c r="AU130" s="173">
        <v>0.52776908929794097</v>
      </c>
      <c r="AV130" s="174">
        <v>-31.934864945151901</v>
      </c>
      <c r="AW130" s="168"/>
      <c r="AX130" s="168"/>
      <c r="AY130" s="176">
        <v>25</v>
      </c>
      <c r="AZ130" s="176">
        <v>35</v>
      </c>
      <c r="BA130" s="167"/>
      <c r="BB130" s="184">
        <v>122</v>
      </c>
      <c r="BC130" s="180">
        <v>38.1557504559104</v>
      </c>
      <c r="BD130" s="181" t="s">
        <v>55</v>
      </c>
      <c r="BE130" s="178">
        <v>1.1923672017472</v>
      </c>
      <c r="BF130" s="179">
        <v>4.1302701096960996</v>
      </c>
      <c r="BG130" s="168">
        <v>0.02</v>
      </c>
      <c r="BH130" s="168">
        <v>1.9E-2</v>
      </c>
      <c r="BI130" s="176">
        <v>0</v>
      </c>
      <c r="BJ130" s="176">
        <v>1</v>
      </c>
      <c r="BK130" s="169"/>
      <c r="BL130" s="185">
        <v>0.8</v>
      </c>
      <c r="BM130" s="182">
        <v>0.81</v>
      </c>
      <c r="BN130" s="186">
        <v>3.7500000000000001E-4</v>
      </c>
      <c r="BO130" s="187">
        <v>0.95</v>
      </c>
      <c r="BP130" s="178">
        <v>1</v>
      </c>
      <c r="BQ130" s="186">
        <v>2.5000000000000001E-3</v>
      </c>
    </row>
    <row r="131" spans="1:69" s="156" customFormat="1" ht="22.35" customHeight="1" x14ac:dyDescent="0.2">
      <c r="A131" s="165" t="s">
        <v>175</v>
      </c>
      <c r="B131" s="165" t="s">
        <v>187</v>
      </c>
      <c r="C131" s="165" t="s">
        <v>191</v>
      </c>
      <c r="D131" s="166">
        <v>3.6646238142222201</v>
      </c>
      <c r="E131" s="167"/>
      <c r="F131" s="168">
        <v>4.1000000000000002E-2</v>
      </c>
      <c r="G131" s="168">
        <v>3.2000000000000001E-2</v>
      </c>
      <c r="H131" s="169"/>
      <c r="I131" s="170">
        <v>5</v>
      </c>
      <c r="J131" s="170">
        <v>5</v>
      </c>
      <c r="K131" s="167"/>
      <c r="L131" s="171">
        <v>568.03377</v>
      </c>
      <c r="M131" s="171">
        <v>1302.6117099999999</v>
      </c>
      <c r="N131" s="171">
        <v>1870.6454799999999</v>
      </c>
      <c r="O131" s="166">
        <v>510.46043873319798</v>
      </c>
      <c r="P131" s="172">
        <v>212.5</v>
      </c>
      <c r="Q131" s="178">
        <v>2.40216677050917</v>
      </c>
      <c r="R131" s="179">
        <v>973.54557027840099</v>
      </c>
      <c r="S131" s="168">
        <v>0.01</v>
      </c>
      <c r="T131" s="168">
        <v>0.01</v>
      </c>
      <c r="U131" s="175">
        <v>0</v>
      </c>
      <c r="V131" s="176">
        <v>0</v>
      </c>
      <c r="W131" s="167"/>
      <c r="X131" s="175">
        <v>1977.59186</v>
      </c>
      <c r="Y131" s="166">
        <v>539.64389259412201</v>
      </c>
      <c r="Z131" s="177">
        <v>573</v>
      </c>
      <c r="AA131" s="188">
        <v>0.94178689807002103</v>
      </c>
      <c r="AB131" s="171">
        <v>-441.41166127282997</v>
      </c>
      <c r="AC131" s="168"/>
      <c r="AD131" s="168"/>
      <c r="AE131" s="176">
        <v>123</v>
      </c>
      <c r="AF131" s="176">
        <v>543</v>
      </c>
      <c r="AG131" s="167"/>
      <c r="AH131" s="180">
        <v>246.1</v>
      </c>
      <c r="AI131" s="166">
        <v>67.155596993311605</v>
      </c>
      <c r="AJ131" s="181" t="s">
        <v>53</v>
      </c>
      <c r="AK131" s="182">
        <v>1.06596185703669</v>
      </c>
      <c r="AL131" s="183">
        <v>-19.8637379409918</v>
      </c>
      <c r="AM131" s="168">
        <v>1.0999999999999999E-2</v>
      </c>
      <c r="AN131" s="168">
        <v>7.0000000000000001E-3</v>
      </c>
      <c r="AO131" s="176">
        <v>0</v>
      </c>
      <c r="AP131" s="176">
        <v>31</v>
      </c>
      <c r="AQ131" s="167"/>
      <c r="AR131" s="180">
        <v>43.9</v>
      </c>
      <c r="AS131" s="166">
        <v>11.979401495353001</v>
      </c>
      <c r="AT131" s="181" t="s">
        <v>54</v>
      </c>
      <c r="AU131" s="173">
        <v>0.74871259345956398</v>
      </c>
      <c r="AV131" s="174">
        <v>-23.646346143743902</v>
      </c>
      <c r="AW131" s="168"/>
      <c r="AX131" s="168"/>
      <c r="AY131" s="176">
        <v>15</v>
      </c>
      <c r="AZ131" s="176">
        <v>27</v>
      </c>
      <c r="BA131" s="167"/>
      <c r="BB131" s="184">
        <v>134.6</v>
      </c>
      <c r="BC131" s="180">
        <v>36.7295544709457</v>
      </c>
      <c r="BD131" s="181" t="s">
        <v>55</v>
      </c>
      <c r="BE131" s="178">
        <v>1.14779857721705</v>
      </c>
      <c r="BF131" s="179">
        <v>-0.49269228748789801</v>
      </c>
      <c r="BG131" s="168">
        <v>0.02</v>
      </c>
      <c r="BH131" s="168">
        <v>1.4999999999999999E-2</v>
      </c>
      <c r="BI131" s="176">
        <v>0</v>
      </c>
      <c r="BJ131" s="176">
        <v>7</v>
      </c>
      <c r="BK131" s="169"/>
      <c r="BL131" s="185">
        <v>0.8</v>
      </c>
      <c r="BM131" s="182">
        <v>0.84</v>
      </c>
      <c r="BN131" s="186">
        <v>1.5E-3</v>
      </c>
      <c r="BO131" s="187">
        <v>0.95</v>
      </c>
      <c r="BP131" s="178">
        <v>1</v>
      </c>
      <c r="BQ131" s="186">
        <v>2.5000000000000001E-3</v>
      </c>
    </row>
    <row r="132" spans="1:69" s="156" customFormat="1" ht="22.35" customHeight="1" x14ac:dyDescent="0.2">
      <c r="A132" s="165" t="s">
        <v>175</v>
      </c>
      <c r="B132" s="165" t="s">
        <v>187</v>
      </c>
      <c r="C132" s="165" t="s">
        <v>192</v>
      </c>
      <c r="D132" s="166">
        <v>2.8205915805555599</v>
      </c>
      <c r="E132" s="167"/>
      <c r="F132" s="168">
        <v>5.0999999999999997E-2</v>
      </c>
      <c r="G132" s="168">
        <v>0.05</v>
      </c>
      <c r="H132" s="169"/>
      <c r="I132" s="170">
        <v>5</v>
      </c>
      <c r="J132" s="170">
        <v>4</v>
      </c>
      <c r="K132" s="167"/>
      <c r="L132" s="171">
        <v>1173.58097</v>
      </c>
      <c r="M132" s="171">
        <v>574.31037000000003</v>
      </c>
      <c r="N132" s="171">
        <v>1747.8913399999999</v>
      </c>
      <c r="O132" s="166">
        <v>619.68962541387396</v>
      </c>
      <c r="P132" s="172">
        <v>212.5</v>
      </c>
      <c r="Q132" s="178">
        <v>2.9161864725358799</v>
      </c>
      <c r="R132" s="179">
        <v>1057.4105210800001</v>
      </c>
      <c r="S132" s="168">
        <v>0.01</v>
      </c>
      <c r="T132" s="168">
        <v>0.01</v>
      </c>
      <c r="U132" s="175">
        <v>0</v>
      </c>
      <c r="V132" s="176">
        <v>0</v>
      </c>
      <c r="W132" s="167"/>
      <c r="X132" s="175">
        <v>1468.9706650000001</v>
      </c>
      <c r="Y132" s="166">
        <v>520.80232924423103</v>
      </c>
      <c r="Z132" s="177">
        <v>573</v>
      </c>
      <c r="AA132" s="188">
        <v>0.90890458855886702</v>
      </c>
      <c r="AB132" s="171">
        <v>-392.89055495840302</v>
      </c>
      <c r="AC132" s="168"/>
      <c r="AD132" s="168"/>
      <c r="AE132" s="176">
        <v>148</v>
      </c>
      <c r="AF132" s="176">
        <v>471</v>
      </c>
      <c r="AG132" s="167"/>
      <c r="AH132" s="180">
        <v>225.65</v>
      </c>
      <c r="AI132" s="166">
        <v>80.000947870501307</v>
      </c>
      <c r="AJ132" s="181" t="s">
        <v>53</v>
      </c>
      <c r="AK132" s="178">
        <v>1.2698563154047799</v>
      </c>
      <c r="AL132" s="179">
        <v>20.942745449599698</v>
      </c>
      <c r="AM132" s="168">
        <v>0.02</v>
      </c>
      <c r="AN132" s="168">
        <v>0.02</v>
      </c>
      <c r="AO132" s="176">
        <v>0</v>
      </c>
      <c r="AP132" s="176">
        <v>0</v>
      </c>
      <c r="AQ132" s="167"/>
      <c r="AR132" s="180">
        <v>44.2</v>
      </c>
      <c r="AS132" s="166">
        <v>15.6704715084252</v>
      </c>
      <c r="AT132" s="181" t="s">
        <v>54</v>
      </c>
      <c r="AU132" s="182">
        <v>0.97940446927657798</v>
      </c>
      <c r="AV132" s="183">
        <v>-7.7891440128000697</v>
      </c>
      <c r="AW132" s="168">
        <v>1E-3</v>
      </c>
      <c r="AX132" s="168"/>
      <c r="AY132" s="176">
        <v>1</v>
      </c>
      <c r="AZ132" s="176">
        <v>10</v>
      </c>
      <c r="BA132" s="167"/>
      <c r="BB132" s="184">
        <v>139</v>
      </c>
      <c r="BC132" s="180">
        <v>49.280442074006999</v>
      </c>
      <c r="BD132" s="181" t="s">
        <v>55</v>
      </c>
      <c r="BE132" s="178">
        <v>1.54001381481272</v>
      </c>
      <c r="BF132" s="179">
        <v>35.0217119743998</v>
      </c>
      <c r="BG132" s="168">
        <v>0.02</v>
      </c>
      <c r="BH132" s="168">
        <v>0.02</v>
      </c>
      <c r="BI132" s="176">
        <v>0</v>
      </c>
      <c r="BJ132" s="176">
        <v>0</v>
      </c>
      <c r="BK132" s="169"/>
      <c r="BL132" s="185">
        <v>0.8</v>
      </c>
      <c r="BM132" s="188">
        <v>0.79</v>
      </c>
      <c r="BN132" s="186"/>
      <c r="BO132" s="187">
        <v>0.95</v>
      </c>
      <c r="BP132" s="178">
        <v>1</v>
      </c>
      <c r="BQ132" s="186">
        <v>2.5000000000000001E-3</v>
      </c>
    </row>
    <row r="133" spans="1:69" s="156" customFormat="1" ht="22.35" customHeight="1" x14ac:dyDescent="0.2">
      <c r="A133" s="165" t="s">
        <v>175</v>
      </c>
      <c r="B133" s="165" t="s">
        <v>187</v>
      </c>
      <c r="C133" s="165" t="s">
        <v>193</v>
      </c>
      <c r="D133" s="166">
        <v>1.9545245414444401</v>
      </c>
      <c r="E133" s="167"/>
      <c r="F133" s="168">
        <v>6.4000000000000001E-2</v>
      </c>
      <c r="G133" s="168">
        <v>0.06</v>
      </c>
      <c r="H133" s="169"/>
      <c r="I133" s="170">
        <v>6</v>
      </c>
      <c r="J133" s="170">
        <v>6</v>
      </c>
      <c r="K133" s="167"/>
      <c r="L133" s="171">
        <v>910.93538000000001</v>
      </c>
      <c r="M133" s="171">
        <v>741.81642999999997</v>
      </c>
      <c r="N133" s="171">
        <v>1652.75181</v>
      </c>
      <c r="O133" s="166">
        <v>845.60299702278201</v>
      </c>
      <c r="P133" s="172">
        <v>212.5</v>
      </c>
      <c r="Q133" s="178">
        <v>3.9793082212836799</v>
      </c>
      <c r="R133" s="179">
        <v>1174.2842022544</v>
      </c>
      <c r="S133" s="168">
        <v>0.01</v>
      </c>
      <c r="T133" s="168">
        <v>0.01</v>
      </c>
      <c r="U133" s="175">
        <v>0</v>
      </c>
      <c r="V133" s="176">
        <v>0</v>
      </c>
      <c r="W133" s="167"/>
      <c r="X133" s="175">
        <v>1824.6906799999999</v>
      </c>
      <c r="Y133" s="166">
        <v>933.57266246015297</v>
      </c>
      <c r="Z133" s="177">
        <v>573</v>
      </c>
      <c r="AA133" s="178">
        <v>1.6292716622341199</v>
      </c>
      <c r="AB133" s="179">
        <v>534.51684829069097</v>
      </c>
      <c r="AC133" s="168">
        <v>0.02</v>
      </c>
      <c r="AD133" s="168">
        <v>0.02</v>
      </c>
      <c r="AE133" s="176">
        <v>0</v>
      </c>
      <c r="AF133" s="176">
        <v>0</v>
      </c>
      <c r="AG133" s="167"/>
      <c r="AH133" s="180">
        <v>135.30000000000001</v>
      </c>
      <c r="AI133" s="166">
        <v>69.2239964917554</v>
      </c>
      <c r="AJ133" s="181" t="s">
        <v>53</v>
      </c>
      <c r="AK133" s="182">
        <v>1.0987935951072301</v>
      </c>
      <c r="AL133" s="183">
        <v>-6.5515731198716498</v>
      </c>
      <c r="AM133" s="168">
        <v>1.4E-2</v>
      </c>
      <c r="AN133" s="168">
        <v>0.01</v>
      </c>
      <c r="AO133" s="176">
        <v>0</v>
      </c>
      <c r="AP133" s="176">
        <v>13</v>
      </c>
      <c r="AQ133" s="167"/>
      <c r="AR133" s="180">
        <v>26.7</v>
      </c>
      <c r="AS133" s="166">
        <v>13.660611281078101</v>
      </c>
      <c r="AT133" s="181" t="s">
        <v>54</v>
      </c>
      <c r="AU133" s="188">
        <v>0.85378820506738196</v>
      </c>
      <c r="AV133" s="171">
        <v>-9.3257963479039105</v>
      </c>
      <c r="AW133" s="168"/>
      <c r="AX133" s="168"/>
      <c r="AY133" s="176">
        <v>5</v>
      </c>
      <c r="AZ133" s="176">
        <v>11</v>
      </c>
      <c r="BA133" s="167"/>
      <c r="BB133" s="184">
        <v>102.6</v>
      </c>
      <c r="BC133" s="180">
        <v>52.493584922794497</v>
      </c>
      <c r="BD133" s="181" t="s">
        <v>55</v>
      </c>
      <c r="BE133" s="178">
        <v>1.64042452883733</v>
      </c>
      <c r="BF133" s="179">
        <v>30.5484073041922</v>
      </c>
      <c r="BG133" s="168">
        <v>0.02</v>
      </c>
      <c r="BH133" s="168">
        <v>0.02</v>
      </c>
      <c r="BI133" s="176">
        <v>0</v>
      </c>
      <c r="BJ133" s="176">
        <v>0</v>
      </c>
      <c r="BK133" s="169"/>
      <c r="BL133" s="185">
        <v>0.8</v>
      </c>
      <c r="BM133" s="182">
        <v>0.89</v>
      </c>
      <c r="BN133" s="186">
        <v>3.375E-3</v>
      </c>
      <c r="BO133" s="187">
        <v>0.95</v>
      </c>
      <c r="BP133" s="178">
        <v>1</v>
      </c>
      <c r="BQ133" s="186">
        <v>2.5000000000000001E-3</v>
      </c>
    </row>
    <row r="134" spans="1:69" s="156" customFormat="1" ht="22.35" customHeight="1" x14ac:dyDescent="0.2">
      <c r="A134" s="165" t="s">
        <v>175</v>
      </c>
      <c r="B134" s="165" t="s">
        <v>187</v>
      </c>
      <c r="C134" s="165" t="s">
        <v>194</v>
      </c>
      <c r="D134" s="166">
        <v>5.99043692788889</v>
      </c>
      <c r="E134" s="167"/>
      <c r="F134" s="168">
        <v>3.5000000000000003E-2</v>
      </c>
      <c r="G134" s="168">
        <v>2.7E-2</v>
      </c>
      <c r="H134" s="169"/>
      <c r="I134" s="170">
        <v>5</v>
      </c>
      <c r="J134" s="170">
        <v>5</v>
      </c>
      <c r="K134" s="167"/>
      <c r="L134" s="171">
        <v>3021.2061600000002</v>
      </c>
      <c r="M134" s="171">
        <v>-266.29464999999999</v>
      </c>
      <c r="N134" s="171">
        <v>2754.9115099999999</v>
      </c>
      <c r="O134" s="166">
        <v>459.88490374956098</v>
      </c>
      <c r="P134" s="172">
        <v>212.5</v>
      </c>
      <c r="Q134" s="178">
        <v>2.1641642529391101</v>
      </c>
      <c r="R134" s="179">
        <v>1288.4525500528</v>
      </c>
      <c r="S134" s="168">
        <v>0.01</v>
      </c>
      <c r="T134" s="168">
        <v>0.01</v>
      </c>
      <c r="U134" s="175">
        <v>0</v>
      </c>
      <c r="V134" s="176">
        <v>0</v>
      </c>
      <c r="W134" s="167"/>
      <c r="X134" s="175">
        <v>2444.8002900000001</v>
      </c>
      <c r="Y134" s="166">
        <v>408.11719068738802</v>
      </c>
      <c r="Z134" s="177">
        <v>573</v>
      </c>
      <c r="AA134" s="173">
        <v>0.71224640608619205</v>
      </c>
      <c r="AB134" s="174">
        <v>-1509.46316435174</v>
      </c>
      <c r="AC134" s="168"/>
      <c r="AD134" s="168"/>
      <c r="AE134" s="176">
        <v>988</v>
      </c>
      <c r="AF134" s="176">
        <v>1675</v>
      </c>
      <c r="AG134" s="167"/>
      <c r="AH134" s="180">
        <v>379.4</v>
      </c>
      <c r="AI134" s="166">
        <v>63.334278378539899</v>
      </c>
      <c r="AJ134" s="181" t="s">
        <v>53</v>
      </c>
      <c r="AK134" s="182">
        <v>1.0053060060085699</v>
      </c>
      <c r="AL134" s="183">
        <v>-55.361950478464003</v>
      </c>
      <c r="AM134" s="168">
        <v>5.0000000000000001E-3</v>
      </c>
      <c r="AN134" s="168">
        <v>1E-3</v>
      </c>
      <c r="AO134" s="176">
        <v>0</v>
      </c>
      <c r="AP134" s="176">
        <v>74</v>
      </c>
      <c r="AQ134" s="167"/>
      <c r="AR134" s="180">
        <v>65.900000000000006</v>
      </c>
      <c r="AS134" s="166">
        <v>11.000867014090099</v>
      </c>
      <c r="AT134" s="181" t="s">
        <v>54</v>
      </c>
      <c r="AU134" s="173">
        <v>0.68755418838062998</v>
      </c>
      <c r="AV134" s="174">
        <v>-44.515733454847997</v>
      </c>
      <c r="AW134" s="168"/>
      <c r="AX134" s="168"/>
      <c r="AY134" s="176">
        <v>30</v>
      </c>
      <c r="AZ134" s="176">
        <v>50</v>
      </c>
      <c r="BA134" s="167"/>
      <c r="BB134" s="184">
        <v>222.2</v>
      </c>
      <c r="BC134" s="180">
        <v>37.092452967083702</v>
      </c>
      <c r="BD134" s="181" t="s">
        <v>55</v>
      </c>
      <c r="BE134" s="178">
        <v>1.1591391552213699</v>
      </c>
      <c r="BF134" s="179">
        <v>1.3685330903040001</v>
      </c>
      <c r="BG134" s="168">
        <v>0.02</v>
      </c>
      <c r="BH134" s="168">
        <v>1.6E-2</v>
      </c>
      <c r="BI134" s="176">
        <v>0</v>
      </c>
      <c r="BJ134" s="176">
        <v>8</v>
      </c>
      <c r="BK134" s="169"/>
      <c r="BL134" s="185">
        <v>0.8</v>
      </c>
      <c r="BM134" s="182">
        <v>0.84</v>
      </c>
      <c r="BN134" s="186">
        <v>1.5E-3</v>
      </c>
      <c r="BO134" s="187">
        <v>0.95</v>
      </c>
      <c r="BP134" s="178">
        <v>1</v>
      </c>
      <c r="BQ134" s="186">
        <v>2.5000000000000001E-3</v>
      </c>
    </row>
    <row r="135" spans="1:69" s="156" customFormat="1" ht="22.35" customHeight="1" x14ac:dyDescent="0.2">
      <c r="A135" s="165" t="s">
        <v>175</v>
      </c>
      <c r="B135" s="165" t="s">
        <v>187</v>
      </c>
      <c r="C135" s="165" t="s">
        <v>195</v>
      </c>
      <c r="D135" s="166">
        <v>3.8731675344444398</v>
      </c>
      <c r="E135" s="167"/>
      <c r="F135" s="168">
        <v>6.5500000000000003E-2</v>
      </c>
      <c r="G135" s="168">
        <v>0.06</v>
      </c>
      <c r="H135" s="169"/>
      <c r="I135" s="170">
        <v>7</v>
      </c>
      <c r="J135" s="170">
        <v>6</v>
      </c>
      <c r="K135" s="167"/>
      <c r="L135" s="171">
        <v>884.96117000000004</v>
      </c>
      <c r="M135" s="171">
        <v>269.30408999999997</v>
      </c>
      <c r="N135" s="171">
        <v>1154.2652599999999</v>
      </c>
      <c r="O135" s="166">
        <v>298.01583580751702</v>
      </c>
      <c r="P135" s="172">
        <v>212.5</v>
      </c>
      <c r="Q135" s="178">
        <v>1.40242746262361</v>
      </c>
      <c r="R135" s="179">
        <v>206.11384756800101</v>
      </c>
      <c r="S135" s="168">
        <v>0.01</v>
      </c>
      <c r="T135" s="168">
        <v>0.01</v>
      </c>
      <c r="U135" s="175">
        <v>0</v>
      </c>
      <c r="V135" s="176">
        <v>0</v>
      </c>
      <c r="W135" s="167"/>
      <c r="X135" s="175">
        <v>2634.9689349999999</v>
      </c>
      <c r="Y135" s="166">
        <v>680.31369972173195</v>
      </c>
      <c r="Z135" s="177">
        <v>573</v>
      </c>
      <c r="AA135" s="178">
        <v>1.1872839436679401</v>
      </c>
      <c r="AB135" s="179">
        <v>78.306538183363003</v>
      </c>
      <c r="AC135" s="168">
        <v>0.02</v>
      </c>
      <c r="AD135" s="168">
        <v>1.9E-2</v>
      </c>
      <c r="AE135" s="176">
        <v>0</v>
      </c>
      <c r="AF135" s="176">
        <v>29</v>
      </c>
      <c r="AG135" s="167"/>
      <c r="AH135" s="180">
        <v>270.2</v>
      </c>
      <c r="AI135" s="166">
        <v>69.762022323353094</v>
      </c>
      <c r="AJ135" s="181" t="s">
        <v>53</v>
      </c>
      <c r="AK135" s="182">
        <v>1.1073336876722699</v>
      </c>
      <c r="AL135" s="183">
        <v>-10.899006979839699</v>
      </c>
      <c r="AM135" s="168">
        <v>1.4999999999999999E-2</v>
      </c>
      <c r="AN135" s="168">
        <v>1.0999999999999999E-2</v>
      </c>
      <c r="AO135" s="176">
        <v>0</v>
      </c>
      <c r="AP135" s="176">
        <v>23</v>
      </c>
      <c r="AQ135" s="167"/>
      <c r="AR135" s="180">
        <v>59.8</v>
      </c>
      <c r="AS135" s="166">
        <v>15.4395593446947</v>
      </c>
      <c r="AT135" s="181" t="s">
        <v>54</v>
      </c>
      <c r="AU135" s="182">
        <v>0.96497245904342099</v>
      </c>
      <c r="AV135" s="183">
        <v>-11.590223994879899</v>
      </c>
      <c r="AW135" s="168">
        <v>5.0000000000000001E-4</v>
      </c>
      <c r="AX135" s="168"/>
      <c r="AY135" s="176">
        <v>3</v>
      </c>
      <c r="AZ135" s="176">
        <v>15</v>
      </c>
      <c r="BA135" s="167"/>
      <c r="BB135" s="184">
        <v>213.8</v>
      </c>
      <c r="BC135" s="180">
        <v>55.2002974564504</v>
      </c>
      <c r="BD135" s="181" t="s">
        <v>55</v>
      </c>
      <c r="BE135" s="178">
        <v>1.7250092955140801</v>
      </c>
      <c r="BF135" s="179">
        <v>71.019552010240204</v>
      </c>
      <c r="BG135" s="168">
        <v>0.02</v>
      </c>
      <c r="BH135" s="168">
        <v>0.02</v>
      </c>
      <c r="BI135" s="176">
        <v>0</v>
      </c>
      <c r="BJ135" s="176">
        <v>0</v>
      </c>
      <c r="BK135" s="169"/>
      <c r="BL135" s="185">
        <v>0.8</v>
      </c>
      <c r="BM135" s="182">
        <v>0.87</v>
      </c>
      <c r="BN135" s="186">
        <v>2.6250000000000002E-3</v>
      </c>
      <c r="BO135" s="187">
        <v>0.95</v>
      </c>
      <c r="BP135" s="178">
        <v>1</v>
      </c>
      <c r="BQ135" s="186">
        <v>2.5000000000000001E-3</v>
      </c>
    </row>
    <row r="136" spans="1:69" s="156" customFormat="1" ht="22.35" customHeight="1" x14ac:dyDescent="0.2">
      <c r="A136" s="165" t="s">
        <v>175</v>
      </c>
      <c r="B136" s="165" t="s">
        <v>187</v>
      </c>
      <c r="C136" s="165" t="s">
        <v>196</v>
      </c>
      <c r="D136" s="166">
        <v>2.7806430641111102</v>
      </c>
      <c r="E136" s="167"/>
      <c r="F136" s="168">
        <v>0.03</v>
      </c>
      <c r="G136" s="168">
        <v>2.5000000000000001E-2</v>
      </c>
      <c r="H136" s="169"/>
      <c r="I136" s="170">
        <v>4</v>
      </c>
      <c r="J136" s="170">
        <v>4</v>
      </c>
      <c r="K136" s="167"/>
      <c r="L136" s="171">
        <v>965.81035999999995</v>
      </c>
      <c r="M136" s="171">
        <v>-738.34903999999995</v>
      </c>
      <c r="N136" s="171">
        <v>227.46132</v>
      </c>
      <c r="O136" s="166">
        <v>81.801696498113003</v>
      </c>
      <c r="P136" s="172">
        <v>212.5</v>
      </c>
      <c r="Q136" s="173">
        <v>0.38494915999112</v>
      </c>
      <c r="R136" s="174">
        <v>-453.24010209440002</v>
      </c>
      <c r="S136" s="168"/>
      <c r="T136" s="168"/>
      <c r="U136" s="175">
        <v>364</v>
      </c>
      <c r="V136" s="176">
        <v>482</v>
      </c>
      <c r="W136" s="167"/>
      <c r="X136" s="175">
        <v>1676.7504200000001</v>
      </c>
      <c r="Y136" s="166">
        <v>603.00814643968204</v>
      </c>
      <c r="Z136" s="177">
        <v>573</v>
      </c>
      <c r="AA136" s="182">
        <v>1.05237023811463</v>
      </c>
      <c r="AB136" s="183">
        <v>-158.740944047488</v>
      </c>
      <c r="AC136" s="168">
        <v>0.01</v>
      </c>
      <c r="AD136" s="168">
        <v>5.0000000000000001E-3</v>
      </c>
      <c r="AE136" s="176">
        <v>0</v>
      </c>
      <c r="AF136" s="176">
        <v>236</v>
      </c>
      <c r="AG136" s="167"/>
      <c r="AH136" s="180">
        <v>149.85</v>
      </c>
      <c r="AI136" s="166">
        <v>53.890411874169303</v>
      </c>
      <c r="AJ136" s="181" t="s">
        <v>53</v>
      </c>
      <c r="AK136" s="188">
        <v>0.855403363082053</v>
      </c>
      <c r="AL136" s="171">
        <v>-51.957951020927901</v>
      </c>
      <c r="AM136" s="168"/>
      <c r="AN136" s="168"/>
      <c r="AO136" s="176">
        <v>26</v>
      </c>
      <c r="AP136" s="176">
        <v>61</v>
      </c>
      <c r="AQ136" s="167"/>
      <c r="AR136" s="180">
        <v>12</v>
      </c>
      <c r="AS136" s="166">
        <v>4.3155484984319799</v>
      </c>
      <c r="AT136" s="181" t="s">
        <v>54</v>
      </c>
      <c r="AU136" s="173">
        <v>0.26972178115199902</v>
      </c>
      <c r="AV136" s="174">
        <v>-39.252812957696001</v>
      </c>
      <c r="AW136" s="168"/>
      <c r="AX136" s="168"/>
      <c r="AY136" s="176">
        <v>33</v>
      </c>
      <c r="AZ136" s="176">
        <v>42</v>
      </c>
      <c r="BA136" s="167"/>
      <c r="BB136" s="184">
        <v>108.6</v>
      </c>
      <c r="BC136" s="180">
        <v>39.055713910809402</v>
      </c>
      <c r="BD136" s="181" t="s">
        <v>55</v>
      </c>
      <c r="BE136" s="178">
        <v>1.22049105971279</v>
      </c>
      <c r="BF136" s="179">
        <v>6.0943740846080496</v>
      </c>
      <c r="BG136" s="168">
        <v>0.02</v>
      </c>
      <c r="BH136" s="168">
        <v>0.02</v>
      </c>
      <c r="BI136" s="176">
        <v>0</v>
      </c>
      <c r="BJ136" s="176">
        <v>0</v>
      </c>
      <c r="BK136" s="169"/>
      <c r="BL136" s="185">
        <v>0.8</v>
      </c>
      <c r="BM136" s="182">
        <v>0.81</v>
      </c>
      <c r="BN136" s="186">
        <v>3.7500000000000001E-4</v>
      </c>
      <c r="BO136" s="187">
        <v>0.95</v>
      </c>
      <c r="BP136" s="178">
        <v>1</v>
      </c>
      <c r="BQ136" s="186">
        <v>2.5000000000000001E-3</v>
      </c>
    </row>
    <row r="137" spans="1:69" s="156" customFormat="1" ht="22.35" customHeight="1" x14ac:dyDescent="0.2">
      <c r="A137" s="165" t="s">
        <v>175</v>
      </c>
      <c r="B137" s="165" t="s">
        <v>187</v>
      </c>
      <c r="C137" s="165" t="s">
        <v>197</v>
      </c>
      <c r="D137" s="166">
        <v>8.6991771745555599</v>
      </c>
      <c r="E137" s="167"/>
      <c r="F137" s="168">
        <v>2.3E-2</v>
      </c>
      <c r="G137" s="168">
        <v>1.7999999999999999E-2</v>
      </c>
      <c r="H137" s="169"/>
      <c r="I137" s="170">
        <v>4</v>
      </c>
      <c r="J137" s="170">
        <v>4</v>
      </c>
      <c r="K137" s="167"/>
      <c r="L137" s="171">
        <v>5962.80278</v>
      </c>
      <c r="M137" s="171">
        <v>3374.2660999999998</v>
      </c>
      <c r="N137" s="171">
        <v>9337.0688800000007</v>
      </c>
      <c r="O137" s="166">
        <v>1073.3278208553099</v>
      </c>
      <c r="P137" s="172">
        <v>226.98400000000001</v>
      </c>
      <c r="Q137" s="178">
        <v>4.7286496883274101</v>
      </c>
      <c r="R137" s="179">
        <v>7062.3595953787099</v>
      </c>
      <c r="S137" s="168">
        <v>0.01</v>
      </c>
      <c r="T137" s="168">
        <v>0.01</v>
      </c>
      <c r="U137" s="175">
        <v>0</v>
      </c>
      <c r="V137" s="176">
        <v>0</v>
      </c>
      <c r="W137" s="167"/>
      <c r="X137" s="175">
        <v>4610.4986049999998</v>
      </c>
      <c r="Y137" s="166">
        <v>529.99249382865401</v>
      </c>
      <c r="Z137" s="177">
        <v>573</v>
      </c>
      <c r="AA137" s="188">
        <v>0.92494327020707401</v>
      </c>
      <c r="AB137" s="171">
        <v>-1131.79345121543</v>
      </c>
      <c r="AC137" s="168"/>
      <c r="AD137" s="168"/>
      <c r="AE137" s="176">
        <v>375</v>
      </c>
      <c r="AF137" s="176">
        <v>1372</v>
      </c>
      <c r="AG137" s="167"/>
      <c r="AH137" s="180">
        <v>402</v>
      </c>
      <c r="AI137" s="166">
        <v>46.211267104183101</v>
      </c>
      <c r="AJ137" s="181" t="s">
        <v>53</v>
      </c>
      <c r="AK137" s="173">
        <v>0.73351217625687504</v>
      </c>
      <c r="AL137" s="174">
        <v>-229.351482620544</v>
      </c>
      <c r="AM137" s="168"/>
      <c r="AN137" s="168"/>
      <c r="AO137" s="176">
        <v>147</v>
      </c>
      <c r="AP137" s="176">
        <v>256</v>
      </c>
      <c r="AQ137" s="167"/>
      <c r="AR137" s="180">
        <v>82.4</v>
      </c>
      <c r="AS137" s="166">
        <v>9.4721602223499808</v>
      </c>
      <c r="AT137" s="181" t="s">
        <v>54</v>
      </c>
      <c r="AU137" s="173">
        <v>0.59201001389687402</v>
      </c>
      <c r="AV137" s="174">
        <v>-77.943233681408103</v>
      </c>
      <c r="AW137" s="168"/>
      <c r="AX137" s="168"/>
      <c r="AY137" s="176">
        <v>57</v>
      </c>
      <c r="AZ137" s="176">
        <v>85</v>
      </c>
      <c r="BA137" s="167"/>
      <c r="BB137" s="184">
        <v>300.8</v>
      </c>
      <c r="BC137" s="180">
        <v>34.577982947607701</v>
      </c>
      <c r="BD137" s="181" t="s">
        <v>55</v>
      </c>
      <c r="BE137" s="182">
        <v>1.08056196711274</v>
      </c>
      <c r="BF137" s="183">
        <v>-19.886467362816099</v>
      </c>
      <c r="BG137" s="168">
        <v>1.2999999999999999E-2</v>
      </c>
      <c r="BH137" s="168">
        <v>8.0000000000000002E-3</v>
      </c>
      <c r="BI137" s="176">
        <v>0</v>
      </c>
      <c r="BJ137" s="176">
        <v>34</v>
      </c>
      <c r="BK137" s="169"/>
      <c r="BL137" s="185">
        <v>0.8</v>
      </c>
      <c r="BM137" s="182">
        <v>0.84</v>
      </c>
      <c r="BN137" s="186">
        <v>1.5E-3</v>
      </c>
      <c r="BO137" s="187">
        <v>0.95</v>
      </c>
      <c r="BP137" s="178">
        <v>1</v>
      </c>
      <c r="BQ137" s="186">
        <v>2.5000000000000001E-3</v>
      </c>
    </row>
    <row r="138" spans="1:69" s="156" customFormat="1" ht="22.35" customHeight="1" x14ac:dyDescent="0.2">
      <c r="A138" s="165" t="s">
        <v>175</v>
      </c>
      <c r="B138" s="165" t="s">
        <v>187</v>
      </c>
      <c r="C138" s="165" t="s">
        <v>198</v>
      </c>
      <c r="D138" s="166">
        <v>2.92608844211111</v>
      </c>
      <c r="E138" s="167"/>
      <c r="F138" s="168">
        <v>0.08</v>
      </c>
      <c r="G138" s="168">
        <v>7.9500000000000001E-2</v>
      </c>
      <c r="H138" s="169"/>
      <c r="I138" s="170">
        <v>6</v>
      </c>
      <c r="J138" s="170">
        <v>6</v>
      </c>
      <c r="K138" s="167"/>
      <c r="L138" s="171">
        <v>5235.9536200000002</v>
      </c>
      <c r="M138" s="171">
        <v>810.75037999999995</v>
      </c>
      <c r="N138" s="171">
        <v>6046.7039999999997</v>
      </c>
      <c r="O138" s="166">
        <v>2066.4802584153699</v>
      </c>
      <c r="P138" s="172">
        <v>212.5</v>
      </c>
      <c r="Q138" s="178">
        <v>9.7246129807782093</v>
      </c>
      <c r="R138" s="179">
        <v>5330.3975493711996</v>
      </c>
      <c r="S138" s="168">
        <v>0.01</v>
      </c>
      <c r="T138" s="168">
        <v>0.01</v>
      </c>
      <c r="U138" s="175">
        <v>0</v>
      </c>
      <c r="V138" s="176">
        <v>0</v>
      </c>
      <c r="W138" s="167"/>
      <c r="X138" s="175">
        <v>2016.0512699999999</v>
      </c>
      <c r="Y138" s="166">
        <v>688.99191185945904</v>
      </c>
      <c r="Z138" s="177">
        <v>573</v>
      </c>
      <c r="AA138" s="178">
        <v>1.20242916554879</v>
      </c>
      <c r="AB138" s="179">
        <v>84.551993716224601</v>
      </c>
      <c r="AC138" s="168">
        <v>0.02</v>
      </c>
      <c r="AD138" s="168">
        <v>0.02</v>
      </c>
      <c r="AE138" s="176">
        <v>0</v>
      </c>
      <c r="AF138" s="176">
        <v>0</v>
      </c>
      <c r="AG138" s="167"/>
      <c r="AH138" s="180">
        <v>261.8</v>
      </c>
      <c r="AI138" s="166">
        <v>89.470979835153898</v>
      </c>
      <c r="AJ138" s="181" t="s">
        <v>53</v>
      </c>
      <c r="AK138" s="178">
        <v>1.42017428309768</v>
      </c>
      <c r="AL138" s="179">
        <v>49.436205225344096</v>
      </c>
      <c r="AM138" s="168">
        <v>0.02</v>
      </c>
      <c r="AN138" s="168">
        <v>0.02</v>
      </c>
      <c r="AO138" s="176">
        <v>0</v>
      </c>
      <c r="AP138" s="176">
        <v>0</v>
      </c>
      <c r="AQ138" s="167"/>
      <c r="AR138" s="180">
        <v>55.9</v>
      </c>
      <c r="AS138" s="166">
        <v>19.104002187872801</v>
      </c>
      <c r="AT138" s="181" t="s">
        <v>54</v>
      </c>
      <c r="AU138" s="178">
        <v>1.1940001367420501</v>
      </c>
      <c r="AV138" s="179">
        <v>1.9663378350080301</v>
      </c>
      <c r="AW138" s="168">
        <v>0.01</v>
      </c>
      <c r="AX138" s="168">
        <v>9.4999999999999998E-3</v>
      </c>
      <c r="AY138" s="176">
        <v>0</v>
      </c>
      <c r="AZ138" s="176">
        <v>1</v>
      </c>
      <c r="BA138" s="167"/>
      <c r="BB138" s="184">
        <v>151.80000000000001</v>
      </c>
      <c r="BC138" s="180">
        <v>51.878131164921101</v>
      </c>
      <c r="BD138" s="181" t="s">
        <v>55</v>
      </c>
      <c r="BE138" s="178">
        <v>1.6211915989037899</v>
      </c>
      <c r="BF138" s="179">
        <v>43.932675670016103</v>
      </c>
      <c r="BG138" s="168">
        <v>0.02</v>
      </c>
      <c r="BH138" s="168">
        <v>0.02</v>
      </c>
      <c r="BI138" s="176">
        <v>0</v>
      </c>
      <c r="BJ138" s="176">
        <v>0</v>
      </c>
      <c r="BK138" s="169"/>
      <c r="BL138" s="185">
        <v>0.8</v>
      </c>
      <c r="BM138" s="188">
        <v>0.79</v>
      </c>
      <c r="BN138" s="186"/>
      <c r="BO138" s="187">
        <v>0.95</v>
      </c>
      <c r="BP138" s="178">
        <v>1</v>
      </c>
      <c r="BQ138" s="186">
        <v>2.5000000000000001E-3</v>
      </c>
    </row>
    <row r="139" spans="1:69" s="156" customFormat="1" ht="22.35" customHeight="1" x14ac:dyDescent="0.2">
      <c r="A139" s="165" t="s">
        <v>175</v>
      </c>
      <c r="B139" s="165" t="s">
        <v>187</v>
      </c>
      <c r="C139" s="165" t="s">
        <v>199</v>
      </c>
      <c r="D139" s="166">
        <v>2.8460876042222201</v>
      </c>
      <c r="E139" s="167"/>
      <c r="F139" s="168">
        <v>7.8E-2</v>
      </c>
      <c r="G139" s="168">
        <v>7.5499999999999998E-2</v>
      </c>
      <c r="H139" s="169"/>
      <c r="I139" s="170">
        <v>6</v>
      </c>
      <c r="J139" s="170">
        <v>6</v>
      </c>
      <c r="K139" s="167"/>
      <c r="L139" s="171">
        <v>1658.2786699999999</v>
      </c>
      <c r="M139" s="171">
        <v>246.15030999999999</v>
      </c>
      <c r="N139" s="171">
        <v>1904.4289799999999</v>
      </c>
      <c r="O139" s="166">
        <v>669.13926935163397</v>
      </c>
      <c r="P139" s="172">
        <v>212.5</v>
      </c>
      <c r="Q139" s="178">
        <v>3.1488906793018101</v>
      </c>
      <c r="R139" s="179">
        <v>1207.7067344863999</v>
      </c>
      <c r="S139" s="168">
        <v>0.01</v>
      </c>
      <c r="T139" s="168">
        <v>0.01</v>
      </c>
      <c r="U139" s="175">
        <v>0</v>
      </c>
      <c r="V139" s="176">
        <v>0</v>
      </c>
      <c r="W139" s="167"/>
      <c r="X139" s="175">
        <v>2491.0676600000002</v>
      </c>
      <c r="Y139" s="166">
        <v>875.260359626477</v>
      </c>
      <c r="Z139" s="177">
        <v>573</v>
      </c>
      <c r="AA139" s="178">
        <v>1.5275049906221201</v>
      </c>
      <c r="AB139" s="179">
        <v>612.37661680332997</v>
      </c>
      <c r="AC139" s="168">
        <v>0.02</v>
      </c>
      <c r="AD139" s="168">
        <v>0.02</v>
      </c>
      <c r="AE139" s="176">
        <v>0</v>
      </c>
      <c r="AF139" s="176">
        <v>0</v>
      </c>
      <c r="AG139" s="167"/>
      <c r="AH139" s="180">
        <v>280.7</v>
      </c>
      <c r="AI139" s="166">
        <v>98.626619779228307</v>
      </c>
      <c r="AJ139" s="181" t="s">
        <v>53</v>
      </c>
      <c r="AK139" s="178">
        <v>1.5655019012575899</v>
      </c>
      <c r="AL139" s="179">
        <v>74.142346035968203</v>
      </c>
      <c r="AM139" s="168">
        <v>0.02</v>
      </c>
      <c r="AN139" s="168">
        <v>0.02</v>
      </c>
      <c r="AO139" s="176">
        <v>0</v>
      </c>
      <c r="AP139" s="176">
        <v>0</v>
      </c>
      <c r="AQ139" s="167"/>
      <c r="AR139" s="180">
        <v>50.6</v>
      </c>
      <c r="AS139" s="166">
        <v>17.778792165404202</v>
      </c>
      <c r="AT139" s="181" t="s">
        <v>54</v>
      </c>
      <c r="AU139" s="182">
        <v>1.1111745103377599</v>
      </c>
      <c r="AV139" s="183">
        <v>-1.8590867210239499</v>
      </c>
      <c r="AW139" s="168">
        <v>8.0000000000000002E-3</v>
      </c>
      <c r="AX139" s="168">
        <v>5.4999999999999997E-3</v>
      </c>
      <c r="AY139" s="176">
        <v>0</v>
      </c>
      <c r="AZ139" s="176">
        <v>5</v>
      </c>
      <c r="BA139" s="167"/>
      <c r="BB139" s="184">
        <v>164.4</v>
      </c>
      <c r="BC139" s="180">
        <v>57.763506561115598</v>
      </c>
      <c r="BD139" s="181" t="s">
        <v>55</v>
      </c>
      <c r="BE139" s="178">
        <v>1.80510958003486</v>
      </c>
      <c r="BF139" s="179">
        <v>59.481826557952097</v>
      </c>
      <c r="BG139" s="168">
        <v>0.02</v>
      </c>
      <c r="BH139" s="168">
        <v>0.02</v>
      </c>
      <c r="BI139" s="176">
        <v>0</v>
      </c>
      <c r="BJ139" s="176">
        <v>0</v>
      </c>
      <c r="BK139" s="169"/>
      <c r="BL139" s="185">
        <v>0.8</v>
      </c>
      <c r="BM139" s="188">
        <v>0.76</v>
      </c>
      <c r="BN139" s="186"/>
      <c r="BO139" s="187">
        <v>0.95</v>
      </c>
      <c r="BP139" s="178">
        <v>1</v>
      </c>
      <c r="BQ139" s="186">
        <v>2.5000000000000001E-3</v>
      </c>
    </row>
    <row r="140" spans="1:69" s="156" customFormat="1" ht="22.35" customHeight="1" x14ac:dyDescent="0.2">
      <c r="A140" s="165" t="s">
        <v>175</v>
      </c>
      <c r="B140" s="165" t="s">
        <v>187</v>
      </c>
      <c r="C140" s="165" t="s">
        <v>200</v>
      </c>
      <c r="D140" s="166">
        <v>0.62457229755555599</v>
      </c>
      <c r="E140" s="167"/>
      <c r="F140" s="168">
        <v>6.3E-2</v>
      </c>
      <c r="G140" s="168">
        <v>5.8999999999999997E-2</v>
      </c>
      <c r="H140" s="169"/>
      <c r="I140" s="170">
        <v>5</v>
      </c>
      <c r="J140" s="170">
        <v>5</v>
      </c>
      <c r="K140" s="167"/>
      <c r="L140" s="171"/>
      <c r="M140" s="171">
        <v>368.28228000000001</v>
      </c>
      <c r="N140" s="171">
        <v>368.28228000000001</v>
      </c>
      <c r="O140" s="166">
        <v>589.65516312743796</v>
      </c>
      <c r="P140" s="172">
        <v>226.98400000000001</v>
      </c>
      <c r="Q140" s="178">
        <v>2.5977829412092399</v>
      </c>
      <c r="R140" s="179">
        <v>204.965638016621</v>
      </c>
      <c r="S140" s="168">
        <v>0.01</v>
      </c>
      <c r="T140" s="168">
        <v>0.01</v>
      </c>
      <c r="U140" s="175">
        <v>0</v>
      </c>
      <c r="V140" s="176">
        <v>0</v>
      </c>
      <c r="W140" s="167"/>
      <c r="X140" s="175">
        <v>389.79370999999998</v>
      </c>
      <c r="Y140" s="166">
        <v>624.09702051399097</v>
      </c>
      <c r="Z140" s="177">
        <v>573</v>
      </c>
      <c r="AA140" s="182">
        <v>1.0891745558708401</v>
      </c>
      <c r="AB140" s="183">
        <v>-22.4839653272319</v>
      </c>
      <c r="AC140" s="168">
        <v>1.2999999999999999E-2</v>
      </c>
      <c r="AD140" s="168">
        <v>8.9999999999999993E-3</v>
      </c>
      <c r="AE140" s="176">
        <v>0</v>
      </c>
      <c r="AF140" s="176">
        <v>40</v>
      </c>
      <c r="AG140" s="167"/>
      <c r="AH140" s="180">
        <v>51.6</v>
      </c>
      <c r="AI140" s="166">
        <v>82.616536471360504</v>
      </c>
      <c r="AJ140" s="181" t="s">
        <v>53</v>
      </c>
      <c r="AK140" s="178">
        <v>1.3113735947834999</v>
      </c>
      <c r="AL140" s="179">
        <v>6.2710409326080097</v>
      </c>
      <c r="AM140" s="168">
        <v>0.02</v>
      </c>
      <c r="AN140" s="168">
        <v>0.02</v>
      </c>
      <c r="AO140" s="176">
        <v>0</v>
      </c>
      <c r="AP140" s="176">
        <v>0</v>
      </c>
      <c r="AQ140" s="167"/>
      <c r="AR140" s="180">
        <v>1</v>
      </c>
      <c r="AS140" s="166">
        <v>1.60109566804962</v>
      </c>
      <c r="AT140" s="181" t="s">
        <v>54</v>
      </c>
      <c r="AU140" s="173">
        <v>0.100068479253101</v>
      </c>
      <c r="AV140" s="174">
        <v>-10.512116588544</v>
      </c>
      <c r="AW140" s="168"/>
      <c r="AX140" s="168"/>
      <c r="AY140" s="176">
        <v>9</v>
      </c>
      <c r="AZ140" s="176">
        <v>11</v>
      </c>
      <c r="BA140" s="167"/>
      <c r="BB140" s="184">
        <v>26.2</v>
      </c>
      <c r="BC140" s="180">
        <v>41.948706502900102</v>
      </c>
      <c r="BD140" s="181" t="s">
        <v>55</v>
      </c>
      <c r="BE140" s="178">
        <v>1.31089707821563</v>
      </c>
      <c r="BF140" s="179">
        <v>3.1757668229120002</v>
      </c>
      <c r="BG140" s="168">
        <v>0.02</v>
      </c>
      <c r="BH140" s="168">
        <v>0.02</v>
      </c>
      <c r="BI140" s="176">
        <v>0</v>
      </c>
      <c r="BJ140" s="176">
        <v>0</v>
      </c>
      <c r="BK140" s="169"/>
      <c r="BL140" s="185">
        <v>0.8</v>
      </c>
      <c r="BM140" s="173"/>
      <c r="BN140" s="186"/>
      <c r="BO140" s="187">
        <v>0.95</v>
      </c>
      <c r="BP140" s="178">
        <v>1</v>
      </c>
      <c r="BQ140" s="186">
        <v>2.5000000000000001E-3</v>
      </c>
    </row>
    <row r="141" spans="1:69" s="156" customFormat="1" ht="22.35" customHeight="1" x14ac:dyDescent="0.2">
      <c r="A141" s="165" t="s">
        <v>175</v>
      </c>
      <c r="B141" s="165" t="s">
        <v>201</v>
      </c>
      <c r="C141" s="165" t="s">
        <v>202</v>
      </c>
      <c r="D141" s="166">
        <v>2.7066750453333301</v>
      </c>
      <c r="E141" s="167"/>
      <c r="F141" s="168">
        <v>7.0999999999999994E-2</v>
      </c>
      <c r="G141" s="168">
        <v>6.6000000000000003E-2</v>
      </c>
      <c r="H141" s="169"/>
      <c r="I141" s="170">
        <v>7</v>
      </c>
      <c r="J141" s="170">
        <v>7</v>
      </c>
      <c r="K141" s="167"/>
      <c r="L141" s="171">
        <v>891.60798</v>
      </c>
      <c r="M141" s="171">
        <v>954.94812999999999</v>
      </c>
      <c r="N141" s="171">
        <v>1846.55611</v>
      </c>
      <c r="O141" s="166">
        <v>682.22305192627698</v>
      </c>
      <c r="P141" s="172">
        <v>287.5</v>
      </c>
      <c r="Q141" s="178">
        <v>2.37294974583053</v>
      </c>
      <c r="R141" s="179">
        <v>950.10533498560096</v>
      </c>
      <c r="S141" s="168">
        <v>0.01</v>
      </c>
      <c r="T141" s="168">
        <v>0.01</v>
      </c>
      <c r="U141" s="175">
        <v>0</v>
      </c>
      <c r="V141" s="176">
        <v>0</v>
      </c>
      <c r="W141" s="167"/>
      <c r="X141" s="175">
        <v>1870.1538399999999</v>
      </c>
      <c r="Y141" s="166">
        <v>690.94139809076603</v>
      </c>
      <c r="Z141" s="177">
        <v>573</v>
      </c>
      <c r="AA141" s="178">
        <v>1.2058314102805701</v>
      </c>
      <c r="AB141" s="179">
        <v>83.488469275650502</v>
      </c>
      <c r="AC141" s="168">
        <v>0.02</v>
      </c>
      <c r="AD141" s="168">
        <v>0.02</v>
      </c>
      <c r="AE141" s="176">
        <v>0</v>
      </c>
      <c r="AF141" s="176">
        <v>0</v>
      </c>
      <c r="AG141" s="167"/>
      <c r="AH141" s="180">
        <v>180.95</v>
      </c>
      <c r="AI141" s="166">
        <v>66.853241327207598</v>
      </c>
      <c r="AJ141" s="181" t="s">
        <v>53</v>
      </c>
      <c r="AK141" s="182">
        <v>1.06116256074933</v>
      </c>
      <c r="AL141" s="183">
        <v>-15.4896480901117</v>
      </c>
      <c r="AM141" s="168">
        <v>1.0999999999999999E-2</v>
      </c>
      <c r="AN141" s="168">
        <v>6.0000000000000001E-3</v>
      </c>
      <c r="AO141" s="176">
        <v>0</v>
      </c>
      <c r="AP141" s="176">
        <v>24</v>
      </c>
      <c r="AQ141" s="167"/>
      <c r="AR141" s="180">
        <v>65.099999999999994</v>
      </c>
      <c r="AS141" s="166">
        <v>24.051649684449899</v>
      </c>
      <c r="AT141" s="181" t="s">
        <v>54</v>
      </c>
      <c r="AU141" s="178">
        <v>1.50322810527812</v>
      </c>
      <c r="AV141" s="179">
        <v>15.2105655644161</v>
      </c>
      <c r="AW141" s="168">
        <v>0.01</v>
      </c>
      <c r="AX141" s="168">
        <v>0.01</v>
      </c>
      <c r="AY141" s="176">
        <v>0</v>
      </c>
      <c r="AZ141" s="176">
        <v>0</v>
      </c>
      <c r="BA141" s="167"/>
      <c r="BB141" s="184">
        <v>142.4</v>
      </c>
      <c r="BC141" s="180">
        <v>52.610674578581701</v>
      </c>
      <c r="BD141" s="181" t="s">
        <v>55</v>
      </c>
      <c r="BE141" s="178">
        <v>1.6440835805806799</v>
      </c>
      <c r="BF141" s="179">
        <v>42.621131128832097</v>
      </c>
      <c r="BG141" s="168">
        <v>0.02</v>
      </c>
      <c r="BH141" s="168">
        <v>0.02</v>
      </c>
      <c r="BI141" s="176">
        <v>0</v>
      </c>
      <c r="BJ141" s="176">
        <v>0</v>
      </c>
      <c r="BK141" s="169"/>
      <c r="BL141" s="185">
        <v>0.8</v>
      </c>
      <c r="BM141" s="182">
        <v>0.88</v>
      </c>
      <c r="BN141" s="186">
        <v>3.0000000000000001E-3</v>
      </c>
      <c r="BO141" s="187">
        <v>0.95</v>
      </c>
      <c r="BP141" s="178">
        <v>1</v>
      </c>
      <c r="BQ141" s="186">
        <v>2.5000000000000001E-3</v>
      </c>
    </row>
    <row r="142" spans="1:69" s="156" customFormat="1" ht="22.35" customHeight="1" x14ac:dyDescent="0.2">
      <c r="A142" s="165" t="s">
        <v>175</v>
      </c>
      <c r="B142" s="165" t="s">
        <v>201</v>
      </c>
      <c r="C142" s="165" t="s">
        <v>203</v>
      </c>
      <c r="D142" s="166">
        <v>2.9894179894444401</v>
      </c>
      <c r="E142" s="167"/>
      <c r="F142" s="168">
        <v>0.08</v>
      </c>
      <c r="G142" s="168">
        <v>7.4999999999999997E-2</v>
      </c>
      <c r="H142" s="169"/>
      <c r="I142" s="170">
        <v>7</v>
      </c>
      <c r="J142" s="170">
        <v>7</v>
      </c>
      <c r="K142" s="167"/>
      <c r="L142" s="171">
        <v>2045.1310699999999</v>
      </c>
      <c r="M142" s="171">
        <v>3061.40139</v>
      </c>
      <c r="N142" s="171">
        <v>5106.5324600000004</v>
      </c>
      <c r="O142" s="166">
        <v>1708.2028936839999</v>
      </c>
      <c r="P142" s="172">
        <v>273.93400000000003</v>
      </c>
      <c r="Q142" s="178">
        <v>6.2358191888703098</v>
      </c>
      <c r="R142" s="179">
        <v>4163.1559418964198</v>
      </c>
      <c r="S142" s="168">
        <v>0.01</v>
      </c>
      <c r="T142" s="168">
        <v>0.01</v>
      </c>
      <c r="U142" s="175">
        <v>0</v>
      </c>
      <c r="V142" s="176">
        <v>0</v>
      </c>
      <c r="W142" s="167"/>
      <c r="X142" s="175">
        <v>2043.66543</v>
      </c>
      <c r="Y142" s="166">
        <v>683.63321463111799</v>
      </c>
      <c r="Z142" s="177">
        <v>573</v>
      </c>
      <c r="AA142" s="178">
        <v>1.1930771634050901</v>
      </c>
      <c r="AB142" s="179">
        <v>70.362572839682798</v>
      </c>
      <c r="AC142" s="168">
        <v>0.02</v>
      </c>
      <c r="AD142" s="168">
        <v>1.9E-2</v>
      </c>
      <c r="AE142" s="176">
        <v>0</v>
      </c>
      <c r="AF142" s="176">
        <v>12</v>
      </c>
      <c r="AG142" s="167"/>
      <c r="AH142" s="180">
        <v>218.2</v>
      </c>
      <c r="AI142" s="166">
        <v>72.990796459530998</v>
      </c>
      <c r="AJ142" s="181" t="s">
        <v>53</v>
      </c>
      <c r="AK142" s="178">
        <v>1.1585840707862101</v>
      </c>
      <c r="AL142" s="179">
        <v>1.23999999808035</v>
      </c>
      <c r="AM142" s="168">
        <v>0.02</v>
      </c>
      <c r="AN142" s="168">
        <v>1.6E-2</v>
      </c>
      <c r="AO142" s="176">
        <v>0</v>
      </c>
      <c r="AP142" s="176">
        <v>8</v>
      </c>
      <c r="AQ142" s="167"/>
      <c r="AR142" s="180">
        <v>72.400000000000006</v>
      </c>
      <c r="AS142" s="166">
        <v>24.2187610617326</v>
      </c>
      <c r="AT142" s="181" t="s">
        <v>54</v>
      </c>
      <c r="AU142" s="178">
        <v>1.51367256635829</v>
      </c>
      <c r="AV142" s="179">
        <v>17.299047618560099</v>
      </c>
      <c r="AW142" s="168">
        <v>0.01</v>
      </c>
      <c r="AX142" s="168">
        <v>0.01</v>
      </c>
      <c r="AY142" s="176">
        <v>0</v>
      </c>
      <c r="AZ142" s="176">
        <v>0</v>
      </c>
      <c r="BA142" s="167"/>
      <c r="BB142" s="184">
        <v>136.80000000000001</v>
      </c>
      <c r="BC142" s="180">
        <v>45.761415928798598</v>
      </c>
      <c r="BD142" s="181" t="s">
        <v>55</v>
      </c>
      <c r="BE142" s="178">
        <v>1.43004424777496</v>
      </c>
      <c r="BF142" s="179">
        <v>26.598095237120202</v>
      </c>
      <c r="BG142" s="168">
        <v>0.02</v>
      </c>
      <c r="BH142" s="168">
        <v>0.02</v>
      </c>
      <c r="BI142" s="176">
        <v>0</v>
      </c>
      <c r="BJ142" s="176">
        <v>0</v>
      </c>
      <c r="BK142" s="169"/>
      <c r="BL142" s="185">
        <v>0.8</v>
      </c>
      <c r="BM142" s="182">
        <v>0.83</v>
      </c>
      <c r="BN142" s="186">
        <v>1.1249999999999999E-3</v>
      </c>
      <c r="BO142" s="187">
        <v>0.95</v>
      </c>
      <c r="BP142" s="178">
        <v>1</v>
      </c>
      <c r="BQ142" s="186">
        <v>2.5000000000000001E-3</v>
      </c>
    </row>
    <row r="143" spans="1:69" s="156" customFormat="1" ht="22.35" customHeight="1" x14ac:dyDescent="0.2">
      <c r="A143" s="165" t="s">
        <v>175</v>
      </c>
      <c r="B143" s="165" t="s">
        <v>201</v>
      </c>
      <c r="C143" s="165" t="s">
        <v>204</v>
      </c>
      <c r="D143" s="166">
        <v>2.92477570733333</v>
      </c>
      <c r="E143" s="167"/>
      <c r="F143" s="168">
        <v>0.06</v>
      </c>
      <c r="G143" s="168">
        <v>0.06</v>
      </c>
      <c r="H143" s="169"/>
      <c r="I143" s="170">
        <v>6</v>
      </c>
      <c r="J143" s="170">
        <v>6</v>
      </c>
      <c r="K143" s="167"/>
      <c r="L143" s="171">
        <v>2288.3770399999999</v>
      </c>
      <c r="M143" s="171">
        <v>-72.31447</v>
      </c>
      <c r="N143" s="171">
        <v>2216.0625700000001</v>
      </c>
      <c r="O143" s="166">
        <v>757.68632939737302</v>
      </c>
      <c r="P143" s="172">
        <v>287.5</v>
      </c>
      <c r="Q143" s="178">
        <v>2.6354307109473898</v>
      </c>
      <c r="R143" s="179">
        <v>1247.3768557312001</v>
      </c>
      <c r="S143" s="168">
        <v>0.01</v>
      </c>
      <c r="T143" s="168">
        <v>0.01</v>
      </c>
      <c r="U143" s="175">
        <v>0</v>
      </c>
      <c r="V143" s="176">
        <v>0</v>
      </c>
      <c r="W143" s="167"/>
      <c r="X143" s="175">
        <v>2249.1283800000001</v>
      </c>
      <c r="Y143" s="166">
        <v>768.99174673829805</v>
      </c>
      <c r="Z143" s="177">
        <v>573</v>
      </c>
      <c r="AA143" s="178">
        <v>1.3420449332256501</v>
      </c>
      <c r="AB143" s="179">
        <v>318.49563469209801</v>
      </c>
      <c r="AC143" s="168">
        <v>0.02</v>
      </c>
      <c r="AD143" s="168">
        <v>0.02</v>
      </c>
      <c r="AE143" s="176">
        <v>0</v>
      </c>
      <c r="AF143" s="176">
        <v>0</v>
      </c>
      <c r="AG143" s="167"/>
      <c r="AH143" s="180">
        <v>154.1</v>
      </c>
      <c r="AI143" s="166">
        <v>52.6878008503773</v>
      </c>
      <c r="AJ143" s="181" t="s">
        <v>53</v>
      </c>
      <c r="AK143" s="188">
        <v>0.83631429921233802</v>
      </c>
      <c r="AL143" s="171">
        <v>-58.168521735423802</v>
      </c>
      <c r="AM143" s="168"/>
      <c r="AN143" s="168"/>
      <c r="AO143" s="176">
        <v>31</v>
      </c>
      <c r="AP143" s="176">
        <v>68</v>
      </c>
      <c r="AQ143" s="167"/>
      <c r="AR143" s="180">
        <v>65.7</v>
      </c>
      <c r="AS143" s="166">
        <v>22.463260972548898</v>
      </c>
      <c r="AT143" s="181" t="s">
        <v>54</v>
      </c>
      <c r="AU143" s="178">
        <v>1.4039538107843099</v>
      </c>
      <c r="AV143" s="179">
        <v>11.790534162432101</v>
      </c>
      <c r="AW143" s="168">
        <v>0.01</v>
      </c>
      <c r="AX143" s="168">
        <v>0.01</v>
      </c>
      <c r="AY143" s="176">
        <v>0</v>
      </c>
      <c r="AZ143" s="176">
        <v>0</v>
      </c>
      <c r="BA143" s="167"/>
      <c r="BB143" s="184">
        <v>153</v>
      </c>
      <c r="BC143" s="180">
        <v>52.311703634702901</v>
      </c>
      <c r="BD143" s="181" t="s">
        <v>55</v>
      </c>
      <c r="BE143" s="178">
        <v>1.6347407385844701</v>
      </c>
      <c r="BF143" s="179">
        <v>45.1810683248641</v>
      </c>
      <c r="BG143" s="168">
        <v>0.02</v>
      </c>
      <c r="BH143" s="168">
        <v>0.02</v>
      </c>
      <c r="BI143" s="176">
        <v>0</v>
      </c>
      <c r="BJ143" s="176">
        <v>0</v>
      </c>
      <c r="BK143" s="169"/>
      <c r="BL143" s="185">
        <v>0.8</v>
      </c>
      <c r="BM143" s="182">
        <v>0.83</v>
      </c>
      <c r="BN143" s="186">
        <v>1.1249999999999999E-3</v>
      </c>
      <c r="BO143" s="187">
        <v>0.95</v>
      </c>
      <c r="BP143" s="178">
        <v>1</v>
      </c>
      <c r="BQ143" s="186">
        <v>2.5000000000000001E-3</v>
      </c>
    </row>
    <row r="144" spans="1:69" s="156" customFormat="1" ht="22.35" customHeight="1" x14ac:dyDescent="0.2">
      <c r="A144" s="165" t="s">
        <v>175</v>
      </c>
      <c r="B144" s="165" t="s">
        <v>201</v>
      </c>
      <c r="C144" s="165" t="s">
        <v>205</v>
      </c>
      <c r="D144" s="166">
        <v>2.6681531807777801</v>
      </c>
      <c r="E144" s="167"/>
      <c r="F144" s="168">
        <v>0.04</v>
      </c>
      <c r="G144" s="168">
        <v>0.04</v>
      </c>
      <c r="H144" s="169"/>
      <c r="I144" s="170">
        <v>4</v>
      </c>
      <c r="J144" s="170">
        <v>4</v>
      </c>
      <c r="K144" s="167"/>
      <c r="L144" s="171">
        <v>1131.4666</v>
      </c>
      <c r="M144" s="171">
        <v>432.17680000000001</v>
      </c>
      <c r="N144" s="171">
        <v>1563.6433999999999</v>
      </c>
      <c r="O144" s="166">
        <v>586.03959145411204</v>
      </c>
      <c r="P144" s="172">
        <v>265.91699999999997</v>
      </c>
      <c r="Q144" s="178">
        <v>2.2038440244666999</v>
      </c>
      <c r="R144" s="179">
        <v>746.29100264243698</v>
      </c>
      <c r="S144" s="168">
        <v>0.01</v>
      </c>
      <c r="T144" s="168">
        <v>0.01</v>
      </c>
      <c r="U144" s="175">
        <v>0</v>
      </c>
      <c r="V144" s="176">
        <v>0</v>
      </c>
      <c r="W144" s="167"/>
      <c r="X144" s="175">
        <v>1099.487355</v>
      </c>
      <c r="Y144" s="166">
        <v>412.07804818743398</v>
      </c>
      <c r="Z144" s="177">
        <v>573</v>
      </c>
      <c r="AA144" s="173">
        <v>0.71915889736026894</v>
      </c>
      <c r="AB144" s="174">
        <v>-661.74988701868995</v>
      </c>
      <c r="AC144" s="168"/>
      <c r="AD144" s="168"/>
      <c r="AE144" s="176">
        <v>430</v>
      </c>
      <c r="AF144" s="176">
        <v>736</v>
      </c>
      <c r="AG144" s="167"/>
      <c r="AH144" s="180">
        <v>117.1</v>
      </c>
      <c r="AI144" s="166">
        <v>43.888034931287102</v>
      </c>
      <c r="AJ144" s="181" t="s">
        <v>53</v>
      </c>
      <c r="AK144" s="173">
        <v>0.69663547509979595</v>
      </c>
      <c r="AL144" s="174">
        <v>-76.543885248128106</v>
      </c>
      <c r="AM144" s="168"/>
      <c r="AN144" s="168"/>
      <c r="AO144" s="176">
        <v>51</v>
      </c>
      <c r="AP144" s="176">
        <v>85</v>
      </c>
      <c r="AQ144" s="167"/>
      <c r="AR144" s="180">
        <v>61</v>
      </c>
      <c r="AS144" s="166">
        <v>22.862255600414301</v>
      </c>
      <c r="AT144" s="181" t="s">
        <v>54</v>
      </c>
      <c r="AU144" s="178">
        <v>1.42889097502589</v>
      </c>
      <c r="AV144" s="179">
        <v>11.820600571904</v>
      </c>
      <c r="AW144" s="168">
        <v>0.01</v>
      </c>
      <c r="AX144" s="168">
        <v>0.01</v>
      </c>
      <c r="AY144" s="176">
        <v>0</v>
      </c>
      <c r="AZ144" s="176">
        <v>0</v>
      </c>
      <c r="BA144" s="167"/>
      <c r="BB144" s="184">
        <v>107.8</v>
      </c>
      <c r="BC144" s="180">
        <v>40.4024779299125</v>
      </c>
      <c r="BD144" s="181" t="s">
        <v>55</v>
      </c>
      <c r="BE144" s="178">
        <v>1.2625774353097701</v>
      </c>
      <c r="BF144" s="179">
        <v>9.4412011438079197</v>
      </c>
      <c r="BG144" s="168">
        <v>0.02</v>
      </c>
      <c r="BH144" s="168">
        <v>0.02</v>
      </c>
      <c r="BI144" s="176">
        <v>0</v>
      </c>
      <c r="BJ144" s="176">
        <v>0</v>
      </c>
      <c r="BK144" s="169"/>
      <c r="BL144" s="185">
        <v>0.8</v>
      </c>
      <c r="BM144" s="188">
        <v>0.78</v>
      </c>
      <c r="BN144" s="186"/>
      <c r="BO144" s="187">
        <v>0.95</v>
      </c>
      <c r="BP144" s="178">
        <v>1</v>
      </c>
      <c r="BQ144" s="186">
        <v>2.5000000000000001E-3</v>
      </c>
    </row>
    <row r="145" spans="1:69" s="156" customFormat="1" ht="22.35" customHeight="1" x14ac:dyDescent="0.2">
      <c r="A145" s="165" t="s">
        <v>175</v>
      </c>
      <c r="B145" s="165" t="s">
        <v>201</v>
      </c>
      <c r="C145" s="165" t="s">
        <v>206</v>
      </c>
      <c r="D145" s="166">
        <v>10.628939992444399</v>
      </c>
      <c r="E145" s="167"/>
      <c r="F145" s="168">
        <v>5.2499999999999998E-2</v>
      </c>
      <c r="G145" s="168">
        <v>4.2500000000000003E-2</v>
      </c>
      <c r="H145" s="169"/>
      <c r="I145" s="170">
        <v>6</v>
      </c>
      <c r="J145" s="170">
        <v>6</v>
      </c>
      <c r="K145" s="167"/>
      <c r="L145" s="171">
        <v>8197.7455499999996</v>
      </c>
      <c r="M145" s="171">
        <v>3481.6079199999999</v>
      </c>
      <c r="N145" s="171">
        <v>11679.35347</v>
      </c>
      <c r="O145" s="166">
        <v>1098.8257980854401</v>
      </c>
      <c r="P145" s="172">
        <v>287.5</v>
      </c>
      <c r="Q145" s="178">
        <v>3.8220027759493602</v>
      </c>
      <c r="R145" s="179">
        <v>8159.0485445023996</v>
      </c>
      <c r="S145" s="168">
        <v>0.01</v>
      </c>
      <c r="T145" s="168">
        <v>0.01</v>
      </c>
      <c r="U145" s="175">
        <v>0</v>
      </c>
      <c r="V145" s="176">
        <v>0</v>
      </c>
      <c r="W145" s="167"/>
      <c r="X145" s="175">
        <v>6439.5715700000001</v>
      </c>
      <c r="Y145" s="166">
        <v>605.85266024434702</v>
      </c>
      <c r="Z145" s="177">
        <v>573</v>
      </c>
      <c r="AA145" s="182">
        <v>1.05733448559223</v>
      </c>
      <c r="AB145" s="183">
        <v>-576.549203252604</v>
      </c>
      <c r="AC145" s="168">
        <v>0.01</v>
      </c>
      <c r="AD145" s="168">
        <v>6.0000000000000001E-3</v>
      </c>
      <c r="AE145" s="176">
        <v>0</v>
      </c>
      <c r="AF145" s="176">
        <v>869</v>
      </c>
      <c r="AG145" s="167"/>
      <c r="AH145" s="180">
        <v>697.45</v>
      </c>
      <c r="AI145" s="166">
        <v>65.618020281964206</v>
      </c>
      <c r="AJ145" s="181" t="s">
        <v>53</v>
      </c>
      <c r="AK145" s="182">
        <v>1.0415558774914999</v>
      </c>
      <c r="AL145" s="183">
        <v>-73.955948891647495</v>
      </c>
      <c r="AM145" s="168">
        <v>8.0000000000000002E-3</v>
      </c>
      <c r="AN145" s="168">
        <v>4.0000000000000001E-3</v>
      </c>
      <c r="AO145" s="176">
        <v>0</v>
      </c>
      <c r="AP145" s="176">
        <v>107</v>
      </c>
      <c r="AQ145" s="167"/>
      <c r="AR145" s="180">
        <v>178.1</v>
      </c>
      <c r="AS145" s="166">
        <v>16.756139382346898</v>
      </c>
      <c r="AT145" s="181" t="s">
        <v>54</v>
      </c>
      <c r="AU145" s="182">
        <v>1.04725871139668</v>
      </c>
      <c r="AV145" s="183">
        <v>-17.812621940735902</v>
      </c>
      <c r="AW145" s="168">
        <v>4.4999999999999997E-3</v>
      </c>
      <c r="AX145" s="168">
        <v>2.5000000000000001E-3</v>
      </c>
      <c r="AY145" s="176">
        <v>0</v>
      </c>
      <c r="AZ145" s="176">
        <v>26</v>
      </c>
      <c r="BA145" s="167"/>
      <c r="BB145" s="184">
        <v>418.8</v>
      </c>
      <c r="BC145" s="180">
        <v>39.4018594796568</v>
      </c>
      <c r="BD145" s="181" t="s">
        <v>55</v>
      </c>
      <c r="BE145" s="178">
        <v>1.2313081087392701</v>
      </c>
      <c r="BF145" s="179">
        <v>26.974756118528301</v>
      </c>
      <c r="BG145" s="168">
        <v>0.02</v>
      </c>
      <c r="BH145" s="168">
        <v>0.02</v>
      </c>
      <c r="BI145" s="176">
        <v>0</v>
      </c>
      <c r="BJ145" s="176">
        <v>0</v>
      </c>
      <c r="BK145" s="169"/>
      <c r="BL145" s="185">
        <v>0.8</v>
      </c>
      <c r="BM145" s="188">
        <v>0.79</v>
      </c>
      <c r="BN145" s="186"/>
      <c r="BO145" s="187">
        <v>0.95</v>
      </c>
      <c r="BP145" s="178">
        <v>1</v>
      </c>
      <c r="BQ145" s="186">
        <v>2.5000000000000001E-3</v>
      </c>
    </row>
    <row r="146" spans="1:69" s="156" customFormat="1" ht="22.35" customHeight="1" x14ac:dyDescent="0.2">
      <c r="A146" s="165" t="s">
        <v>175</v>
      </c>
      <c r="B146" s="165" t="s">
        <v>201</v>
      </c>
      <c r="C146" s="165" t="s">
        <v>207</v>
      </c>
      <c r="D146" s="166">
        <v>2.3655582742222201</v>
      </c>
      <c r="E146" s="167"/>
      <c r="F146" s="168">
        <v>5.8999999999999997E-2</v>
      </c>
      <c r="G146" s="168">
        <v>5.3999999999999999E-2</v>
      </c>
      <c r="H146" s="169"/>
      <c r="I146" s="170">
        <v>5</v>
      </c>
      <c r="J146" s="170">
        <v>5</v>
      </c>
      <c r="K146" s="167"/>
      <c r="L146" s="171">
        <v>1723.18011</v>
      </c>
      <c r="M146" s="171">
        <v>-12.18224</v>
      </c>
      <c r="N146" s="171">
        <v>1710.9978699999999</v>
      </c>
      <c r="O146" s="166">
        <v>723.29559100063295</v>
      </c>
      <c r="P146" s="172">
        <v>212.5</v>
      </c>
      <c r="Q146" s="178">
        <v>3.4037439576500401</v>
      </c>
      <c r="R146" s="179">
        <v>1131.9092044704</v>
      </c>
      <c r="S146" s="168">
        <v>0.01</v>
      </c>
      <c r="T146" s="168">
        <v>0.01</v>
      </c>
      <c r="U146" s="175">
        <v>0</v>
      </c>
      <c r="V146" s="176">
        <v>0</v>
      </c>
      <c r="W146" s="167"/>
      <c r="X146" s="175">
        <v>1543.13373</v>
      </c>
      <c r="Y146" s="166">
        <v>652.333847284895</v>
      </c>
      <c r="Z146" s="177">
        <v>573</v>
      </c>
      <c r="AA146" s="182">
        <v>1.13845348566299</v>
      </c>
      <c r="AB146" s="183">
        <v>-18.361824580990501</v>
      </c>
      <c r="AC146" s="168">
        <v>1.9E-2</v>
      </c>
      <c r="AD146" s="168">
        <v>1.4E-2</v>
      </c>
      <c r="AE146" s="176">
        <v>0</v>
      </c>
      <c r="AF146" s="176">
        <v>84</v>
      </c>
      <c r="AG146" s="167"/>
      <c r="AH146" s="180">
        <v>138.6</v>
      </c>
      <c r="AI146" s="166">
        <v>58.590820403936398</v>
      </c>
      <c r="AJ146" s="181" t="s">
        <v>53</v>
      </c>
      <c r="AK146" s="188">
        <v>0.93001302228470495</v>
      </c>
      <c r="AL146" s="171">
        <v>-33.082757309951802</v>
      </c>
      <c r="AM146" s="168"/>
      <c r="AN146" s="168"/>
      <c r="AO146" s="176">
        <v>11</v>
      </c>
      <c r="AP146" s="176">
        <v>41</v>
      </c>
      <c r="AQ146" s="167"/>
      <c r="AR146" s="180">
        <v>90.1</v>
      </c>
      <c r="AS146" s="166">
        <v>38.088260594478101</v>
      </c>
      <c r="AT146" s="181" t="s">
        <v>54</v>
      </c>
      <c r="AU146" s="178">
        <v>2.38051628715488</v>
      </c>
      <c r="AV146" s="179">
        <v>46.498029889535999</v>
      </c>
      <c r="AW146" s="168">
        <v>0.01</v>
      </c>
      <c r="AX146" s="168">
        <v>0.01</v>
      </c>
      <c r="AY146" s="176">
        <v>0</v>
      </c>
      <c r="AZ146" s="176">
        <v>0</v>
      </c>
      <c r="BA146" s="167"/>
      <c r="BB146" s="184">
        <v>158</v>
      </c>
      <c r="BC146" s="180">
        <v>66.791844327719701</v>
      </c>
      <c r="BD146" s="181" t="s">
        <v>55</v>
      </c>
      <c r="BE146" s="178">
        <v>2.0872451352412398</v>
      </c>
      <c r="BF146" s="179">
        <v>70.796059779072095</v>
      </c>
      <c r="BG146" s="168">
        <v>0.02</v>
      </c>
      <c r="BH146" s="168">
        <v>0.02</v>
      </c>
      <c r="BI146" s="176">
        <v>0</v>
      </c>
      <c r="BJ146" s="176">
        <v>0</v>
      </c>
      <c r="BK146" s="169"/>
      <c r="BL146" s="185">
        <v>0.8</v>
      </c>
      <c r="BM146" s="188">
        <v>0.78</v>
      </c>
      <c r="BN146" s="186"/>
      <c r="BO146" s="187">
        <v>0.95</v>
      </c>
      <c r="BP146" s="178">
        <v>1</v>
      </c>
      <c r="BQ146" s="186">
        <v>2.5000000000000001E-3</v>
      </c>
    </row>
    <row r="147" spans="1:69" s="156" customFormat="1" ht="22.35" customHeight="1" x14ac:dyDescent="0.2">
      <c r="A147" s="165" t="s">
        <v>175</v>
      </c>
      <c r="B147" s="165" t="s">
        <v>201</v>
      </c>
      <c r="C147" s="165" t="s">
        <v>208</v>
      </c>
      <c r="D147" s="166">
        <v>1.8899021605555599</v>
      </c>
      <c r="E147" s="167"/>
      <c r="F147" s="168">
        <v>6.2E-2</v>
      </c>
      <c r="G147" s="168">
        <v>5.2999999999999999E-2</v>
      </c>
      <c r="H147" s="169"/>
      <c r="I147" s="170">
        <v>7</v>
      </c>
      <c r="J147" s="170">
        <v>7</v>
      </c>
      <c r="K147" s="167"/>
      <c r="L147" s="171">
        <v>320.28152</v>
      </c>
      <c r="M147" s="171">
        <v>1392.8954699999999</v>
      </c>
      <c r="N147" s="171">
        <v>1713.1769899999999</v>
      </c>
      <c r="O147" s="166">
        <v>906.48977801919398</v>
      </c>
      <c r="P147" s="172">
        <v>273.64299999999997</v>
      </c>
      <c r="Q147" s="178">
        <v>3.3126730010239398</v>
      </c>
      <c r="R147" s="179">
        <v>1117.41040154712</v>
      </c>
      <c r="S147" s="168">
        <v>0.01</v>
      </c>
      <c r="T147" s="168">
        <v>0.01</v>
      </c>
      <c r="U147" s="175">
        <v>0</v>
      </c>
      <c r="V147" s="176">
        <v>0</v>
      </c>
      <c r="W147" s="167"/>
      <c r="X147" s="175">
        <v>1216.49713</v>
      </c>
      <c r="Y147" s="166">
        <v>643.682596586057</v>
      </c>
      <c r="Z147" s="177">
        <v>573</v>
      </c>
      <c r="AA147" s="182">
        <v>1.1233553169041099</v>
      </c>
      <c r="AB147" s="183">
        <v>-31.019726574082799</v>
      </c>
      <c r="AC147" s="168">
        <v>1.7000000000000001E-2</v>
      </c>
      <c r="AD147" s="168">
        <v>1.2E-2</v>
      </c>
      <c r="AE147" s="176">
        <v>0</v>
      </c>
      <c r="AF147" s="176">
        <v>83</v>
      </c>
      <c r="AG147" s="167"/>
      <c r="AH147" s="180">
        <v>120</v>
      </c>
      <c r="AI147" s="166">
        <v>63.495350449636398</v>
      </c>
      <c r="AJ147" s="181" t="s">
        <v>53</v>
      </c>
      <c r="AK147" s="182">
        <v>1.00786270554978</v>
      </c>
      <c r="AL147" s="183">
        <v>-17.161539204480299</v>
      </c>
      <c r="AM147" s="168">
        <v>5.0000000000000001E-3</v>
      </c>
      <c r="AN147" s="168">
        <v>1E-3</v>
      </c>
      <c r="AO147" s="176">
        <v>0</v>
      </c>
      <c r="AP147" s="176">
        <v>23</v>
      </c>
      <c r="AQ147" s="167"/>
      <c r="AR147" s="180">
        <v>61.5</v>
      </c>
      <c r="AS147" s="166">
        <v>32.541367105438702</v>
      </c>
      <c r="AT147" s="181" t="s">
        <v>54</v>
      </c>
      <c r="AU147" s="178">
        <v>2.0338354440899198</v>
      </c>
      <c r="AV147" s="179">
        <v>26.6653233766399</v>
      </c>
      <c r="AW147" s="168">
        <v>0.01</v>
      </c>
      <c r="AX147" s="168">
        <v>0.01</v>
      </c>
      <c r="AY147" s="176">
        <v>0</v>
      </c>
      <c r="AZ147" s="176">
        <v>0</v>
      </c>
      <c r="BA147" s="167"/>
      <c r="BB147" s="184">
        <v>87.6</v>
      </c>
      <c r="BC147" s="180">
        <v>46.351605828234597</v>
      </c>
      <c r="BD147" s="181" t="s">
        <v>55</v>
      </c>
      <c r="BE147" s="178">
        <v>1.44848768213233</v>
      </c>
      <c r="BF147" s="179">
        <v>17.930646753279898</v>
      </c>
      <c r="BG147" s="168">
        <v>0.02</v>
      </c>
      <c r="BH147" s="168">
        <v>0.02</v>
      </c>
      <c r="BI147" s="176">
        <v>0</v>
      </c>
      <c r="BJ147" s="176">
        <v>0</v>
      </c>
      <c r="BK147" s="169"/>
      <c r="BL147" s="185">
        <v>0.8</v>
      </c>
      <c r="BM147" s="182">
        <v>0.87</v>
      </c>
      <c r="BN147" s="186">
        <v>2.6250000000000002E-3</v>
      </c>
      <c r="BO147" s="187">
        <v>0.95</v>
      </c>
      <c r="BP147" s="178">
        <v>1</v>
      </c>
      <c r="BQ147" s="186">
        <v>2.5000000000000001E-3</v>
      </c>
    </row>
    <row r="148" spans="1:69" s="156" customFormat="1" ht="22.35" customHeight="1" x14ac:dyDescent="0.2">
      <c r="A148" s="165" t="s">
        <v>175</v>
      </c>
      <c r="B148" s="165" t="s">
        <v>201</v>
      </c>
      <c r="C148" s="165" t="s">
        <v>209</v>
      </c>
      <c r="D148" s="166">
        <v>8.0221390946666702</v>
      </c>
      <c r="E148" s="167"/>
      <c r="F148" s="168">
        <v>3.6999999999999998E-2</v>
      </c>
      <c r="G148" s="168">
        <v>3.5000000000000003E-2</v>
      </c>
      <c r="H148" s="169"/>
      <c r="I148" s="170">
        <v>4</v>
      </c>
      <c r="J148" s="170">
        <v>4</v>
      </c>
      <c r="K148" s="167"/>
      <c r="L148" s="171">
        <v>5249.6984199999997</v>
      </c>
      <c r="M148" s="171">
        <v>-2717.7784700000002</v>
      </c>
      <c r="N148" s="171">
        <v>2531.91995</v>
      </c>
      <c r="O148" s="166">
        <v>315.61656063571502</v>
      </c>
      <c r="P148" s="172">
        <v>287.5</v>
      </c>
      <c r="Q148" s="182">
        <v>1.0977967326459599</v>
      </c>
      <c r="R148" s="183">
        <v>-125.01251815360099</v>
      </c>
      <c r="S148" s="168">
        <v>7.0000000000000001E-3</v>
      </c>
      <c r="T148" s="168">
        <v>5.0000000000000001E-3</v>
      </c>
      <c r="U148" s="175">
        <v>0</v>
      </c>
      <c r="V148" s="176">
        <v>236</v>
      </c>
      <c r="W148" s="167"/>
      <c r="X148" s="175">
        <v>4382.3393550000001</v>
      </c>
      <c r="Y148" s="166">
        <v>546.28064949827399</v>
      </c>
      <c r="Z148" s="177">
        <v>573</v>
      </c>
      <c r="AA148" s="188">
        <v>0.95336937085213602</v>
      </c>
      <c r="AB148" s="171">
        <v>-913.04257283309005</v>
      </c>
      <c r="AC148" s="168"/>
      <c r="AD148" s="168"/>
      <c r="AE148" s="176">
        <v>215</v>
      </c>
      <c r="AF148" s="176">
        <v>1134</v>
      </c>
      <c r="AG148" s="167"/>
      <c r="AH148" s="180">
        <v>469.55</v>
      </c>
      <c r="AI148" s="166">
        <v>58.531769950507297</v>
      </c>
      <c r="AJ148" s="181" t="s">
        <v>53</v>
      </c>
      <c r="AK148" s="188">
        <v>0.92907571350011497</v>
      </c>
      <c r="AL148" s="171">
        <v>-112.664766934528</v>
      </c>
      <c r="AM148" s="168"/>
      <c r="AN148" s="168"/>
      <c r="AO148" s="176">
        <v>36</v>
      </c>
      <c r="AP148" s="176">
        <v>137</v>
      </c>
      <c r="AQ148" s="167"/>
      <c r="AR148" s="180">
        <v>153.69999999999999</v>
      </c>
      <c r="AS148" s="166">
        <v>19.1594783119859</v>
      </c>
      <c r="AT148" s="181" t="s">
        <v>54</v>
      </c>
      <c r="AU148" s="178">
        <v>1.1974673944991201</v>
      </c>
      <c r="AV148" s="179">
        <v>5.8359322071039497</v>
      </c>
      <c r="AW148" s="168">
        <v>0.01</v>
      </c>
      <c r="AX148" s="168">
        <v>0.01</v>
      </c>
      <c r="AY148" s="176">
        <v>0</v>
      </c>
      <c r="AZ148" s="176">
        <v>1</v>
      </c>
      <c r="BA148" s="167"/>
      <c r="BB148" s="184">
        <v>358.6</v>
      </c>
      <c r="BC148" s="180">
        <v>44.701294226923402</v>
      </c>
      <c r="BD148" s="181" t="s">
        <v>55</v>
      </c>
      <c r="BE148" s="178">
        <v>1.3969154445913601</v>
      </c>
      <c r="BF148" s="179">
        <v>62.871864414207899</v>
      </c>
      <c r="BG148" s="168">
        <v>0.02</v>
      </c>
      <c r="BH148" s="168">
        <v>0.02</v>
      </c>
      <c r="BI148" s="176">
        <v>0</v>
      </c>
      <c r="BJ148" s="176">
        <v>0</v>
      </c>
      <c r="BK148" s="169"/>
      <c r="BL148" s="185">
        <v>0.8</v>
      </c>
      <c r="BM148" s="188">
        <v>0.76</v>
      </c>
      <c r="BN148" s="186"/>
      <c r="BO148" s="187">
        <v>0.95</v>
      </c>
      <c r="BP148" s="178">
        <v>1</v>
      </c>
      <c r="BQ148" s="186">
        <v>2.5000000000000001E-3</v>
      </c>
    </row>
    <row r="149" spans="1:69" s="156" customFormat="1" ht="22.35" customHeight="1" x14ac:dyDescent="0.2">
      <c r="A149" s="165" t="s">
        <v>175</v>
      </c>
      <c r="B149" s="165" t="s">
        <v>201</v>
      </c>
      <c r="C149" s="165" t="s">
        <v>210</v>
      </c>
      <c r="D149" s="166">
        <v>3.69585255633333</v>
      </c>
      <c r="E149" s="167"/>
      <c r="F149" s="168">
        <v>6.8000000000000005E-2</v>
      </c>
      <c r="G149" s="168">
        <v>6.2E-2</v>
      </c>
      <c r="H149" s="169"/>
      <c r="I149" s="170">
        <v>6</v>
      </c>
      <c r="J149" s="170">
        <v>6</v>
      </c>
      <c r="K149" s="167"/>
      <c r="L149" s="171">
        <v>2364.5979499999999</v>
      </c>
      <c r="M149" s="171">
        <v>126.8421</v>
      </c>
      <c r="N149" s="171">
        <v>2491.4400500000002</v>
      </c>
      <c r="O149" s="166">
        <v>674.11781504394401</v>
      </c>
      <c r="P149" s="172">
        <v>239.22399999999999</v>
      </c>
      <c r="Q149" s="178">
        <v>2.8179355543087001</v>
      </c>
      <c r="R149" s="179">
        <v>1472.9146500094</v>
      </c>
      <c r="S149" s="168">
        <v>0.01</v>
      </c>
      <c r="T149" s="168">
        <v>0.01</v>
      </c>
      <c r="U149" s="175">
        <v>0</v>
      </c>
      <c r="V149" s="176">
        <v>0</v>
      </c>
      <c r="W149" s="167"/>
      <c r="X149" s="175">
        <v>2504.3202350000001</v>
      </c>
      <c r="Y149" s="166">
        <v>677.602852610696</v>
      </c>
      <c r="Z149" s="177">
        <v>573</v>
      </c>
      <c r="AA149" s="178">
        <v>1.1825529713973799</v>
      </c>
      <c r="AB149" s="179">
        <v>64.702745974593697</v>
      </c>
      <c r="AC149" s="168">
        <v>0.02</v>
      </c>
      <c r="AD149" s="168">
        <v>1.7999999999999999E-2</v>
      </c>
      <c r="AE149" s="176">
        <v>0</v>
      </c>
      <c r="AF149" s="176">
        <v>37</v>
      </c>
      <c r="AG149" s="167"/>
      <c r="AH149" s="180">
        <v>241.4</v>
      </c>
      <c r="AI149" s="166">
        <v>65.316458468108806</v>
      </c>
      <c r="AJ149" s="181" t="s">
        <v>53</v>
      </c>
      <c r="AK149" s="182">
        <v>1.0367691820334699</v>
      </c>
      <c r="AL149" s="183">
        <v>-26.830195128447698</v>
      </c>
      <c r="AM149" s="168">
        <v>8.0000000000000002E-3</v>
      </c>
      <c r="AN149" s="168">
        <v>4.0000000000000001E-3</v>
      </c>
      <c r="AO149" s="176">
        <v>0</v>
      </c>
      <c r="AP149" s="176">
        <v>39</v>
      </c>
      <c r="AQ149" s="167"/>
      <c r="AR149" s="180">
        <v>109.7</v>
      </c>
      <c r="AS149" s="166">
        <v>29.6819200246542</v>
      </c>
      <c r="AT149" s="181" t="s">
        <v>54</v>
      </c>
      <c r="AU149" s="178">
        <v>1.85512000154089</v>
      </c>
      <c r="AV149" s="179">
        <v>41.578045681664101</v>
      </c>
      <c r="AW149" s="168">
        <v>0.01</v>
      </c>
      <c r="AX149" s="168">
        <v>0.01</v>
      </c>
      <c r="AY149" s="176">
        <v>0</v>
      </c>
      <c r="AZ149" s="176">
        <v>0</v>
      </c>
      <c r="BA149" s="167"/>
      <c r="BB149" s="184">
        <v>205</v>
      </c>
      <c r="BC149" s="180">
        <v>55.467580720639198</v>
      </c>
      <c r="BD149" s="181" t="s">
        <v>55</v>
      </c>
      <c r="BE149" s="178">
        <v>1.73336189751998</v>
      </c>
      <c r="BF149" s="179">
        <v>68.756091363328096</v>
      </c>
      <c r="BG149" s="168">
        <v>0.02</v>
      </c>
      <c r="BH149" s="168">
        <v>0.02</v>
      </c>
      <c r="BI149" s="176">
        <v>0</v>
      </c>
      <c r="BJ149" s="176">
        <v>0</v>
      </c>
      <c r="BK149" s="169"/>
      <c r="BL149" s="185">
        <v>0.8</v>
      </c>
      <c r="BM149" s="188">
        <v>0.76</v>
      </c>
      <c r="BN149" s="186"/>
      <c r="BO149" s="187">
        <v>0.95</v>
      </c>
      <c r="BP149" s="178">
        <v>1</v>
      </c>
      <c r="BQ149" s="186">
        <v>2.5000000000000001E-3</v>
      </c>
    </row>
    <row r="150" spans="1:69" s="156" customFormat="1" ht="22.35" customHeight="1" x14ac:dyDescent="0.2">
      <c r="A150" s="165" t="s">
        <v>175</v>
      </c>
      <c r="B150" s="165" t="s">
        <v>201</v>
      </c>
      <c r="C150" s="165" t="s">
        <v>211</v>
      </c>
      <c r="D150" s="166">
        <v>2.8061909415555601</v>
      </c>
      <c r="E150" s="167"/>
      <c r="F150" s="168">
        <v>0.06</v>
      </c>
      <c r="G150" s="168">
        <v>5.0999999999999997E-2</v>
      </c>
      <c r="H150" s="169"/>
      <c r="I150" s="170">
        <v>7</v>
      </c>
      <c r="J150" s="170">
        <v>7</v>
      </c>
      <c r="K150" s="167"/>
      <c r="L150" s="171">
        <v>2016.1551099999999</v>
      </c>
      <c r="M150" s="171">
        <v>1685.2257099999999</v>
      </c>
      <c r="N150" s="171">
        <v>3701.3808199999999</v>
      </c>
      <c r="O150" s="166">
        <v>1319.0053339521601</v>
      </c>
      <c r="P150" s="172">
        <v>229.53</v>
      </c>
      <c r="Q150" s="178">
        <v>5.7465487472319996</v>
      </c>
      <c r="R150" s="179">
        <v>2959.3718521488299</v>
      </c>
      <c r="S150" s="168">
        <v>0.01</v>
      </c>
      <c r="T150" s="168">
        <v>0.01</v>
      </c>
      <c r="U150" s="175">
        <v>0</v>
      </c>
      <c r="V150" s="176">
        <v>0</v>
      </c>
      <c r="W150" s="167"/>
      <c r="X150" s="175">
        <v>1775.0390500000001</v>
      </c>
      <c r="Y150" s="166">
        <v>632.543931246547</v>
      </c>
      <c r="Z150" s="177">
        <v>573</v>
      </c>
      <c r="AA150" s="182">
        <v>1.10391611037792</v>
      </c>
      <c r="AB150" s="183">
        <v>-77.316365757059003</v>
      </c>
      <c r="AC150" s="168">
        <v>1.4999999999999999E-2</v>
      </c>
      <c r="AD150" s="168">
        <v>0.01</v>
      </c>
      <c r="AE150" s="176">
        <v>0</v>
      </c>
      <c r="AF150" s="176">
        <v>155</v>
      </c>
      <c r="AG150" s="167"/>
      <c r="AH150" s="180">
        <v>178.15</v>
      </c>
      <c r="AI150" s="166">
        <v>63.484632268553398</v>
      </c>
      <c r="AJ150" s="181" t="s">
        <v>53</v>
      </c>
      <c r="AK150" s="182">
        <v>1.00769257569132</v>
      </c>
      <c r="AL150" s="183">
        <v>-25.512113774336299</v>
      </c>
      <c r="AM150" s="168">
        <v>5.0000000000000001E-3</v>
      </c>
      <c r="AN150" s="168">
        <v>1E-3</v>
      </c>
      <c r="AO150" s="176">
        <v>0</v>
      </c>
      <c r="AP150" s="176">
        <v>34</v>
      </c>
      <c r="AQ150" s="167"/>
      <c r="AR150" s="180">
        <v>62.4</v>
      </c>
      <c r="AS150" s="166">
        <v>22.2365481535657</v>
      </c>
      <c r="AT150" s="181" t="s">
        <v>54</v>
      </c>
      <c r="AU150" s="178">
        <v>1.38978425959786</v>
      </c>
      <c r="AV150" s="179">
        <v>10.6762885652479</v>
      </c>
      <c r="AW150" s="168">
        <v>0.01</v>
      </c>
      <c r="AX150" s="168">
        <v>0.01</v>
      </c>
      <c r="AY150" s="176">
        <v>0</v>
      </c>
      <c r="AZ150" s="176">
        <v>0</v>
      </c>
      <c r="BA150" s="167"/>
      <c r="BB150" s="184">
        <v>164.4</v>
      </c>
      <c r="BC150" s="180">
        <v>58.584751866125004</v>
      </c>
      <c r="BD150" s="181" t="s">
        <v>55</v>
      </c>
      <c r="BE150" s="178">
        <v>1.8307734958164099</v>
      </c>
      <c r="BF150" s="179">
        <v>60.952577130495797</v>
      </c>
      <c r="BG150" s="168">
        <v>0.02</v>
      </c>
      <c r="BH150" s="168">
        <v>0.02</v>
      </c>
      <c r="BI150" s="176">
        <v>0</v>
      </c>
      <c r="BJ150" s="176">
        <v>0</v>
      </c>
      <c r="BK150" s="169"/>
      <c r="BL150" s="185">
        <v>0.8</v>
      </c>
      <c r="BM150" s="182">
        <v>0.83</v>
      </c>
      <c r="BN150" s="186">
        <v>1.1249999999999999E-3</v>
      </c>
      <c r="BO150" s="187">
        <v>0.95</v>
      </c>
      <c r="BP150" s="178">
        <v>1</v>
      </c>
      <c r="BQ150" s="186">
        <v>2.5000000000000001E-3</v>
      </c>
    </row>
    <row r="151" spans="1:69" s="156" customFormat="1" ht="22.35" customHeight="1" x14ac:dyDescent="0.2">
      <c r="A151" s="165" t="s">
        <v>175</v>
      </c>
      <c r="B151" s="165" t="s">
        <v>201</v>
      </c>
      <c r="C151" s="165" t="s">
        <v>212</v>
      </c>
      <c r="D151" s="166">
        <v>3.7250110427777798</v>
      </c>
      <c r="E151" s="167"/>
      <c r="F151" s="168">
        <v>0.04</v>
      </c>
      <c r="G151" s="168">
        <v>0.04</v>
      </c>
      <c r="H151" s="169"/>
      <c r="I151" s="170">
        <v>4</v>
      </c>
      <c r="J151" s="170">
        <v>4</v>
      </c>
      <c r="K151" s="167"/>
      <c r="L151" s="171">
        <v>2309.8305599999999</v>
      </c>
      <c r="M151" s="171">
        <v>2898.9031199999999</v>
      </c>
      <c r="N151" s="171">
        <v>5208.7336800000003</v>
      </c>
      <c r="O151" s="166">
        <v>1398.3136211364899</v>
      </c>
      <c r="P151" s="172">
        <v>247.43600000000001</v>
      </c>
      <c r="Q151" s="178">
        <v>5.6512133284424699</v>
      </c>
      <c r="R151" s="179">
        <v>4146.9331690973604</v>
      </c>
      <c r="S151" s="168">
        <v>0.01</v>
      </c>
      <c r="T151" s="168">
        <v>0.01</v>
      </c>
      <c r="U151" s="175">
        <v>0</v>
      </c>
      <c r="V151" s="176">
        <v>0</v>
      </c>
      <c r="W151" s="167"/>
      <c r="X151" s="175">
        <v>1741.1142749999999</v>
      </c>
      <c r="Y151" s="166">
        <v>467.41184254359501</v>
      </c>
      <c r="Z151" s="177">
        <v>573</v>
      </c>
      <c r="AA151" s="188">
        <v>0.81572747389807199</v>
      </c>
      <c r="AB151" s="171">
        <v>-717.75061429344203</v>
      </c>
      <c r="AC151" s="168"/>
      <c r="AD151" s="168"/>
      <c r="AE151" s="176">
        <v>394</v>
      </c>
      <c r="AF151" s="176">
        <v>821</v>
      </c>
      <c r="AG151" s="167"/>
      <c r="AH151" s="180">
        <v>221.95</v>
      </c>
      <c r="AI151" s="166">
        <v>59.583715981279298</v>
      </c>
      <c r="AJ151" s="181" t="s">
        <v>53</v>
      </c>
      <c r="AK151" s="188">
        <v>0.945773269544115</v>
      </c>
      <c r="AL151" s="171">
        <v>-48.396401440640098</v>
      </c>
      <c r="AM151" s="168"/>
      <c r="AN151" s="168"/>
      <c r="AO151" s="176">
        <v>13</v>
      </c>
      <c r="AP151" s="176">
        <v>60</v>
      </c>
      <c r="AQ151" s="167"/>
      <c r="AR151" s="180">
        <v>108.6</v>
      </c>
      <c r="AS151" s="166">
        <v>29.1542759881366</v>
      </c>
      <c r="AT151" s="181" t="s">
        <v>54</v>
      </c>
      <c r="AU151" s="178">
        <v>1.82214224925854</v>
      </c>
      <c r="AV151" s="179">
        <v>39.940596459520002</v>
      </c>
      <c r="AW151" s="168">
        <v>0.01</v>
      </c>
      <c r="AX151" s="168">
        <v>0.01</v>
      </c>
      <c r="AY151" s="176">
        <v>0</v>
      </c>
      <c r="AZ151" s="176">
        <v>0</v>
      </c>
      <c r="BA151" s="167"/>
      <c r="BB151" s="184">
        <v>196.2</v>
      </c>
      <c r="BC151" s="180">
        <v>52.670984796246898</v>
      </c>
      <c r="BD151" s="181" t="s">
        <v>55</v>
      </c>
      <c r="BE151" s="178">
        <v>1.64596827488271</v>
      </c>
      <c r="BF151" s="179">
        <v>58.881192919039897</v>
      </c>
      <c r="BG151" s="168">
        <v>0.02</v>
      </c>
      <c r="BH151" s="168">
        <v>0.02</v>
      </c>
      <c r="BI151" s="176">
        <v>0</v>
      </c>
      <c r="BJ151" s="176">
        <v>0</v>
      </c>
      <c r="BK151" s="169"/>
      <c r="BL151" s="185">
        <v>0.8</v>
      </c>
      <c r="BM151" s="188">
        <v>0.79</v>
      </c>
      <c r="BN151" s="186"/>
      <c r="BO151" s="187">
        <v>0.95</v>
      </c>
      <c r="BP151" s="178">
        <v>1</v>
      </c>
      <c r="BQ151" s="186">
        <v>2.5000000000000001E-3</v>
      </c>
    </row>
    <row r="152" spans="1:69" s="156" customFormat="1" ht="22.35" customHeight="1" x14ac:dyDescent="0.2">
      <c r="A152" s="165" t="s">
        <v>175</v>
      </c>
      <c r="B152" s="165" t="s">
        <v>201</v>
      </c>
      <c r="C152" s="165" t="s">
        <v>213</v>
      </c>
      <c r="D152" s="166">
        <v>7.9314378249999997</v>
      </c>
      <c r="E152" s="167"/>
      <c r="F152" s="168">
        <v>1.6E-2</v>
      </c>
      <c r="G152" s="168">
        <v>1.2E-2</v>
      </c>
      <c r="H152" s="169"/>
      <c r="I152" s="170">
        <v>3</v>
      </c>
      <c r="J152" s="170">
        <v>3</v>
      </c>
      <c r="K152" s="167"/>
      <c r="L152" s="171">
        <v>5742.8224600000003</v>
      </c>
      <c r="M152" s="171">
        <v>1622.8122000000001</v>
      </c>
      <c r="N152" s="171">
        <v>7365.6346599999997</v>
      </c>
      <c r="O152" s="166">
        <v>928.66322885157297</v>
      </c>
      <c r="P152" s="172">
        <v>287.5</v>
      </c>
      <c r="Q152" s="178">
        <v>3.2301329699185199</v>
      </c>
      <c r="R152" s="179">
        <v>4738.7424523600002</v>
      </c>
      <c r="S152" s="168">
        <v>0.01</v>
      </c>
      <c r="T152" s="168">
        <v>0.01</v>
      </c>
      <c r="U152" s="175">
        <v>0</v>
      </c>
      <c r="V152" s="176">
        <v>0</v>
      </c>
      <c r="W152" s="167"/>
      <c r="X152" s="175">
        <v>3105.3231350000001</v>
      </c>
      <c r="Y152" s="166">
        <v>391.52083184866899</v>
      </c>
      <c r="Z152" s="177">
        <v>573</v>
      </c>
      <c r="AA152" s="173">
        <v>0.68328242905526904</v>
      </c>
      <c r="AB152" s="174">
        <v>-2130.1872475311998</v>
      </c>
      <c r="AC152" s="168"/>
      <c r="AD152" s="168"/>
      <c r="AE152" s="176">
        <v>1440</v>
      </c>
      <c r="AF152" s="176">
        <v>2349</v>
      </c>
      <c r="AG152" s="167"/>
      <c r="AH152" s="180">
        <v>291.5</v>
      </c>
      <c r="AI152" s="166">
        <v>36.752478734837702</v>
      </c>
      <c r="AJ152" s="181" t="s">
        <v>53</v>
      </c>
      <c r="AK152" s="173">
        <v>0.58337267833075701</v>
      </c>
      <c r="AL152" s="174">
        <v>-284.1320315872</v>
      </c>
      <c r="AM152" s="168"/>
      <c r="AN152" s="168"/>
      <c r="AO152" s="176">
        <v>209</v>
      </c>
      <c r="AP152" s="176">
        <v>309</v>
      </c>
      <c r="AQ152" s="167"/>
      <c r="AR152" s="180">
        <v>75.400000000000006</v>
      </c>
      <c r="AS152" s="166">
        <v>9.5064730586852999</v>
      </c>
      <c r="AT152" s="181" t="s">
        <v>54</v>
      </c>
      <c r="AU152" s="173">
        <v>0.59415456616783102</v>
      </c>
      <c r="AV152" s="174">
        <v>-70.792261990399993</v>
      </c>
      <c r="AW152" s="168"/>
      <c r="AX152" s="168"/>
      <c r="AY152" s="176">
        <v>52</v>
      </c>
      <c r="AZ152" s="176">
        <v>77</v>
      </c>
      <c r="BA152" s="167"/>
      <c r="BB152" s="184">
        <v>259.39999999999998</v>
      </c>
      <c r="BC152" s="180">
        <v>32.705293254946497</v>
      </c>
      <c r="BD152" s="181" t="s">
        <v>55</v>
      </c>
      <c r="BE152" s="182">
        <v>1.02204041421708</v>
      </c>
      <c r="BF152" s="183">
        <v>-32.984523980799999</v>
      </c>
      <c r="BG152" s="168">
        <v>6.0000000000000001E-3</v>
      </c>
      <c r="BH152" s="168">
        <v>2E-3</v>
      </c>
      <c r="BI152" s="176">
        <v>0</v>
      </c>
      <c r="BJ152" s="176">
        <v>46</v>
      </c>
      <c r="BK152" s="169"/>
      <c r="BL152" s="185">
        <v>0.8</v>
      </c>
      <c r="BM152" s="188">
        <v>0.76</v>
      </c>
      <c r="BN152" s="186"/>
      <c r="BO152" s="187">
        <v>0.95</v>
      </c>
      <c r="BP152" s="178">
        <v>1</v>
      </c>
      <c r="BQ152" s="186">
        <v>2.5000000000000001E-3</v>
      </c>
    </row>
    <row r="153" spans="1:69" s="156" customFormat="1" ht="22.35" customHeight="1" x14ac:dyDescent="0.2">
      <c r="A153" s="165" t="s">
        <v>175</v>
      </c>
      <c r="B153" s="165" t="s">
        <v>201</v>
      </c>
      <c r="C153" s="165" t="s">
        <v>214</v>
      </c>
      <c r="D153" s="166">
        <v>4.0442520443333301</v>
      </c>
      <c r="E153" s="167"/>
      <c r="F153" s="168">
        <v>5.2999999999999999E-2</v>
      </c>
      <c r="G153" s="168">
        <v>4.4999999999999998E-2</v>
      </c>
      <c r="H153" s="169"/>
      <c r="I153" s="170">
        <v>7</v>
      </c>
      <c r="J153" s="170">
        <v>7</v>
      </c>
      <c r="K153" s="167"/>
      <c r="L153" s="171">
        <v>975.77193</v>
      </c>
      <c r="M153" s="171">
        <v>2213.3778600000001</v>
      </c>
      <c r="N153" s="171">
        <v>3189.1497899999999</v>
      </c>
      <c r="O153" s="166">
        <v>788.56356009475905</v>
      </c>
      <c r="P153" s="172">
        <v>232.012</v>
      </c>
      <c r="Q153" s="178">
        <v>3.3988050622155699</v>
      </c>
      <c r="R153" s="179">
        <v>2108.2109038830399</v>
      </c>
      <c r="S153" s="168">
        <v>0.01</v>
      </c>
      <c r="T153" s="168">
        <v>0.01</v>
      </c>
      <c r="U153" s="175">
        <v>0</v>
      </c>
      <c r="V153" s="176">
        <v>0</v>
      </c>
      <c r="W153" s="167"/>
      <c r="X153" s="175">
        <v>2406.814065</v>
      </c>
      <c r="Y153" s="166">
        <v>595.11970040847098</v>
      </c>
      <c r="Z153" s="177">
        <v>573</v>
      </c>
      <c r="AA153" s="182">
        <v>1.0386033165941899</v>
      </c>
      <c r="AB153" s="183">
        <v>-262.78053245625398</v>
      </c>
      <c r="AC153" s="168">
        <v>8.0000000000000002E-3</v>
      </c>
      <c r="AD153" s="168">
        <v>4.0000000000000001E-3</v>
      </c>
      <c r="AE153" s="176">
        <v>0</v>
      </c>
      <c r="AF153" s="176">
        <v>375</v>
      </c>
      <c r="AG153" s="167"/>
      <c r="AH153" s="180">
        <v>257.7</v>
      </c>
      <c r="AI153" s="166">
        <v>63.7200642232673</v>
      </c>
      <c r="AJ153" s="181" t="s">
        <v>53</v>
      </c>
      <c r="AK153" s="182">
        <v>1.01142959084551</v>
      </c>
      <c r="AL153" s="183">
        <v>-35.815636369535802</v>
      </c>
      <c r="AM153" s="168">
        <v>5.0000000000000001E-3</v>
      </c>
      <c r="AN153" s="168">
        <v>1E-3</v>
      </c>
      <c r="AO153" s="176">
        <v>0</v>
      </c>
      <c r="AP153" s="176">
        <v>49</v>
      </c>
      <c r="AQ153" s="167"/>
      <c r="AR153" s="180">
        <v>84.1</v>
      </c>
      <c r="AS153" s="166">
        <v>20.794945289781801</v>
      </c>
      <c r="AT153" s="181" t="s">
        <v>54</v>
      </c>
      <c r="AU153" s="178">
        <v>1.2996840806113601</v>
      </c>
      <c r="AV153" s="179">
        <v>9.5563463188480693</v>
      </c>
      <c r="AW153" s="168">
        <v>0.01</v>
      </c>
      <c r="AX153" s="168">
        <v>0.01</v>
      </c>
      <c r="AY153" s="176">
        <v>0</v>
      </c>
      <c r="AZ153" s="176">
        <v>0</v>
      </c>
      <c r="BA153" s="167"/>
      <c r="BB153" s="184">
        <v>198.4</v>
      </c>
      <c r="BC153" s="180">
        <v>49.0572787811262</v>
      </c>
      <c r="BD153" s="181" t="s">
        <v>55</v>
      </c>
      <c r="BE153" s="178">
        <v>1.53303996191019</v>
      </c>
      <c r="BF153" s="179">
        <v>49.312692637696102</v>
      </c>
      <c r="BG153" s="168">
        <v>0.02</v>
      </c>
      <c r="BH153" s="168">
        <v>0.02</v>
      </c>
      <c r="BI153" s="176">
        <v>0</v>
      </c>
      <c r="BJ153" s="176">
        <v>0</v>
      </c>
      <c r="BK153" s="169"/>
      <c r="BL153" s="185">
        <v>0.8</v>
      </c>
      <c r="BM153" s="182">
        <v>0.82</v>
      </c>
      <c r="BN153" s="186">
        <v>7.5000000000000002E-4</v>
      </c>
      <c r="BO153" s="187">
        <v>0.95</v>
      </c>
      <c r="BP153" s="178">
        <v>1</v>
      </c>
      <c r="BQ153" s="186">
        <v>2.5000000000000001E-3</v>
      </c>
    </row>
    <row r="154" spans="1:69" s="156" customFormat="1" ht="22.35" customHeight="1" x14ac:dyDescent="0.2">
      <c r="A154" s="165" t="s">
        <v>175</v>
      </c>
      <c r="B154" s="165" t="s">
        <v>201</v>
      </c>
      <c r="C154" s="165" t="s">
        <v>215</v>
      </c>
      <c r="D154" s="166">
        <v>2.8994516252222202</v>
      </c>
      <c r="E154" s="167"/>
      <c r="F154" s="168">
        <v>7.5499999999999998E-2</v>
      </c>
      <c r="G154" s="168">
        <v>6.8000000000000005E-2</v>
      </c>
      <c r="H154" s="169"/>
      <c r="I154" s="170">
        <v>6</v>
      </c>
      <c r="J154" s="170">
        <v>6</v>
      </c>
      <c r="K154" s="167"/>
      <c r="L154" s="171">
        <v>2014.65408</v>
      </c>
      <c r="M154" s="171">
        <v>-991.23608999999999</v>
      </c>
      <c r="N154" s="171">
        <v>1023.41799</v>
      </c>
      <c r="O154" s="166">
        <v>352.96949985208403</v>
      </c>
      <c r="P154" s="172">
        <v>221.65100000000001</v>
      </c>
      <c r="Q154" s="178">
        <v>1.5924561578882299</v>
      </c>
      <c r="R154" s="179">
        <v>283.06635228618597</v>
      </c>
      <c r="S154" s="168">
        <v>0.01</v>
      </c>
      <c r="T154" s="168">
        <v>0.01</v>
      </c>
      <c r="U154" s="175">
        <v>0</v>
      </c>
      <c r="V154" s="176">
        <v>0</v>
      </c>
      <c r="W154" s="167"/>
      <c r="X154" s="175">
        <v>1859.9781599999999</v>
      </c>
      <c r="Y154" s="166">
        <v>641.49308228498103</v>
      </c>
      <c r="Z154" s="177">
        <v>573</v>
      </c>
      <c r="AA154" s="182">
        <v>1.1195341750174199</v>
      </c>
      <c r="AB154" s="183">
        <v>-53.938260002686803</v>
      </c>
      <c r="AC154" s="168">
        <v>1.7000000000000001E-2</v>
      </c>
      <c r="AD154" s="168">
        <v>1.2E-2</v>
      </c>
      <c r="AE154" s="176">
        <v>0</v>
      </c>
      <c r="AF154" s="176">
        <v>134</v>
      </c>
      <c r="AG154" s="167"/>
      <c r="AH154" s="180">
        <v>231.05</v>
      </c>
      <c r="AI154" s="166">
        <v>79.687482277719198</v>
      </c>
      <c r="AJ154" s="181" t="s">
        <v>53</v>
      </c>
      <c r="AK154" s="178">
        <v>1.2648806710749101</v>
      </c>
      <c r="AL154" s="179">
        <v>20.619398847872201</v>
      </c>
      <c r="AM154" s="168">
        <v>0.02</v>
      </c>
      <c r="AN154" s="168">
        <v>0.02</v>
      </c>
      <c r="AO154" s="176">
        <v>0</v>
      </c>
      <c r="AP154" s="176">
        <v>0</v>
      </c>
      <c r="AQ154" s="167"/>
      <c r="AR154" s="180">
        <v>52</v>
      </c>
      <c r="AS154" s="166">
        <v>17.9344257885367</v>
      </c>
      <c r="AT154" s="181" t="s">
        <v>54</v>
      </c>
      <c r="AU154" s="182">
        <v>1.12090161178354</v>
      </c>
      <c r="AV154" s="183">
        <v>-1.4426923560959599</v>
      </c>
      <c r="AW154" s="168">
        <v>8.5000000000000006E-3</v>
      </c>
      <c r="AX154" s="168">
        <v>6.0000000000000001E-3</v>
      </c>
      <c r="AY154" s="176">
        <v>0</v>
      </c>
      <c r="AZ154" s="176">
        <v>4</v>
      </c>
      <c r="BA154" s="167"/>
      <c r="BB154" s="184">
        <v>144.4</v>
      </c>
      <c r="BC154" s="180">
        <v>49.802520843551797</v>
      </c>
      <c r="BD154" s="181" t="s">
        <v>55</v>
      </c>
      <c r="BE154" s="178">
        <v>1.5563287763609901</v>
      </c>
      <c r="BF154" s="179">
        <v>37.514615287808098</v>
      </c>
      <c r="BG154" s="168">
        <v>0.02</v>
      </c>
      <c r="BH154" s="168">
        <v>0.02</v>
      </c>
      <c r="BI154" s="176">
        <v>0</v>
      </c>
      <c r="BJ154" s="176">
        <v>0</v>
      </c>
      <c r="BK154" s="169"/>
      <c r="BL154" s="185">
        <v>0.8</v>
      </c>
      <c r="BM154" s="188">
        <v>0.72</v>
      </c>
      <c r="BN154" s="186"/>
      <c r="BO154" s="187">
        <v>0.95</v>
      </c>
      <c r="BP154" s="178">
        <v>1</v>
      </c>
      <c r="BQ154" s="186">
        <v>2.5000000000000001E-3</v>
      </c>
    </row>
    <row r="155" spans="1:69" s="156" customFormat="1" ht="22.35" customHeight="1" x14ac:dyDescent="0.2">
      <c r="A155" s="165" t="s">
        <v>175</v>
      </c>
      <c r="B155" s="165" t="s">
        <v>201</v>
      </c>
      <c r="C155" s="165" t="s">
        <v>216</v>
      </c>
      <c r="D155" s="166">
        <v>4.91139505655556</v>
      </c>
      <c r="E155" s="167"/>
      <c r="F155" s="168">
        <v>3.6999999999999998E-2</v>
      </c>
      <c r="G155" s="168">
        <v>2.8500000000000001E-2</v>
      </c>
      <c r="H155" s="169"/>
      <c r="I155" s="170">
        <v>6</v>
      </c>
      <c r="J155" s="170">
        <v>5</v>
      </c>
      <c r="K155" s="167"/>
      <c r="L155" s="171">
        <v>2252.8888299999999</v>
      </c>
      <c r="M155" s="171">
        <v>2368.96263</v>
      </c>
      <c r="N155" s="171">
        <v>4621.8514599999999</v>
      </c>
      <c r="O155" s="166">
        <v>941.04656757979899</v>
      </c>
      <c r="P155" s="172">
        <v>287.5</v>
      </c>
      <c r="Q155" s="178">
        <v>3.2732054524514802</v>
      </c>
      <c r="R155" s="179">
        <v>2995.1974172688001</v>
      </c>
      <c r="S155" s="168">
        <v>0.01</v>
      </c>
      <c r="T155" s="168">
        <v>0.01</v>
      </c>
      <c r="U155" s="175">
        <v>0</v>
      </c>
      <c r="V155" s="176">
        <v>0</v>
      </c>
      <c r="W155" s="167"/>
      <c r="X155" s="175">
        <v>2789.7111150000001</v>
      </c>
      <c r="Y155" s="166">
        <v>568.00788429275201</v>
      </c>
      <c r="Z155" s="177">
        <v>573</v>
      </c>
      <c r="AA155" s="182">
        <v>0.99128775618281295</v>
      </c>
      <c r="AB155" s="183">
        <v>-452.281116252098</v>
      </c>
      <c r="AC155" s="168">
        <v>3.0000000000000001E-3</v>
      </c>
      <c r="AD155" s="168"/>
      <c r="AE155" s="176">
        <v>25</v>
      </c>
      <c r="AF155" s="176">
        <v>588</v>
      </c>
      <c r="AG155" s="167"/>
      <c r="AH155" s="180">
        <v>234.1</v>
      </c>
      <c r="AI155" s="166">
        <v>47.664664989132099</v>
      </c>
      <c r="AJ155" s="181" t="s">
        <v>53</v>
      </c>
      <c r="AK155" s="173">
        <v>0.75658198395447696</v>
      </c>
      <c r="AL155" s="174">
        <v>-122.349407624576</v>
      </c>
      <c r="AM155" s="168"/>
      <c r="AN155" s="168"/>
      <c r="AO155" s="176">
        <v>76</v>
      </c>
      <c r="AP155" s="176">
        <v>138</v>
      </c>
      <c r="AQ155" s="167"/>
      <c r="AR155" s="180">
        <v>92.2</v>
      </c>
      <c r="AS155" s="166">
        <v>18.772670277650501</v>
      </c>
      <c r="AT155" s="181" t="s">
        <v>54</v>
      </c>
      <c r="AU155" s="178">
        <v>1.1732918923531499</v>
      </c>
      <c r="AV155" s="179">
        <v>1.6731663175679501</v>
      </c>
      <c r="AW155" s="168">
        <v>0.01</v>
      </c>
      <c r="AX155" s="168">
        <v>8.5000000000000006E-3</v>
      </c>
      <c r="AY155" s="176">
        <v>0</v>
      </c>
      <c r="AZ155" s="176">
        <v>3</v>
      </c>
      <c r="BA155" s="167"/>
      <c r="BB155" s="184">
        <v>172.4</v>
      </c>
      <c r="BC155" s="180">
        <v>35.102042905281401</v>
      </c>
      <c r="BD155" s="181" t="s">
        <v>55</v>
      </c>
      <c r="BE155" s="182">
        <v>1.09693884079004</v>
      </c>
      <c r="BF155" s="183">
        <v>-8.6536673648641091</v>
      </c>
      <c r="BG155" s="168">
        <v>1.4E-2</v>
      </c>
      <c r="BH155" s="168">
        <v>0.01</v>
      </c>
      <c r="BI155" s="176">
        <v>0</v>
      </c>
      <c r="BJ155" s="176">
        <v>17</v>
      </c>
      <c r="BK155" s="169"/>
      <c r="BL155" s="185">
        <v>0.8</v>
      </c>
      <c r="BM155" s="182">
        <v>0.81</v>
      </c>
      <c r="BN155" s="186">
        <v>3.7500000000000001E-4</v>
      </c>
      <c r="BO155" s="187">
        <v>0.95</v>
      </c>
      <c r="BP155" s="178">
        <v>1</v>
      </c>
      <c r="BQ155" s="186">
        <v>2.5000000000000001E-3</v>
      </c>
    </row>
    <row r="156" spans="1:69" s="156" customFormat="1" ht="22.35" customHeight="1" x14ac:dyDescent="0.2">
      <c r="A156" s="165" t="s">
        <v>175</v>
      </c>
      <c r="B156" s="165" t="s">
        <v>201</v>
      </c>
      <c r="C156" s="165" t="s">
        <v>217</v>
      </c>
      <c r="D156" s="166">
        <v>2.8078154285555601</v>
      </c>
      <c r="E156" s="167"/>
      <c r="F156" s="168">
        <v>5.1999999999999998E-2</v>
      </c>
      <c r="G156" s="168">
        <v>4.7E-2</v>
      </c>
      <c r="H156" s="169"/>
      <c r="I156" s="170">
        <v>6</v>
      </c>
      <c r="J156" s="170">
        <v>6</v>
      </c>
      <c r="K156" s="167"/>
      <c r="L156" s="171">
        <v>1794.2928400000001</v>
      </c>
      <c r="M156" s="171">
        <v>2062.1856299999999</v>
      </c>
      <c r="N156" s="171">
        <v>3856.47847</v>
      </c>
      <c r="O156" s="166">
        <v>1373.4800481468701</v>
      </c>
      <c r="P156" s="172">
        <v>264.61399999999998</v>
      </c>
      <c r="Q156" s="178">
        <v>5.1905040857508302</v>
      </c>
      <c r="R156" s="179">
        <v>3000.5571328728101</v>
      </c>
      <c r="S156" s="168">
        <v>0.01</v>
      </c>
      <c r="T156" s="168">
        <v>0.01</v>
      </c>
      <c r="U156" s="175">
        <v>0</v>
      </c>
      <c r="V156" s="176">
        <v>0</v>
      </c>
      <c r="W156" s="167"/>
      <c r="X156" s="175">
        <v>1728.0844950000001</v>
      </c>
      <c r="Y156" s="166">
        <v>615.45516041593601</v>
      </c>
      <c r="Z156" s="177">
        <v>573</v>
      </c>
      <c r="AA156" s="182">
        <v>1.074092775595</v>
      </c>
      <c r="AB156" s="183">
        <v>-125.34323812781101</v>
      </c>
      <c r="AC156" s="168">
        <v>1.2E-2</v>
      </c>
      <c r="AD156" s="168">
        <v>7.0000000000000001E-3</v>
      </c>
      <c r="AE156" s="176">
        <v>0</v>
      </c>
      <c r="AF156" s="176">
        <v>203</v>
      </c>
      <c r="AG156" s="167"/>
      <c r="AH156" s="180">
        <v>167.8</v>
      </c>
      <c r="AI156" s="166">
        <v>59.761762932659202</v>
      </c>
      <c r="AJ156" s="181" t="s">
        <v>53</v>
      </c>
      <c r="AK156" s="188">
        <v>0.948599411629511</v>
      </c>
      <c r="AL156" s="171">
        <v>-35.9800125428483</v>
      </c>
      <c r="AM156" s="168"/>
      <c r="AN156" s="168"/>
      <c r="AO156" s="176">
        <v>10</v>
      </c>
      <c r="AP156" s="176">
        <v>45</v>
      </c>
      <c r="AQ156" s="167"/>
      <c r="AR156" s="180">
        <v>84.4</v>
      </c>
      <c r="AS156" s="166">
        <v>30.058955849323201</v>
      </c>
      <c r="AT156" s="181" t="s">
        <v>54</v>
      </c>
      <c r="AU156" s="178">
        <v>1.8786847405827001</v>
      </c>
      <c r="AV156" s="179">
        <v>32.646346020863902</v>
      </c>
      <c r="AW156" s="168">
        <v>0.01</v>
      </c>
      <c r="AX156" s="168">
        <v>0.01</v>
      </c>
      <c r="AY156" s="176">
        <v>0</v>
      </c>
      <c r="AZ156" s="176">
        <v>0</v>
      </c>
      <c r="BA156" s="167"/>
      <c r="BB156" s="184">
        <v>188.2</v>
      </c>
      <c r="BC156" s="180">
        <v>67.027197758798906</v>
      </c>
      <c r="BD156" s="181" t="s">
        <v>55</v>
      </c>
      <c r="BE156" s="178">
        <v>2.0945999299624698</v>
      </c>
      <c r="BF156" s="179">
        <v>84.692692041727796</v>
      </c>
      <c r="BG156" s="168">
        <v>0.02</v>
      </c>
      <c r="BH156" s="168">
        <v>0.02</v>
      </c>
      <c r="BI156" s="176">
        <v>0</v>
      </c>
      <c r="BJ156" s="176">
        <v>0</v>
      </c>
      <c r="BK156" s="169"/>
      <c r="BL156" s="185">
        <v>0.8</v>
      </c>
      <c r="BM156" s="182">
        <v>0.82</v>
      </c>
      <c r="BN156" s="186">
        <v>7.5000000000000002E-4</v>
      </c>
      <c r="BO156" s="187">
        <v>0.95</v>
      </c>
      <c r="BP156" s="178">
        <v>1</v>
      </c>
      <c r="BQ156" s="186">
        <v>2.5000000000000001E-3</v>
      </c>
    </row>
    <row r="157" spans="1:69" s="156" customFormat="1" ht="22.35" customHeight="1" x14ac:dyDescent="0.2">
      <c r="A157" s="165" t="s">
        <v>175</v>
      </c>
      <c r="B157" s="165" t="s">
        <v>201</v>
      </c>
      <c r="C157" s="165" t="s">
        <v>218</v>
      </c>
      <c r="D157" s="166">
        <v>8.1451756455555593</v>
      </c>
      <c r="E157" s="167"/>
      <c r="F157" s="168">
        <v>4.3999999999999997E-2</v>
      </c>
      <c r="G157" s="168">
        <v>3.6999999999999998E-2</v>
      </c>
      <c r="H157" s="169"/>
      <c r="I157" s="170">
        <v>6</v>
      </c>
      <c r="J157" s="170">
        <v>6</v>
      </c>
      <c r="K157" s="167"/>
      <c r="L157" s="171">
        <v>3420.64077</v>
      </c>
      <c r="M157" s="171">
        <v>5092.6730500000003</v>
      </c>
      <c r="N157" s="171">
        <v>8513.3138199999994</v>
      </c>
      <c r="O157" s="166">
        <v>1045.19708235455</v>
      </c>
      <c r="P157" s="172">
        <v>241.934</v>
      </c>
      <c r="Q157" s="178">
        <v>4.3201744374686903</v>
      </c>
      <c r="R157" s="179">
        <v>6243.18846682412</v>
      </c>
      <c r="S157" s="168">
        <v>0.01</v>
      </c>
      <c r="T157" s="168">
        <v>0.01</v>
      </c>
      <c r="U157" s="175">
        <v>0</v>
      </c>
      <c r="V157" s="176">
        <v>0</v>
      </c>
      <c r="W157" s="167"/>
      <c r="X157" s="175">
        <v>4822.4092600000004</v>
      </c>
      <c r="Y157" s="166">
        <v>592.057123118194</v>
      </c>
      <c r="Z157" s="177">
        <v>573</v>
      </c>
      <c r="AA157" s="182">
        <v>1.0332585045692699</v>
      </c>
      <c r="AB157" s="183">
        <v>-554.18860292864395</v>
      </c>
      <c r="AC157" s="168">
        <v>8.0000000000000002E-3</v>
      </c>
      <c r="AD157" s="168">
        <v>3.0000000000000001E-3</v>
      </c>
      <c r="AE157" s="176">
        <v>0</v>
      </c>
      <c r="AF157" s="176">
        <v>779</v>
      </c>
      <c r="AG157" s="167"/>
      <c r="AH157" s="180">
        <v>456.15</v>
      </c>
      <c r="AI157" s="166">
        <v>56.0024755572828</v>
      </c>
      <c r="AJ157" s="181" t="s">
        <v>53</v>
      </c>
      <c r="AK157" s="188">
        <v>0.88892818344893298</v>
      </c>
      <c r="AL157" s="171">
        <v>-134.99426765184</v>
      </c>
      <c r="AM157" s="168"/>
      <c r="AN157" s="168"/>
      <c r="AO157" s="176">
        <v>57</v>
      </c>
      <c r="AP157" s="176">
        <v>160</v>
      </c>
      <c r="AQ157" s="167"/>
      <c r="AR157" s="180">
        <v>140.4</v>
      </c>
      <c r="AS157" s="166">
        <v>17.2371973435109</v>
      </c>
      <c r="AT157" s="181" t="s">
        <v>54</v>
      </c>
      <c r="AU157" s="182">
        <v>1.0773248339694299</v>
      </c>
      <c r="AV157" s="183">
        <v>-9.73187749888009</v>
      </c>
      <c r="AW157" s="168">
        <v>6.0000000000000001E-3</v>
      </c>
      <c r="AX157" s="168">
        <v>4.0000000000000001E-3</v>
      </c>
      <c r="AY157" s="176">
        <v>0</v>
      </c>
      <c r="AZ157" s="176">
        <v>16</v>
      </c>
      <c r="BA157" s="167"/>
      <c r="BB157" s="184">
        <v>335.2</v>
      </c>
      <c r="BC157" s="180">
        <v>41.153194797327998</v>
      </c>
      <c r="BD157" s="181" t="s">
        <v>55</v>
      </c>
      <c r="BE157" s="178">
        <v>1.2860373374164999</v>
      </c>
      <c r="BF157" s="179">
        <v>34.936245002239801</v>
      </c>
      <c r="BG157" s="168">
        <v>0.02</v>
      </c>
      <c r="BH157" s="168">
        <v>0.02</v>
      </c>
      <c r="BI157" s="176">
        <v>0</v>
      </c>
      <c r="BJ157" s="176">
        <v>0</v>
      </c>
      <c r="BK157" s="169"/>
      <c r="BL157" s="185">
        <v>0.8</v>
      </c>
      <c r="BM157" s="182">
        <v>0.81</v>
      </c>
      <c r="BN157" s="186">
        <v>3.7500000000000001E-4</v>
      </c>
      <c r="BO157" s="187">
        <v>0.95</v>
      </c>
      <c r="BP157" s="178">
        <v>1</v>
      </c>
      <c r="BQ157" s="186">
        <v>2.5000000000000001E-3</v>
      </c>
    </row>
    <row r="158" spans="1:69" s="156" customFormat="1" ht="22.35" customHeight="1" x14ac:dyDescent="0.2">
      <c r="A158" s="165" t="s">
        <v>175</v>
      </c>
      <c r="B158" s="165" t="s">
        <v>201</v>
      </c>
      <c r="C158" s="165" t="s">
        <v>219</v>
      </c>
      <c r="D158" s="166">
        <v>4.9912352884444404</v>
      </c>
      <c r="E158" s="167"/>
      <c r="F158" s="168">
        <v>0.05</v>
      </c>
      <c r="G158" s="168">
        <v>4.9000000000000002E-2</v>
      </c>
      <c r="H158" s="169"/>
      <c r="I158" s="170">
        <v>5</v>
      </c>
      <c r="J158" s="170">
        <v>5</v>
      </c>
      <c r="K158" s="167"/>
      <c r="L158" s="171">
        <v>6271.41309</v>
      </c>
      <c r="M158" s="171">
        <v>8562.2058400000005</v>
      </c>
      <c r="N158" s="171">
        <v>14833.618930000001</v>
      </c>
      <c r="O158" s="166">
        <v>2971.9334138269001</v>
      </c>
      <c r="P158" s="172">
        <v>267.06299999999999</v>
      </c>
      <c r="Q158" s="178">
        <v>11.1282109982547</v>
      </c>
      <c r="R158" s="179">
        <v>13298.032571146799</v>
      </c>
      <c r="S158" s="168">
        <v>0.01</v>
      </c>
      <c r="T158" s="168">
        <v>0.01</v>
      </c>
      <c r="U158" s="175">
        <v>0</v>
      </c>
      <c r="V158" s="176">
        <v>0</v>
      </c>
      <c r="W158" s="167"/>
      <c r="X158" s="175">
        <v>3403.2442700000001</v>
      </c>
      <c r="Y158" s="166">
        <v>681.84408735029695</v>
      </c>
      <c r="Z158" s="177">
        <v>573</v>
      </c>
      <c r="AA158" s="178">
        <v>1.18995477722565</v>
      </c>
      <c r="AB158" s="179">
        <v>108.549821038979</v>
      </c>
      <c r="AC158" s="168">
        <v>0.02</v>
      </c>
      <c r="AD158" s="168">
        <v>1.9E-2</v>
      </c>
      <c r="AE158" s="176">
        <v>0</v>
      </c>
      <c r="AF158" s="176">
        <v>29</v>
      </c>
      <c r="AG158" s="167"/>
      <c r="AH158" s="180">
        <v>276.60000000000002</v>
      </c>
      <c r="AI158" s="166">
        <v>55.4171430548217</v>
      </c>
      <c r="AJ158" s="181" t="s">
        <v>53</v>
      </c>
      <c r="AK158" s="188">
        <v>0.87963719134637597</v>
      </c>
      <c r="AL158" s="171">
        <v>-85.643892294143598</v>
      </c>
      <c r="AM158" s="168"/>
      <c r="AN158" s="168"/>
      <c r="AO158" s="176">
        <v>38</v>
      </c>
      <c r="AP158" s="176">
        <v>101</v>
      </c>
      <c r="AQ158" s="167"/>
      <c r="AR158" s="180">
        <v>60.4</v>
      </c>
      <c r="AS158" s="166">
        <v>12.101212727806301</v>
      </c>
      <c r="AT158" s="181" t="s">
        <v>54</v>
      </c>
      <c r="AU158" s="173">
        <v>0.75632579548789503</v>
      </c>
      <c r="AV158" s="174">
        <v>-31.598448836607901</v>
      </c>
      <c r="AW158" s="168"/>
      <c r="AX158" s="168"/>
      <c r="AY158" s="176">
        <v>20</v>
      </c>
      <c r="AZ158" s="176">
        <v>36</v>
      </c>
      <c r="BA158" s="167"/>
      <c r="BB158" s="184">
        <v>236</v>
      </c>
      <c r="BC158" s="180">
        <v>47.2828841682499</v>
      </c>
      <c r="BD158" s="181" t="s">
        <v>55</v>
      </c>
      <c r="BE158" s="178">
        <v>1.4775901302578101</v>
      </c>
      <c r="BF158" s="179">
        <v>52.003102326784202</v>
      </c>
      <c r="BG158" s="168">
        <v>0.02</v>
      </c>
      <c r="BH158" s="168">
        <v>0.02</v>
      </c>
      <c r="BI158" s="176">
        <v>0</v>
      </c>
      <c r="BJ158" s="176">
        <v>0</v>
      </c>
      <c r="BK158" s="169"/>
      <c r="BL158" s="185">
        <v>0.8</v>
      </c>
      <c r="BM158" s="182">
        <v>0.82</v>
      </c>
      <c r="BN158" s="186">
        <v>7.5000000000000002E-4</v>
      </c>
      <c r="BO158" s="187">
        <v>0.95</v>
      </c>
      <c r="BP158" s="178">
        <v>1</v>
      </c>
      <c r="BQ158" s="186">
        <v>2.5000000000000001E-3</v>
      </c>
    </row>
    <row r="159" spans="1:69" s="156" customFormat="1" ht="22.35" customHeight="1" x14ac:dyDescent="0.2">
      <c r="A159" s="165" t="s">
        <v>220</v>
      </c>
      <c r="B159" s="165" t="s">
        <v>221</v>
      </c>
      <c r="C159" s="165" t="s">
        <v>222</v>
      </c>
      <c r="D159" s="166">
        <v>2.5021163648888902</v>
      </c>
      <c r="E159" s="167"/>
      <c r="F159" s="168">
        <v>1.0999999999999999E-2</v>
      </c>
      <c r="G159" s="168">
        <v>0.01</v>
      </c>
      <c r="H159" s="169"/>
      <c r="I159" s="170">
        <v>3</v>
      </c>
      <c r="J159" s="170">
        <v>2</v>
      </c>
      <c r="K159" s="167"/>
      <c r="L159" s="171">
        <v>787.56478000000004</v>
      </c>
      <c r="M159" s="171">
        <v>1045.05132</v>
      </c>
      <c r="N159" s="171">
        <v>1832.6161</v>
      </c>
      <c r="O159" s="166">
        <v>732.42640738708405</v>
      </c>
      <c r="P159" s="172">
        <v>242.67599999999999</v>
      </c>
      <c r="Q159" s="178">
        <v>3.01812460806625</v>
      </c>
      <c r="R159" s="179">
        <v>1133.1175632074301</v>
      </c>
      <c r="S159" s="168">
        <v>0.01</v>
      </c>
      <c r="T159" s="168">
        <v>0.01</v>
      </c>
      <c r="U159" s="175">
        <v>0</v>
      </c>
      <c r="V159" s="176">
        <v>0</v>
      </c>
      <c r="W159" s="167"/>
      <c r="X159" s="175">
        <v>1394.92947</v>
      </c>
      <c r="Y159" s="166">
        <v>557.49983876626902</v>
      </c>
      <c r="Z159" s="177">
        <v>573</v>
      </c>
      <c r="AA159" s="182">
        <v>0.97294910779453703</v>
      </c>
      <c r="AB159" s="183">
        <v>-256.707533997697</v>
      </c>
      <c r="AC159" s="168">
        <v>1E-3</v>
      </c>
      <c r="AD159" s="168"/>
      <c r="AE159" s="176">
        <v>39</v>
      </c>
      <c r="AF159" s="176">
        <v>326</v>
      </c>
      <c r="AG159" s="167"/>
      <c r="AH159" s="180">
        <v>121.7</v>
      </c>
      <c r="AI159" s="166">
        <v>48.638824999413799</v>
      </c>
      <c r="AJ159" s="181" t="s">
        <v>53</v>
      </c>
      <c r="AK159" s="188">
        <v>0.77204484126053596</v>
      </c>
      <c r="AL159" s="171">
        <v>-59.893597298176097</v>
      </c>
      <c r="AM159" s="168"/>
      <c r="AN159" s="168"/>
      <c r="AO159" s="176">
        <v>36</v>
      </c>
      <c r="AP159" s="176">
        <v>68</v>
      </c>
      <c r="AQ159" s="167"/>
      <c r="AR159" s="180">
        <v>19.399999999999999</v>
      </c>
      <c r="AS159" s="166">
        <v>7.7534363598079503</v>
      </c>
      <c r="AT159" s="181" t="s">
        <v>54</v>
      </c>
      <c r="AU159" s="173">
        <v>0.48458977248799701</v>
      </c>
      <c r="AV159" s="174">
        <v>-26.719008837632</v>
      </c>
      <c r="AW159" s="168"/>
      <c r="AX159" s="168"/>
      <c r="AY159" s="176">
        <v>21</v>
      </c>
      <c r="AZ159" s="176">
        <v>29</v>
      </c>
      <c r="BA159" s="167"/>
      <c r="BB159" s="184">
        <v>60</v>
      </c>
      <c r="BC159" s="180">
        <v>23.9797000818802</v>
      </c>
      <c r="BD159" s="181" t="s">
        <v>55</v>
      </c>
      <c r="BE159" s="173">
        <v>0.74936562755875702</v>
      </c>
      <c r="BF159" s="174">
        <v>-32.238017675263997</v>
      </c>
      <c r="BG159" s="168"/>
      <c r="BH159" s="168"/>
      <c r="BI159" s="176">
        <v>21</v>
      </c>
      <c r="BJ159" s="176">
        <v>37</v>
      </c>
      <c r="BK159" s="169"/>
      <c r="BL159" s="185">
        <v>0.8</v>
      </c>
      <c r="BM159" s="188">
        <v>0.78</v>
      </c>
      <c r="BN159" s="186"/>
      <c r="BO159" s="187">
        <v>0.95</v>
      </c>
      <c r="BP159" s="178">
        <v>1</v>
      </c>
      <c r="BQ159" s="186">
        <v>2.5000000000000001E-3</v>
      </c>
    </row>
    <row r="160" spans="1:69" s="156" customFormat="1" ht="22.35" customHeight="1" x14ac:dyDescent="0.2">
      <c r="A160" s="165" t="s">
        <v>220</v>
      </c>
      <c r="B160" s="165" t="s">
        <v>221</v>
      </c>
      <c r="C160" s="165" t="s">
        <v>223</v>
      </c>
      <c r="D160" s="166">
        <v>1.37464506811111</v>
      </c>
      <c r="E160" s="167"/>
      <c r="F160" s="168">
        <v>1.9E-2</v>
      </c>
      <c r="G160" s="168">
        <v>1.4999999999999999E-2</v>
      </c>
      <c r="H160" s="169"/>
      <c r="I160" s="170">
        <v>3</v>
      </c>
      <c r="J160" s="170">
        <v>3</v>
      </c>
      <c r="K160" s="167"/>
      <c r="L160" s="171">
        <v>982.87054999999998</v>
      </c>
      <c r="M160" s="171">
        <v>-152.37432000000001</v>
      </c>
      <c r="N160" s="171">
        <v>830.49622999999997</v>
      </c>
      <c r="O160" s="166">
        <v>604.15320962899796</v>
      </c>
      <c r="P160" s="172">
        <v>219.79400000000001</v>
      </c>
      <c r="Q160" s="178">
        <v>2.7487247587695598</v>
      </c>
      <c r="R160" s="179">
        <v>482.43240370832399</v>
      </c>
      <c r="S160" s="168">
        <v>0.01</v>
      </c>
      <c r="T160" s="168">
        <v>0.01</v>
      </c>
      <c r="U160" s="175">
        <v>0</v>
      </c>
      <c r="V160" s="176">
        <v>0</v>
      </c>
      <c r="W160" s="167"/>
      <c r="X160" s="175">
        <v>825.16083500000002</v>
      </c>
      <c r="Y160" s="166">
        <v>600.27192047024005</v>
      </c>
      <c r="Z160" s="177">
        <v>573</v>
      </c>
      <c r="AA160" s="182">
        <v>1.0475949746426501</v>
      </c>
      <c r="AB160" s="183">
        <v>-82.236875879871405</v>
      </c>
      <c r="AC160" s="168">
        <v>8.9999999999999993E-3</v>
      </c>
      <c r="AD160" s="168">
        <v>5.0000000000000001E-3</v>
      </c>
      <c r="AE160" s="176">
        <v>0</v>
      </c>
      <c r="AF160" s="176">
        <v>121</v>
      </c>
      <c r="AG160" s="167"/>
      <c r="AH160" s="180">
        <v>71.2</v>
      </c>
      <c r="AI160" s="166">
        <v>51.795188191985702</v>
      </c>
      <c r="AJ160" s="181" t="s">
        <v>53</v>
      </c>
      <c r="AK160" s="188">
        <v>0.82214584431723303</v>
      </c>
      <c r="AL160" s="171">
        <v>-28.5662404632319</v>
      </c>
      <c r="AM160" s="168"/>
      <c r="AN160" s="168"/>
      <c r="AO160" s="176">
        <v>16</v>
      </c>
      <c r="AP160" s="176">
        <v>33</v>
      </c>
      <c r="AQ160" s="167"/>
      <c r="AR160" s="180">
        <v>10.6</v>
      </c>
      <c r="AS160" s="166">
        <v>7.7110813881327003</v>
      </c>
      <c r="AT160" s="181" t="s">
        <v>54</v>
      </c>
      <c r="AU160" s="173">
        <v>0.48194258675829399</v>
      </c>
      <c r="AV160" s="174">
        <v>-14.737457895424001</v>
      </c>
      <c r="AW160" s="168"/>
      <c r="AX160" s="168"/>
      <c r="AY160" s="176">
        <v>12</v>
      </c>
      <c r="AZ160" s="176">
        <v>16</v>
      </c>
      <c r="BA160" s="167"/>
      <c r="BB160" s="184">
        <v>31.8</v>
      </c>
      <c r="BC160" s="180">
        <v>23.1332441643981</v>
      </c>
      <c r="BD160" s="181" t="s">
        <v>55</v>
      </c>
      <c r="BE160" s="173">
        <v>0.72291388013744096</v>
      </c>
      <c r="BF160" s="174">
        <v>-18.874915790848</v>
      </c>
      <c r="BG160" s="168"/>
      <c r="BH160" s="168"/>
      <c r="BI160" s="176">
        <v>13</v>
      </c>
      <c r="BJ160" s="176">
        <v>21</v>
      </c>
      <c r="BK160" s="169"/>
      <c r="BL160" s="185">
        <v>0.8</v>
      </c>
      <c r="BM160" s="188">
        <v>0.77</v>
      </c>
      <c r="BN160" s="186"/>
      <c r="BO160" s="187">
        <v>0.95</v>
      </c>
      <c r="BP160" s="178">
        <v>1</v>
      </c>
      <c r="BQ160" s="186">
        <v>2.5000000000000001E-3</v>
      </c>
    </row>
    <row r="161" spans="1:69" s="156" customFormat="1" ht="22.35" customHeight="1" x14ac:dyDescent="0.2">
      <c r="A161" s="165" t="s">
        <v>220</v>
      </c>
      <c r="B161" s="165" t="s">
        <v>221</v>
      </c>
      <c r="C161" s="165" t="s">
        <v>224</v>
      </c>
      <c r="D161" s="166">
        <v>2.7294855338888899</v>
      </c>
      <c r="E161" s="167"/>
      <c r="F161" s="168">
        <v>3.5999999999999997E-2</v>
      </c>
      <c r="G161" s="168">
        <v>2.7E-2</v>
      </c>
      <c r="H161" s="169"/>
      <c r="I161" s="170">
        <v>4</v>
      </c>
      <c r="J161" s="170">
        <v>4</v>
      </c>
      <c r="K161" s="167"/>
      <c r="L161" s="171">
        <v>1355.4406200000001</v>
      </c>
      <c r="M161" s="171">
        <v>832.05454999999995</v>
      </c>
      <c r="N161" s="171">
        <v>2187.4951700000001</v>
      </c>
      <c r="O161" s="166">
        <v>801.43131108056195</v>
      </c>
      <c r="P161" s="172">
        <v>219.79400000000001</v>
      </c>
      <c r="Q161" s="178">
        <v>3.6462838434195701</v>
      </c>
      <c r="R161" s="179">
        <v>1496.3820959622201</v>
      </c>
      <c r="S161" s="168">
        <v>0.01</v>
      </c>
      <c r="T161" s="168">
        <v>0.01</v>
      </c>
      <c r="U161" s="175">
        <v>0</v>
      </c>
      <c r="V161" s="176">
        <v>0</v>
      </c>
      <c r="W161" s="167"/>
      <c r="X161" s="175">
        <v>1644.250935</v>
      </c>
      <c r="Y161" s="166">
        <v>602.40324214406803</v>
      </c>
      <c r="Z161" s="177">
        <v>573</v>
      </c>
      <c r="AA161" s="182">
        <v>1.05131455871565</v>
      </c>
      <c r="AB161" s="183">
        <v>-157.47154797792101</v>
      </c>
      <c r="AC161" s="168">
        <v>0.01</v>
      </c>
      <c r="AD161" s="168">
        <v>5.0000000000000001E-3</v>
      </c>
      <c r="AE161" s="176">
        <v>0</v>
      </c>
      <c r="AF161" s="176">
        <v>233</v>
      </c>
      <c r="AG161" s="167"/>
      <c r="AH161" s="180">
        <v>70.7</v>
      </c>
      <c r="AI161" s="166">
        <v>25.902317166440099</v>
      </c>
      <c r="AJ161" s="181" t="s">
        <v>53</v>
      </c>
      <c r="AK161" s="173">
        <v>0.41114789153079501</v>
      </c>
      <c r="AL161" s="174">
        <v>-127.39514210752</v>
      </c>
      <c r="AM161" s="168"/>
      <c r="AN161" s="168"/>
      <c r="AO161" s="176">
        <v>102</v>
      </c>
      <c r="AP161" s="176">
        <v>136</v>
      </c>
      <c r="AQ161" s="167"/>
      <c r="AR161" s="180">
        <v>21.6</v>
      </c>
      <c r="AS161" s="166">
        <v>7.91357921916698</v>
      </c>
      <c r="AT161" s="181" t="s">
        <v>54</v>
      </c>
      <c r="AU161" s="173">
        <v>0.49459870119793597</v>
      </c>
      <c r="AV161" s="174">
        <v>-28.70987736064</v>
      </c>
      <c r="AW161" s="168"/>
      <c r="AX161" s="168"/>
      <c r="AY161" s="176">
        <v>23</v>
      </c>
      <c r="AZ161" s="176">
        <v>31</v>
      </c>
      <c r="BA161" s="167"/>
      <c r="BB161" s="184">
        <v>97.6</v>
      </c>
      <c r="BC161" s="180">
        <v>35.757654249569299</v>
      </c>
      <c r="BD161" s="181" t="s">
        <v>55</v>
      </c>
      <c r="BE161" s="182">
        <v>1.1174266952990399</v>
      </c>
      <c r="BF161" s="183">
        <v>-3.01975472128004</v>
      </c>
      <c r="BG161" s="168">
        <v>1.6E-2</v>
      </c>
      <c r="BH161" s="168">
        <v>1.2E-2</v>
      </c>
      <c r="BI161" s="176">
        <v>0</v>
      </c>
      <c r="BJ161" s="176">
        <v>8</v>
      </c>
      <c r="BK161" s="169"/>
      <c r="BL161" s="185">
        <v>0.8</v>
      </c>
      <c r="BM161" s="188">
        <v>0.8</v>
      </c>
      <c r="BN161" s="186">
        <v>0</v>
      </c>
      <c r="BO161" s="187">
        <v>0.95</v>
      </c>
      <c r="BP161" s="178">
        <v>1</v>
      </c>
      <c r="BQ161" s="186">
        <v>2.5000000000000001E-3</v>
      </c>
    </row>
    <row r="162" spans="1:69" s="156" customFormat="1" ht="22.35" customHeight="1" x14ac:dyDescent="0.2">
      <c r="A162" s="165" t="s">
        <v>220</v>
      </c>
      <c r="B162" s="165" t="s">
        <v>221</v>
      </c>
      <c r="C162" s="165" t="s">
        <v>225</v>
      </c>
      <c r="D162" s="166">
        <v>1.1783439328888901</v>
      </c>
      <c r="E162" s="167"/>
      <c r="F162" s="168">
        <v>4.5999999999999999E-2</v>
      </c>
      <c r="G162" s="168">
        <v>4.1000000000000002E-2</v>
      </c>
      <c r="H162" s="169"/>
      <c r="I162" s="170">
        <v>5</v>
      </c>
      <c r="J162" s="170">
        <v>5</v>
      </c>
      <c r="K162" s="167"/>
      <c r="L162" s="171">
        <v>955.99843999999996</v>
      </c>
      <c r="M162" s="171">
        <v>656.14077999999995</v>
      </c>
      <c r="N162" s="171">
        <v>1612.13922</v>
      </c>
      <c r="O162" s="166">
        <v>1368.1397892443799</v>
      </c>
      <c r="P162" s="172">
        <v>224.79599999999999</v>
      </c>
      <c r="Q162" s="178">
        <v>6.0861393852398598</v>
      </c>
      <c r="R162" s="179">
        <v>1306.98939284618</v>
      </c>
      <c r="S162" s="168">
        <v>0.01</v>
      </c>
      <c r="T162" s="168">
        <v>0.01</v>
      </c>
      <c r="U162" s="175">
        <v>0</v>
      </c>
      <c r="V162" s="176">
        <v>0</v>
      </c>
      <c r="W162" s="167"/>
      <c r="X162" s="175">
        <v>588.16729499999997</v>
      </c>
      <c r="Y162" s="166">
        <v>499.14738692464698</v>
      </c>
      <c r="Z162" s="177">
        <v>573</v>
      </c>
      <c r="AA162" s="188">
        <v>0.87111236810584003</v>
      </c>
      <c r="AB162" s="171">
        <v>-189.65282172422499</v>
      </c>
      <c r="AC162" s="168"/>
      <c r="AD162" s="168"/>
      <c r="AE162" s="176">
        <v>88</v>
      </c>
      <c r="AF162" s="176">
        <v>223</v>
      </c>
      <c r="AG162" s="167"/>
      <c r="AH162" s="180">
        <v>82.4</v>
      </c>
      <c r="AI162" s="166">
        <v>69.928649607406101</v>
      </c>
      <c r="AJ162" s="181" t="s">
        <v>53</v>
      </c>
      <c r="AK162" s="182">
        <v>1.1099785651969201</v>
      </c>
      <c r="AL162" s="183">
        <v>-3.11948927334406</v>
      </c>
      <c r="AM162" s="168">
        <v>1.6E-2</v>
      </c>
      <c r="AN162" s="168">
        <v>1.0999999999999999E-2</v>
      </c>
      <c r="AO162" s="176">
        <v>0</v>
      </c>
      <c r="AP162" s="176">
        <v>7</v>
      </c>
      <c r="AQ162" s="167"/>
      <c r="AR162" s="180">
        <v>9.6</v>
      </c>
      <c r="AS162" s="166">
        <v>8.14702713872693</v>
      </c>
      <c r="AT162" s="181" t="s">
        <v>54</v>
      </c>
      <c r="AU162" s="173">
        <v>0.50918919617043301</v>
      </c>
      <c r="AV162" s="174">
        <v>-12.119235371007999</v>
      </c>
      <c r="AW162" s="168"/>
      <c r="AX162" s="168"/>
      <c r="AY162" s="176">
        <v>10</v>
      </c>
      <c r="AZ162" s="176">
        <v>14</v>
      </c>
      <c r="BA162" s="167"/>
      <c r="BB162" s="184">
        <v>49.4</v>
      </c>
      <c r="BC162" s="180">
        <v>41.923243818032297</v>
      </c>
      <c r="BD162" s="181" t="s">
        <v>55</v>
      </c>
      <c r="BE162" s="178">
        <v>1.31010136931351</v>
      </c>
      <c r="BF162" s="179">
        <v>5.9615292579839698</v>
      </c>
      <c r="BG162" s="168">
        <v>0.02</v>
      </c>
      <c r="BH162" s="168">
        <v>0.02</v>
      </c>
      <c r="BI162" s="176">
        <v>0</v>
      </c>
      <c r="BJ162" s="176">
        <v>0</v>
      </c>
      <c r="BK162" s="169"/>
      <c r="BL162" s="185">
        <v>0.8</v>
      </c>
      <c r="BM162" s="182">
        <v>0.83</v>
      </c>
      <c r="BN162" s="186">
        <v>1.1249999999999999E-3</v>
      </c>
      <c r="BO162" s="187">
        <v>0.95</v>
      </c>
      <c r="BP162" s="178">
        <v>1</v>
      </c>
      <c r="BQ162" s="186">
        <v>2.5000000000000001E-3</v>
      </c>
    </row>
    <row r="163" spans="1:69" s="156" customFormat="1" ht="22.35" customHeight="1" x14ac:dyDescent="0.2">
      <c r="A163" s="165" t="s">
        <v>220</v>
      </c>
      <c r="B163" s="165" t="s">
        <v>221</v>
      </c>
      <c r="C163" s="165" t="s">
        <v>226</v>
      </c>
      <c r="D163" s="166">
        <v>3.1786816065555601</v>
      </c>
      <c r="E163" s="167"/>
      <c r="F163" s="168">
        <v>0.08</v>
      </c>
      <c r="G163" s="168">
        <v>0.08</v>
      </c>
      <c r="H163" s="169"/>
      <c r="I163" s="170">
        <v>6</v>
      </c>
      <c r="J163" s="170">
        <v>6</v>
      </c>
      <c r="K163" s="167"/>
      <c r="L163" s="171">
        <v>3207.3896500000001</v>
      </c>
      <c r="M163" s="171">
        <v>-475.37486000000001</v>
      </c>
      <c r="N163" s="171">
        <v>2732.0147900000002</v>
      </c>
      <c r="O163" s="166">
        <v>859.48047906579495</v>
      </c>
      <c r="P163" s="172">
        <v>239.25899999999999</v>
      </c>
      <c r="Q163" s="178">
        <v>3.5922597647979599</v>
      </c>
      <c r="R163" s="179">
        <v>1855.88632375669</v>
      </c>
      <c r="S163" s="168">
        <v>0.01</v>
      </c>
      <c r="T163" s="168">
        <v>0.01</v>
      </c>
      <c r="U163" s="175">
        <v>0</v>
      </c>
      <c r="V163" s="176">
        <v>0</v>
      </c>
      <c r="W163" s="167"/>
      <c r="X163" s="175">
        <v>2553.2126499999999</v>
      </c>
      <c r="Y163" s="166">
        <v>803.230070207214</v>
      </c>
      <c r="Z163" s="177">
        <v>573</v>
      </c>
      <c r="AA163" s="178">
        <v>1.4017976792447</v>
      </c>
      <c r="AB163" s="179">
        <v>454.977636239101</v>
      </c>
      <c r="AC163" s="168">
        <v>0.02</v>
      </c>
      <c r="AD163" s="168">
        <v>0.02</v>
      </c>
      <c r="AE163" s="176">
        <v>0</v>
      </c>
      <c r="AF163" s="176">
        <v>0</v>
      </c>
      <c r="AG163" s="167"/>
      <c r="AH163" s="180">
        <v>308.89999999999998</v>
      </c>
      <c r="AI163" s="166">
        <v>97.178653993825606</v>
      </c>
      <c r="AJ163" s="181" t="s">
        <v>53</v>
      </c>
      <c r="AK163" s="178">
        <v>1.54251831736231</v>
      </c>
      <c r="AL163" s="179">
        <v>78.204003722623796</v>
      </c>
      <c r="AM163" s="168">
        <v>0.02</v>
      </c>
      <c r="AN163" s="168">
        <v>0.02</v>
      </c>
      <c r="AO163" s="176">
        <v>0</v>
      </c>
      <c r="AP163" s="176">
        <v>0</v>
      </c>
      <c r="AQ163" s="167"/>
      <c r="AR163" s="180">
        <v>64.3</v>
      </c>
      <c r="AS163" s="166">
        <v>20.228512307552599</v>
      </c>
      <c r="AT163" s="181" t="s">
        <v>54</v>
      </c>
      <c r="AU163" s="178">
        <v>1.2642820192220301</v>
      </c>
      <c r="AV163" s="179">
        <v>5.7105406279679203</v>
      </c>
      <c r="AW163" s="168">
        <v>0.01</v>
      </c>
      <c r="AX163" s="168">
        <v>0.01</v>
      </c>
      <c r="AY163" s="176">
        <v>0</v>
      </c>
      <c r="AZ163" s="176">
        <v>0</v>
      </c>
      <c r="BA163" s="167"/>
      <c r="BB163" s="184">
        <v>200.2</v>
      </c>
      <c r="BC163" s="180">
        <v>62.982086531446697</v>
      </c>
      <c r="BD163" s="181" t="s">
        <v>55</v>
      </c>
      <c r="BE163" s="178">
        <v>1.96819020410771</v>
      </c>
      <c r="BF163" s="179">
        <v>83.021081255935897</v>
      </c>
      <c r="BG163" s="168">
        <v>0.02</v>
      </c>
      <c r="BH163" s="168">
        <v>0.02</v>
      </c>
      <c r="BI163" s="176">
        <v>0</v>
      </c>
      <c r="BJ163" s="176">
        <v>0</v>
      </c>
      <c r="BK163" s="169"/>
      <c r="BL163" s="185">
        <v>0.8</v>
      </c>
      <c r="BM163" s="188">
        <v>0.78</v>
      </c>
      <c r="BN163" s="186"/>
      <c r="BO163" s="187">
        <v>0.95</v>
      </c>
      <c r="BP163" s="178">
        <v>1</v>
      </c>
      <c r="BQ163" s="186">
        <v>2.5000000000000001E-3</v>
      </c>
    </row>
    <row r="164" spans="1:69" s="156" customFormat="1" ht="22.35" customHeight="1" x14ac:dyDescent="0.2">
      <c r="A164" s="165" t="s">
        <v>220</v>
      </c>
      <c r="B164" s="165" t="s">
        <v>221</v>
      </c>
      <c r="C164" s="165" t="s">
        <v>227</v>
      </c>
      <c r="D164" s="166">
        <v>3.7074923414444401</v>
      </c>
      <c r="E164" s="167"/>
      <c r="F164" s="168">
        <v>2.4E-2</v>
      </c>
      <c r="G164" s="168">
        <v>0.02</v>
      </c>
      <c r="H164" s="169"/>
      <c r="I164" s="170">
        <v>3</v>
      </c>
      <c r="J164" s="170">
        <v>3</v>
      </c>
      <c r="K164" s="167"/>
      <c r="L164" s="171">
        <v>2243.84944</v>
      </c>
      <c r="M164" s="171">
        <v>-481.65451000000002</v>
      </c>
      <c r="N164" s="171">
        <v>1762.1949300000001</v>
      </c>
      <c r="O164" s="166">
        <v>475.306424857899</v>
      </c>
      <c r="P164" s="172">
        <v>272.85399999999998</v>
      </c>
      <c r="Q164" s="178">
        <v>1.74198078407463</v>
      </c>
      <c r="R164" s="179">
        <v>596.82698913698198</v>
      </c>
      <c r="S164" s="168">
        <v>0.01</v>
      </c>
      <c r="T164" s="168">
        <v>0.01</v>
      </c>
      <c r="U164" s="175">
        <v>0</v>
      </c>
      <c r="V164" s="176">
        <v>0</v>
      </c>
      <c r="W164" s="167"/>
      <c r="X164" s="175">
        <v>1853.55486</v>
      </c>
      <c r="Y164" s="166">
        <v>499.94839888943699</v>
      </c>
      <c r="Z164" s="177">
        <v>573</v>
      </c>
      <c r="AA164" s="188">
        <v>0.87251029474596298</v>
      </c>
      <c r="AB164" s="171">
        <v>-593.74600461810905</v>
      </c>
      <c r="AC164" s="168"/>
      <c r="AD164" s="168"/>
      <c r="AE164" s="176">
        <v>271</v>
      </c>
      <c r="AF164" s="176">
        <v>696</v>
      </c>
      <c r="AG164" s="167"/>
      <c r="AH164" s="180">
        <v>92.7</v>
      </c>
      <c r="AI164" s="166">
        <v>25.003423193555101</v>
      </c>
      <c r="AJ164" s="181" t="s">
        <v>53</v>
      </c>
      <c r="AK164" s="173">
        <v>0.39687973323103298</v>
      </c>
      <c r="AL164" s="174">
        <v>-176.37496417267201</v>
      </c>
      <c r="AM164" s="168"/>
      <c r="AN164" s="168"/>
      <c r="AO164" s="176">
        <v>141</v>
      </c>
      <c r="AP164" s="176">
        <v>188</v>
      </c>
      <c r="AQ164" s="167"/>
      <c r="AR164" s="180">
        <v>31.8</v>
      </c>
      <c r="AS164" s="166">
        <v>8.5772260793425303</v>
      </c>
      <c r="AT164" s="181" t="s">
        <v>54</v>
      </c>
      <c r="AU164" s="173">
        <v>0.53607662995890804</v>
      </c>
      <c r="AV164" s="174">
        <v>-36.536498837503899</v>
      </c>
      <c r="AW164" s="168"/>
      <c r="AX164" s="168"/>
      <c r="AY164" s="176">
        <v>28</v>
      </c>
      <c r="AZ164" s="176">
        <v>40</v>
      </c>
      <c r="BA164" s="167"/>
      <c r="BB164" s="184">
        <v>130</v>
      </c>
      <c r="BC164" s="180">
        <v>35.064131770897099</v>
      </c>
      <c r="BD164" s="181" t="s">
        <v>55</v>
      </c>
      <c r="BE164" s="182">
        <v>1.0957541178405401</v>
      </c>
      <c r="BF164" s="183">
        <v>-6.6729976750078199</v>
      </c>
      <c r="BG164" s="168">
        <v>1.4E-2</v>
      </c>
      <c r="BH164" s="168">
        <v>0.01</v>
      </c>
      <c r="BI164" s="176">
        <v>0</v>
      </c>
      <c r="BJ164" s="176">
        <v>13</v>
      </c>
      <c r="BK164" s="169"/>
      <c r="BL164" s="185">
        <v>0.8</v>
      </c>
      <c r="BM164" s="188">
        <v>0.72</v>
      </c>
      <c r="BN164" s="186"/>
      <c r="BO164" s="187">
        <v>0.95</v>
      </c>
      <c r="BP164" s="178">
        <v>1</v>
      </c>
      <c r="BQ164" s="186">
        <v>2.5000000000000001E-3</v>
      </c>
    </row>
    <row r="165" spans="1:69" s="156" customFormat="1" ht="22.35" customHeight="1" x14ac:dyDescent="0.2">
      <c r="A165" s="165" t="s">
        <v>220</v>
      </c>
      <c r="B165" s="165" t="s">
        <v>221</v>
      </c>
      <c r="C165" s="165" t="s">
        <v>228</v>
      </c>
      <c r="D165" s="166">
        <v>3.59068721</v>
      </c>
      <c r="E165" s="167"/>
      <c r="F165" s="168">
        <v>1.0999999999999999E-2</v>
      </c>
      <c r="G165" s="168">
        <v>0.01</v>
      </c>
      <c r="H165" s="169"/>
      <c r="I165" s="170">
        <v>3</v>
      </c>
      <c r="J165" s="170">
        <v>2</v>
      </c>
      <c r="K165" s="167"/>
      <c r="L165" s="171">
        <v>1149.9147399999999</v>
      </c>
      <c r="M165" s="171">
        <v>791.19276000000002</v>
      </c>
      <c r="N165" s="171">
        <v>1941.1075000000001</v>
      </c>
      <c r="O165" s="166">
        <v>540.59498543734196</v>
      </c>
      <c r="P165" s="172">
        <v>244.22499999999999</v>
      </c>
      <c r="Q165" s="178">
        <v>2.21351207057976</v>
      </c>
      <c r="R165" s="179">
        <v>930.87770739068799</v>
      </c>
      <c r="S165" s="168">
        <v>0.01</v>
      </c>
      <c r="T165" s="168">
        <v>0.01</v>
      </c>
      <c r="U165" s="175">
        <v>0</v>
      </c>
      <c r="V165" s="176">
        <v>0</v>
      </c>
      <c r="W165" s="167"/>
      <c r="X165" s="175">
        <v>1823.235725</v>
      </c>
      <c r="Y165" s="166">
        <v>507.76790579873398</v>
      </c>
      <c r="Z165" s="177">
        <v>573</v>
      </c>
      <c r="AA165" s="188">
        <v>0.88615690366271205</v>
      </c>
      <c r="AB165" s="171">
        <v>-546.96253957216004</v>
      </c>
      <c r="AC165" s="168"/>
      <c r="AD165" s="168"/>
      <c r="AE165" s="176">
        <v>235</v>
      </c>
      <c r="AF165" s="176">
        <v>646</v>
      </c>
      <c r="AG165" s="167"/>
      <c r="AH165" s="180">
        <v>170.8</v>
      </c>
      <c r="AI165" s="166">
        <v>47.567496139548197</v>
      </c>
      <c r="AJ165" s="181" t="s">
        <v>53</v>
      </c>
      <c r="AK165" s="173">
        <v>0.75503962126266899</v>
      </c>
      <c r="AL165" s="174">
        <v>-89.797714952959893</v>
      </c>
      <c r="AM165" s="168"/>
      <c r="AN165" s="168"/>
      <c r="AO165" s="176">
        <v>56</v>
      </c>
      <c r="AP165" s="176">
        <v>101</v>
      </c>
      <c r="AQ165" s="167"/>
      <c r="AR165" s="180">
        <v>31.4</v>
      </c>
      <c r="AS165" s="166">
        <v>8.7448441380668207</v>
      </c>
      <c r="AT165" s="181" t="s">
        <v>54</v>
      </c>
      <c r="AU165" s="173">
        <v>0.54655275862917596</v>
      </c>
      <c r="AV165" s="174">
        <v>-34.783546654719999</v>
      </c>
      <c r="AW165" s="168"/>
      <c r="AX165" s="168"/>
      <c r="AY165" s="176">
        <v>27</v>
      </c>
      <c r="AZ165" s="176">
        <v>38</v>
      </c>
      <c r="BA165" s="167"/>
      <c r="BB165" s="184">
        <v>110.6</v>
      </c>
      <c r="BC165" s="180">
        <v>30.801903237904099</v>
      </c>
      <c r="BD165" s="181" t="s">
        <v>55</v>
      </c>
      <c r="BE165" s="182">
        <v>0.96255947618450399</v>
      </c>
      <c r="BF165" s="183">
        <v>-21.76709330944</v>
      </c>
      <c r="BG165" s="168">
        <v>1E-3</v>
      </c>
      <c r="BH165" s="168"/>
      <c r="BI165" s="176">
        <v>5</v>
      </c>
      <c r="BJ165" s="176">
        <v>28</v>
      </c>
      <c r="BK165" s="169"/>
      <c r="BL165" s="185">
        <v>0.8</v>
      </c>
      <c r="BM165" s="188">
        <v>0.78</v>
      </c>
      <c r="BN165" s="186"/>
      <c r="BO165" s="187">
        <v>0.95</v>
      </c>
      <c r="BP165" s="178">
        <v>1</v>
      </c>
      <c r="BQ165" s="186">
        <v>2.5000000000000001E-3</v>
      </c>
    </row>
    <row r="166" spans="1:69" s="156" customFormat="1" ht="22.35" customHeight="1" x14ac:dyDescent="0.2">
      <c r="A166" s="165" t="s">
        <v>220</v>
      </c>
      <c r="B166" s="165" t="s">
        <v>221</v>
      </c>
      <c r="C166" s="165" t="s">
        <v>229</v>
      </c>
      <c r="D166" s="166">
        <v>8.2706296171111102</v>
      </c>
      <c r="E166" s="167"/>
      <c r="F166" s="168">
        <v>4.2999999999999997E-2</v>
      </c>
      <c r="G166" s="168">
        <v>3.5000000000000003E-2</v>
      </c>
      <c r="H166" s="169"/>
      <c r="I166" s="170">
        <v>5</v>
      </c>
      <c r="J166" s="170">
        <v>4</v>
      </c>
      <c r="K166" s="167"/>
      <c r="L166" s="171">
        <v>12718.32114</v>
      </c>
      <c r="M166" s="171">
        <v>469.93606999999997</v>
      </c>
      <c r="N166" s="171">
        <v>13188.25721</v>
      </c>
      <c r="O166" s="166">
        <v>1594.58926593869</v>
      </c>
      <c r="P166" s="172">
        <v>224.79599999999999</v>
      </c>
      <c r="Q166" s="178">
        <v>7.0934948394930997</v>
      </c>
      <c r="R166" s="179">
        <v>11046.4536773699</v>
      </c>
      <c r="S166" s="168">
        <v>0.01</v>
      </c>
      <c r="T166" s="168">
        <v>0.01</v>
      </c>
      <c r="U166" s="175">
        <v>0</v>
      </c>
      <c r="V166" s="176">
        <v>0</v>
      </c>
      <c r="W166" s="167"/>
      <c r="X166" s="175">
        <v>4978.9394000000002</v>
      </c>
      <c r="Y166" s="166">
        <v>602.00246299254798</v>
      </c>
      <c r="Z166" s="177">
        <v>573</v>
      </c>
      <c r="AA166" s="182">
        <v>1.0506151186606401</v>
      </c>
      <c r="AB166" s="183">
        <v>-480.47012773657502</v>
      </c>
      <c r="AC166" s="168">
        <v>8.9999999999999993E-3</v>
      </c>
      <c r="AD166" s="168">
        <v>5.0000000000000001E-3</v>
      </c>
      <c r="AE166" s="176">
        <v>0</v>
      </c>
      <c r="AF166" s="176">
        <v>708</v>
      </c>
      <c r="AG166" s="167"/>
      <c r="AH166" s="180">
        <v>519.5</v>
      </c>
      <c r="AI166" s="166">
        <v>62.8126302410165</v>
      </c>
      <c r="AJ166" s="181" t="s">
        <v>53</v>
      </c>
      <c r="AK166" s="182">
        <v>0.99702587684153099</v>
      </c>
      <c r="AL166" s="183">
        <v>-80.749215091455895</v>
      </c>
      <c r="AM166" s="168">
        <v>4.0000000000000001E-3</v>
      </c>
      <c r="AN166" s="168">
        <v>0</v>
      </c>
      <c r="AO166" s="176">
        <v>2</v>
      </c>
      <c r="AP166" s="176">
        <v>106</v>
      </c>
      <c r="AQ166" s="167"/>
      <c r="AR166" s="180">
        <v>104.6</v>
      </c>
      <c r="AS166" s="166">
        <v>12.6471628935714</v>
      </c>
      <c r="AT166" s="181" t="s">
        <v>54</v>
      </c>
      <c r="AU166" s="188">
        <v>0.79044768084821004</v>
      </c>
      <c r="AV166" s="171">
        <v>-47.844245102591998</v>
      </c>
      <c r="AW166" s="168"/>
      <c r="AX166" s="168"/>
      <c r="AY166" s="176">
        <v>28</v>
      </c>
      <c r="AZ166" s="176">
        <v>55</v>
      </c>
      <c r="BA166" s="167"/>
      <c r="BB166" s="184">
        <v>379</v>
      </c>
      <c r="BC166" s="180">
        <v>45.824806277854201</v>
      </c>
      <c r="BD166" s="181" t="s">
        <v>55</v>
      </c>
      <c r="BE166" s="178">
        <v>1.43202519618294</v>
      </c>
      <c r="BF166" s="179">
        <v>74.111509794816101</v>
      </c>
      <c r="BG166" s="168">
        <v>0.02</v>
      </c>
      <c r="BH166" s="168">
        <v>0.02</v>
      </c>
      <c r="BI166" s="176">
        <v>0</v>
      </c>
      <c r="BJ166" s="176">
        <v>0</v>
      </c>
      <c r="BK166" s="169"/>
      <c r="BL166" s="185">
        <v>0.8</v>
      </c>
      <c r="BM166" s="188">
        <v>0.74</v>
      </c>
      <c r="BN166" s="186"/>
      <c r="BO166" s="187">
        <v>0.95</v>
      </c>
      <c r="BP166" s="178">
        <v>1</v>
      </c>
      <c r="BQ166" s="186">
        <v>2.5000000000000001E-3</v>
      </c>
    </row>
    <row r="167" spans="1:69" s="156" customFormat="1" ht="22.35" customHeight="1" x14ac:dyDescent="0.2">
      <c r="A167" s="165" t="s">
        <v>220</v>
      </c>
      <c r="B167" s="165" t="s">
        <v>221</v>
      </c>
      <c r="C167" s="165" t="s">
        <v>230</v>
      </c>
      <c r="D167" s="166">
        <v>2.0619326908888902</v>
      </c>
      <c r="E167" s="167"/>
      <c r="F167" s="168">
        <v>2.7E-2</v>
      </c>
      <c r="G167" s="168">
        <v>1.7999999999999999E-2</v>
      </c>
      <c r="H167" s="169"/>
      <c r="I167" s="170">
        <v>3</v>
      </c>
      <c r="J167" s="170">
        <v>3</v>
      </c>
      <c r="K167" s="167"/>
      <c r="L167" s="171">
        <v>-7851.7588100000003</v>
      </c>
      <c r="M167" s="171">
        <v>784.15520000000004</v>
      </c>
      <c r="N167" s="171">
        <v>-7067.6036100000001</v>
      </c>
      <c r="O167" s="166">
        <v>-3427.6597103435001</v>
      </c>
      <c r="P167" s="172">
        <v>225.90199999999999</v>
      </c>
      <c r="Q167" s="173">
        <v>-15.1732154223668</v>
      </c>
      <c r="R167" s="174">
        <v>-7604.1991259852302</v>
      </c>
      <c r="S167" s="168"/>
      <c r="T167" s="168"/>
      <c r="U167" s="175">
        <v>7534</v>
      </c>
      <c r="V167" s="176">
        <v>7627</v>
      </c>
      <c r="W167" s="167"/>
      <c r="X167" s="175">
        <v>883.646885</v>
      </c>
      <c r="Y167" s="166">
        <v>428.55273060298799</v>
      </c>
      <c r="Z167" s="177">
        <v>573</v>
      </c>
      <c r="AA167" s="173">
        <v>0.74791052461254404</v>
      </c>
      <c r="AB167" s="174">
        <v>-477.426636524993</v>
      </c>
      <c r="AC167" s="168"/>
      <c r="AD167" s="168"/>
      <c r="AE167" s="176">
        <v>298</v>
      </c>
      <c r="AF167" s="176">
        <v>535</v>
      </c>
      <c r="AG167" s="167"/>
      <c r="AH167" s="180">
        <v>146.25</v>
      </c>
      <c r="AI167" s="166">
        <v>70.928600456376898</v>
      </c>
      <c r="AJ167" s="181" t="s">
        <v>53</v>
      </c>
      <c r="AK167" s="182">
        <v>1.12585080089487</v>
      </c>
      <c r="AL167" s="183">
        <v>-3.39682697395207</v>
      </c>
      <c r="AM167" s="168">
        <v>1.7000000000000001E-2</v>
      </c>
      <c r="AN167" s="168">
        <v>1.2999999999999999E-2</v>
      </c>
      <c r="AO167" s="176">
        <v>0</v>
      </c>
      <c r="AP167" s="176">
        <v>10</v>
      </c>
      <c r="AQ167" s="167"/>
      <c r="AR167" s="180">
        <v>23.1</v>
      </c>
      <c r="AS167" s="166">
        <v>11.203081507981601</v>
      </c>
      <c r="AT167" s="181" t="s">
        <v>54</v>
      </c>
      <c r="AU167" s="173">
        <v>0.70019259424884805</v>
      </c>
      <c r="AV167" s="174">
        <v>-14.905543358464</v>
      </c>
      <c r="AW167" s="168"/>
      <c r="AX167" s="168"/>
      <c r="AY167" s="176">
        <v>10</v>
      </c>
      <c r="AZ167" s="176">
        <v>17</v>
      </c>
      <c r="BA167" s="167"/>
      <c r="BB167" s="184">
        <v>69.400000000000006</v>
      </c>
      <c r="BC167" s="180">
        <v>33.657742712290997</v>
      </c>
      <c r="BD167" s="181" t="s">
        <v>55</v>
      </c>
      <c r="BE167" s="182">
        <v>1.0518044597590901</v>
      </c>
      <c r="BF167" s="183">
        <v>-6.6110867169280398</v>
      </c>
      <c r="BG167" s="168">
        <v>0.01</v>
      </c>
      <c r="BH167" s="168">
        <v>5.0000000000000001E-3</v>
      </c>
      <c r="BI167" s="176">
        <v>0</v>
      </c>
      <c r="BJ167" s="176">
        <v>10</v>
      </c>
      <c r="BK167" s="169"/>
      <c r="BL167" s="185">
        <v>0.8</v>
      </c>
      <c r="BM167" s="173"/>
      <c r="BN167" s="186"/>
      <c r="BO167" s="187">
        <v>0.95</v>
      </c>
      <c r="BP167" s="178">
        <v>1</v>
      </c>
      <c r="BQ167" s="186">
        <v>2.5000000000000001E-3</v>
      </c>
    </row>
    <row r="168" spans="1:69" s="156" customFormat="1" ht="22.35" customHeight="1" x14ac:dyDescent="0.2">
      <c r="A168" s="165" t="s">
        <v>220</v>
      </c>
      <c r="B168" s="165" t="s">
        <v>221</v>
      </c>
      <c r="C168" s="165" t="s">
        <v>231</v>
      </c>
      <c r="D168" s="166">
        <v>2.0199468106666698</v>
      </c>
      <c r="E168" s="167"/>
      <c r="F168" s="168">
        <v>0.05</v>
      </c>
      <c r="G168" s="168">
        <v>0.05</v>
      </c>
      <c r="H168" s="169"/>
      <c r="I168" s="170">
        <v>4</v>
      </c>
      <c r="J168" s="170">
        <v>4</v>
      </c>
      <c r="K168" s="167"/>
      <c r="L168" s="171">
        <v>2133.9153099999999</v>
      </c>
      <c r="M168" s="171">
        <v>374.46994000000001</v>
      </c>
      <c r="N168" s="171">
        <v>2508.3852499999998</v>
      </c>
      <c r="O168" s="166">
        <v>1241.8075747114001</v>
      </c>
      <c r="P168" s="172">
        <v>258.548</v>
      </c>
      <c r="Q168" s="178">
        <v>4.8030059204147797</v>
      </c>
      <c r="R168" s="179">
        <v>1906.7495543791099</v>
      </c>
      <c r="S168" s="168">
        <v>0.01</v>
      </c>
      <c r="T168" s="168">
        <v>0.01</v>
      </c>
      <c r="U168" s="175">
        <v>0</v>
      </c>
      <c r="V168" s="176">
        <v>0</v>
      </c>
      <c r="W168" s="167"/>
      <c r="X168" s="175">
        <v>1857.0382649999999</v>
      </c>
      <c r="Y168" s="166">
        <v>919.35008149402699</v>
      </c>
      <c r="Z168" s="177">
        <v>573</v>
      </c>
      <c r="AA168" s="178">
        <v>1.6044504040035401</v>
      </c>
      <c r="AB168" s="179">
        <v>523.67945506617298</v>
      </c>
      <c r="AC168" s="168">
        <v>0.02</v>
      </c>
      <c r="AD168" s="168">
        <v>0.02</v>
      </c>
      <c r="AE168" s="176">
        <v>0</v>
      </c>
      <c r="AF168" s="176">
        <v>0</v>
      </c>
      <c r="AG168" s="167"/>
      <c r="AH168" s="180">
        <v>115.05</v>
      </c>
      <c r="AI168" s="166">
        <v>56.956945297994601</v>
      </c>
      <c r="AJ168" s="181" t="s">
        <v>53</v>
      </c>
      <c r="AK168" s="188">
        <v>0.904078496793565</v>
      </c>
      <c r="AL168" s="171">
        <v>-31.5496597309442</v>
      </c>
      <c r="AM168" s="168"/>
      <c r="AN168" s="168"/>
      <c r="AO168" s="176">
        <v>13</v>
      </c>
      <c r="AP168" s="176">
        <v>38</v>
      </c>
      <c r="AQ168" s="167"/>
      <c r="AR168" s="180">
        <v>27.8</v>
      </c>
      <c r="AS168" s="166">
        <v>13.7627386291547</v>
      </c>
      <c r="AT168" s="181" t="s">
        <v>54</v>
      </c>
      <c r="AU168" s="188">
        <v>0.860171164322169</v>
      </c>
      <c r="AV168" s="171">
        <v>-9.4316596142080602</v>
      </c>
      <c r="AW168" s="168"/>
      <c r="AX168" s="168"/>
      <c r="AY168" s="176">
        <v>5</v>
      </c>
      <c r="AZ168" s="176">
        <v>11</v>
      </c>
      <c r="BA168" s="167"/>
      <c r="BB168" s="184">
        <v>106</v>
      </c>
      <c r="BC168" s="180">
        <v>52.4766293054101</v>
      </c>
      <c r="BD168" s="181" t="s">
        <v>55</v>
      </c>
      <c r="BE168" s="178">
        <v>1.6398946657940601</v>
      </c>
      <c r="BF168" s="179">
        <v>31.536680771583899</v>
      </c>
      <c r="BG168" s="168">
        <v>0.02</v>
      </c>
      <c r="BH168" s="168">
        <v>0.02</v>
      </c>
      <c r="BI168" s="176">
        <v>0</v>
      </c>
      <c r="BJ168" s="176">
        <v>0</v>
      </c>
      <c r="BK168" s="169"/>
      <c r="BL168" s="185">
        <v>0.8</v>
      </c>
      <c r="BM168" s="188">
        <v>0.76</v>
      </c>
      <c r="BN168" s="186"/>
      <c r="BO168" s="187">
        <v>0.95</v>
      </c>
      <c r="BP168" s="178">
        <v>1</v>
      </c>
      <c r="BQ168" s="186">
        <v>2.5000000000000001E-3</v>
      </c>
    </row>
    <row r="169" spans="1:69" s="156" customFormat="1" ht="22.35" customHeight="1" x14ac:dyDescent="0.2">
      <c r="A169" s="165" t="s">
        <v>220</v>
      </c>
      <c r="B169" s="165" t="s">
        <v>221</v>
      </c>
      <c r="C169" s="165" t="s">
        <v>232</v>
      </c>
      <c r="D169" s="166">
        <v>1.8614832398888901</v>
      </c>
      <c r="E169" s="167"/>
      <c r="F169" s="168">
        <v>4.1000000000000002E-2</v>
      </c>
      <c r="G169" s="168">
        <v>0.04</v>
      </c>
      <c r="H169" s="169"/>
      <c r="I169" s="170">
        <v>5</v>
      </c>
      <c r="J169" s="170">
        <v>4</v>
      </c>
      <c r="K169" s="167"/>
      <c r="L169" s="171">
        <v>1549.8575900000001</v>
      </c>
      <c r="M169" s="171">
        <v>1192.97831</v>
      </c>
      <c r="N169" s="171">
        <v>2742.8359</v>
      </c>
      <c r="O169" s="166">
        <v>1473.4679535249099</v>
      </c>
      <c r="P169" s="172">
        <v>266.29899999999998</v>
      </c>
      <c r="Q169" s="178">
        <v>5.5331336337158996</v>
      </c>
      <c r="R169" s="179">
        <v>2171.7766836553501</v>
      </c>
      <c r="S169" s="168">
        <v>0.01</v>
      </c>
      <c r="T169" s="168">
        <v>0.01</v>
      </c>
      <c r="U169" s="175">
        <v>0</v>
      </c>
      <c r="V169" s="176">
        <v>0</v>
      </c>
      <c r="W169" s="167"/>
      <c r="X169" s="175">
        <v>1031.4400450000001</v>
      </c>
      <c r="Y169" s="166">
        <v>554.09580000385404</v>
      </c>
      <c r="Z169" s="177">
        <v>573</v>
      </c>
      <c r="AA169" s="182">
        <v>0.96700837697007702</v>
      </c>
      <c r="AB169" s="183">
        <v>-197.317595717697</v>
      </c>
      <c r="AC169" s="168">
        <v>1E-3</v>
      </c>
      <c r="AD169" s="168"/>
      <c r="AE169" s="176">
        <v>36</v>
      </c>
      <c r="AF169" s="176">
        <v>249</v>
      </c>
      <c r="AG169" s="167"/>
      <c r="AH169" s="180">
        <v>111.6</v>
      </c>
      <c r="AI169" s="166">
        <v>59.952191676279298</v>
      </c>
      <c r="AJ169" s="181" t="s">
        <v>53</v>
      </c>
      <c r="AK169" s="188">
        <v>0.95162209009967103</v>
      </c>
      <c r="AL169" s="171">
        <v>-23.499007618176101</v>
      </c>
      <c r="AM169" s="168"/>
      <c r="AN169" s="168"/>
      <c r="AO169" s="176">
        <v>6</v>
      </c>
      <c r="AP169" s="176">
        <v>30</v>
      </c>
      <c r="AQ169" s="167"/>
      <c r="AR169" s="180">
        <v>49.6</v>
      </c>
      <c r="AS169" s="166">
        <v>26.645418522790798</v>
      </c>
      <c r="AT169" s="181" t="s">
        <v>54</v>
      </c>
      <c r="AU169" s="178">
        <v>1.66533865767442</v>
      </c>
      <c r="AV169" s="179">
        <v>15.289140922368</v>
      </c>
      <c r="AW169" s="168">
        <v>0.01</v>
      </c>
      <c r="AX169" s="168">
        <v>0.01</v>
      </c>
      <c r="AY169" s="176">
        <v>0</v>
      </c>
      <c r="AZ169" s="176">
        <v>0</v>
      </c>
      <c r="BA169" s="167"/>
      <c r="BB169" s="184">
        <v>95</v>
      </c>
      <c r="BC169" s="180">
        <v>51.034571767442003</v>
      </c>
      <c r="BD169" s="181" t="s">
        <v>55</v>
      </c>
      <c r="BE169" s="178">
        <v>1.5948303677325599</v>
      </c>
      <c r="BF169" s="179">
        <v>26.378281844736001</v>
      </c>
      <c r="BG169" s="168">
        <v>0.02</v>
      </c>
      <c r="BH169" s="168">
        <v>0.02</v>
      </c>
      <c r="BI169" s="176">
        <v>0</v>
      </c>
      <c r="BJ169" s="176">
        <v>0</v>
      </c>
      <c r="BK169" s="169"/>
      <c r="BL169" s="185">
        <v>0.8</v>
      </c>
      <c r="BM169" s="188">
        <v>0.76</v>
      </c>
      <c r="BN169" s="186"/>
      <c r="BO169" s="187">
        <v>0.95</v>
      </c>
      <c r="BP169" s="178">
        <v>1</v>
      </c>
      <c r="BQ169" s="186">
        <v>2.5000000000000001E-3</v>
      </c>
    </row>
    <row r="170" spans="1:69" s="156" customFormat="1" ht="22.35" customHeight="1" x14ac:dyDescent="0.2">
      <c r="A170" s="165" t="s">
        <v>220</v>
      </c>
      <c r="B170" s="165" t="s">
        <v>221</v>
      </c>
      <c r="C170" s="165" t="s">
        <v>233</v>
      </c>
      <c r="D170" s="166">
        <v>10.3992394423333</v>
      </c>
      <c r="E170" s="167"/>
      <c r="F170" s="168">
        <v>0.06</v>
      </c>
      <c r="G170" s="168">
        <v>0.06</v>
      </c>
      <c r="H170" s="169"/>
      <c r="I170" s="170">
        <v>5</v>
      </c>
      <c r="J170" s="170">
        <v>5</v>
      </c>
      <c r="K170" s="167"/>
      <c r="L170" s="171">
        <v>9498.8859699999994</v>
      </c>
      <c r="M170" s="171">
        <v>5632.6724000000004</v>
      </c>
      <c r="N170" s="171">
        <v>15131.558370000001</v>
      </c>
      <c r="O170" s="166">
        <v>1455.0639451960601</v>
      </c>
      <c r="P170" s="172">
        <v>287.5</v>
      </c>
      <c r="Q170" s="178">
        <v>5.0610919832906403</v>
      </c>
      <c r="R170" s="179">
        <v>11687.3302666992</v>
      </c>
      <c r="S170" s="168">
        <v>0.01</v>
      </c>
      <c r="T170" s="168">
        <v>0.01</v>
      </c>
      <c r="U170" s="175">
        <v>0</v>
      </c>
      <c r="V170" s="176">
        <v>0</v>
      </c>
      <c r="W170" s="167"/>
      <c r="X170" s="175">
        <v>4267.36024</v>
      </c>
      <c r="Y170" s="166">
        <v>410.353109346476</v>
      </c>
      <c r="Z170" s="177">
        <v>573</v>
      </c>
      <c r="AA170" s="173">
        <v>0.71614853289088398</v>
      </c>
      <c r="AB170" s="174">
        <v>-2597.1361189264599</v>
      </c>
      <c r="AC170" s="168"/>
      <c r="AD170" s="168"/>
      <c r="AE170" s="176">
        <v>1692</v>
      </c>
      <c r="AF170" s="176">
        <v>2884</v>
      </c>
      <c r="AG170" s="167"/>
      <c r="AH170" s="180">
        <v>858.3</v>
      </c>
      <c r="AI170" s="166">
        <v>82.534881974735896</v>
      </c>
      <c r="AJ170" s="181" t="s">
        <v>53</v>
      </c>
      <c r="AK170" s="178">
        <v>1.31007749166247</v>
      </c>
      <c r="AL170" s="179">
        <v>103.564798233216</v>
      </c>
      <c r="AM170" s="168">
        <v>0.02</v>
      </c>
      <c r="AN170" s="168">
        <v>0.02</v>
      </c>
      <c r="AO170" s="176">
        <v>0</v>
      </c>
      <c r="AP170" s="176">
        <v>0</v>
      </c>
      <c r="AQ170" s="167"/>
      <c r="AR170" s="180">
        <v>444.2</v>
      </c>
      <c r="AS170" s="166">
        <v>42.7146622080597</v>
      </c>
      <c r="AT170" s="181" t="s">
        <v>54</v>
      </c>
      <c r="AU170" s="178">
        <v>2.6696663880037299</v>
      </c>
      <c r="AV170" s="179">
        <v>252.52121859891199</v>
      </c>
      <c r="AW170" s="168">
        <v>0.01</v>
      </c>
      <c r="AX170" s="168">
        <v>0.01</v>
      </c>
      <c r="AY170" s="176">
        <v>0</v>
      </c>
      <c r="AZ170" s="176">
        <v>0</v>
      </c>
      <c r="BA170" s="167"/>
      <c r="BB170" s="184">
        <v>797</v>
      </c>
      <c r="BC170" s="180">
        <v>76.6402201256723</v>
      </c>
      <c r="BD170" s="181" t="s">
        <v>55</v>
      </c>
      <c r="BE170" s="178">
        <v>2.3950068789272598</v>
      </c>
      <c r="BF170" s="179">
        <v>413.64243719782399</v>
      </c>
      <c r="BG170" s="168">
        <v>0.02</v>
      </c>
      <c r="BH170" s="168">
        <v>0.02</v>
      </c>
      <c r="BI170" s="176">
        <v>0</v>
      </c>
      <c r="BJ170" s="176">
        <v>0</v>
      </c>
      <c r="BK170" s="169"/>
      <c r="BL170" s="185">
        <v>0.8</v>
      </c>
      <c r="BM170" s="188">
        <v>0.75</v>
      </c>
      <c r="BN170" s="186"/>
      <c r="BO170" s="187">
        <v>0.95</v>
      </c>
      <c r="BP170" s="178">
        <v>1</v>
      </c>
      <c r="BQ170" s="186">
        <v>2.5000000000000001E-3</v>
      </c>
    </row>
    <row r="171" spans="1:69" s="156" customFormat="1" ht="22.35" customHeight="1" x14ac:dyDescent="0.2">
      <c r="A171" s="165" t="s">
        <v>220</v>
      </c>
      <c r="B171" s="165" t="s">
        <v>221</v>
      </c>
      <c r="C171" s="165" t="s">
        <v>234</v>
      </c>
      <c r="D171" s="166">
        <v>4.7502856914444402</v>
      </c>
      <c r="E171" s="167"/>
      <c r="F171" s="168">
        <v>2.3E-2</v>
      </c>
      <c r="G171" s="168">
        <v>1.7999999999999999E-2</v>
      </c>
      <c r="H171" s="169"/>
      <c r="I171" s="170">
        <v>3</v>
      </c>
      <c r="J171" s="170">
        <v>3</v>
      </c>
      <c r="K171" s="167"/>
      <c r="L171" s="171">
        <v>1210.7938099999999</v>
      </c>
      <c r="M171" s="171">
        <v>1151.6129900000001</v>
      </c>
      <c r="N171" s="171">
        <v>2362.4068000000002</v>
      </c>
      <c r="O171" s="166">
        <v>497.31888847334801</v>
      </c>
      <c r="P171" s="172">
        <v>266.29899999999998</v>
      </c>
      <c r="Q171" s="178">
        <v>1.86752067590696</v>
      </c>
      <c r="R171" s="179">
        <v>905.13102859345099</v>
      </c>
      <c r="S171" s="168">
        <v>0.01</v>
      </c>
      <c r="T171" s="168">
        <v>0.01</v>
      </c>
      <c r="U171" s="175">
        <v>0</v>
      </c>
      <c r="V171" s="176">
        <v>0</v>
      </c>
      <c r="W171" s="167"/>
      <c r="X171" s="175">
        <v>2146.9591150000001</v>
      </c>
      <c r="Y171" s="166">
        <v>451.96420898785198</v>
      </c>
      <c r="Z171" s="177">
        <v>573</v>
      </c>
      <c r="AA171" s="188">
        <v>0.78876825303290099</v>
      </c>
      <c r="AB171" s="171">
        <v>-988.68546877970903</v>
      </c>
      <c r="AC171" s="168"/>
      <c r="AD171" s="168"/>
      <c r="AE171" s="176">
        <v>575</v>
      </c>
      <c r="AF171" s="176">
        <v>1120</v>
      </c>
      <c r="AG171" s="167"/>
      <c r="AH171" s="180">
        <v>219.8</v>
      </c>
      <c r="AI171" s="166">
        <v>46.270901220925097</v>
      </c>
      <c r="AJ171" s="181" t="s">
        <v>53</v>
      </c>
      <c r="AK171" s="173">
        <v>0.73445874953849399</v>
      </c>
      <c r="AL171" s="174">
        <v>-124.956734342272</v>
      </c>
      <c r="AM171" s="168"/>
      <c r="AN171" s="168"/>
      <c r="AO171" s="176">
        <v>80</v>
      </c>
      <c r="AP171" s="176">
        <v>140</v>
      </c>
      <c r="AQ171" s="167"/>
      <c r="AR171" s="180">
        <v>53.3</v>
      </c>
      <c r="AS171" s="166">
        <v>11.2203777755928</v>
      </c>
      <c r="AT171" s="181" t="s">
        <v>54</v>
      </c>
      <c r="AU171" s="173">
        <v>0.70127361097455299</v>
      </c>
      <c r="AV171" s="174">
        <v>-34.257265864703903</v>
      </c>
      <c r="AW171" s="168"/>
      <c r="AX171" s="168"/>
      <c r="AY171" s="176">
        <v>23</v>
      </c>
      <c r="AZ171" s="176">
        <v>38</v>
      </c>
      <c r="BA171" s="167"/>
      <c r="BB171" s="184">
        <v>164.2</v>
      </c>
      <c r="BC171" s="180">
        <v>34.566342040381699</v>
      </c>
      <c r="BD171" s="181" t="s">
        <v>55</v>
      </c>
      <c r="BE171" s="182">
        <v>1.0801981887619301</v>
      </c>
      <c r="BF171" s="183">
        <v>-10.9145317294078</v>
      </c>
      <c r="BG171" s="168">
        <v>1.2999999999999999E-2</v>
      </c>
      <c r="BH171" s="168">
        <v>8.0000000000000002E-3</v>
      </c>
      <c r="BI171" s="176">
        <v>0</v>
      </c>
      <c r="BJ171" s="176">
        <v>19</v>
      </c>
      <c r="BK171" s="169"/>
      <c r="BL171" s="185">
        <v>0.8</v>
      </c>
      <c r="BM171" s="188">
        <v>0.74</v>
      </c>
      <c r="BN171" s="186"/>
      <c r="BO171" s="187">
        <v>0.95</v>
      </c>
      <c r="BP171" s="178">
        <v>1</v>
      </c>
      <c r="BQ171" s="186">
        <v>2.5000000000000001E-3</v>
      </c>
    </row>
    <row r="172" spans="1:69" s="156" customFormat="1" ht="22.35" customHeight="1" x14ac:dyDescent="0.2">
      <c r="A172" s="165" t="s">
        <v>220</v>
      </c>
      <c r="B172" s="165" t="s">
        <v>221</v>
      </c>
      <c r="C172" s="165" t="s">
        <v>235</v>
      </c>
      <c r="D172" s="166">
        <v>3.3012442740000001</v>
      </c>
      <c r="E172" s="167"/>
      <c r="F172" s="168">
        <v>0.04</v>
      </c>
      <c r="G172" s="168">
        <v>3.7999999999999999E-2</v>
      </c>
      <c r="H172" s="169"/>
      <c r="I172" s="170">
        <v>4</v>
      </c>
      <c r="J172" s="170">
        <v>4</v>
      </c>
      <c r="K172" s="167"/>
      <c r="L172" s="171">
        <v>298.49270999999999</v>
      </c>
      <c r="M172" s="171">
        <v>3035.1598600000002</v>
      </c>
      <c r="N172" s="171">
        <v>3333.6525700000002</v>
      </c>
      <c r="O172" s="166">
        <v>1009.81699423313</v>
      </c>
      <c r="P172" s="172">
        <v>263.185</v>
      </c>
      <c r="Q172" s="178">
        <v>3.8369093764201199</v>
      </c>
      <c r="R172" s="179">
        <v>2332.7512236609</v>
      </c>
      <c r="S172" s="168">
        <v>0.01</v>
      </c>
      <c r="T172" s="168">
        <v>0.01</v>
      </c>
      <c r="U172" s="175">
        <v>0</v>
      </c>
      <c r="V172" s="176">
        <v>0</v>
      </c>
      <c r="W172" s="167"/>
      <c r="X172" s="175">
        <v>1651.3620149999999</v>
      </c>
      <c r="Y172" s="166">
        <v>500.22412094913</v>
      </c>
      <c r="Z172" s="177">
        <v>573</v>
      </c>
      <c r="AA172" s="188">
        <v>0.87299148507701596</v>
      </c>
      <c r="AB172" s="171">
        <v>-527.77612529030398</v>
      </c>
      <c r="AC172" s="168"/>
      <c r="AD172" s="168"/>
      <c r="AE172" s="176">
        <v>241</v>
      </c>
      <c r="AF172" s="176">
        <v>619</v>
      </c>
      <c r="AG172" s="167"/>
      <c r="AH172" s="180">
        <v>167.8</v>
      </c>
      <c r="AI172" s="166">
        <v>50.829319514936302</v>
      </c>
      <c r="AJ172" s="181" t="s">
        <v>53</v>
      </c>
      <c r="AK172" s="188">
        <v>0.80681459547517997</v>
      </c>
      <c r="AL172" s="171">
        <v>-71.791104429824003</v>
      </c>
      <c r="AM172" s="168"/>
      <c r="AN172" s="168"/>
      <c r="AO172" s="176">
        <v>41</v>
      </c>
      <c r="AP172" s="176">
        <v>82</v>
      </c>
      <c r="AQ172" s="167"/>
      <c r="AR172" s="180">
        <v>69.8</v>
      </c>
      <c r="AS172" s="166">
        <v>21.143542920992601</v>
      </c>
      <c r="AT172" s="181" t="s">
        <v>54</v>
      </c>
      <c r="AU172" s="178">
        <v>1.32147143256204</v>
      </c>
      <c r="AV172" s="179">
        <v>8.9514655416320004</v>
      </c>
      <c r="AW172" s="168">
        <v>0.01</v>
      </c>
      <c r="AX172" s="168">
        <v>0.01</v>
      </c>
      <c r="AY172" s="176">
        <v>0</v>
      </c>
      <c r="AZ172" s="176">
        <v>0</v>
      </c>
      <c r="BA172" s="167"/>
      <c r="BB172" s="184">
        <v>124.8</v>
      </c>
      <c r="BC172" s="180">
        <v>37.803927744124302</v>
      </c>
      <c r="BD172" s="181" t="s">
        <v>55</v>
      </c>
      <c r="BE172" s="178">
        <v>1.18137274200388</v>
      </c>
      <c r="BF172" s="179">
        <v>3.102931083264</v>
      </c>
      <c r="BG172" s="168">
        <v>0.02</v>
      </c>
      <c r="BH172" s="168">
        <v>1.7999999999999999E-2</v>
      </c>
      <c r="BI172" s="176">
        <v>0</v>
      </c>
      <c r="BJ172" s="176">
        <v>2</v>
      </c>
      <c r="BK172" s="169"/>
      <c r="BL172" s="185">
        <v>0.8</v>
      </c>
      <c r="BM172" s="188">
        <v>0.75</v>
      </c>
      <c r="BN172" s="186"/>
      <c r="BO172" s="187">
        <v>0.95</v>
      </c>
      <c r="BP172" s="178">
        <v>1</v>
      </c>
      <c r="BQ172" s="186">
        <v>2.5000000000000001E-3</v>
      </c>
    </row>
    <row r="173" spans="1:69" s="156" customFormat="1" ht="22.35" customHeight="1" x14ac:dyDescent="0.2">
      <c r="A173" s="165" t="s">
        <v>220</v>
      </c>
      <c r="B173" s="165" t="s">
        <v>221</v>
      </c>
      <c r="C173" s="165" t="s">
        <v>236</v>
      </c>
      <c r="D173" s="166">
        <v>3.9852030364444402</v>
      </c>
      <c r="E173" s="167"/>
      <c r="F173" s="168">
        <v>1.2E-2</v>
      </c>
      <c r="G173" s="168">
        <v>0.01</v>
      </c>
      <c r="H173" s="169"/>
      <c r="I173" s="170">
        <v>3</v>
      </c>
      <c r="J173" s="170">
        <v>2</v>
      </c>
      <c r="K173" s="167"/>
      <c r="L173" s="171">
        <v>2268.1007800000002</v>
      </c>
      <c r="M173" s="171">
        <v>-230.78328999999999</v>
      </c>
      <c r="N173" s="171">
        <v>2037.3174899999999</v>
      </c>
      <c r="O173" s="166">
        <v>511.22050027786599</v>
      </c>
      <c r="P173" s="172">
        <v>254.727</v>
      </c>
      <c r="Q173" s="178">
        <v>2.0069348764672199</v>
      </c>
      <c r="R173" s="179">
        <v>867.87757642823101</v>
      </c>
      <c r="S173" s="168">
        <v>0.01</v>
      </c>
      <c r="T173" s="168">
        <v>0.01</v>
      </c>
      <c r="U173" s="175">
        <v>0</v>
      </c>
      <c r="V173" s="176">
        <v>0</v>
      </c>
      <c r="W173" s="167"/>
      <c r="X173" s="175">
        <v>1347.6297400000001</v>
      </c>
      <c r="Y173" s="166">
        <v>338.158364247946</v>
      </c>
      <c r="Z173" s="177">
        <v>573</v>
      </c>
      <c r="AA173" s="173">
        <v>0.59015421334719997</v>
      </c>
      <c r="AB173" s="174">
        <v>-1282.98684354483</v>
      </c>
      <c r="AC173" s="168"/>
      <c r="AD173" s="168"/>
      <c r="AE173" s="176">
        <v>936</v>
      </c>
      <c r="AF173" s="176">
        <v>1393</v>
      </c>
      <c r="AG173" s="167"/>
      <c r="AH173" s="180">
        <v>143.5</v>
      </c>
      <c r="AI173" s="166">
        <v>36.008203016935703</v>
      </c>
      <c r="AJ173" s="181" t="s">
        <v>53</v>
      </c>
      <c r="AK173" s="173">
        <v>0.57155877804659805</v>
      </c>
      <c r="AL173" s="174">
        <v>-145.73009557299201</v>
      </c>
      <c r="AM173" s="168"/>
      <c r="AN173" s="168"/>
      <c r="AO173" s="176">
        <v>108</v>
      </c>
      <c r="AP173" s="176">
        <v>158</v>
      </c>
      <c r="AQ173" s="167"/>
      <c r="AR173" s="180">
        <v>51.5</v>
      </c>
      <c r="AS173" s="166">
        <v>12.9228045670536</v>
      </c>
      <c r="AT173" s="181" t="s">
        <v>54</v>
      </c>
      <c r="AU173" s="188">
        <v>0.80767528544084699</v>
      </c>
      <c r="AV173" s="171">
        <v>-21.955262367743899</v>
      </c>
      <c r="AW173" s="168"/>
      <c r="AX173" s="168"/>
      <c r="AY173" s="176">
        <v>13</v>
      </c>
      <c r="AZ173" s="176">
        <v>26</v>
      </c>
      <c r="BA173" s="167"/>
      <c r="BB173" s="184">
        <v>125.4</v>
      </c>
      <c r="BC173" s="180">
        <v>31.4664018001654</v>
      </c>
      <c r="BD173" s="181" t="s">
        <v>55</v>
      </c>
      <c r="BE173" s="182">
        <v>0.98332505625516797</v>
      </c>
      <c r="BF173" s="183">
        <v>-21.510524735487799</v>
      </c>
      <c r="BG173" s="168">
        <v>2E-3</v>
      </c>
      <c r="BH173" s="168"/>
      <c r="BI173" s="176">
        <v>3</v>
      </c>
      <c r="BJ173" s="176">
        <v>28</v>
      </c>
      <c r="BK173" s="169"/>
      <c r="BL173" s="185">
        <v>0.8</v>
      </c>
      <c r="BM173" s="188">
        <v>0.73</v>
      </c>
      <c r="BN173" s="186"/>
      <c r="BO173" s="187">
        <v>0.95</v>
      </c>
      <c r="BP173" s="178">
        <v>1</v>
      </c>
      <c r="BQ173" s="186">
        <v>2.5000000000000001E-3</v>
      </c>
    </row>
    <row r="174" spans="1:69" s="156" customFormat="1" ht="22.35" customHeight="1" x14ac:dyDescent="0.2">
      <c r="A174" s="165" t="s">
        <v>220</v>
      </c>
      <c r="B174" s="165" t="s">
        <v>221</v>
      </c>
      <c r="C174" s="165" t="s">
        <v>237</v>
      </c>
      <c r="D174" s="166">
        <v>3.0016649496666701</v>
      </c>
      <c r="E174" s="167"/>
      <c r="F174" s="168">
        <v>0.03</v>
      </c>
      <c r="G174" s="168">
        <v>0.03</v>
      </c>
      <c r="H174" s="169"/>
      <c r="I174" s="170">
        <v>3</v>
      </c>
      <c r="J174" s="170">
        <v>3</v>
      </c>
      <c r="K174" s="167"/>
      <c r="L174" s="171">
        <v>2509.50576</v>
      </c>
      <c r="M174" s="171">
        <v>1552.3605500000001</v>
      </c>
      <c r="N174" s="171">
        <v>4061.8663099999999</v>
      </c>
      <c r="O174" s="166">
        <v>1353.20443091127</v>
      </c>
      <c r="P174" s="172">
        <v>242.02199999999999</v>
      </c>
      <c r="Q174" s="178">
        <v>5.5912455516906299</v>
      </c>
      <c r="R174" s="179">
        <v>3224.97407447564</v>
      </c>
      <c r="S174" s="168">
        <v>0.01</v>
      </c>
      <c r="T174" s="168">
        <v>0.01</v>
      </c>
      <c r="U174" s="175">
        <v>0</v>
      </c>
      <c r="V174" s="176">
        <v>0</v>
      </c>
      <c r="W174" s="167"/>
      <c r="X174" s="175">
        <v>1213.43148</v>
      </c>
      <c r="Y174" s="166">
        <v>404.25280647487</v>
      </c>
      <c r="Z174" s="177">
        <v>573</v>
      </c>
      <c r="AA174" s="173">
        <v>0.70550228006085602</v>
      </c>
      <c r="AB174" s="174">
        <v>-767.95554661516996</v>
      </c>
      <c r="AC174" s="168"/>
      <c r="AD174" s="168"/>
      <c r="AE174" s="176">
        <v>507</v>
      </c>
      <c r="AF174" s="176">
        <v>851</v>
      </c>
      <c r="AG174" s="167"/>
      <c r="AH174" s="180">
        <v>126.4</v>
      </c>
      <c r="AI174" s="166">
        <v>42.109963010374202</v>
      </c>
      <c r="AJ174" s="181" t="s">
        <v>53</v>
      </c>
      <c r="AK174" s="173">
        <v>0.66841211127578004</v>
      </c>
      <c r="AL174" s="174">
        <v>-91.448835387008202</v>
      </c>
      <c r="AM174" s="168"/>
      <c r="AN174" s="168"/>
      <c r="AO174" s="176">
        <v>63</v>
      </c>
      <c r="AP174" s="176">
        <v>101</v>
      </c>
      <c r="AQ174" s="167"/>
      <c r="AR174" s="180">
        <v>27.4</v>
      </c>
      <c r="AS174" s="166">
        <v>9.1282672981349098</v>
      </c>
      <c r="AT174" s="181" t="s">
        <v>54</v>
      </c>
      <c r="AU174" s="173">
        <v>0.57051670613343197</v>
      </c>
      <c r="AV174" s="174">
        <v>-27.9266883522561</v>
      </c>
      <c r="AW174" s="168"/>
      <c r="AX174" s="168"/>
      <c r="AY174" s="176">
        <v>21</v>
      </c>
      <c r="AZ174" s="176">
        <v>31</v>
      </c>
      <c r="BA174" s="167"/>
      <c r="BB174" s="184">
        <v>121.2</v>
      </c>
      <c r="BC174" s="180">
        <v>40.3775911143778</v>
      </c>
      <c r="BD174" s="181" t="s">
        <v>55</v>
      </c>
      <c r="BE174" s="178">
        <v>1.26179972232431</v>
      </c>
      <c r="BF174" s="179">
        <v>10.546623295487899</v>
      </c>
      <c r="BG174" s="168">
        <v>0.02</v>
      </c>
      <c r="BH174" s="168">
        <v>0.02</v>
      </c>
      <c r="BI174" s="176">
        <v>0</v>
      </c>
      <c r="BJ174" s="176">
        <v>0</v>
      </c>
      <c r="BK174" s="169"/>
      <c r="BL174" s="185">
        <v>0.8</v>
      </c>
      <c r="BM174" s="188">
        <v>0.78</v>
      </c>
      <c r="BN174" s="186"/>
      <c r="BO174" s="187">
        <v>0.95</v>
      </c>
      <c r="BP174" s="178">
        <v>1</v>
      </c>
      <c r="BQ174" s="186">
        <v>2.5000000000000001E-3</v>
      </c>
    </row>
    <row r="175" spans="1:69" s="156" customFormat="1" ht="22.35" customHeight="1" x14ac:dyDescent="0.2">
      <c r="A175" s="165" t="s">
        <v>220</v>
      </c>
      <c r="B175" s="165" t="s">
        <v>221</v>
      </c>
      <c r="C175" s="165" t="s">
        <v>238</v>
      </c>
      <c r="D175" s="166">
        <v>2.70658970644444</v>
      </c>
      <c r="E175" s="167"/>
      <c r="F175" s="168">
        <v>5.9499999999999997E-2</v>
      </c>
      <c r="G175" s="168">
        <v>4.9000000000000002E-2</v>
      </c>
      <c r="H175" s="169"/>
      <c r="I175" s="170">
        <v>6</v>
      </c>
      <c r="J175" s="170">
        <v>5</v>
      </c>
      <c r="K175" s="167"/>
      <c r="L175" s="171">
        <v>1415.7800400000001</v>
      </c>
      <c r="M175" s="171">
        <v>1070.0095200000001</v>
      </c>
      <c r="N175" s="171">
        <v>2485.7895600000002</v>
      </c>
      <c r="O175" s="166">
        <v>918.42127163983696</v>
      </c>
      <c r="P175" s="172">
        <v>222.28899999999999</v>
      </c>
      <c r="Q175" s="178">
        <v>4.1316541603040999</v>
      </c>
      <c r="R175" s="179">
        <v>1792.6943826172901</v>
      </c>
      <c r="S175" s="168">
        <v>0.01</v>
      </c>
      <c r="T175" s="168">
        <v>0.01</v>
      </c>
      <c r="U175" s="175">
        <v>0</v>
      </c>
      <c r="V175" s="176">
        <v>0</v>
      </c>
      <c r="W175" s="167"/>
      <c r="X175" s="175">
        <v>1774.2472849999999</v>
      </c>
      <c r="Y175" s="166">
        <v>655.52871969308103</v>
      </c>
      <c r="Z175" s="177">
        <v>573</v>
      </c>
      <c r="AA175" s="182">
        <v>1.1440291792200401</v>
      </c>
      <c r="AB175" s="183">
        <v>-12.361753865148801</v>
      </c>
      <c r="AC175" s="168">
        <v>1.9E-2</v>
      </c>
      <c r="AD175" s="168">
        <v>1.4E-2</v>
      </c>
      <c r="AE175" s="176">
        <v>0</v>
      </c>
      <c r="AF175" s="176">
        <v>87</v>
      </c>
      <c r="AG175" s="167"/>
      <c r="AH175" s="180">
        <v>179.85</v>
      </c>
      <c r="AI175" s="166">
        <v>66.448933716024101</v>
      </c>
      <c r="AJ175" s="181" t="s">
        <v>53</v>
      </c>
      <c r="AK175" s="182">
        <v>1.0547449796194299</v>
      </c>
      <c r="AL175" s="183">
        <v>-16.583454534911599</v>
      </c>
      <c r="AM175" s="168">
        <v>0.01</v>
      </c>
      <c r="AN175" s="168">
        <v>5.0000000000000001E-3</v>
      </c>
      <c r="AO175" s="176">
        <v>0</v>
      </c>
      <c r="AP175" s="176">
        <v>25</v>
      </c>
      <c r="AQ175" s="167"/>
      <c r="AR175" s="180">
        <v>42.1</v>
      </c>
      <c r="AS175" s="166">
        <v>15.5546294659139</v>
      </c>
      <c r="AT175" s="181" t="s">
        <v>54</v>
      </c>
      <c r="AU175" s="182">
        <v>0.97216434161961796</v>
      </c>
      <c r="AV175" s="183">
        <v>-7.7878614691839001</v>
      </c>
      <c r="AW175" s="168">
        <v>5.0000000000000001E-4</v>
      </c>
      <c r="AX175" s="168"/>
      <c r="AY175" s="176">
        <v>2</v>
      </c>
      <c r="AZ175" s="176">
        <v>10</v>
      </c>
      <c r="BA175" s="167"/>
      <c r="BB175" s="184">
        <v>117.8</v>
      </c>
      <c r="BC175" s="180">
        <v>43.523405013887299</v>
      </c>
      <c r="BD175" s="181" t="s">
        <v>55</v>
      </c>
      <c r="BE175" s="178">
        <v>1.3601064066839801</v>
      </c>
      <c r="BF175" s="179">
        <v>18.024277061632201</v>
      </c>
      <c r="BG175" s="168">
        <v>0.02</v>
      </c>
      <c r="BH175" s="168">
        <v>0.02</v>
      </c>
      <c r="BI175" s="176">
        <v>0</v>
      </c>
      <c r="BJ175" s="176">
        <v>0</v>
      </c>
      <c r="BK175" s="169"/>
      <c r="BL175" s="185">
        <v>0.8</v>
      </c>
      <c r="BM175" s="188">
        <v>0.76</v>
      </c>
      <c r="BN175" s="186"/>
      <c r="BO175" s="187">
        <v>0.95</v>
      </c>
      <c r="BP175" s="178">
        <v>1</v>
      </c>
      <c r="BQ175" s="186">
        <v>2.5000000000000001E-3</v>
      </c>
    </row>
    <row r="176" spans="1:69" s="156" customFormat="1" ht="22.35" customHeight="1" x14ac:dyDescent="0.2">
      <c r="A176" s="165" t="s">
        <v>220</v>
      </c>
      <c r="B176" s="165" t="s">
        <v>221</v>
      </c>
      <c r="C176" s="165" t="s">
        <v>239</v>
      </c>
      <c r="D176" s="166">
        <v>4.3740007442222204</v>
      </c>
      <c r="E176" s="167"/>
      <c r="F176" s="168">
        <v>0.04</v>
      </c>
      <c r="G176" s="168">
        <v>3.9E-2</v>
      </c>
      <c r="H176" s="169"/>
      <c r="I176" s="170">
        <v>4</v>
      </c>
      <c r="J176" s="170">
        <v>4</v>
      </c>
      <c r="K176" s="167"/>
      <c r="L176" s="171">
        <v>3177.6501400000002</v>
      </c>
      <c r="M176" s="171">
        <v>2273.10583</v>
      </c>
      <c r="N176" s="171">
        <v>5450.7559700000002</v>
      </c>
      <c r="O176" s="166">
        <v>1246.17170612056</v>
      </c>
      <c r="P176" s="172">
        <v>258.548</v>
      </c>
      <c r="Q176" s="178">
        <v>4.8198853060962001</v>
      </c>
      <c r="R176" s="179">
        <v>4147.9716756314201</v>
      </c>
      <c r="S176" s="168">
        <v>0.01</v>
      </c>
      <c r="T176" s="168">
        <v>0.01</v>
      </c>
      <c r="U176" s="175">
        <v>0</v>
      </c>
      <c r="V176" s="176">
        <v>0</v>
      </c>
      <c r="W176" s="167"/>
      <c r="X176" s="175">
        <v>2087.7458449999999</v>
      </c>
      <c r="Y176" s="166">
        <v>477.30806807881299</v>
      </c>
      <c r="Z176" s="177">
        <v>573</v>
      </c>
      <c r="AA176" s="188">
        <v>0.832998373610494</v>
      </c>
      <c r="AB176" s="171">
        <v>-799.51455025811003</v>
      </c>
      <c r="AC176" s="168"/>
      <c r="AD176" s="168"/>
      <c r="AE176" s="176">
        <v>419</v>
      </c>
      <c r="AF176" s="176">
        <v>920</v>
      </c>
      <c r="AG176" s="167"/>
      <c r="AH176" s="180">
        <v>221.1</v>
      </c>
      <c r="AI176" s="166">
        <v>50.548688244294198</v>
      </c>
      <c r="AJ176" s="181" t="s">
        <v>53</v>
      </c>
      <c r="AK176" s="188">
        <v>0.80236013086181301</v>
      </c>
      <c r="AL176" s="171">
        <v>-96.347478012671701</v>
      </c>
      <c r="AM176" s="168"/>
      <c r="AN176" s="168"/>
      <c r="AO176" s="176">
        <v>55</v>
      </c>
      <c r="AP176" s="176">
        <v>110</v>
      </c>
      <c r="AQ176" s="167"/>
      <c r="AR176" s="180">
        <v>82.3</v>
      </c>
      <c r="AS176" s="166">
        <v>18.815726108120401</v>
      </c>
      <c r="AT176" s="181" t="s">
        <v>54</v>
      </c>
      <c r="AU176" s="178">
        <v>1.17598288175752</v>
      </c>
      <c r="AV176" s="179">
        <v>1.6784182824960501</v>
      </c>
      <c r="AW176" s="168">
        <v>0.01</v>
      </c>
      <c r="AX176" s="168">
        <v>8.9999999999999993E-3</v>
      </c>
      <c r="AY176" s="176">
        <v>0</v>
      </c>
      <c r="AZ176" s="176">
        <v>2</v>
      </c>
      <c r="BA176" s="167"/>
      <c r="BB176" s="184">
        <v>193.8</v>
      </c>
      <c r="BC176" s="180">
        <v>44.307262694456</v>
      </c>
      <c r="BD176" s="181" t="s">
        <v>55</v>
      </c>
      <c r="BE176" s="178">
        <v>1.38460195920175</v>
      </c>
      <c r="BF176" s="179">
        <v>32.556836564992103</v>
      </c>
      <c r="BG176" s="168">
        <v>0.02</v>
      </c>
      <c r="BH176" s="168">
        <v>0.02</v>
      </c>
      <c r="BI176" s="176">
        <v>0</v>
      </c>
      <c r="BJ176" s="176">
        <v>0</v>
      </c>
      <c r="BK176" s="169"/>
      <c r="BL176" s="185">
        <v>0.8</v>
      </c>
      <c r="BM176" s="188">
        <v>0.71</v>
      </c>
      <c r="BN176" s="186"/>
      <c r="BO176" s="187">
        <v>0.95</v>
      </c>
      <c r="BP176" s="178">
        <v>1</v>
      </c>
      <c r="BQ176" s="186">
        <v>2.5000000000000001E-3</v>
      </c>
    </row>
    <row r="177" spans="1:69" s="156" customFormat="1" ht="22.35" customHeight="1" x14ac:dyDescent="0.2">
      <c r="A177" s="165" t="s">
        <v>220</v>
      </c>
      <c r="B177" s="165" t="s">
        <v>240</v>
      </c>
      <c r="C177" s="165" t="s">
        <v>241</v>
      </c>
      <c r="D177" s="166">
        <v>3.97523895733333</v>
      </c>
      <c r="E177" s="167"/>
      <c r="F177" s="168">
        <v>1.4999999999999999E-2</v>
      </c>
      <c r="G177" s="168">
        <v>1.0999999999999999E-2</v>
      </c>
      <c r="H177" s="169"/>
      <c r="I177" s="170">
        <v>3</v>
      </c>
      <c r="J177" s="170">
        <v>3</v>
      </c>
      <c r="K177" s="167"/>
      <c r="L177" s="171">
        <v>2883.8302699999999</v>
      </c>
      <c r="M177" s="171">
        <v>-421.38905</v>
      </c>
      <c r="N177" s="171">
        <v>2462.4412200000002</v>
      </c>
      <c r="O177" s="166">
        <v>619.44482996610895</v>
      </c>
      <c r="P177" s="172">
        <v>241.762</v>
      </c>
      <c r="Q177" s="178">
        <v>2.56220923869801</v>
      </c>
      <c r="R177" s="179">
        <v>1355.29811763515</v>
      </c>
      <c r="S177" s="168">
        <v>0.01</v>
      </c>
      <c r="T177" s="168">
        <v>0.01</v>
      </c>
      <c r="U177" s="175">
        <v>0</v>
      </c>
      <c r="V177" s="176">
        <v>0</v>
      </c>
      <c r="W177" s="167"/>
      <c r="X177" s="175">
        <v>2288.94868</v>
      </c>
      <c r="Y177" s="166">
        <v>575.80153157270104</v>
      </c>
      <c r="Z177" s="177">
        <v>573</v>
      </c>
      <c r="AA177" s="182">
        <v>1.0048892348563701</v>
      </c>
      <c r="AB177" s="183">
        <v>-335.090654779901</v>
      </c>
      <c r="AC177" s="168">
        <v>5.0000000000000001E-3</v>
      </c>
      <c r="AD177" s="168">
        <v>1E-3</v>
      </c>
      <c r="AE177" s="176">
        <v>0</v>
      </c>
      <c r="AF177" s="176">
        <v>445</v>
      </c>
      <c r="AG177" s="167"/>
      <c r="AH177" s="180">
        <v>185</v>
      </c>
      <c r="AI177" s="166">
        <v>46.5380828638542</v>
      </c>
      <c r="AJ177" s="181" t="s">
        <v>53</v>
      </c>
      <c r="AK177" s="173">
        <v>0.73869972799768502</v>
      </c>
      <c r="AL177" s="174">
        <v>-103.50694256742401</v>
      </c>
      <c r="AM177" s="168"/>
      <c r="AN177" s="168"/>
      <c r="AO177" s="176">
        <v>66</v>
      </c>
      <c r="AP177" s="176">
        <v>116</v>
      </c>
      <c r="AQ177" s="167"/>
      <c r="AR177" s="180">
        <v>33.799999999999997</v>
      </c>
      <c r="AS177" s="166">
        <v>8.5026335178284995</v>
      </c>
      <c r="AT177" s="181" t="s">
        <v>54</v>
      </c>
      <c r="AU177" s="173">
        <v>0.531414594864281</v>
      </c>
      <c r="AV177" s="174">
        <v>-39.4716044615679</v>
      </c>
      <c r="AW177" s="168"/>
      <c r="AX177" s="168"/>
      <c r="AY177" s="176">
        <v>30</v>
      </c>
      <c r="AZ177" s="176">
        <v>43</v>
      </c>
      <c r="BA177" s="167"/>
      <c r="BB177" s="184">
        <v>98.2</v>
      </c>
      <c r="BC177" s="180">
        <v>24.702917498543101</v>
      </c>
      <c r="BD177" s="181" t="s">
        <v>55</v>
      </c>
      <c r="BE177" s="188">
        <v>0.77196617182947302</v>
      </c>
      <c r="BF177" s="171">
        <v>-48.343208923135798</v>
      </c>
      <c r="BG177" s="168"/>
      <c r="BH177" s="168"/>
      <c r="BI177" s="176">
        <v>30</v>
      </c>
      <c r="BJ177" s="176">
        <v>55</v>
      </c>
      <c r="BK177" s="169"/>
      <c r="BL177" s="185">
        <v>0.8</v>
      </c>
      <c r="BM177" s="188">
        <v>0.77</v>
      </c>
      <c r="BN177" s="186"/>
      <c r="BO177" s="187">
        <v>0.95</v>
      </c>
      <c r="BP177" s="178">
        <v>1</v>
      </c>
      <c r="BQ177" s="186">
        <v>2.5000000000000001E-3</v>
      </c>
    </row>
    <row r="178" spans="1:69" s="156" customFormat="1" ht="22.35" customHeight="1" x14ac:dyDescent="0.2">
      <c r="A178" s="165" t="s">
        <v>220</v>
      </c>
      <c r="B178" s="165" t="s">
        <v>240</v>
      </c>
      <c r="C178" s="165" t="s">
        <v>242</v>
      </c>
      <c r="D178" s="166">
        <v>2.6208074601111102</v>
      </c>
      <c r="E178" s="167"/>
      <c r="F178" s="168">
        <v>5.6500000000000002E-2</v>
      </c>
      <c r="G178" s="168">
        <v>5.45E-2</v>
      </c>
      <c r="H178" s="169"/>
      <c r="I178" s="170">
        <v>5</v>
      </c>
      <c r="J178" s="170">
        <v>5</v>
      </c>
      <c r="K178" s="167"/>
      <c r="L178" s="171">
        <v>1760.23353</v>
      </c>
      <c r="M178" s="171">
        <v>1395.8678399999999</v>
      </c>
      <c r="N178" s="171">
        <v>3156.1013699999999</v>
      </c>
      <c r="O178" s="166">
        <v>1204.2477053488701</v>
      </c>
      <c r="P178" s="172">
        <v>238.04499999999999</v>
      </c>
      <c r="Q178" s="178">
        <v>5.0589077920093697</v>
      </c>
      <c r="R178" s="179">
        <v>2437.4030011578402</v>
      </c>
      <c r="S178" s="168">
        <v>0.01</v>
      </c>
      <c r="T178" s="168">
        <v>0.01</v>
      </c>
      <c r="U178" s="175">
        <v>0</v>
      </c>
      <c r="V178" s="176">
        <v>0</v>
      </c>
      <c r="W178" s="167"/>
      <c r="X178" s="175">
        <v>1222.6294</v>
      </c>
      <c r="Y178" s="166">
        <v>466.508669029874</v>
      </c>
      <c r="Z178" s="177">
        <v>573</v>
      </c>
      <c r="AA178" s="188">
        <v>0.81415125485143902</v>
      </c>
      <c r="AB178" s="171">
        <v>-507.355121189503</v>
      </c>
      <c r="AC178" s="168"/>
      <c r="AD178" s="168"/>
      <c r="AE178" s="176">
        <v>280</v>
      </c>
      <c r="AF178" s="176">
        <v>580</v>
      </c>
      <c r="AG178" s="167"/>
      <c r="AH178" s="180">
        <v>208.8</v>
      </c>
      <c r="AI178" s="166">
        <v>79.670102889262907</v>
      </c>
      <c r="AJ178" s="181" t="s">
        <v>53</v>
      </c>
      <c r="AK178" s="178">
        <v>1.2646048077660801</v>
      </c>
      <c r="AL178" s="179">
        <v>18.5922777749761</v>
      </c>
      <c r="AM178" s="168">
        <v>0.02</v>
      </c>
      <c r="AN178" s="168">
        <v>0.02</v>
      </c>
      <c r="AO178" s="176">
        <v>0</v>
      </c>
      <c r="AP178" s="176">
        <v>0</v>
      </c>
      <c r="AQ178" s="167"/>
      <c r="AR178" s="180">
        <v>45.5</v>
      </c>
      <c r="AS178" s="166">
        <v>17.3610616928231</v>
      </c>
      <c r="AT178" s="181" t="s">
        <v>54</v>
      </c>
      <c r="AU178" s="182">
        <v>1.08506635580144</v>
      </c>
      <c r="AV178" s="183">
        <v>-2.8067231047679702</v>
      </c>
      <c r="AW178" s="168">
        <v>6.4999999999999997E-3</v>
      </c>
      <c r="AX178" s="168">
        <v>4.4999999999999997E-3</v>
      </c>
      <c r="AY178" s="176">
        <v>0</v>
      </c>
      <c r="AZ178" s="176">
        <v>5</v>
      </c>
      <c r="BA178" s="167"/>
      <c r="BB178" s="184">
        <v>137.19999999999999</v>
      </c>
      <c r="BC178" s="180">
        <v>52.350278335281899</v>
      </c>
      <c r="BD178" s="181" t="s">
        <v>55</v>
      </c>
      <c r="BE178" s="178">
        <v>1.63594619797756</v>
      </c>
      <c r="BF178" s="179">
        <v>40.586553790464102</v>
      </c>
      <c r="BG178" s="168">
        <v>0.02</v>
      </c>
      <c r="BH178" s="168">
        <v>0.02</v>
      </c>
      <c r="BI178" s="176">
        <v>0</v>
      </c>
      <c r="BJ178" s="176">
        <v>0</v>
      </c>
      <c r="BK178" s="169"/>
      <c r="BL178" s="185">
        <v>0.8</v>
      </c>
      <c r="BM178" s="188">
        <v>0.71</v>
      </c>
      <c r="BN178" s="186"/>
      <c r="BO178" s="187">
        <v>0.95</v>
      </c>
      <c r="BP178" s="178">
        <v>1</v>
      </c>
      <c r="BQ178" s="186">
        <v>2.5000000000000001E-3</v>
      </c>
    </row>
    <row r="179" spans="1:69" s="156" customFormat="1" ht="22.35" customHeight="1" x14ac:dyDescent="0.2">
      <c r="A179" s="165" t="s">
        <v>220</v>
      </c>
      <c r="B179" s="165" t="s">
        <v>240</v>
      </c>
      <c r="C179" s="165" t="s">
        <v>243</v>
      </c>
      <c r="D179" s="166">
        <v>3.17144203944444</v>
      </c>
      <c r="E179" s="167"/>
      <c r="F179" s="168">
        <v>1.7000000000000001E-2</v>
      </c>
      <c r="G179" s="168">
        <v>1.2999999999999999E-2</v>
      </c>
      <c r="H179" s="169"/>
      <c r="I179" s="170">
        <v>3</v>
      </c>
      <c r="J179" s="170">
        <v>3</v>
      </c>
      <c r="K179" s="167"/>
      <c r="L179" s="171">
        <v>1812.93551</v>
      </c>
      <c r="M179" s="171">
        <v>2342.40985</v>
      </c>
      <c r="N179" s="171">
        <v>4155.3453600000003</v>
      </c>
      <c r="O179" s="166">
        <v>1310.2384682798499</v>
      </c>
      <c r="P179" s="172">
        <v>247.75800000000001</v>
      </c>
      <c r="Q179" s="178">
        <v>5.2883800655472299</v>
      </c>
      <c r="R179" s="179">
        <v>3250.1612023964099</v>
      </c>
      <c r="S179" s="168">
        <v>0.01</v>
      </c>
      <c r="T179" s="168">
        <v>0.01</v>
      </c>
      <c r="U179" s="175">
        <v>0</v>
      </c>
      <c r="V179" s="176">
        <v>0</v>
      </c>
      <c r="W179" s="167"/>
      <c r="X179" s="175">
        <v>1868.4990700000001</v>
      </c>
      <c r="Y179" s="166">
        <v>589.16387143790098</v>
      </c>
      <c r="Z179" s="177">
        <v>573</v>
      </c>
      <c r="AA179" s="182">
        <v>1.0282091997170999</v>
      </c>
      <c r="AB179" s="183">
        <v>-224.95713446911699</v>
      </c>
      <c r="AC179" s="168">
        <v>7.0000000000000001E-3</v>
      </c>
      <c r="AD179" s="168">
        <v>3.0000000000000001E-3</v>
      </c>
      <c r="AE179" s="176">
        <v>0</v>
      </c>
      <c r="AF179" s="176">
        <v>313</v>
      </c>
      <c r="AG179" s="167"/>
      <c r="AH179" s="180">
        <v>168.5</v>
      </c>
      <c r="AI179" s="166">
        <v>53.130405003244803</v>
      </c>
      <c r="AJ179" s="181" t="s">
        <v>53</v>
      </c>
      <c r="AK179" s="188">
        <v>0.84333976195626603</v>
      </c>
      <c r="AL179" s="171">
        <v>-61.670577454719599</v>
      </c>
      <c r="AM179" s="168"/>
      <c r="AN179" s="168"/>
      <c r="AO179" s="176">
        <v>32</v>
      </c>
      <c r="AP179" s="176">
        <v>72</v>
      </c>
      <c r="AQ179" s="167"/>
      <c r="AR179" s="180">
        <v>28</v>
      </c>
      <c r="AS179" s="166">
        <v>8.8287913358507701</v>
      </c>
      <c r="AT179" s="181" t="s">
        <v>54</v>
      </c>
      <c r="AU179" s="173">
        <v>0.55179945849067302</v>
      </c>
      <c r="AV179" s="174">
        <v>-30.4560196710399</v>
      </c>
      <c r="AW179" s="168"/>
      <c r="AX179" s="168"/>
      <c r="AY179" s="176">
        <v>23</v>
      </c>
      <c r="AZ179" s="176">
        <v>33</v>
      </c>
      <c r="BA179" s="167"/>
      <c r="BB179" s="184">
        <v>93</v>
      </c>
      <c r="BC179" s="180">
        <v>29.324199794075799</v>
      </c>
      <c r="BD179" s="181" t="s">
        <v>55</v>
      </c>
      <c r="BE179" s="188">
        <v>0.91638124356486805</v>
      </c>
      <c r="BF179" s="171">
        <v>-23.912039342079801</v>
      </c>
      <c r="BG179" s="168"/>
      <c r="BH179" s="168"/>
      <c r="BI179" s="176">
        <v>9</v>
      </c>
      <c r="BJ179" s="176">
        <v>29</v>
      </c>
      <c r="BK179" s="169"/>
      <c r="BL179" s="185">
        <v>0.8</v>
      </c>
      <c r="BM179" s="173">
        <v>0.69</v>
      </c>
      <c r="BN179" s="186"/>
      <c r="BO179" s="187">
        <v>0.95</v>
      </c>
      <c r="BP179" s="178">
        <v>1</v>
      </c>
      <c r="BQ179" s="186">
        <v>2.5000000000000001E-3</v>
      </c>
    </row>
    <row r="180" spans="1:69" s="156" customFormat="1" ht="22.35" customHeight="1" x14ac:dyDescent="0.2">
      <c r="A180" s="165" t="s">
        <v>220</v>
      </c>
      <c r="B180" s="165" t="s">
        <v>240</v>
      </c>
      <c r="C180" s="165" t="s">
        <v>244</v>
      </c>
      <c r="D180" s="166">
        <v>3.4906875204444399</v>
      </c>
      <c r="E180" s="167"/>
      <c r="F180" s="168">
        <v>0.01</v>
      </c>
      <c r="G180" s="168">
        <v>0.01</v>
      </c>
      <c r="H180" s="169"/>
      <c r="I180" s="170">
        <v>3</v>
      </c>
      <c r="J180" s="170">
        <v>3</v>
      </c>
      <c r="K180" s="167"/>
      <c r="L180" s="171">
        <v>1143.02943</v>
      </c>
      <c r="M180" s="171">
        <v>365.52355</v>
      </c>
      <c r="N180" s="171">
        <v>1508.5529799999999</v>
      </c>
      <c r="O180" s="166">
        <v>432.16500221363998</v>
      </c>
      <c r="P180" s="172">
        <v>247.167</v>
      </c>
      <c r="Q180" s="178">
        <v>1.7484737129699399</v>
      </c>
      <c r="R180" s="179">
        <v>514.62723775472398</v>
      </c>
      <c r="S180" s="168">
        <v>0.01</v>
      </c>
      <c r="T180" s="168">
        <v>0.01</v>
      </c>
      <c r="U180" s="175">
        <v>0</v>
      </c>
      <c r="V180" s="176">
        <v>0</v>
      </c>
      <c r="W180" s="167"/>
      <c r="X180" s="175">
        <v>1333.5001150000001</v>
      </c>
      <c r="Y180" s="166">
        <v>382.01646729759801</v>
      </c>
      <c r="Z180" s="177">
        <v>573</v>
      </c>
      <c r="AA180" s="173">
        <v>0.66669540540593097</v>
      </c>
      <c r="AB180" s="174">
        <v>-970.68875449529298</v>
      </c>
      <c r="AC180" s="168"/>
      <c r="AD180" s="168"/>
      <c r="AE180" s="176">
        <v>667</v>
      </c>
      <c r="AF180" s="176">
        <v>1067</v>
      </c>
      <c r="AG180" s="167"/>
      <c r="AH180" s="180">
        <v>179.9</v>
      </c>
      <c r="AI180" s="166">
        <v>51.537125264393403</v>
      </c>
      <c r="AJ180" s="181" t="s">
        <v>53</v>
      </c>
      <c r="AK180" s="188">
        <v>0.81804960737132304</v>
      </c>
      <c r="AL180" s="171">
        <v>-73.440137483775601</v>
      </c>
      <c r="AM180" s="168"/>
      <c r="AN180" s="168"/>
      <c r="AO180" s="176">
        <v>41</v>
      </c>
      <c r="AP180" s="176">
        <v>84</v>
      </c>
      <c r="AQ180" s="167"/>
      <c r="AR180" s="180">
        <v>24.8</v>
      </c>
      <c r="AS180" s="166">
        <v>7.1046176017618397</v>
      </c>
      <c r="AT180" s="181" t="s">
        <v>54</v>
      </c>
      <c r="AU180" s="173">
        <v>0.44403860011011498</v>
      </c>
      <c r="AV180" s="174">
        <v>-39.540352376831898</v>
      </c>
      <c r="AW180" s="168"/>
      <c r="AX180" s="168"/>
      <c r="AY180" s="176">
        <v>32</v>
      </c>
      <c r="AZ180" s="176">
        <v>43</v>
      </c>
      <c r="BA180" s="167"/>
      <c r="BB180" s="184">
        <v>81.2</v>
      </c>
      <c r="BC180" s="180">
        <v>23.261893115446</v>
      </c>
      <c r="BD180" s="181" t="s">
        <v>55</v>
      </c>
      <c r="BE180" s="173">
        <v>0.72693415985768906</v>
      </c>
      <c r="BF180" s="174">
        <v>-47.480704753663801</v>
      </c>
      <c r="BG180" s="168"/>
      <c r="BH180" s="168"/>
      <c r="BI180" s="176">
        <v>31</v>
      </c>
      <c r="BJ180" s="176">
        <v>53</v>
      </c>
      <c r="BK180" s="169"/>
      <c r="BL180" s="185">
        <v>0.8</v>
      </c>
      <c r="BM180" s="182">
        <v>0.86</v>
      </c>
      <c r="BN180" s="186">
        <v>2.2499999999999998E-3</v>
      </c>
      <c r="BO180" s="187">
        <v>0.95</v>
      </c>
      <c r="BP180" s="178">
        <v>1</v>
      </c>
      <c r="BQ180" s="186">
        <v>2.5000000000000001E-3</v>
      </c>
    </row>
    <row r="181" spans="1:69" s="156" customFormat="1" ht="22.35" customHeight="1" x14ac:dyDescent="0.2">
      <c r="A181" s="165" t="s">
        <v>220</v>
      </c>
      <c r="B181" s="165" t="s">
        <v>240</v>
      </c>
      <c r="C181" s="165" t="s">
        <v>245</v>
      </c>
      <c r="D181" s="166">
        <v>2.5343313424444398</v>
      </c>
      <c r="E181" s="167"/>
      <c r="F181" s="168">
        <v>6.4000000000000001E-2</v>
      </c>
      <c r="G181" s="168">
        <v>5.8999999999999997E-2</v>
      </c>
      <c r="H181" s="169"/>
      <c r="I181" s="170">
        <v>5</v>
      </c>
      <c r="J181" s="170">
        <v>5</v>
      </c>
      <c r="K181" s="167"/>
      <c r="L181" s="171">
        <v>2273.9973599999998</v>
      </c>
      <c r="M181" s="171">
        <v>865.42906000000005</v>
      </c>
      <c r="N181" s="171">
        <v>3139.4264199999998</v>
      </c>
      <c r="O181" s="166">
        <v>1238.7592606466101</v>
      </c>
      <c r="P181" s="172">
        <v>233.029</v>
      </c>
      <c r="Q181" s="178">
        <v>5.3159017145789198</v>
      </c>
      <c r="R181" s="179">
        <v>2459.0866714449398</v>
      </c>
      <c r="S181" s="168">
        <v>0.01</v>
      </c>
      <c r="T181" s="168">
        <v>0.01</v>
      </c>
      <c r="U181" s="175">
        <v>0</v>
      </c>
      <c r="V181" s="176">
        <v>0</v>
      </c>
      <c r="W181" s="167"/>
      <c r="X181" s="175">
        <v>1591.53459</v>
      </c>
      <c r="Y181" s="166">
        <v>627.98994091471604</v>
      </c>
      <c r="Z181" s="177">
        <v>573</v>
      </c>
      <c r="AA181" s="182">
        <v>1.09596848327176</v>
      </c>
      <c r="AB181" s="183">
        <v>-81.367391822204993</v>
      </c>
      <c r="AC181" s="168">
        <v>1.4E-2</v>
      </c>
      <c r="AD181" s="168">
        <v>0.01</v>
      </c>
      <c r="AE181" s="176">
        <v>0</v>
      </c>
      <c r="AF181" s="176">
        <v>152</v>
      </c>
      <c r="AG181" s="167"/>
      <c r="AH181" s="180">
        <v>190.4</v>
      </c>
      <c r="AI181" s="166">
        <v>75.128297871403404</v>
      </c>
      <c r="AJ181" s="181" t="s">
        <v>53</v>
      </c>
      <c r="AK181" s="178">
        <v>1.19251266462545</v>
      </c>
      <c r="AL181" s="179">
        <v>6.4683684907523702</v>
      </c>
      <c r="AM181" s="168">
        <v>0.02</v>
      </c>
      <c r="AN181" s="168">
        <v>1.9E-2</v>
      </c>
      <c r="AO181" s="176">
        <v>0</v>
      </c>
      <c r="AP181" s="176">
        <v>2</v>
      </c>
      <c r="AQ181" s="167"/>
      <c r="AR181" s="180">
        <v>26.7</v>
      </c>
      <c r="AS181" s="166">
        <v>10.5353232834374</v>
      </c>
      <c r="AT181" s="181" t="s">
        <v>54</v>
      </c>
      <c r="AU181" s="173">
        <v>0.65845770521483404</v>
      </c>
      <c r="AV181" s="174">
        <v>-20.012795303935899</v>
      </c>
      <c r="AW181" s="168"/>
      <c r="AX181" s="168"/>
      <c r="AY181" s="176">
        <v>14</v>
      </c>
      <c r="AZ181" s="176">
        <v>22</v>
      </c>
      <c r="BA181" s="167"/>
      <c r="BB181" s="184">
        <v>117.6</v>
      </c>
      <c r="BC181" s="180">
        <v>46.402772214690401</v>
      </c>
      <c r="BD181" s="181" t="s">
        <v>55</v>
      </c>
      <c r="BE181" s="178">
        <v>1.4500866317090699</v>
      </c>
      <c r="BF181" s="179">
        <v>24.174409392128201</v>
      </c>
      <c r="BG181" s="168">
        <v>0.02</v>
      </c>
      <c r="BH181" s="168">
        <v>0.02</v>
      </c>
      <c r="BI181" s="176">
        <v>0</v>
      </c>
      <c r="BJ181" s="176">
        <v>0</v>
      </c>
      <c r="BK181" s="169"/>
      <c r="BL181" s="185">
        <v>0.8</v>
      </c>
      <c r="BM181" s="188">
        <v>0.73</v>
      </c>
      <c r="BN181" s="186"/>
      <c r="BO181" s="187">
        <v>0.95</v>
      </c>
      <c r="BP181" s="178">
        <v>1</v>
      </c>
      <c r="BQ181" s="186">
        <v>2.5000000000000001E-3</v>
      </c>
    </row>
    <row r="182" spans="1:69" s="156" customFormat="1" ht="22.35" customHeight="1" x14ac:dyDescent="0.2">
      <c r="A182" s="165" t="s">
        <v>220</v>
      </c>
      <c r="B182" s="165" t="s">
        <v>240</v>
      </c>
      <c r="C182" s="165" t="s">
        <v>246</v>
      </c>
      <c r="D182" s="166">
        <v>3.7290475793333302</v>
      </c>
      <c r="E182" s="167"/>
      <c r="F182" s="168">
        <v>1.2999999999999999E-2</v>
      </c>
      <c r="G182" s="168">
        <v>0.01</v>
      </c>
      <c r="H182" s="169"/>
      <c r="I182" s="170">
        <v>3</v>
      </c>
      <c r="J182" s="170">
        <v>2</v>
      </c>
      <c r="K182" s="167"/>
      <c r="L182" s="171">
        <v>2019.8528200000001</v>
      </c>
      <c r="M182" s="171">
        <v>2394.73468</v>
      </c>
      <c r="N182" s="171">
        <v>4414.5874999999996</v>
      </c>
      <c r="O182" s="166">
        <v>1183.83780471614</v>
      </c>
      <c r="P182" s="172">
        <v>254.047</v>
      </c>
      <c r="Q182" s="178">
        <v>4.6599164907128996</v>
      </c>
      <c r="R182" s="179">
        <v>3323.2364403543002</v>
      </c>
      <c r="S182" s="168">
        <v>0.01</v>
      </c>
      <c r="T182" s="168">
        <v>0.01</v>
      </c>
      <c r="U182" s="175">
        <v>0</v>
      </c>
      <c r="V182" s="176">
        <v>0</v>
      </c>
      <c r="W182" s="167"/>
      <c r="X182" s="175">
        <v>1877.97649</v>
      </c>
      <c r="Y182" s="166">
        <v>503.60754322575298</v>
      </c>
      <c r="Z182" s="177">
        <v>573</v>
      </c>
      <c r="AA182" s="188">
        <v>0.87889623599607802</v>
      </c>
      <c r="AB182" s="171">
        <v>-583.55290092761402</v>
      </c>
      <c r="AC182" s="168"/>
      <c r="AD182" s="168"/>
      <c r="AE182" s="176">
        <v>259</v>
      </c>
      <c r="AF182" s="176">
        <v>687</v>
      </c>
      <c r="AG182" s="167"/>
      <c r="AH182" s="180">
        <v>216.3</v>
      </c>
      <c r="AI182" s="166">
        <v>58.004086941328197</v>
      </c>
      <c r="AJ182" s="181" t="s">
        <v>53</v>
      </c>
      <c r="AK182" s="188">
        <v>0.92069979271949498</v>
      </c>
      <c r="AL182" s="171">
        <v>-54.339357117695698</v>
      </c>
      <c r="AM182" s="168"/>
      <c r="AN182" s="168"/>
      <c r="AO182" s="176">
        <v>19</v>
      </c>
      <c r="AP182" s="176">
        <v>66</v>
      </c>
      <c r="AQ182" s="167"/>
      <c r="AR182" s="180">
        <v>28.8</v>
      </c>
      <c r="AS182" s="166">
        <v>7.7231516593169296</v>
      </c>
      <c r="AT182" s="181" t="s">
        <v>54</v>
      </c>
      <c r="AU182" s="173">
        <v>0.48269697870730799</v>
      </c>
      <c r="AV182" s="174">
        <v>-39.933804982271901</v>
      </c>
      <c r="AW182" s="168"/>
      <c r="AX182" s="168"/>
      <c r="AY182" s="176">
        <v>31</v>
      </c>
      <c r="AZ182" s="176">
        <v>43</v>
      </c>
      <c r="BA182" s="167"/>
      <c r="BB182" s="184">
        <v>118</v>
      </c>
      <c r="BC182" s="180">
        <v>31.643468604145699</v>
      </c>
      <c r="BD182" s="181" t="s">
        <v>55</v>
      </c>
      <c r="BE182" s="182">
        <v>0.98885839387955399</v>
      </c>
      <c r="BF182" s="183">
        <v>-19.4676099645439</v>
      </c>
      <c r="BG182" s="168">
        <v>3.0000000000000001E-3</v>
      </c>
      <c r="BH182" s="168"/>
      <c r="BI182" s="176">
        <v>2</v>
      </c>
      <c r="BJ182" s="176">
        <v>26</v>
      </c>
      <c r="BK182" s="169"/>
      <c r="BL182" s="185">
        <v>0.8</v>
      </c>
      <c r="BM182" s="188">
        <v>0.79</v>
      </c>
      <c r="BN182" s="186"/>
      <c r="BO182" s="187">
        <v>0.95</v>
      </c>
      <c r="BP182" s="178">
        <v>1</v>
      </c>
      <c r="BQ182" s="186">
        <v>2.5000000000000001E-3</v>
      </c>
    </row>
    <row r="183" spans="1:69" s="156" customFormat="1" ht="22.35" customHeight="1" x14ac:dyDescent="0.2">
      <c r="A183" s="165" t="s">
        <v>220</v>
      </c>
      <c r="B183" s="165" t="s">
        <v>240</v>
      </c>
      <c r="C183" s="165" t="s">
        <v>247</v>
      </c>
      <c r="D183" s="166">
        <v>4.4497067784444404</v>
      </c>
      <c r="E183" s="167"/>
      <c r="F183" s="168">
        <v>0.01</v>
      </c>
      <c r="G183" s="168">
        <v>0.01</v>
      </c>
      <c r="H183" s="169"/>
      <c r="I183" s="170">
        <v>2</v>
      </c>
      <c r="J183" s="170">
        <v>2</v>
      </c>
      <c r="K183" s="167"/>
      <c r="L183" s="171">
        <v>2237.88105</v>
      </c>
      <c r="M183" s="171">
        <v>-288.21571</v>
      </c>
      <c r="N183" s="171">
        <v>1949.66534</v>
      </c>
      <c r="O183" s="166">
        <v>438.15591387834701</v>
      </c>
      <c r="P183" s="172">
        <v>217.155</v>
      </c>
      <c r="Q183" s="178">
        <v>2.0177104551050902</v>
      </c>
      <c r="R183" s="179">
        <v>836.51530105498603</v>
      </c>
      <c r="S183" s="168">
        <v>0.01</v>
      </c>
      <c r="T183" s="168">
        <v>0.01</v>
      </c>
      <c r="U183" s="175">
        <v>0</v>
      </c>
      <c r="V183" s="176">
        <v>0</v>
      </c>
      <c r="W183" s="167"/>
      <c r="X183" s="175">
        <v>2260.8500450000001</v>
      </c>
      <c r="Y183" s="166">
        <v>508.08966917823801</v>
      </c>
      <c r="Z183" s="177">
        <v>573</v>
      </c>
      <c r="AA183" s="188">
        <v>0.88671844533723898</v>
      </c>
      <c r="AB183" s="171">
        <v>-676.38360062406105</v>
      </c>
      <c r="AC183" s="168"/>
      <c r="AD183" s="168"/>
      <c r="AE183" s="176">
        <v>289</v>
      </c>
      <c r="AF183" s="176">
        <v>799</v>
      </c>
      <c r="AG183" s="167"/>
      <c r="AH183" s="180">
        <v>186.35</v>
      </c>
      <c r="AI183" s="166">
        <v>41.879164016543399</v>
      </c>
      <c r="AJ183" s="181" t="s">
        <v>53</v>
      </c>
      <c r="AK183" s="173">
        <v>0.66474863518322902</v>
      </c>
      <c r="AL183" s="174">
        <v>-136.59191915238401</v>
      </c>
      <c r="AM183" s="168"/>
      <c r="AN183" s="168"/>
      <c r="AO183" s="176">
        <v>94</v>
      </c>
      <c r="AP183" s="176">
        <v>151</v>
      </c>
      <c r="AQ183" s="167"/>
      <c r="AR183" s="180">
        <v>30.4</v>
      </c>
      <c r="AS183" s="166">
        <v>6.8319108457360898</v>
      </c>
      <c r="AT183" s="181" t="s">
        <v>54</v>
      </c>
      <c r="AU183" s="173">
        <v>0.426994427858506</v>
      </c>
      <c r="AV183" s="174">
        <v>-51.6169953402879</v>
      </c>
      <c r="AW183" s="168"/>
      <c r="AX183" s="168"/>
      <c r="AY183" s="176">
        <v>41</v>
      </c>
      <c r="AZ183" s="176">
        <v>56</v>
      </c>
      <c r="BA183" s="167"/>
      <c r="BB183" s="184">
        <v>119.8</v>
      </c>
      <c r="BC183" s="180">
        <v>26.923122346025799</v>
      </c>
      <c r="BD183" s="181" t="s">
        <v>55</v>
      </c>
      <c r="BE183" s="188">
        <v>0.84134757331330501</v>
      </c>
      <c r="BF183" s="171">
        <v>-44.233990680575801</v>
      </c>
      <c r="BG183" s="168"/>
      <c r="BH183" s="168"/>
      <c r="BI183" s="176">
        <v>23</v>
      </c>
      <c r="BJ183" s="176">
        <v>52</v>
      </c>
      <c r="BK183" s="169"/>
      <c r="BL183" s="185">
        <v>0.8</v>
      </c>
      <c r="BM183" s="188">
        <v>0.75</v>
      </c>
      <c r="BN183" s="186"/>
      <c r="BO183" s="187">
        <v>0.95</v>
      </c>
      <c r="BP183" s="178">
        <v>1</v>
      </c>
      <c r="BQ183" s="186">
        <v>2.5000000000000001E-3</v>
      </c>
    </row>
    <row r="184" spans="1:69" s="156" customFormat="1" ht="22.35" customHeight="1" x14ac:dyDescent="0.2">
      <c r="A184" s="165" t="s">
        <v>220</v>
      </c>
      <c r="B184" s="165" t="s">
        <v>240</v>
      </c>
      <c r="C184" s="165" t="s">
        <v>248</v>
      </c>
      <c r="D184" s="166">
        <v>4.5199524895555596</v>
      </c>
      <c r="E184" s="167"/>
      <c r="F184" s="168">
        <v>1.2E-2</v>
      </c>
      <c r="G184" s="168">
        <v>0.01</v>
      </c>
      <c r="H184" s="169"/>
      <c r="I184" s="170">
        <v>3</v>
      </c>
      <c r="J184" s="170">
        <v>2</v>
      </c>
      <c r="K184" s="167"/>
      <c r="L184" s="171">
        <v>1199.1297400000001</v>
      </c>
      <c r="M184" s="171">
        <v>1293.9471000000001</v>
      </c>
      <c r="N184" s="171">
        <v>2493.0768400000002</v>
      </c>
      <c r="O184" s="166">
        <v>551.57147022249796</v>
      </c>
      <c r="P184" s="172">
        <v>287.5</v>
      </c>
      <c r="Q184" s="178">
        <v>1.9185094616434699</v>
      </c>
      <c r="R184" s="179">
        <v>996.06857545919797</v>
      </c>
      <c r="S184" s="168">
        <v>0.01</v>
      </c>
      <c r="T184" s="168">
        <v>0.01</v>
      </c>
      <c r="U184" s="175">
        <v>0</v>
      </c>
      <c r="V184" s="176">
        <v>0</v>
      </c>
      <c r="W184" s="167"/>
      <c r="X184" s="175">
        <v>1785.3928350000001</v>
      </c>
      <c r="Y184" s="166">
        <v>395.00256675829701</v>
      </c>
      <c r="Z184" s="177">
        <v>573</v>
      </c>
      <c r="AA184" s="173">
        <v>0.68935875525008194</v>
      </c>
      <c r="AB184" s="174">
        <v>-1198.2097235456699</v>
      </c>
      <c r="AC184" s="168"/>
      <c r="AD184" s="168"/>
      <c r="AE184" s="176">
        <v>805</v>
      </c>
      <c r="AF184" s="176">
        <v>1323</v>
      </c>
      <c r="AG184" s="167"/>
      <c r="AH184" s="180">
        <v>170.8</v>
      </c>
      <c r="AI184" s="166">
        <v>37.788007815275598</v>
      </c>
      <c r="AJ184" s="181" t="s">
        <v>53</v>
      </c>
      <c r="AK184" s="173">
        <v>0.59980964786151802</v>
      </c>
      <c r="AL184" s="174">
        <v>-157.24007188198399</v>
      </c>
      <c r="AM184" s="168"/>
      <c r="AN184" s="168"/>
      <c r="AO184" s="176">
        <v>114</v>
      </c>
      <c r="AP184" s="176">
        <v>171</v>
      </c>
      <c r="AQ184" s="167"/>
      <c r="AR184" s="180">
        <v>44.4</v>
      </c>
      <c r="AS184" s="166">
        <v>9.8231121018632308</v>
      </c>
      <c r="AT184" s="181" t="s">
        <v>54</v>
      </c>
      <c r="AU184" s="173">
        <v>0.61394450636645204</v>
      </c>
      <c r="AV184" s="174">
        <v>-38.911764287488097</v>
      </c>
      <c r="AW184" s="168"/>
      <c r="AX184" s="168"/>
      <c r="AY184" s="176">
        <v>28</v>
      </c>
      <c r="AZ184" s="176">
        <v>43</v>
      </c>
      <c r="BA184" s="167"/>
      <c r="BB184" s="184">
        <v>141</v>
      </c>
      <c r="BC184" s="180">
        <v>31.195018161322398</v>
      </c>
      <c r="BD184" s="181" t="s">
        <v>55</v>
      </c>
      <c r="BE184" s="182">
        <v>0.97484431754132495</v>
      </c>
      <c r="BF184" s="183">
        <v>-25.623528574976099</v>
      </c>
      <c r="BG184" s="168">
        <v>2E-3</v>
      </c>
      <c r="BH184" s="168"/>
      <c r="BI184" s="176">
        <v>4</v>
      </c>
      <c r="BJ184" s="176">
        <v>33</v>
      </c>
      <c r="BK184" s="169"/>
      <c r="BL184" s="185">
        <v>0.8</v>
      </c>
      <c r="BM184" s="173">
        <v>0.68</v>
      </c>
      <c r="BN184" s="186"/>
      <c r="BO184" s="187">
        <v>0.95</v>
      </c>
      <c r="BP184" s="178">
        <v>1</v>
      </c>
      <c r="BQ184" s="186">
        <v>2.5000000000000001E-3</v>
      </c>
    </row>
    <row r="185" spans="1:69" s="156" customFormat="1" ht="22.35" customHeight="1" x14ac:dyDescent="0.2">
      <c r="A185" s="165" t="s">
        <v>220</v>
      </c>
      <c r="B185" s="165" t="s">
        <v>240</v>
      </c>
      <c r="C185" s="165" t="s">
        <v>249</v>
      </c>
      <c r="D185" s="166">
        <v>3.0343497082222202</v>
      </c>
      <c r="E185" s="167"/>
      <c r="F185" s="168">
        <v>0.01</v>
      </c>
      <c r="G185" s="168">
        <v>0.01</v>
      </c>
      <c r="H185" s="169"/>
      <c r="I185" s="170">
        <v>2</v>
      </c>
      <c r="J185" s="170">
        <v>2</v>
      </c>
      <c r="K185" s="167"/>
      <c r="L185" s="171">
        <v>1806.9964600000001</v>
      </c>
      <c r="M185" s="171">
        <v>1660.4866400000001</v>
      </c>
      <c r="N185" s="171">
        <v>3467.4830999999999</v>
      </c>
      <c r="O185" s="166">
        <v>1142.74339922129</v>
      </c>
      <c r="P185" s="172">
        <v>243.29900000000001</v>
      </c>
      <c r="Q185" s="178">
        <v>4.6968684590618501</v>
      </c>
      <c r="R185" s="179">
        <v>2617.0142043908099</v>
      </c>
      <c r="S185" s="168">
        <v>0.01</v>
      </c>
      <c r="T185" s="168">
        <v>0.01</v>
      </c>
      <c r="U185" s="175">
        <v>0</v>
      </c>
      <c r="V185" s="176">
        <v>0</v>
      </c>
      <c r="W185" s="167"/>
      <c r="X185" s="175">
        <v>1115.9660550000001</v>
      </c>
      <c r="Y185" s="166">
        <v>367.77766648849001</v>
      </c>
      <c r="Z185" s="177">
        <v>573</v>
      </c>
      <c r="AA185" s="173">
        <v>0.64184584029404901</v>
      </c>
      <c r="AB185" s="174">
        <v>-886.99604999865505</v>
      </c>
      <c r="AC185" s="168"/>
      <c r="AD185" s="168"/>
      <c r="AE185" s="176">
        <v>623</v>
      </c>
      <c r="AF185" s="176">
        <v>971</v>
      </c>
      <c r="AG185" s="167"/>
      <c r="AH185" s="180">
        <v>115.8</v>
      </c>
      <c r="AI185" s="166">
        <v>38.163036938759902</v>
      </c>
      <c r="AJ185" s="181" t="s">
        <v>53</v>
      </c>
      <c r="AK185" s="173">
        <v>0.60576249109142699</v>
      </c>
      <c r="AL185" s="174">
        <v>-104.420964423936</v>
      </c>
      <c r="AM185" s="168"/>
      <c r="AN185" s="168"/>
      <c r="AO185" s="176">
        <v>76</v>
      </c>
      <c r="AP185" s="176">
        <v>114</v>
      </c>
      <c r="AQ185" s="167"/>
      <c r="AR185" s="180">
        <v>37.799999999999997</v>
      </c>
      <c r="AS185" s="166">
        <v>12.457364389336099</v>
      </c>
      <c r="AT185" s="181" t="s">
        <v>54</v>
      </c>
      <c r="AU185" s="188">
        <v>0.77858527433350799</v>
      </c>
      <c r="AV185" s="171">
        <v>-18.1291338219519</v>
      </c>
      <c r="AW185" s="168"/>
      <c r="AX185" s="168"/>
      <c r="AY185" s="176">
        <v>11</v>
      </c>
      <c r="AZ185" s="176">
        <v>21</v>
      </c>
      <c r="BA185" s="167"/>
      <c r="BB185" s="184">
        <v>79</v>
      </c>
      <c r="BC185" s="180">
        <v>26.0352324539036</v>
      </c>
      <c r="BD185" s="181" t="s">
        <v>55</v>
      </c>
      <c r="BE185" s="188">
        <v>0.81360101418448605</v>
      </c>
      <c r="BF185" s="171">
        <v>-32.858267643903901</v>
      </c>
      <c r="BG185" s="168"/>
      <c r="BH185" s="168"/>
      <c r="BI185" s="176">
        <v>19</v>
      </c>
      <c r="BJ185" s="176">
        <v>38</v>
      </c>
      <c r="BK185" s="169"/>
      <c r="BL185" s="185">
        <v>0.8</v>
      </c>
      <c r="BM185" s="188">
        <v>0.7</v>
      </c>
      <c r="BN185" s="186"/>
      <c r="BO185" s="187">
        <v>0.95</v>
      </c>
      <c r="BP185" s="178">
        <v>1</v>
      </c>
      <c r="BQ185" s="186">
        <v>2.5000000000000001E-3</v>
      </c>
    </row>
    <row r="186" spans="1:69" s="156" customFormat="1" ht="22.35" customHeight="1" x14ac:dyDescent="0.2">
      <c r="A186" s="165" t="s">
        <v>220</v>
      </c>
      <c r="B186" s="165" t="s">
        <v>240</v>
      </c>
      <c r="C186" s="165" t="s">
        <v>250</v>
      </c>
      <c r="D186" s="166">
        <v>3.9243355210000002</v>
      </c>
      <c r="E186" s="167"/>
      <c r="F186" s="168">
        <v>0.04</v>
      </c>
      <c r="G186" s="168">
        <v>0.04</v>
      </c>
      <c r="H186" s="169"/>
      <c r="I186" s="170">
        <v>5</v>
      </c>
      <c r="J186" s="170">
        <v>5</v>
      </c>
      <c r="K186" s="167"/>
      <c r="L186" s="171">
        <v>4285.8177100000003</v>
      </c>
      <c r="M186" s="171">
        <v>3218.75396</v>
      </c>
      <c r="N186" s="171">
        <v>7504.5716700000003</v>
      </c>
      <c r="O186" s="166">
        <v>1912.3165259038999</v>
      </c>
      <c r="P186" s="172">
        <v>285.27300000000002</v>
      </c>
      <c r="Q186" s="178">
        <v>6.7034613366981803</v>
      </c>
      <c r="R186" s="179">
        <v>6214.8996439212697</v>
      </c>
      <c r="S186" s="168">
        <v>0.01</v>
      </c>
      <c r="T186" s="168">
        <v>0.01</v>
      </c>
      <c r="U186" s="175">
        <v>0</v>
      </c>
      <c r="V186" s="176">
        <v>0</v>
      </c>
      <c r="W186" s="167"/>
      <c r="X186" s="175">
        <v>1901.55602</v>
      </c>
      <c r="Y186" s="166">
        <v>484.55490358159898</v>
      </c>
      <c r="Z186" s="177">
        <v>573</v>
      </c>
      <c r="AA186" s="188">
        <v>0.84564555598882896</v>
      </c>
      <c r="AB186" s="171">
        <v>-688.88216007001597</v>
      </c>
      <c r="AC186" s="168"/>
      <c r="AD186" s="168"/>
      <c r="AE186" s="176">
        <v>348</v>
      </c>
      <c r="AF186" s="176">
        <v>797</v>
      </c>
      <c r="AG186" s="167"/>
      <c r="AH186" s="180">
        <v>185.9</v>
      </c>
      <c r="AI186" s="166">
        <v>47.371076964547797</v>
      </c>
      <c r="AJ186" s="181" t="s">
        <v>53</v>
      </c>
      <c r="AK186" s="173">
        <v>0.751921856580125</v>
      </c>
      <c r="AL186" s="174">
        <v>-98.912574772095894</v>
      </c>
      <c r="AM186" s="168"/>
      <c r="AN186" s="168"/>
      <c r="AO186" s="176">
        <v>62</v>
      </c>
      <c r="AP186" s="176">
        <v>111</v>
      </c>
      <c r="AQ186" s="167"/>
      <c r="AR186" s="180">
        <v>75.599999999999994</v>
      </c>
      <c r="AS186" s="166">
        <v>19.264407845722499</v>
      </c>
      <c r="AT186" s="181" t="s">
        <v>54</v>
      </c>
      <c r="AU186" s="178">
        <v>1.2040254903576599</v>
      </c>
      <c r="AV186" s="179">
        <v>3.2666476769280202</v>
      </c>
      <c r="AW186" s="168">
        <v>0.01</v>
      </c>
      <c r="AX186" s="168">
        <v>0.01</v>
      </c>
      <c r="AY186" s="176">
        <v>0</v>
      </c>
      <c r="AZ186" s="176">
        <v>0</v>
      </c>
      <c r="BA186" s="167"/>
      <c r="BB186" s="184">
        <v>212.6</v>
      </c>
      <c r="BC186" s="180">
        <v>54.174776560854603</v>
      </c>
      <c r="BD186" s="181" t="s">
        <v>55</v>
      </c>
      <c r="BE186" s="178">
        <v>1.6929617675267099</v>
      </c>
      <c r="BF186" s="179">
        <v>67.933295353855996</v>
      </c>
      <c r="BG186" s="168">
        <v>0.02</v>
      </c>
      <c r="BH186" s="168">
        <v>0.02</v>
      </c>
      <c r="BI186" s="176">
        <v>0</v>
      </c>
      <c r="BJ186" s="176">
        <v>0</v>
      </c>
      <c r="BK186" s="169"/>
      <c r="BL186" s="185">
        <v>0.8</v>
      </c>
      <c r="BM186" s="182">
        <v>0.81</v>
      </c>
      <c r="BN186" s="186">
        <v>3.7500000000000001E-4</v>
      </c>
      <c r="BO186" s="187">
        <v>0.95</v>
      </c>
      <c r="BP186" s="178">
        <v>1</v>
      </c>
      <c r="BQ186" s="186">
        <v>2.5000000000000001E-3</v>
      </c>
    </row>
    <row r="187" spans="1:69" s="156" customFormat="1" ht="22.35" customHeight="1" x14ac:dyDescent="0.2">
      <c r="A187" s="165" t="s">
        <v>220</v>
      </c>
      <c r="B187" s="165" t="s">
        <v>240</v>
      </c>
      <c r="C187" s="165" t="s">
        <v>251</v>
      </c>
      <c r="D187" s="166">
        <v>1.82888188633333</v>
      </c>
      <c r="E187" s="167"/>
      <c r="F187" s="168">
        <v>7.0000000000000007E-2</v>
      </c>
      <c r="G187" s="168">
        <v>6.8000000000000005E-2</v>
      </c>
      <c r="H187" s="169"/>
      <c r="I187" s="170">
        <v>5</v>
      </c>
      <c r="J187" s="170">
        <v>5</v>
      </c>
      <c r="K187" s="167"/>
      <c r="L187" s="171">
        <v>507.77127000000002</v>
      </c>
      <c r="M187" s="171">
        <v>8.5471000000000004</v>
      </c>
      <c r="N187" s="171">
        <v>516.31836999999996</v>
      </c>
      <c r="O187" s="166">
        <v>282.31367692921401</v>
      </c>
      <c r="P187" s="172">
        <v>243.29900000000001</v>
      </c>
      <c r="Q187" s="178">
        <v>1.16035691445182</v>
      </c>
      <c r="R187" s="179">
        <v>3.7185355594092502</v>
      </c>
      <c r="S187" s="168">
        <v>0.01</v>
      </c>
      <c r="T187" s="168">
        <v>8.0000000000000002E-3</v>
      </c>
      <c r="U187" s="175">
        <v>0</v>
      </c>
      <c r="V187" s="176">
        <v>18</v>
      </c>
      <c r="W187" s="167"/>
      <c r="X187" s="175">
        <v>1256.071265</v>
      </c>
      <c r="Y187" s="166">
        <v>686.79736749881499</v>
      </c>
      <c r="Z187" s="177">
        <v>573</v>
      </c>
      <c r="AA187" s="178">
        <v>1.19859924519863</v>
      </c>
      <c r="AB187" s="179">
        <v>48.833647358914</v>
      </c>
      <c r="AC187" s="168">
        <v>0.02</v>
      </c>
      <c r="AD187" s="168">
        <v>0.02</v>
      </c>
      <c r="AE187" s="176">
        <v>0</v>
      </c>
      <c r="AF187" s="176">
        <v>2</v>
      </c>
      <c r="AG187" s="167"/>
      <c r="AH187" s="180">
        <v>167.2</v>
      </c>
      <c r="AI187" s="166">
        <v>91.421978231308302</v>
      </c>
      <c r="AJ187" s="181" t="s">
        <v>53</v>
      </c>
      <c r="AK187" s="178">
        <v>1.4511425116080701</v>
      </c>
      <c r="AL187" s="179">
        <v>34.467068217472303</v>
      </c>
      <c r="AM187" s="168">
        <v>0.02</v>
      </c>
      <c r="AN187" s="168">
        <v>0.02</v>
      </c>
      <c r="AO187" s="176">
        <v>0</v>
      </c>
      <c r="AP187" s="176">
        <v>0</v>
      </c>
      <c r="AQ187" s="167"/>
      <c r="AR187" s="180">
        <v>20.6</v>
      </c>
      <c r="AS187" s="166">
        <v>11.263712628977</v>
      </c>
      <c r="AT187" s="181" t="s">
        <v>54</v>
      </c>
      <c r="AU187" s="173">
        <v>0.70398203931106096</v>
      </c>
      <c r="AV187" s="174">
        <v>-13.1099509288959</v>
      </c>
      <c r="AW187" s="168"/>
      <c r="AX187" s="168"/>
      <c r="AY187" s="176">
        <v>9</v>
      </c>
      <c r="AZ187" s="176">
        <v>15</v>
      </c>
      <c r="BA187" s="167"/>
      <c r="BB187" s="184">
        <v>88</v>
      </c>
      <c r="BC187" s="180">
        <v>48.116830648056997</v>
      </c>
      <c r="BD187" s="181" t="s">
        <v>55</v>
      </c>
      <c r="BE187" s="178">
        <v>1.50365095775178</v>
      </c>
      <c r="BF187" s="179">
        <v>20.580098142208101</v>
      </c>
      <c r="BG187" s="168">
        <v>0.02</v>
      </c>
      <c r="BH187" s="168">
        <v>0.02</v>
      </c>
      <c r="BI187" s="176">
        <v>0</v>
      </c>
      <c r="BJ187" s="176">
        <v>0</v>
      </c>
      <c r="BK187" s="169"/>
      <c r="BL187" s="185">
        <v>0.8</v>
      </c>
      <c r="BM187" s="188">
        <v>0.75</v>
      </c>
      <c r="BN187" s="186"/>
      <c r="BO187" s="187">
        <v>0.95</v>
      </c>
      <c r="BP187" s="178">
        <v>1</v>
      </c>
      <c r="BQ187" s="186">
        <v>2.5000000000000001E-3</v>
      </c>
    </row>
    <row r="188" spans="1:69" s="156" customFormat="1" ht="22.35" customHeight="1" x14ac:dyDescent="0.2">
      <c r="A188" s="165" t="s">
        <v>220</v>
      </c>
      <c r="B188" s="165" t="s">
        <v>240</v>
      </c>
      <c r="C188" s="165" t="s">
        <v>252</v>
      </c>
      <c r="D188" s="166">
        <v>3.0121534749999999</v>
      </c>
      <c r="E188" s="167"/>
      <c r="F188" s="168">
        <v>3.3000000000000002E-2</v>
      </c>
      <c r="G188" s="168">
        <v>2.4E-2</v>
      </c>
      <c r="H188" s="169"/>
      <c r="I188" s="170">
        <v>4</v>
      </c>
      <c r="J188" s="170">
        <v>4</v>
      </c>
      <c r="K188" s="167"/>
      <c r="L188" s="171">
        <v>1488.5916299999999</v>
      </c>
      <c r="M188" s="171">
        <v>171.74587</v>
      </c>
      <c r="N188" s="171">
        <v>1660.3375000000001</v>
      </c>
      <c r="O188" s="166">
        <v>551.21278307374405</v>
      </c>
      <c r="P188" s="172">
        <v>262.53800000000001</v>
      </c>
      <c r="Q188" s="178">
        <v>2.0995542857557501</v>
      </c>
      <c r="R188" s="179">
        <v>749.33042912947803</v>
      </c>
      <c r="S188" s="168">
        <v>0.01</v>
      </c>
      <c r="T188" s="168">
        <v>0.01</v>
      </c>
      <c r="U188" s="175">
        <v>0</v>
      </c>
      <c r="V188" s="176">
        <v>0</v>
      </c>
      <c r="W188" s="167"/>
      <c r="X188" s="175">
        <v>1921.601625</v>
      </c>
      <c r="Y188" s="166">
        <v>637.94944080663095</v>
      </c>
      <c r="Z188" s="177">
        <v>573</v>
      </c>
      <c r="AA188" s="182">
        <v>1.11334980943566</v>
      </c>
      <c r="AB188" s="183">
        <v>-66.708835233600198</v>
      </c>
      <c r="AC188" s="168">
        <v>1.6E-2</v>
      </c>
      <c r="AD188" s="168">
        <v>1.0999999999999999E-2</v>
      </c>
      <c r="AE188" s="176">
        <v>0</v>
      </c>
      <c r="AF188" s="176">
        <v>150</v>
      </c>
      <c r="AG188" s="167"/>
      <c r="AH188" s="180">
        <v>159.69999999999999</v>
      </c>
      <c r="AI188" s="166">
        <v>53.018546805620502</v>
      </c>
      <c r="AJ188" s="181" t="s">
        <v>53</v>
      </c>
      <c r="AK188" s="188">
        <v>0.84156423500985</v>
      </c>
      <c r="AL188" s="171">
        <v>-58.910050601599998</v>
      </c>
      <c r="AM188" s="168"/>
      <c r="AN188" s="168"/>
      <c r="AO188" s="176">
        <v>31</v>
      </c>
      <c r="AP188" s="176">
        <v>69</v>
      </c>
      <c r="AQ188" s="167"/>
      <c r="AR188" s="180">
        <v>17</v>
      </c>
      <c r="AS188" s="166">
        <v>5.64380272821258</v>
      </c>
      <c r="AT188" s="181" t="s">
        <v>54</v>
      </c>
      <c r="AU188" s="173">
        <v>0.35273767051328597</v>
      </c>
      <c r="AV188" s="174">
        <v>-38.520012851200001</v>
      </c>
      <c r="AW188" s="168"/>
      <c r="AX188" s="168"/>
      <c r="AY188" s="176">
        <v>32</v>
      </c>
      <c r="AZ188" s="176">
        <v>41</v>
      </c>
      <c r="BA188" s="167"/>
      <c r="BB188" s="184">
        <v>99</v>
      </c>
      <c r="BC188" s="180">
        <v>32.866851181943801</v>
      </c>
      <c r="BD188" s="181" t="s">
        <v>55</v>
      </c>
      <c r="BE188" s="182">
        <v>1.02708909943574</v>
      </c>
      <c r="BF188" s="183">
        <v>-12.040025702399999</v>
      </c>
      <c r="BG188" s="168">
        <v>7.0000000000000001E-3</v>
      </c>
      <c r="BH188" s="168">
        <v>3.0000000000000001E-3</v>
      </c>
      <c r="BI188" s="176">
        <v>0</v>
      </c>
      <c r="BJ188" s="176">
        <v>17</v>
      </c>
      <c r="BK188" s="169"/>
      <c r="BL188" s="185">
        <v>0.8</v>
      </c>
      <c r="BM188" s="188">
        <v>0.74</v>
      </c>
      <c r="BN188" s="186"/>
      <c r="BO188" s="187">
        <v>0.95</v>
      </c>
      <c r="BP188" s="178">
        <v>1</v>
      </c>
      <c r="BQ188" s="186">
        <v>2.5000000000000001E-3</v>
      </c>
    </row>
    <row r="189" spans="1:69" s="156" customFormat="1" ht="22.35" customHeight="1" x14ac:dyDescent="0.2">
      <c r="A189" s="165" t="s">
        <v>220</v>
      </c>
      <c r="B189" s="165" t="s">
        <v>240</v>
      </c>
      <c r="C189" s="165" t="s">
        <v>253</v>
      </c>
      <c r="D189" s="166">
        <v>2.69738168433333</v>
      </c>
      <c r="E189" s="167"/>
      <c r="F189" s="168">
        <v>3.2000000000000001E-2</v>
      </c>
      <c r="G189" s="168">
        <v>2.3E-2</v>
      </c>
      <c r="H189" s="169"/>
      <c r="I189" s="170">
        <v>5</v>
      </c>
      <c r="J189" s="170">
        <v>5</v>
      </c>
      <c r="K189" s="167"/>
      <c r="L189" s="171">
        <v>2385.9627300000002</v>
      </c>
      <c r="M189" s="171">
        <v>1843.2407800000001</v>
      </c>
      <c r="N189" s="171">
        <v>4229.2035100000003</v>
      </c>
      <c r="O189" s="166">
        <v>1567.89212834196</v>
      </c>
      <c r="P189" s="172">
        <v>243.27799999999999</v>
      </c>
      <c r="Q189" s="178">
        <v>6.44485785127286</v>
      </c>
      <c r="R189" s="179">
        <v>3473.2454181457701</v>
      </c>
      <c r="S189" s="168">
        <v>0.01</v>
      </c>
      <c r="T189" s="168">
        <v>0.01</v>
      </c>
      <c r="U189" s="175">
        <v>0</v>
      </c>
      <c r="V189" s="176">
        <v>0</v>
      </c>
      <c r="W189" s="167"/>
      <c r="X189" s="175">
        <v>1604.9930400000001</v>
      </c>
      <c r="Y189" s="166">
        <v>595.01888417273801</v>
      </c>
      <c r="Z189" s="177">
        <v>573</v>
      </c>
      <c r="AA189" s="182">
        <v>1.0384273720292101</v>
      </c>
      <c r="AB189" s="183">
        <v>-175.53782030169401</v>
      </c>
      <c r="AC189" s="168">
        <v>8.0000000000000002E-3</v>
      </c>
      <c r="AD189" s="168">
        <v>4.0000000000000001E-3</v>
      </c>
      <c r="AE189" s="176">
        <v>0</v>
      </c>
      <c r="AF189" s="176">
        <v>250</v>
      </c>
      <c r="AG189" s="167"/>
      <c r="AH189" s="180">
        <v>162.85</v>
      </c>
      <c r="AI189" s="166">
        <v>60.373361673599703</v>
      </c>
      <c r="AJ189" s="181" t="s">
        <v>53</v>
      </c>
      <c r="AK189" s="188">
        <v>0.95830732815237696</v>
      </c>
      <c r="AL189" s="171">
        <v>-32.915173122175801</v>
      </c>
      <c r="AM189" s="168">
        <v>0</v>
      </c>
      <c r="AN189" s="168"/>
      <c r="AO189" s="176">
        <v>8</v>
      </c>
      <c r="AP189" s="176">
        <v>42</v>
      </c>
      <c r="AQ189" s="167"/>
      <c r="AR189" s="180">
        <v>27.5</v>
      </c>
      <c r="AS189" s="166">
        <v>10.1950718208412</v>
      </c>
      <c r="AT189" s="181" t="s">
        <v>54</v>
      </c>
      <c r="AU189" s="173">
        <v>0.63719198880257599</v>
      </c>
      <c r="AV189" s="174">
        <v>-22.2181392056319</v>
      </c>
      <c r="AW189" s="168"/>
      <c r="AX189" s="168"/>
      <c r="AY189" s="176">
        <v>16</v>
      </c>
      <c r="AZ189" s="176">
        <v>25</v>
      </c>
      <c r="BA189" s="167"/>
      <c r="BB189" s="184">
        <v>94.4</v>
      </c>
      <c r="BC189" s="180">
        <v>34.996901086815001</v>
      </c>
      <c r="BD189" s="181" t="s">
        <v>55</v>
      </c>
      <c r="BE189" s="182">
        <v>1.0936531589629701</v>
      </c>
      <c r="BF189" s="183">
        <v>-5.0362784112638597</v>
      </c>
      <c r="BG189" s="168">
        <v>1.4E-2</v>
      </c>
      <c r="BH189" s="168">
        <v>8.9999999999999993E-3</v>
      </c>
      <c r="BI189" s="176">
        <v>0</v>
      </c>
      <c r="BJ189" s="176">
        <v>10</v>
      </c>
      <c r="BK189" s="169"/>
      <c r="BL189" s="185">
        <v>0.8</v>
      </c>
      <c r="BM189" s="182">
        <v>0.86</v>
      </c>
      <c r="BN189" s="186">
        <v>2.2499999999999998E-3</v>
      </c>
      <c r="BO189" s="187">
        <v>0.95</v>
      </c>
      <c r="BP189" s="178">
        <v>1</v>
      </c>
      <c r="BQ189" s="186">
        <v>2.5000000000000001E-3</v>
      </c>
    </row>
    <row r="190" spans="1:69" s="156" customFormat="1" ht="22.35" customHeight="1" x14ac:dyDescent="0.2">
      <c r="A190" s="165" t="s">
        <v>220</v>
      </c>
      <c r="B190" s="165" t="s">
        <v>240</v>
      </c>
      <c r="C190" s="165" t="s">
        <v>254</v>
      </c>
      <c r="D190" s="166">
        <v>2.5112282917777802</v>
      </c>
      <c r="E190" s="167"/>
      <c r="F190" s="168">
        <v>7.0000000000000007E-2</v>
      </c>
      <c r="G190" s="168">
        <v>7.0000000000000007E-2</v>
      </c>
      <c r="H190" s="169"/>
      <c r="I190" s="170">
        <v>5</v>
      </c>
      <c r="J190" s="170">
        <v>5</v>
      </c>
      <c r="K190" s="167"/>
      <c r="L190" s="171">
        <v>284.16314999999997</v>
      </c>
      <c r="M190" s="171">
        <v>21.173999999999999</v>
      </c>
      <c r="N190" s="171">
        <v>305.33715000000001</v>
      </c>
      <c r="O190" s="166">
        <v>121.588766341845</v>
      </c>
      <c r="P190" s="172">
        <v>233.029</v>
      </c>
      <c r="Q190" s="173">
        <v>0.521775256907275</v>
      </c>
      <c r="R190" s="174">
        <v>-368.80059828059598</v>
      </c>
      <c r="S190" s="168"/>
      <c r="T190" s="168"/>
      <c r="U190" s="175">
        <v>280</v>
      </c>
      <c r="V190" s="176">
        <v>397</v>
      </c>
      <c r="W190" s="167"/>
      <c r="X190" s="175">
        <v>2084.77241</v>
      </c>
      <c r="Y190" s="166">
        <v>830.18036107108503</v>
      </c>
      <c r="Z190" s="177">
        <v>573</v>
      </c>
      <c r="AA190" s="178">
        <v>1.4488313456738</v>
      </c>
      <c r="AB190" s="179">
        <v>427.12065951065398</v>
      </c>
      <c r="AC190" s="168">
        <v>0.02</v>
      </c>
      <c r="AD190" s="168">
        <v>0.02</v>
      </c>
      <c r="AE190" s="176">
        <v>0</v>
      </c>
      <c r="AF190" s="176">
        <v>0</v>
      </c>
      <c r="AG190" s="167"/>
      <c r="AH190" s="180">
        <v>207.8</v>
      </c>
      <c r="AI190" s="166">
        <v>82.748350948567804</v>
      </c>
      <c r="AJ190" s="181" t="s">
        <v>53</v>
      </c>
      <c r="AK190" s="178">
        <v>1.3134658880725001</v>
      </c>
      <c r="AL190" s="179">
        <v>25.545095495935801</v>
      </c>
      <c r="AM190" s="168">
        <v>0.02</v>
      </c>
      <c r="AN190" s="168">
        <v>0.02</v>
      </c>
      <c r="AO190" s="176">
        <v>0</v>
      </c>
      <c r="AP190" s="176">
        <v>0</v>
      </c>
      <c r="AQ190" s="167"/>
      <c r="AR190" s="180">
        <v>49.4</v>
      </c>
      <c r="AS190" s="166">
        <v>19.671648396820199</v>
      </c>
      <c r="AT190" s="181" t="s">
        <v>54</v>
      </c>
      <c r="AU190" s="178">
        <v>1.22947802480127</v>
      </c>
      <c r="AV190" s="179">
        <v>3.11304012595195</v>
      </c>
      <c r="AW190" s="168">
        <v>0.01</v>
      </c>
      <c r="AX190" s="168">
        <v>0.01</v>
      </c>
      <c r="AY190" s="176">
        <v>0</v>
      </c>
      <c r="AZ190" s="176">
        <v>0</v>
      </c>
      <c r="BA190" s="167"/>
      <c r="BB190" s="184">
        <v>144.19999999999999</v>
      </c>
      <c r="BC190" s="180">
        <v>57.422099166426698</v>
      </c>
      <c r="BD190" s="181" t="s">
        <v>55</v>
      </c>
      <c r="BE190" s="178">
        <v>1.7944405989508401</v>
      </c>
      <c r="BF190" s="179">
        <v>51.6260802519039</v>
      </c>
      <c r="BG190" s="168">
        <v>0.02</v>
      </c>
      <c r="BH190" s="168">
        <v>0.02</v>
      </c>
      <c r="BI190" s="176">
        <v>0</v>
      </c>
      <c r="BJ190" s="176">
        <v>0</v>
      </c>
      <c r="BK190" s="169"/>
      <c r="BL190" s="185">
        <v>0.8</v>
      </c>
      <c r="BM190" s="188">
        <v>0.78</v>
      </c>
      <c r="BN190" s="186"/>
      <c r="BO190" s="187">
        <v>0.95</v>
      </c>
      <c r="BP190" s="178">
        <v>1</v>
      </c>
      <c r="BQ190" s="186">
        <v>2.5000000000000001E-3</v>
      </c>
    </row>
    <row r="191" spans="1:69" s="156" customFormat="1" ht="22.35" customHeight="1" x14ac:dyDescent="0.2">
      <c r="A191" s="165" t="s">
        <v>220</v>
      </c>
      <c r="B191" s="165" t="s">
        <v>240</v>
      </c>
      <c r="C191" s="165" t="s">
        <v>255</v>
      </c>
      <c r="D191" s="166">
        <v>3.5167137564444402</v>
      </c>
      <c r="E191" s="167"/>
      <c r="F191" s="168">
        <v>1.0999999999999999E-2</v>
      </c>
      <c r="G191" s="168">
        <v>0.01</v>
      </c>
      <c r="H191" s="169"/>
      <c r="I191" s="170">
        <v>4</v>
      </c>
      <c r="J191" s="170">
        <v>3</v>
      </c>
      <c r="K191" s="167"/>
      <c r="L191" s="171">
        <v>1714.44687</v>
      </c>
      <c r="M191" s="171">
        <v>376.69189999999998</v>
      </c>
      <c r="N191" s="171">
        <v>2091.13877</v>
      </c>
      <c r="O191" s="166">
        <v>594.62865471150405</v>
      </c>
      <c r="P191" s="172">
        <v>232.833</v>
      </c>
      <c r="Q191" s="178">
        <v>2.5538847788393602</v>
      </c>
      <c r="R191" s="179">
        <v>1147.87308980953</v>
      </c>
      <c r="S191" s="168">
        <v>0.01</v>
      </c>
      <c r="T191" s="168">
        <v>0.01</v>
      </c>
      <c r="U191" s="175">
        <v>0</v>
      </c>
      <c r="V191" s="176">
        <v>0</v>
      </c>
      <c r="W191" s="167"/>
      <c r="X191" s="175">
        <v>1476.9475600000001</v>
      </c>
      <c r="Y191" s="166">
        <v>419.979464434222</v>
      </c>
      <c r="Z191" s="177">
        <v>573</v>
      </c>
      <c r="AA191" s="173">
        <v>0.73294845450998702</v>
      </c>
      <c r="AB191" s="174">
        <v>-844.42112377394903</v>
      </c>
      <c r="AC191" s="168"/>
      <c r="AD191" s="168"/>
      <c r="AE191" s="176">
        <v>539</v>
      </c>
      <c r="AF191" s="176">
        <v>942</v>
      </c>
      <c r="AG191" s="167"/>
      <c r="AH191" s="180">
        <v>137.30000000000001</v>
      </c>
      <c r="AI191" s="166">
        <v>39.042131236412203</v>
      </c>
      <c r="AJ191" s="181" t="s">
        <v>53</v>
      </c>
      <c r="AK191" s="173">
        <v>0.61971636883193904</v>
      </c>
      <c r="AL191" s="174">
        <v>-117.929017587712</v>
      </c>
      <c r="AM191" s="168"/>
      <c r="AN191" s="168"/>
      <c r="AO191" s="176">
        <v>85</v>
      </c>
      <c r="AP191" s="176">
        <v>129</v>
      </c>
      <c r="AQ191" s="167"/>
      <c r="AR191" s="180">
        <v>31.4</v>
      </c>
      <c r="AS191" s="166">
        <v>8.9287903920126901</v>
      </c>
      <c r="AT191" s="181" t="s">
        <v>54</v>
      </c>
      <c r="AU191" s="173">
        <v>0.55804939950079302</v>
      </c>
      <c r="AV191" s="174">
        <v>-33.420067958783903</v>
      </c>
      <c r="AW191" s="168"/>
      <c r="AX191" s="168"/>
      <c r="AY191" s="176">
        <v>25</v>
      </c>
      <c r="AZ191" s="176">
        <v>37</v>
      </c>
      <c r="BA191" s="167"/>
      <c r="BB191" s="184">
        <v>109.4</v>
      </c>
      <c r="BC191" s="180">
        <v>31.108588181088798</v>
      </c>
      <c r="BD191" s="181" t="s">
        <v>55</v>
      </c>
      <c r="BE191" s="182">
        <v>0.97214338065902395</v>
      </c>
      <c r="BF191" s="183">
        <v>-20.240135917567802</v>
      </c>
      <c r="BG191" s="168">
        <v>1E-3</v>
      </c>
      <c r="BH191" s="168"/>
      <c r="BI191" s="176">
        <v>4</v>
      </c>
      <c r="BJ191" s="176">
        <v>26</v>
      </c>
      <c r="BK191" s="169"/>
      <c r="BL191" s="185">
        <v>0.8</v>
      </c>
      <c r="BM191" s="182">
        <v>0.86</v>
      </c>
      <c r="BN191" s="186">
        <v>2.2499999999999998E-3</v>
      </c>
      <c r="BO191" s="187">
        <v>0.95</v>
      </c>
      <c r="BP191" s="178">
        <v>1</v>
      </c>
      <c r="BQ191" s="186">
        <v>2.5000000000000001E-3</v>
      </c>
    </row>
    <row r="192" spans="1:69" s="156" customFormat="1" ht="22.35" customHeight="1" x14ac:dyDescent="0.2">
      <c r="A192" s="165" t="s">
        <v>220</v>
      </c>
      <c r="B192" s="165" t="s">
        <v>240</v>
      </c>
      <c r="C192" s="165" t="s">
        <v>256</v>
      </c>
      <c r="D192" s="166">
        <v>7.4460326411111097</v>
      </c>
      <c r="E192" s="167"/>
      <c r="F192" s="168">
        <v>3.2000000000000001E-2</v>
      </c>
      <c r="G192" s="168">
        <v>2.3E-2</v>
      </c>
      <c r="H192" s="169"/>
      <c r="I192" s="170">
        <v>5</v>
      </c>
      <c r="J192" s="170">
        <v>4</v>
      </c>
      <c r="K192" s="167"/>
      <c r="L192" s="171">
        <v>5951.7796500000004</v>
      </c>
      <c r="M192" s="171">
        <v>3839.7636000000002</v>
      </c>
      <c r="N192" s="171">
        <v>9791.5432500000006</v>
      </c>
      <c r="O192" s="166">
        <v>1315.0013869048601</v>
      </c>
      <c r="P192" s="172">
        <v>247.167</v>
      </c>
      <c r="Q192" s="178">
        <v>5.3202951320559002</v>
      </c>
      <c r="R192" s="179">
        <v>7671.3868406240499</v>
      </c>
      <c r="S192" s="168">
        <v>0.01</v>
      </c>
      <c r="T192" s="168">
        <v>0.01</v>
      </c>
      <c r="U192" s="175">
        <v>0</v>
      </c>
      <c r="V192" s="176">
        <v>0</v>
      </c>
      <c r="W192" s="167"/>
      <c r="X192" s="175">
        <v>4318.6879499999995</v>
      </c>
      <c r="Y192" s="166">
        <v>579.998525141512</v>
      </c>
      <c r="Z192" s="177">
        <v>573</v>
      </c>
      <c r="AA192" s="182">
        <v>1.0122138309624999</v>
      </c>
      <c r="AB192" s="183">
        <v>-596.40841226687803</v>
      </c>
      <c r="AC192" s="168">
        <v>5.0000000000000001E-3</v>
      </c>
      <c r="AD192" s="168">
        <v>1E-3</v>
      </c>
      <c r="AE192" s="176">
        <v>0</v>
      </c>
      <c r="AF192" s="176">
        <v>802</v>
      </c>
      <c r="AG192" s="167"/>
      <c r="AH192" s="180">
        <v>423.2</v>
      </c>
      <c r="AI192" s="166">
        <v>56.8356358879524</v>
      </c>
      <c r="AJ192" s="181" t="s">
        <v>53</v>
      </c>
      <c r="AK192" s="188">
        <v>0.90215295060241996</v>
      </c>
      <c r="AL192" s="171">
        <v>-117.20326496128</v>
      </c>
      <c r="AM192" s="168"/>
      <c r="AN192" s="168"/>
      <c r="AO192" s="176">
        <v>46</v>
      </c>
      <c r="AP192" s="176">
        <v>140</v>
      </c>
      <c r="AQ192" s="167"/>
      <c r="AR192" s="180">
        <v>116.8</v>
      </c>
      <c r="AS192" s="166">
        <v>15.6862057460133</v>
      </c>
      <c r="AT192" s="181" t="s">
        <v>54</v>
      </c>
      <c r="AU192" s="182">
        <v>0.98038785912583404</v>
      </c>
      <c r="AV192" s="183">
        <v>-20.44527364096</v>
      </c>
      <c r="AW192" s="168">
        <v>1E-3</v>
      </c>
      <c r="AX192" s="168"/>
      <c r="AY192" s="176">
        <v>3</v>
      </c>
      <c r="AZ192" s="176">
        <v>27</v>
      </c>
      <c r="BA192" s="167"/>
      <c r="BB192" s="184">
        <v>266.39999999999998</v>
      </c>
      <c r="BC192" s="180">
        <v>35.777441872756398</v>
      </c>
      <c r="BD192" s="181" t="s">
        <v>55</v>
      </c>
      <c r="BE192" s="182">
        <v>1.1180450585236399</v>
      </c>
      <c r="BF192" s="183">
        <v>-8.0905472819199495</v>
      </c>
      <c r="BG192" s="168">
        <v>1.6E-2</v>
      </c>
      <c r="BH192" s="168">
        <v>1.2E-2</v>
      </c>
      <c r="BI192" s="176">
        <v>0</v>
      </c>
      <c r="BJ192" s="176">
        <v>20</v>
      </c>
      <c r="BK192" s="169"/>
      <c r="BL192" s="185">
        <v>0.8</v>
      </c>
      <c r="BM192" s="188">
        <v>0.79</v>
      </c>
      <c r="BN192" s="186"/>
      <c r="BO192" s="187">
        <v>0.95</v>
      </c>
      <c r="BP192" s="178">
        <v>1</v>
      </c>
      <c r="BQ192" s="186">
        <v>2.5000000000000001E-3</v>
      </c>
    </row>
    <row r="193" spans="1:69" s="156" customFormat="1" ht="22.35" customHeight="1" x14ac:dyDescent="0.2">
      <c r="A193" s="165" t="s">
        <v>220</v>
      </c>
      <c r="B193" s="165" t="s">
        <v>240</v>
      </c>
      <c r="C193" s="165" t="s">
        <v>257</v>
      </c>
      <c r="D193" s="166">
        <v>10.895669111222199</v>
      </c>
      <c r="E193" s="167"/>
      <c r="F193" s="168">
        <v>0.08</v>
      </c>
      <c r="G193" s="168">
        <v>0.08</v>
      </c>
      <c r="H193" s="169"/>
      <c r="I193" s="170">
        <v>6</v>
      </c>
      <c r="J193" s="170">
        <v>6</v>
      </c>
      <c r="K193" s="167"/>
      <c r="L193" s="171">
        <v>11033.85007</v>
      </c>
      <c r="M193" s="171">
        <v>8490.9308999999994</v>
      </c>
      <c r="N193" s="171">
        <v>19524.78097</v>
      </c>
      <c r="O193" s="166">
        <v>1791.9763137713201</v>
      </c>
      <c r="P193" s="172">
        <v>236.7</v>
      </c>
      <c r="Q193" s="178">
        <v>7.5706646124686099</v>
      </c>
      <c r="R193" s="179">
        <v>16553.767349822501</v>
      </c>
      <c r="S193" s="168">
        <v>0.01</v>
      </c>
      <c r="T193" s="168">
        <v>0.01</v>
      </c>
      <c r="U193" s="175">
        <v>0</v>
      </c>
      <c r="V193" s="176">
        <v>0</v>
      </c>
      <c r="W193" s="167"/>
      <c r="X193" s="175">
        <v>16769.252605000001</v>
      </c>
      <c r="Y193" s="166">
        <v>1539.0750612762399</v>
      </c>
      <c r="Z193" s="177">
        <v>573</v>
      </c>
      <c r="AA193" s="178">
        <v>2.6859948713372401</v>
      </c>
      <c r="AB193" s="179">
        <v>9577.0650073586603</v>
      </c>
      <c r="AC193" s="168">
        <v>0.02</v>
      </c>
      <c r="AD193" s="168">
        <v>0.02</v>
      </c>
      <c r="AE193" s="176">
        <v>0</v>
      </c>
      <c r="AF193" s="176">
        <v>0</v>
      </c>
      <c r="AG193" s="167"/>
      <c r="AH193" s="180">
        <v>2133.6</v>
      </c>
      <c r="AI193" s="166">
        <v>195.82092464633101</v>
      </c>
      <c r="AJ193" s="181" t="s">
        <v>53</v>
      </c>
      <c r="AK193" s="178">
        <v>3.10826864517986</v>
      </c>
      <c r="AL193" s="179">
        <v>1342.8359185839399</v>
      </c>
      <c r="AM193" s="168">
        <v>0.02</v>
      </c>
      <c r="AN193" s="168">
        <v>0.02</v>
      </c>
      <c r="AO193" s="176">
        <v>0</v>
      </c>
      <c r="AP193" s="176">
        <v>0</v>
      </c>
      <c r="AQ193" s="167"/>
      <c r="AR193" s="180">
        <v>747.7</v>
      </c>
      <c r="AS193" s="166">
        <v>68.623596437036696</v>
      </c>
      <c r="AT193" s="181" t="s">
        <v>54</v>
      </c>
      <c r="AU193" s="178">
        <v>4.2889747773147899</v>
      </c>
      <c r="AV193" s="179">
        <v>546.87102694195198</v>
      </c>
      <c r="AW193" s="168">
        <v>0.01</v>
      </c>
      <c r="AX193" s="168">
        <v>0.01</v>
      </c>
      <c r="AY193" s="176">
        <v>0</v>
      </c>
      <c r="AZ193" s="176">
        <v>0</v>
      </c>
      <c r="BA193" s="167"/>
      <c r="BB193" s="184">
        <v>1315.4</v>
      </c>
      <c r="BC193" s="180">
        <v>120.72686739772401</v>
      </c>
      <c r="BD193" s="181" t="s">
        <v>55</v>
      </c>
      <c r="BE193" s="178">
        <v>3.7727146061788801</v>
      </c>
      <c r="BF193" s="179">
        <v>913.74205388390396</v>
      </c>
      <c r="BG193" s="168">
        <v>0.02</v>
      </c>
      <c r="BH193" s="168">
        <v>0.02</v>
      </c>
      <c r="BI193" s="176">
        <v>0</v>
      </c>
      <c r="BJ193" s="176">
        <v>0</v>
      </c>
      <c r="BK193" s="169"/>
      <c r="BL193" s="185">
        <v>0.8</v>
      </c>
      <c r="BM193" s="188">
        <v>0.77</v>
      </c>
      <c r="BN193" s="186"/>
      <c r="BO193" s="187">
        <v>0.95</v>
      </c>
      <c r="BP193" s="178">
        <v>1</v>
      </c>
      <c r="BQ193" s="186">
        <v>2.5000000000000001E-3</v>
      </c>
    </row>
    <row r="194" spans="1:69" s="156" customFormat="1" ht="22.35" customHeight="1" x14ac:dyDescent="0.2">
      <c r="A194" s="165" t="s">
        <v>220</v>
      </c>
      <c r="B194" s="165" t="s">
        <v>240</v>
      </c>
      <c r="C194" s="165" t="s">
        <v>258</v>
      </c>
      <c r="D194" s="166">
        <v>1.7385762385555601</v>
      </c>
      <c r="E194" s="167"/>
      <c r="F194" s="168">
        <v>0.02</v>
      </c>
      <c r="G194" s="168">
        <v>1.2999999999999999E-2</v>
      </c>
      <c r="H194" s="169"/>
      <c r="I194" s="170">
        <v>3</v>
      </c>
      <c r="J194" s="170">
        <v>3</v>
      </c>
      <c r="K194" s="167"/>
      <c r="L194" s="171">
        <v>650.51280999999994</v>
      </c>
      <c r="M194" s="171">
        <v>-172.86514</v>
      </c>
      <c r="N194" s="171">
        <v>477.64767000000001</v>
      </c>
      <c r="O194" s="166">
        <v>274.73495806939098</v>
      </c>
      <c r="P194" s="172">
        <v>236.7</v>
      </c>
      <c r="Q194" s="178">
        <v>1.16068845825683</v>
      </c>
      <c r="R194" s="179">
        <v>3.57548299265164</v>
      </c>
      <c r="S194" s="168">
        <v>0.01</v>
      </c>
      <c r="T194" s="168">
        <v>8.0000000000000002E-3</v>
      </c>
      <c r="U194" s="175">
        <v>0</v>
      </c>
      <c r="V194" s="176">
        <v>17</v>
      </c>
      <c r="W194" s="167"/>
      <c r="X194" s="175">
        <v>1048.605585</v>
      </c>
      <c r="Y194" s="166">
        <v>603.14040980521099</v>
      </c>
      <c r="Z194" s="177">
        <v>573</v>
      </c>
      <c r="AA194" s="182">
        <v>1.0526010642324799</v>
      </c>
      <c r="AB194" s="183">
        <v>-99.021635765570906</v>
      </c>
      <c r="AC194" s="168">
        <v>0.01</v>
      </c>
      <c r="AD194" s="168">
        <v>5.0000000000000001E-3</v>
      </c>
      <c r="AE194" s="176">
        <v>0</v>
      </c>
      <c r="AF194" s="176">
        <v>147</v>
      </c>
      <c r="AG194" s="167"/>
      <c r="AH194" s="180">
        <v>77.650000000000006</v>
      </c>
      <c r="AI194" s="166">
        <v>44.662982432402998</v>
      </c>
      <c r="AJ194" s="181" t="s">
        <v>53</v>
      </c>
      <c r="AK194" s="173">
        <v>0.70893622908576104</v>
      </c>
      <c r="AL194" s="174">
        <v>-48.528909089408302</v>
      </c>
      <c r="AM194" s="168"/>
      <c r="AN194" s="168"/>
      <c r="AO194" s="176">
        <v>32</v>
      </c>
      <c r="AP194" s="176">
        <v>54</v>
      </c>
      <c r="AQ194" s="167"/>
      <c r="AR194" s="180">
        <v>8</v>
      </c>
      <c r="AS194" s="166">
        <v>4.6014663162810496</v>
      </c>
      <c r="AT194" s="181" t="s">
        <v>54</v>
      </c>
      <c r="AU194" s="173">
        <v>0.28759164476756599</v>
      </c>
      <c r="AV194" s="174">
        <v>-24.045437229056098</v>
      </c>
      <c r="AW194" s="168"/>
      <c r="AX194" s="168"/>
      <c r="AY194" s="176">
        <v>20</v>
      </c>
      <c r="AZ194" s="176">
        <v>26</v>
      </c>
      <c r="BA194" s="167"/>
      <c r="BB194" s="184">
        <v>52.6</v>
      </c>
      <c r="BC194" s="180">
        <v>30.254641029547901</v>
      </c>
      <c r="BD194" s="181" t="s">
        <v>55</v>
      </c>
      <c r="BE194" s="188">
        <v>0.94545753217337203</v>
      </c>
      <c r="BF194" s="171">
        <v>-11.4908744581122</v>
      </c>
      <c r="BG194" s="168"/>
      <c r="BH194" s="168"/>
      <c r="BI194" s="176">
        <v>4</v>
      </c>
      <c r="BJ194" s="176">
        <v>15</v>
      </c>
      <c r="BK194" s="169"/>
      <c r="BL194" s="185">
        <v>0.8</v>
      </c>
      <c r="BM194" s="188">
        <v>0.75</v>
      </c>
      <c r="BN194" s="186"/>
      <c r="BO194" s="187">
        <v>0.95</v>
      </c>
      <c r="BP194" s="178">
        <v>1</v>
      </c>
      <c r="BQ194" s="186">
        <v>2.5000000000000001E-3</v>
      </c>
    </row>
    <row r="195" spans="1:69" s="156" customFormat="1" ht="22.35" customHeight="1" x14ac:dyDescent="0.2">
      <c r="A195" s="165" t="s">
        <v>220</v>
      </c>
      <c r="B195" s="165" t="s">
        <v>240</v>
      </c>
      <c r="C195" s="165" t="s">
        <v>259</v>
      </c>
      <c r="D195" s="166">
        <v>4.5380946794444403</v>
      </c>
      <c r="E195" s="167"/>
      <c r="F195" s="168">
        <v>5.7000000000000002E-2</v>
      </c>
      <c r="G195" s="168">
        <v>4.8000000000000001E-2</v>
      </c>
      <c r="H195" s="169"/>
      <c r="I195" s="170">
        <v>5</v>
      </c>
      <c r="J195" s="170">
        <v>5</v>
      </c>
      <c r="K195" s="167"/>
      <c r="L195" s="171">
        <v>3025.4398900000001</v>
      </c>
      <c r="M195" s="171">
        <v>1727.8947800000001</v>
      </c>
      <c r="N195" s="171">
        <v>4753.3346700000002</v>
      </c>
      <c r="O195" s="166">
        <v>1047.4295945235599</v>
      </c>
      <c r="P195" s="172">
        <v>287.5</v>
      </c>
      <c r="Q195" s="178">
        <v>3.6432333722558599</v>
      </c>
      <c r="R195" s="179">
        <v>3250.3177121680001</v>
      </c>
      <c r="S195" s="168">
        <v>0.01</v>
      </c>
      <c r="T195" s="168">
        <v>0.01</v>
      </c>
      <c r="U195" s="175">
        <v>0</v>
      </c>
      <c r="V195" s="176">
        <v>0</v>
      </c>
      <c r="W195" s="167"/>
      <c r="X195" s="175">
        <v>2704.969235</v>
      </c>
      <c r="Y195" s="166">
        <v>596.05835181277905</v>
      </c>
      <c r="Z195" s="177">
        <v>573</v>
      </c>
      <c r="AA195" s="182">
        <v>1.0402414516802401</v>
      </c>
      <c r="AB195" s="183">
        <v>-290.60891052255698</v>
      </c>
      <c r="AC195" s="168">
        <v>8.0000000000000002E-3</v>
      </c>
      <c r="AD195" s="168">
        <v>4.0000000000000001E-3</v>
      </c>
      <c r="AE195" s="176">
        <v>0</v>
      </c>
      <c r="AF195" s="176">
        <v>416</v>
      </c>
      <c r="AG195" s="167"/>
      <c r="AH195" s="180">
        <v>326.55</v>
      </c>
      <c r="AI195" s="166">
        <v>71.957511481443206</v>
      </c>
      <c r="AJ195" s="181" t="s">
        <v>53</v>
      </c>
      <c r="AK195" s="182">
        <v>1.1421827219276699</v>
      </c>
      <c r="AL195" s="183">
        <v>-2.80675945535967</v>
      </c>
      <c r="AM195" s="168">
        <v>1.9E-2</v>
      </c>
      <c r="AN195" s="168">
        <v>1.4E-2</v>
      </c>
      <c r="AO195" s="176">
        <v>0</v>
      </c>
      <c r="AP195" s="176">
        <v>17</v>
      </c>
      <c r="AQ195" s="167"/>
      <c r="AR195" s="180">
        <v>63.4</v>
      </c>
      <c r="AS195" s="166">
        <v>13.970620817404701</v>
      </c>
      <c r="AT195" s="181" t="s">
        <v>54</v>
      </c>
      <c r="AU195" s="188">
        <v>0.87316380108779301</v>
      </c>
      <c r="AV195" s="171">
        <v>-20.246161131519901</v>
      </c>
      <c r="AW195" s="168"/>
      <c r="AX195" s="168"/>
      <c r="AY195" s="176">
        <v>10</v>
      </c>
      <c r="AZ195" s="176">
        <v>24</v>
      </c>
      <c r="BA195" s="167"/>
      <c r="BB195" s="184">
        <v>195.8</v>
      </c>
      <c r="BC195" s="180">
        <v>43.145860505486397</v>
      </c>
      <c r="BD195" s="181" t="s">
        <v>55</v>
      </c>
      <c r="BE195" s="178">
        <v>1.3483081407964499</v>
      </c>
      <c r="BF195" s="179">
        <v>28.507677736960201</v>
      </c>
      <c r="BG195" s="168">
        <v>0.02</v>
      </c>
      <c r="BH195" s="168">
        <v>0.02</v>
      </c>
      <c r="BI195" s="176">
        <v>0</v>
      </c>
      <c r="BJ195" s="176">
        <v>0</v>
      </c>
      <c r="BK195" s="169"/>
      <c r="BL195" s="185">
        <v>0.8</v>
      </c>
      <c r="BM195" s="188">
        <v>0.73</v>
      </c>
      <c r="BN195" s="186"/>
      <c r="BO195" s="187">
        <v>0.95</v>
      </c>
      <c r="BP195" s="178">
        <v>1</v>
      </c>
      <c r="BQ195" s="186">
        <v>2.5000000000000001E-3</v>
      </c>
    </row>
    <row r="196" spans="1:69" s="156" customFormat="1" ht="22.35" customHeight="1" x14ac:dyDescent="0.2">
      <c r="A196" s="165" t="s">
        <v>220</v>
      </c>
      <c r="B196" s="165" t="s">
        <v>260</v>
      </c>
      <c r="C196" s="165" t="s">
        <v>261</v>
      </c>
      <c r="D196" s="166">
        <v>9.6008684323333302</v>
      </c>
      <c r="E196" s="167"/>
      <c r="F196" s="168">
        <v>2.1000000000000001E-2</v>
      </c>
      <c r="G196" s="168">
        <v>1.7000000000000001E-2</v>
      </c>
      <c r="H196" s="169"/>
      <c r="I196" s="170">
        <v>3</v>
      </c>
      <c r="J196" s="170">
        <v>3</v>
      </c>
      <c r="K196" s="167"/>
      <c r="L196" s="171">
        <v>4700.5009899999995</v>
      </c>
      <c r="M196" s="171">
        <v>1756.3955699999999</v>
      </c>
      <c r="N196" s="171">
        <v>6456.8965600000001</v>
      </c>
      <c r="O196" s="166">
        <v>672.53255322766199</v>
      </c>
      <c r="P196" s="172">
        <v>270.3</v>
      </c>
      <c r="Q196" s="178">
        <v>2.4880967562991598</v>
      </c>
      <c r="R196" s="179">
        <v>3467.3243826768298</v>
      </c>
      <c r="S196" s="168">
        <v>0.01</v>
      </c>
      <c r="T196" s="168">
        <v>0.01</v>
      </c>
      <c r="U196" s="175">
        <v>0</v>
      </c>
      <c r="V196" s="176">
        <v>0</v>
      </c>
      <c r="W196" s="167"/>
      <c r="X196" s="175">
        <v>5063.1184949999997</v>
      </c>
      <c r="Y196" s="166">
        <v>527.36047063708099</v>
      </c>
      <c r="Z196" s="177">
        <v>573</v>
      </c>
      <c r="AA196" s="188">
        <v>0.92034986149577802</v>
      </c>
      <c r="AB196" s="171">
        <v>-1274.3763537095001</v>
      </c>
      <c r="AC196" s="168"/>
      <c r="AD196" s="168"/>
      <c r="AE196" s="176">
        <v>439</v>
      </c>
      <c r="AF196" s="176">
        <v>1539</v>
      </c>
      <c r="AG196" s="167"/>
      <c r="AH196" s="180">
        <v>478.2</v>
      </c>
      <c r="AI196" s="166">
        <v>49.807994284094299</v>
      </c>
      <c r="AJ196" s="181" t="s">
        <v>53</v>
      </c>
      <c r="AK196" s="188">
        <v>0.79060308387451295</v>
      </c>
      <c r="AL196" s="171">
        <v>-218.592627345024</v>
      </c>
      <c r="AM196" s="168"/>
      <c r="AN196" s="168"/>
      <c r="AO196" s="176">
        <v>127</v>
      </c>
      <c r="AP196" s="176">
        <v>248</v>
      </c>
      <c r="AQ196" s="167"/>
      <c r="AR196" s="180">
        <v>89.8</v>
      </c>
      <c r="AS196" s="166">
        <v>9.3533205493761304</v>
      </c>
      <c r="AT196" s="181" t="s">
        <v>54</v>
      </c>
      <c r="AU196" s="173">
        <v>0.58458253433600804</v>
      </c>
      <c r="AV196" s="174">
        <v>-87.163206944767893</v>
      </c>
      <c r="AW196" s="168"/>
      <c r="AX196" s="168"/>
      <c r="AY196" s="176">
        <v>64</v>
      </c>
      <c r="AZ196" s="176">
        <v>95</v>
      </c>
      <c r="BA196" s="167"/>
      <c r="BB196" s="184">
        <v>327.60000000000002</v>
      </c>
      <c r="BC196" s="180">
        <v>34.1219132736706</v>
      </c>
      <c r="BD196" s="181" t="s">
        <v>55</v>
      </c>
      <c r="BE196" s="182">
        <v>1.06630978980221</v>
      </c>
      <c r="BF196" s="183">
        <v>-26.3264138895358</v>
      </c>
      <c r="BG196" s="168">
        <v>1.0999999999999999E-2</v>
      </c>
      <c r="BH196" s="168">
        <v>7.0000000000000001E-3</v>
      </c>
      <c r="BI196" s="176">
        <v>0</v>
      </c>
      <c r="BJ196" s="176">
        <v>42</v>
      </c>
      <c r="BK196" s="169"/>
      <c r="BL196" s="185">
        <v>0.8</v>
      </c>
      <c r="BM196" s="188">
        <v>0.71</v>
      </c>
      <c r="BN196" s="186"/>
      <c r="BO196" s="187">
        <v>0.95</v>
      </c>
      <c r="BP196" s="178">
        <v>1</v>
      </c>
      <c r="BQ196" s="186">
        <v>2.5000000000000001E-3</v>
      </c>
    </row>
    <row r="197" spans="1:69" s="156" customFormat="1" ht="22.35" customHeight="1" x14ac:dyDescent="0.2">
      <c r="A197" s="165" t="s">
        <v>220</v>
      </c>
      <c r="B197" s="165" t="s">
        <v>260</v>
      </c>
      <c r="C197" s="165" t="s">
        <v>262</v>
      </c>
      <c r="D197" s="166">
        <v>4.5932318577777798</v>
      </c>
      <c r="E197" s="167"/>
      <c r="F197" s="168">
        <v>1.4999999999999999E-2</v>
      </c>
      <c r="G197" s="168">
        <v>0.01</v>
      </c>
      <c r="H197" s="169"/>
      <c r="I197" s="170">
        <v>5</v>
      </c>
      <c r="J197" s="170">
        <v>3</v>
      </c>
      <c r="K197" s="167"/>
      <c r="L197" s="171">
        <v>1843.14509</v>
      </c>
      <c r="M197" s="171">
        <v>2764.65542</v>
      </c>
      <c r="N197" s="171">
        <v>4607.80051</v>
      </c>
      <c r="O197" s="166">
        <v>1003.17176503894</v>
      </c>
      <c r="P197" s="172">
        <v>214.857</v>
      </c>
      <c r="Q197" s="178">
        <v>4.6690206278545299</v>
      </c>
      <c r="R197" s="179">
        <v>3470.9055141089202</v>
      </c>
      <c r="S197" s="168">
        <v>0.01</v>
      </c>
      <c r="T197" s="168">
        <v>0.01</v>
      </c>
      <c r="U197" s="175">
        <v>0</v>
      </c>
      <c r="V197" s="176">
        <v>0</v>
      </c>
      <c r="W197" s="167"/>
      <c r="X197" s="175">
        <v>2630.9782150000001</v>
      </c>
      <c r="Y197" s="166">
        <v>572.79455870378695</v>
      </c>
      <c r="Z197" s="177">
        <v>573</v>
      </c>
      <c r="AA197" s="182">
        <v>0.99964146370643503</v>
      </c>
      <c r="AB197" s="183">
        <v>-400.99576139168101</v>
      </c>
      <c r="AC197" s="168">
        <v>4.0000000000000001E-3</v>
      </c>
      <c r="AD197" s="168">
        <v>0</v>
      </c>
      <c r="AE197" s="176">
        <v>1</v>
      </c>
      <c r="AF197" s="176">
        <v>528</v>
      </c>
      <c r="AG197" s="167"/>
      <c r="AH197" s="180">
        <v>238.65</v>
      </c>
      <c r="AI197" s="166">
        <v>51.956880773586697</v>
      </c>
      <c r="AJ197" s="181" t="s">
        <v>53</v>
      </c>
      <c r="AK197" s="188">
        <v>0.824712393231534</v>
      </c>
      <c r="AL197" s="171">
        <v>-94.708395310079993</v>
      </c>
      <c r="AM197" s="168"/>
      <c r="AN197" s="168"/>
      <c r="AO197" s="176">
        <v>51</v>
      </c>
      <c r="AP197" s="176">
        <v>109</v>
      </c>
      <c r="AQ197" s="167"/>
      <c r="AR197" s="180">
        <v>30.6</v>
      </c>
      <c r="AS197" s="166">
        <v>6.6619759131437304</v>
      </c>
      <c r="AT197" s="181" t="s">
        <v>54</v>
      </c>
      <c r="AU197" s="173">
        <v>0.41637349457148298</v>
      </c>
      <c r="AV197" s="174">
        <v>-54.062449602560001</v>
      </c>
      <c r="AW197" s="168"/>
      <c r="AX197" s="168"/>
      <c r="AY197" s="176">
        <v>43</v>
      </c>
      <c r="AZ197" s="176">
        <v>58</v>
      </c>
      <c r="BA197" s="167"/>
      <c r="BB197" s="184">
        <v>143</v>
      </c>
      <c r="BC197" s="180">
        <v>31.132763254233801</v>
      </c>
      <c r="BD197" s="181" t="s">
        <v>55</v>
      </c>
      <c r="BE197" s="182">
        <v>0.97289885169480494</v>
      </c>
      <c r="BF197" s="183">
        <v>-26.324899205120001</v>
      </c>
      <c r="BG197" s="168">
        <v>1E-3</v>
      </c>
      <c r="BH197" s="168"/>
      <c r="BI197" s="176">
        <v>4</v>
      </c>
      <c r="BJ197" s="176">
        <v>34</v>
      </c>
      <c r="BK197" s="169"/>
      <c r="BL197" s="185">
        <v>0.8</v>
      </c>
      <c r="BM197" s="182">
        <v>0.81</v>
      </c>
      <c r="BN197" s="186">
        <v>3.7500000000000001E-4</v>
      </c>
      <c r="BO197" s="187">
        <v>0.95</v>
      </c>
      <c r="BP197" s="178">
        <v>1</v>
      </c>
      <c r="BQ197" s="186">
        <v>2.5000000000000001E-3</v>
      </c>
    </row>
    <row r="198" spans="1:69" s="156" customFormat="1" ht="22.35" customHeight="1" x14ac:dyDescent="0.2">
      <c r="A198" s="165" t="s">
        <v>220</v>
      </c>
      <c r="B198" s="165" t="s">
        <v>260</v>
      </c>
      <c r="C198" s="165" t="s">
        <v>263</v>
      </c>
      <c r="D198" s="166">
        <v>1.9563433723333301</v>
      </c>
      <c r="E198" s="167"/>
      <c r="F198" s="168">
        <v>3.9E-2</v>
      </c>
      <c r="G198" s="168">
        <v>3.5000000000000003E-2</v>
      </c>
      <c r="H198" s="169"/>
      <c r="I198" s="170">
        <v>5</v>
      </c>
      <c r="J198" s="170">
        <v>5</v>
      </c>
      <c r="K198" s="167"/>
      <c r="L198" s="171">
        <v>568.91088000000002</v>
      </c>
      <c r="M198" s="171">
        <v>1832.5101099999999</v>
      </c>
      <c r="N198" s="171">
        <v>2401.4209900000001</v>
      </c>
      <c r="O198" s="166">
        <v>1227.50485623381</v>
      </c>
      <c r="P198" s="172">
        <v>241.29400000000001</v>
      </c>
      <c r="Q198" s="178">
        <v>5.0871752146087799</v>
      </c>
      <c r="R198" s="179">
        <v>1857.6148768282601</v>
      </c>
      <c r="S198" s="168">
        <v>0.01</v>
      </c>
      <c r="T198" s="168">
        <v>0.01</v>
      </c>
      <c r="U198" s="175">
        <v>0</v>
      </c>
      <c r="V198" s="176">
        <v>0</v>
      </c>
      <c r="W198" s="167"/>
      <c r="X198" s="175">
        <v>1443.0133350000001</v>
      </c>
      <c r="Y198" s="166">
        <v>737.60739316376601</v>
      </c>
      <c r="Z198" s="177">
        <v>573</v>
      </c>
      <c r="AA198" s="178">
        <v>1.2872729374585801</v>
      </c>
      <c r="AB198" s="179">
        <v>151.63890029625799</v>
      </c>
      <c r="AC198" s="168">
        <v>0.02</v>
      </c>
      <c r="AD198" s="168">
        <v>0.02</v>
      </c>
      <c r="AE198" s="176">
        <v>0</v>
      </c>
      <c r="AF198" s="176">
        <v>0</v>
      </c>
      <c r="AG198" s="167"/>
      <c r="AH198" s="180">
        <v>108.3</v>
      </c>
      <c r="AI198" s="166">
        <v>55.358380093996701</v>
      </c>
      <c r="AJ198" s="181" t="s">
        <v>53</v>
      </c>
      <c r="AK198" s="188">
        <v>0.87870444593645602</v>
      </c>
      <c r="AL198" s="171">
        <v>-33.683576590463701</v>
      </c>
      <c r="AM198" s="168"/>
      <c r="AN198" s="168"/>
      <c r="AO198" s="176">
        <v>15</v>
      </c>
      <c r="AP198" s="176">
        <v>40</v>
      </c>
      <c r="AQ198" s="167"/>
      <c r="AR198" s="180">
        <v>3.8</v>
      </c>
      <c r="AS198" s="166">
        <v>1.94239930154374</v>
      </c>
      <c r="AT198" s="181" t="s">
        <v>54</v>
      </c>
      <c r="AU198" s="173">
        <v>0.121399956346484</v>
      </c>
      <c r="AV198" s="174">
        <v>-32.259321038847901</v>
      </c>
      <c r="AW198" s="168"/>
      <c r="AX198" s="168"/>
      <c r="AY198" s="176">
        <v>28</v>
      </c>
      <c r="AZ198" s="176">
        <v>34</v>
      </c>
      <c r="BA198" s="167"/>
      <c r="BB198" s="184">
        <v>65.8</v>
      </c>
      <c r="BC198" s="180">
        <v>33.634177379362697</v>
      </c>
      <c r="BD198" s="181" t="s">
        <v>55</v>
      </c>
      <c r="BE198" s="182">
        <v>1.0510680431050901</v>
      </c>
      <c r="BF198" s="183">
        <v>-6.3186420776958698</v>
      </c>
      <c r="BG198" s="168">
        <v>8.9999999999999993E-3</v>
      </c>
      <c r="BH198" s="168">
        <v>5.0000000000000001E-3</v>
      </c>
      <c r="BI198" s="176">
        <v>0</v>
      </c>
      <c r="BJ198" s="176">
        <v>10</v>
      </c>
      <c r="BK198" s="169"/>
      <c r="BL198" s="185">
        <v>0.8</v>
      </c>
      <c r="BM198" s="182">
        <v>0.83</v>
      </c>
      <c r="BN198" s="186">
        <v>1.1249999999999999E-3</v>
      </c>
      <c r="BO198" s="187">
        <v>0.95</v>
      </c>
      <c r="BP198" s="178">
        <v>1</v>
      </c>
      <c r="BQ198" s="186">
        <v>2.5000000000000001E-3</v>
      </c>
    </row>
    <row r="199" spans="1:69" s="156" customFormat="1" ht="22.35" customHeight="1" x14ac:dyDescent="0.2">
      <c r="A199" s="165" t="s">
        <v>220</v>
      </c>
      <c r="B199" s="165" t="s">
        <v>260</v>
      </c>
      <c r="C199" s="165" t="s">
        <v>264</v>
      </c>
      <c r="D199" s="166">
        <v>2.6404956531111101</v>
      </c>
      <c r="E199" s="167"/>
      <c r="F199" s="168">
        <v>0.01</v>
      </c>
      <c r="G199" s="168">
        <v>0.01</v>
      </c>
      <c r="H199" s="169"/>
      <c r="I199" s="170">
        <v>2</v>
      </c>
      <c r="J199" s="170">
        <v>2</v>
      </c>
      <c r="K199" s="167"/>
      <c r="L199" s="171">
        <v>-180.83824999999999</v>
      </c>
      <c r="M199" s="171">
        <v>1699.06414</v>
      </c>
      <c r="N199" s="171">
        <v>1518.2258899999999</v>
      </c>
      <c r="O199" s="166">
        <v>574.977613847302</v>
      </c>
      <c r="P199" s="172">
        <v>244.16499999999999</v>
      </c>
      <c r="Q199" s="178">
        <v>2.3548731957786799</v>
      </c>
      <c r="R199" s="179">
        <v>775.512342444561</v>
      </c>
      <c r="S199" s="168">
        <v>0.01</v>
      </c>
      <c r="T199" s="168">
        <v>0.01</v>
      </c>
      <c r="U199" s="175">
        <v>0</v>
      </c>
      <c r="V199" s="176">
        <v>0</v>
      </c>
      <c r="W199" s="167"/>
      <c r="X199" s="175">
        <v>1258.9592950000001</v>
      </c>
      <c r="Y199" s="166">
        <v>476.78900494180198</v>
      </c>
      <c r="Z199" s="177">
        <v>573</v>
      </c>
      <c r="AA199" s="188">
        <v>0.832092504261434</v>
      </c>
      <c r="AB199" s="171">
        <v>-484.02132363603101</v>
      </c>
      <c r="AC199" s="168"/>
      <c r="AD199" s="168"/>
      <c r="AE199" s="176">
        <v>255</v>
      </c>
      <c r="AF199" s="176">
        <v>557</v>
      </c>
      <c r="AG199" s="167"/>
      <c r="AH199" s="180">
        <v>106.7</v>
      </c>
      <c r="AI199" s="166">
        <v>40.409079967347402</v>
      </c>
      <c r="AJ199" s="181" t="s">
        <v>53</v>
      </c>
      <c r="AK199" s="173">
        <v>0.64141396773567205</v>
      </c>
      <c r="AL199" s="174">
        <v>-84.9366125201919</v>
      </c>
      <c r="AM199" s="168"/>
      <c r="AN199" s="168"/>
      <c r="AO199" s="176">
        <v>60</v>
      </c>
      <c r="AP199" s="176">
        <v>93</v>
      </c>
      <c r="AQ199" s="167"/>
      <c r="AR199" s="180">
        <v>11.8</v>
      </c>
      <c r="AS199" s="166">
        <v>4.4688579532774</v>
      </c>
      <c r="AT199" s="181" t="s">
        <v>54</v>
      </c>
      <c r="AU199" s="173">
        <v>0.279303622079837</v>
      </c>
      <c r="AV199" s="174">
        <v>-36.869615878144003</v>
      </c>
      <c r="AW199" s="168"/>
      <c r="AX199" s="168"/>
      <c r="AY199" s="176">
        <v>31</v>
      </c>
      <c r="AZ199" s="176">
        <v>39</v>
      </c>
      <c r="BA199" s="167"/>
      <c r="BB199" s="184">
        <v>76.2</v>
      </c>
      <c r="BC199" s="180">
        <v>28.8582183084524</v>
      </c>
      <c r="BD199" s="181" t="s">
        <v>55</v>
      </c>
      <c r="BE199" s="188">
        <v>0.90181932213913696</v>
      </c>
      <c r="BF199" s="171">
        <v>-21.139231756288002</v>
      </c>
      <c r="BG199" s="168"/>
      <c r="BH199" s="168"/>
      <c r="BI199" s="176">
        <v>9</v>
      </c>
      <c r="BJ199" s="176">
        <v>26</v>
      </c>
      <c r="BK199" s="169"/>
      <c r="BL199" s="185">
        <v>0.8</v>
      </c>
      <c r="BM199" s="188">
        <v>0.74</v>
      </c>
      <c r="BN199" s="186"/>
      <c r="BO199" s="187">
        <v>0.95</v>
      </c>
      <c r="BP199" s="178">
        <v>1</v>
      </c>
      <c r="BQ199" s="186">
        <v>2.5000000000000001E-3</v>
      </c>
    </row>
    <row r="200" spans="1:69" s="156" customFormat="1" ht="22.35" customHeight="1" x14ac:dyDescent="0.2">
      <c r="A200" s="165" t="s">
        <v>220</v>
      </c>
      <c r="B200" s="165" t="s">
        <v>260</v>
      </c>
      <c r="C200" s="165" t="s">
        <v>265</v>
      </c>
      <c r="D200" s="166">
        <v>2.692140728</v>
      </c>
      <c r="E200" s="167"/>
      <c r="F200" s="168">
        <v>4.7E-2</v>
      </c>
      <c r="G200" s="168">
        <v>0.04</v>
      </c>
      <c r="H200" s="169"/>
      <c r="I200" s="170">
        <v>5</v>
      </c>
      <c r="J200" s="170">
        <v>5</v>
      </c>
      <c r="K200" s="167"/>
      <c r="L200" s="171">
        <v>930.80709999999999</v>
      </c>
      <c r="M200" s="171">
        <v>172.24775</v>
      </c>
      <c r="N200" s="171">
        <v>1103.05485</v>
      </c>
      <c r="O200" s="166">
        <v>409.73149677040198</v>
      </c>
      <c r="P200" s="172">
        <v>217.55099999999999</v>
      </c>
      <c r="Q200" s="178">
        <v>1.88338135320179</v>
      </c>
      <c r="R200" s="179">
        <v>428.35390054026902</v>
      </c>
      <c r="S200" s="168">
        <v>0.01</v>
      </c>
      <c r="T200" s="168">
        <v>0.01</v>
      </c>
      <c r="U200" s="175">
        <v>0</v>
      </c>
      <c r="V200" s="176">
        <v>0</v>
      </c>
      <c r="W200" s="167"/>
      <c r="X200" s="175">
        <v>1734.34229</v>
      </c>
      <c r="Y200" s="166">
        <v>644.224230911007</v>
      </c>
      <c r="Z200" s="177">
        <v>573</v>
      </c>
      <c r="AA200" s="182">
        <v>1.1243005775061199</v>
      </c>
      <c r="AB200" s="183">
        <v>-42.729035989887997</v>
      </c>
      <c r="AC200" s="168">
        <v>1.7000000000000001E-2</v>
      </c>
      <c r="AD200" s="168">
        <v>1.2E-2</v>
      </c>
      <c r="AE200" s="176">
        <v>0</v>
      </c>
      <c r="AF200" s="176">
        <v>117</v>
      </c>
      <c r="AG200" s="167"/>
      <c r="AH200" s="180">
        <v>162.80000000000001</v>
      </c>
      <c r="AI200" s="166">
        <v>60.472321638603397</v>
      </c>
      <c r="AJ200" s="181" t="s">
        <v>53</v>
      </c>
      <c r="AK200" s="188">
        <v>0.95987812124767302</v>
      </c>
      <c r="AL200" s="171">
        <v>-32.584805475327997</v>
      </c>
      <c r="AM200" s="168">
        <v>0</v>
      </c>
      <c r="AN200" s="168"/>
      <c r="AO200" s="176">
        <v>7</v>
      </c>
      <c r="AP200" s="176">
        <v>41</v>
      </c>
      <c r="AQ200" s="167"/>
      <c r="AR200" s="180">
        <v>24.8</v>
      </c>
      <c r="AS200" s="166">
        <v>9.2119998564948702</v>
      </c>
      <c r="AT200" s="181" t="s">
        <v>54</v>
      </c>
      <c r="AU200" s="173">
        <v>0.57574999103092905</v>
      </c>
      <c r="AV200" s="174">
        <v>-24.821537898496</v>
      </c>
      <c r="AW200" s="168"/>
      <c r="AX200" s="168"/>
      <c r="AY200" s="176">
        <v>19</v>
      </c>
      <c r="AZ200" s="176">
        <v>27</v>
      </c>
      <c r="BA200" s="167"/>
      <c r="BB200" s="184">
        <v>101.4</v>
      </c>
      <c r="BC200" s="180">
        <v>37.665192961636301</v>
      </c>
      <c r="BD200" s="181" t="s">
        <v>55</v>
      </c>
      <c r="BE200" s="178">
        <v>1.17703728005113</v>
      </c>
      <c r="BF200" s="179">
        <v>2.1569242030080198</v>
      </c>
      <c r="BG200" s="168">
        <v>0.02</v>
      </c>
      <c r="BH200" s="168">
        <v>1.7999999999999999E-2</v>
      </c>
      <c r="BI200" s="176">
        <v>0</v>
      </c>
      <c r="BJ200" s="176">
        <v>2</v>
      </c>
      <c r="BK200" s="169"/>
      <c r="BL200" s="185">
        <v>0.8</v>
      </c>
      <c r="BM200" s="182">
        <v>0.81</v>
      </c>
      <c r="BN200" s="186">
        <v>3.7500000000000001E-4</v>
      </c>
      <c r="BO200" s="187">
        <v>0.95</v>
      </c>
      <c r="BP200" s="178">
        <v>1</v>
      </c>
      <c r="BQ200" s="186">
        <v>2.5000000000000001E-3</v>
      </c>
    </row>
    <row r="201" spans="1:69" s="156" customFormat="1" ht="22.35" customHeight="1" x14ac:dyDescent="0.2">
      <c r="A201" s="165" t="s">
        <v>220</v>
      </c>
      <c r="B201" s="165" t="s">
        <v>260</v>
      </c>
      <c r="C201" s="165" t="s">
        <v>266</v>
      </c>
      <c r="D201" s="166">
        <v>3.8745519713333301</v>
      </c>
      <c r="E201" s="167"/>
      <c r="F201" s="168">
        <v>0.03</v>
      </c>
      <c r="G201" s="168">
        <v>2.8000000000000001E-2</v>
      </c>
      <c r="H201" s="169"/>
      <c r="I201" s="170">
        <v>3</v>
      </c>
      <c r="J201" s="170">
        <v>3</v>
      </c>
      <c r="K201" s="167"/>
      <c r="L201" s="171">
        <v>2511.70298</v>
      </c>
      <c r="M201" s="171">
        <v>2597.1824700000002</v>
      </c>
      <c r="N201" s="171">
        <v>5108.8854499999998</v>
      </c>
      <c r="O201" s="166">
        <v>1318.57450559423</v>
      </c>
      <c r="P201" s="172">
        <v>234.35599999999999</v>
      </c>
      <c r="Q201" s="178">
        <v>5.6263740019211399</v>
      </c>
      <c r="R201" s="179">
        <v>4062.8412239335498</v>
      </c>
      <c r="S201" s="168">
        <v>0.01</v>
      </c>
      <c r="T201" s="168">
        <v>0.01</v>
      </c>
      <c r="U201" s="175">
        <v>0</v>
      </c>
      <c r="V201" s="176">
        <v>0</v>
      </c>
      <c r="W201" s="167"/>
      <c r="X201" s="175">
        <v>2058.4745200000002</v>
      </c>
      <c r="Y201" s="166">
        <v>531.28065779735198</v>
      </c>
      <c r="Z201" s="177">
        <v>573</v>
      </c>
      <c r="AA201" s="188">
        <v>0.92719137486448899</v>
      </c>
      <c r="AB201" s="171">
        <v>-499.10173806924598</v>
      </c>
      <c r="AC201" s="168"/>
      <c r="AD201" s="168"/>
      <c r="AE201" s="176">
        <v>162</v>
      </c>
      <c r="AF201" s="176">
        <v>606</v>
      </c>
      <c r="AG201" s="167"/>
      <c r="AH201" s="180">
        <v>222.5</v>
      </c>
      <c r="AI201" s="166">
        <v>57.4259944494775</v>
      </c>
      <c r="AJ201" s="181" t="s">
        <v>53</v>
      </c>
      <c r="AK201" s="188">
        <v>0.91152372142027704</v>
      </c>
      <c r="AL201" s="171">
        <v>-58.6994838714878</v>
      </c>
      <c r="AM201" s="168"/>
      <c r="AN201" s="168"/>
      <c r="AO201" s="176">
        <v>22</v>
      </c>
      <c r="AP201" s="176">
        <v>71</v>
      </c>
      <c r="AQ201" s="167"/>
      <c r="AR201" s="180">
        <v>31.6</v>
      </c>
      <c r="AS201" s="166">
        <v>8.1557816836111794</v>
      </c>
      <c r="AT201" s="181" t="s">
        <v>54</v>
      </c>
      <c r="AU201" s="173">
        <v>0.50973635522569904</v>
      </c>
      <c r="AV201" s="174">
        <v>-39.815741935615897</v>
      </c>
      <c r="AW201" s="168"/>
      <c r="AX201" s="168"/>
      <c r="AY201" s="176">
        <v>31</v>
      </c>
      <c r="AZ201" s="176">
        <v>43</v>
      </c>
      <c r="BA201" s="167"/>
      <c r="BB201" s="184">
        <v>146.19999999999999</v>
      </c>
      <c r="BC201" s="180">
        <v>37.733395004555497</v>
      </c>
      <c r="BD201" s="181" t="s">
        <v>55</v>
      </c>
      <c r="BE201" s="178">
        <v>1.17916859389236</v>
      </c>
      <c r="BF201" s="179">
        <v>3.3685161287681402</v>
      </c>
      <c r="BG201" s="168">
        <v>0.02</v>
      </c>
      <c r="BH201" s="168">
        <v>1.7999999999999999E-2</v>
      </c>
      <c r="BI201" s="176">
        <v>0</v>
      </c>
      <c r="BJ201" s="176">
        <v>3</v>
      </c>
      <c r="BK201" s="169"/>
      <c r="BL201" s="185">
        <v>0.8</v>
      </c>
      <c r="BM201" s="188">
        <v>0.73</v>
      </c>
      <c r="BN201" s="186"/>
      <c r="BO201" s="187">
        <v>0.95</v>
      </c>
      <c r="BP201" s="178">
        <v>1</v>
      </c>
      <c r="BQ201" s="186">
        <v>2.5000000000000001E-3</v>
      </c>
    </row>
    <row r="202" spans="1:69" s="156" customFormat="1" ht="22.35" customHeight="1" x14ac:dyDescent="0.2">
      <c r="A202" s="165" t="s">
        <v>220</v>
      </c>
      <c r="B202" s="165" t="s">
        <v>260</v>
      </c>
      <c r="C202" s="165" t="s">
        <v>267</v>
      </c>
      <c r="D202" s="166">
        <v>3.2393056717777799</v>
      </c>
      <c r="E202" s="167"/>
      <c r="F202" s="168">
        <v>4.1000000000000002E-2</v>
      </c>
      <c r="G202" s="168">
        <v>3.5000000000000003E-2</v>
      </c>
      <c r="H202" s="169"/>
      <c r="I202" s="170">
        <v>5</v>
      </c>
      <c r="J202" s="170">
        <v>4</v>
      </c>
      <c r="K202" s="167"/>
      <c r="L202" s="171">
        <v>2856.1044900000002</v>
      </c>
      <c r="M202" s="171">
        <v>262.04225000000002</v>
      </c>
      <c r="N202" s="171">
        <v>3118.1467400000001</v>
      </c>
      <c r="O202" s="166">
        <v>962.59725260466598</v>
      </c>
      <c r="P202" s="172">
        <v>251.035</v>
      </c>
      <c r="Q202" s="178">
        <v>3.8345141219537702</v>
      </c>
      <c r="R202" s="179">
        <v>2181.3644175894301</v>
      </c>
      <c r="S202" s="168">
        <v>0.01</v>
      </c>
      <c r="T202" s="168">
        <v>0.01</v>
      </c>
      <c r="U202" s="175">
        <v>0</v>
      </c>
      <c r="V202" s="176">
        <v>0</v>
      </c>
      <c r="W202" s="167"/>
      <c r="X202" s="175">
        <v>1953.1631050000001</v>
      </c>
      <c r="Y202" s="166">
        <v>602.95733188034603</v>
      </c>
      <c r="Z202" s="177">
        <v>573</v>
      </c>
      <c r="AA202" s="182">
        <v>1.0522815565101999</v>
      </c>
      <c r="AB202" s="183">
        <v>-185.08961171782499</v>
      </c>
      <c r="AC202" s="168">
        <v>0.01</v>
      </c>
      <c r="AD202" s="168">
        <v>5.0000000000000001E-3</v>
      </c>
      <c r="AE202" s="176">
        <v>0</v>
      </c>
      <c r="AF202" s="176">
        <v>275</v>
      </c>
      <c r="AG202" s="167"/>
      <c r="AH202" s="180">
        <v>198.15</v>
      </c>
      <c r="AI202" s="166">
        <v>61.170516177700598</v>
      </c>
      <c r="AJ202" s="181" t="s">
        <v>53</v>
      </c>
      <c r="AK202" s="182">
        <v>0.970960574249217</v>
      </c>
      <c r="AL202" s="183">
        <v>-36.945848434944097</v>
      </c>
      <c r="AM202" s="168">
        <v>1E-3</v>
      </c>
      <c r="AN202" s="168"/>
      <c r="AO202" s="176">
        <v>6</v>
      </c>
      <c r="AP202" s="176">
        <v>47</v>
      </c>
      <c r="AQ202" s="167"/>
      <c r="AR202" s="180">
        <v>33.1</v>
      </c>
      <c r="AS202" s="166">
        <v>10.2182391394494</v>
      </c>
      <c r="AT202" s="181" t="s">
        <v>54</v>
      </c>
      <c r="AU202" s="173">
        <v>0.63863994621558495</v>
      </c>
      <c r="AV202" s="174">
        <v>-26.606882142208001</v>
      </c>
      <c r="AW202" s="168"/>
      <c r="AX202" s="168"/>
      <c r="AY202" s="176">
        <v>19</v>
      </c>
      <c r="AZ202" s="176">
        <v>30</v>
      </c>
      <c r="BA202" s="167"/>
      <c r="BB202" s="184">
        <v>124.8</v>
      </c>
      <c r="BC202" s="180">
        <v>38.526774761428399</v>
      </c>
      <c r="BD202" s="181" t="s">
        <v>55</v>
      </c>
      <c r="BE202" s="178">
        <v>1.2039617112946399</v>
      </c>
      <c r="BF202" s="179">
        <v>5.3862357155839202</v>
      </c>
      <c r="BG202" s="168">
        <v>0.02</v>
      </c>
      <c r="BH202" s="168">
        <v>0.02</v>
      </c>
      <c r="BI202" s="176">
        <v>0</v>
      </c>
      <c r="BJ202" s="176">
        <v>0</v>
      </c>
      <c r="BK202" s="169"/>
      <c r="BL202" s="185">
        <v>0.8</v>
      </c>
      <c r="BM202" s="188">
        <v>0.74</v>
      </c>
      <c r="BN202" s="186"/>
      <c r="BO202" s="187">
        <v>0.95</v>
      </c>
      <c r="BP202" s="178">
        <v>1</v>
      </c>
      <c r="BQ202" s="186">
        <v>2.5000000000000001E-3</v>
      </c>
    </row>
    <row r="203" spans="1:69" s="156" customFormat="1" ht="22.35" customHeight="1" x14ac:dyDescent="0.2">
      <c r="A203" s="165" t="s">
        <v>220</v>
      </c>
      <c r="B203" s="165" t="s">
        <v>260</v>
      </c>
      <c r="C203" s="165" t="s">
        <v>268</v>
      </c>
      <c r="D203" s="166">
        <v>1.60228521777778</v>
      </c>
      <c r="E203" s="167"/>
      <c r="F203" s="168">
        <v>0.05</v>
      </c>
      <c r="G203" s="168">
        <v>0.05</v>
      </c>
      <c r="H203" s="169"/>
      <c r="I203" s="170">
        <v>4</v>
      </c>
      <c r="J203" s="170">
        <v>4</v>
      </c>
      <c r="K203" s="167"/>
      <c r="L203" s="171">
        <v>1549.00557</v>
      </c>
      <c r="M203" s="171">
        <v>811.77112999999997</v>
      </c>
      <c r="N203" s="171">
        <v>2360.7766999999999</v>
      </c>
      <c r="O203" s="166">
        <v>1473.3810646235499</v>
      </c>
      <c r="P203" s="172">
        <v>221.102</v>
      </c>
      <c r="Q203" s="178">
        <v>6.6638070421052298</v>
      </c>
      <c r="R203" s="179">
        <v>1952.65942691329</v>
      </c>
      <c r="S203" s="168">
        <v>0.01</v>
      </c>
      <c r="T203" s="168">
        <v>0.01</v>
      </c>
      <c r="U203" s="175">
        <v>0</v>
      </c>
      <c r="V203" s="176">
        <v>0</v>
      </c>
      <c r="W203" s="167"/>
      <c r="X203" s="175">
        <v>1535.12033</v>
      </c>
      <c r="Y203" s="166">
        <v>958.08181525201303</v>
      </c>
      <c r="Z203" s="177">
        <v>573</v>
      </c>
      <c r="AA203" s="178">
        <v>1.6720450527958299</v>
      </c>
      <c r="AB203" s="179">
        <v>477.45826688575897</v>
      </c>
      <c r="AC203" s="168">
        <v>0.02</v>
      </c>
      <c r="AD203" s="168">
        <v>0.02</v>
      </c>
      <c r="AE203" s="176">
        <v>0</v>
      </c>
      <c r="AF203" s="176">
        <v>0</v>
      </c>
      <c r="AG203" s="167"/>
      <c r="AH203" s="180">
        <v>95.7</v>
      </c>
      <c r="AI203" s="166">
        <v>59.7271939715746</v>
      </c>
      <c r="AJ203" s="181" t="s">
        <v>53</v>
      </c>
      <c r="AK203" s="188">
        <v>0.94805069796150099</v>
      </c>
      <c r="AL203" s="171">
        <v>-20.587451965440199</v>
      </c>
      <c r="AM203" s="168"/>
      <c r="AN203" s="168"/>
      <c r="AO203" s="176">
        <v>6</v>
      </c>
      <c r="AP203" s="176">
        <v>26</v>
      </c>
      <c r="AQ203" s="167"/>
      <c r="AR203" s="180">
        <v>7</v>
      </c>
      <c r="AS203" s="166">
        <v>4.3687602696031602</v>
      </c>
      <c r="AT203" s="181" t="s">
        <v>54</v>
      </c>
      <c r="AU203" s="173">
        <v>0.27304751685019701</v>
      </c>
      <c r="AV203" s="174">
        <v>-22.533321134080001</v>
      </c>
      <c r="AW203" s="168"/>
      <c r="AX203" s="168"/>
      <c r="AY203" s="176">
        <v>19</v>
      </c>
      <c r="AZ203" s="176">
        <v>24</v>
      </c>
      <c r="BA203" s="167"/>
      <c r="BB203" s="184">
        <v>65.599999999999994</v>
      </c>
      <c r="BC203" s="180">
        <v>40.941524812281003</v>
      </c>
      <c r="BD203" s="181" t="s">
        <v>55</v>
      </c>
      <c r="BE203" s="178">
        <v>1.27942265038378</v>
      </c>
      <c r="BF203" s="179">
        <v>6.5333577318399199</v>
      </c>
      <c r="BG203" s="168">
        <v>0.02</v>
      </c>
      <c r="BH203" s="168">
        <v>0.02</v>
      </c>
      <c r="BI203" s="176">
        <v>0</v>
      </c>
      <c r="BJ203" s="176">
        <v>0</v>
      </c>
      <c r="BK203" s="169"/>
      <c r="BL203" s="185">
        <v>0.8</v>
      </c>
      <c r="BM203" s="188">
        <v>0.79</v>
      </c>
      <c r="BN203" s="186"/>
      <c r="BO203" s="187">
        <v>0.95</v>
      </c>
      <c r="BP203" s="178">
        <v>1</v>
      </c>
      <c r="BQ203" s="186">
        <v>2.5000000000000001E-3</v>
      </c>
    </row>
    <row r="204" spans="1:69" s="156" customFormat="1" ht="22.35" customHeight="1" x14ac:dyDescent="0.2">
      <c r="A204" s="165" t="s">
        <v>220</v>
      </c>
      <c r="B204" s="165" t="s">
        <v>260</v>
      </c>
      <c r="C204" s="165" t="s">
        <v>269</v>
      </c>
      <c r="D204" s="166">
        <v>2.8902111342222199</v>
      </c>
      <c r="E204" s="167"/>
      <c r="F204" s="168">
        <v>2.7E-2</v>
      </c>
      <c r="G204" s="168">
        <v>2.1999999999999999E-2</v>
      </c>
      <c r="H204" s="169"/>
      <c r="I204" s="170">
        <v>4</v>
      </c>
      <c r="J204" s="170">
        <v>4</v>
      </c>
      <c r="K204" s="167"/>
      <c r="L204" s="171">
        <v>1476.6558500000001</v>
      </c>
      <c r="M204" s="171">
        <v>1040.12744</v>
      </c>
      <c r="N204" s="171">
        <v>2516.7832899999999</v>
      </c>
      <c r="O204" s="166">
        <v>870.79565233122196</v>
      </c>
      <c r="P204" s="172">
        <v>220.88900000000001</v>
      </c>
      <c r="Q204" s="178">
        <v>3.9422318555076101</v>
      </c>
      <c r="R204" s="179">
        <v>1781.32823399425</v>
      </c>
      <c r="S204" s="168">
        <v>0.01</v>
      </c>
      <c r="T204" s="168">
        <v>0.01</v>
      </c>
      <c r="U204" s="175">
        <v>0</v>
      </c>
      <c r="V204" s="176">
        <v>0</v>
      </c>
      <c r="W204" s="167"/>
      <c r="X204" s="175">
        <v>1854.5017250000001</v>
      </c>
      <c r="Y204" s="166">
        <v>641.64922176146104</v>
      </c>
      <c r="Z204" s="177">
        <v>573</v>
      </c>
      <c r="AA204" s="182">
        <v>1.11980666974077</v>
      </c>
      <c r="AB204" s="183">
        <v>-53.315083855550498</v>
      </c>
      <c r="AC204" s="168">
        <v>1.7000000000000001E-2</v>
      </c>
      <c r="AD204" s="168">
        <v>1.2E-2</v>
      </c>
      <c r="AE204" s="176">
        <v>0</v>
      </c>
      <c r="AF204" s="176">
        <v>133</v>
      </c>
      <c r="AG204" s="167"/>
      <c r="AH204" s="180">
        <v>116.15</v>
      </c>
      <c r="AI204" s="166">
        <v>40.187375456657399</v>
      </c>
      <c r="AJ204" s="181" t="s">
        <v>53</v>
      </c>
      <c r="AK204" s="173">
        <v>0.63789484851837097</v>
      </c>
      <c r="AL204" s="174">
        <v>-93.609963277311806</v>
      </c>
      <c r="AM204" s="168"/>
      <c r="AN204" s="168"/>
      <c r="AO204" s="176">
        <v>66</v>
      </c>
      <c r="AP204" s="176">
        <v>103</v>
      </c>
      <c r="AQ204" s="167"/>
      <c r="AR204" s="180">
        <v>13.5</v>
      </c>
      <c r="AS204" s="166">
        <v>4.6709390328443803</v>
      </c>
      <c r="AT204" s="181" t="s">
        <v>54</v>
      </c>
      <c r="AU204" s="173">
        <v>0.29193368955277399</v>
      </c>
      <c r="AV204" s="174">
        <v>-39.772371625983901</v>
      </c>
      <c r="AW204" s="168"/>
      <c r="AX204" s="168"/>
      <c r="AY204" s="176">
        <v>33</v>
      </c>
      <c r="AZ204" s="176">
        <v>42</v>
      </c>
      <c r="BA204" s="167"/>
      <c r="BB204" s="184">
        <v>73.8</v>
      </c>
      <c r="BC204" s="180">
        <v>25.534466712882601</v>
      </c>
      <c r="BD204" s="181" t="s">
        <v>55</v>
      </c>
      <c r="BE204" s="188">
        <v>0.79795208477758095</v>
      </c>
      <c r="BF204" s="171">
        <v>-32.744743251967897</v>
      </c>
      <c r="BG204" s="168"/>
      <c r="BH204" s="168"/>
      <c r="BI204" s="176">
        <v>19</v>
      </c>
      <c r="BJ204" s="176">
        <v>38</v>
      </c>
      <c r="BK204" s="169"/>
      <c r="BL204" s="185">
        <v>0.8</v>
      </c>
      <c r="BM204" s="182">
        <v>0.82</v>
      </c>
      <c r="BN204" s="186">
        <v>7.5000000000000002E-4</v>
      </c>
      <c r="BO204" s="187">
        <v>0.95</v>
      </c>
      <c r="BP204" s="178">
        <v>1</v>
      </c>
      <c r="BQ204" s="186">
        <v>2.5000000000000001E-3</v>
      </c>
    </row>
    <row r="205" spans="1:69" s="156" customFormat="1" ht="22.35" customHeight="1" x14ac:dyDescent="0.2">
      <c r="A205" s="165" t="s">
        <v>220</v>
      </c>
      <c r="B205" s="165" t="s">
        <v>260</v>
      </c>
      <c r="C205" s="165" t="s">
        <v>270</v>
      </c>
      <c r="D205" s="166">
        <v>2.6579356497777802</v>
      </c>
      <c r="E205" s="167"/>
      <c r="F205" s="168">
        <v>5.3999999999999999E-2</v>
      </c>
      <c r="G205" s="168">
        <v>0.05</v>
      </c>
      <c r="H205" s="169"/>
      <c r="I205" s="170">
        <v>5</v>
      </c>
      <c r="J205" s="170">
        <v>4</v>
      </c>
      <c r="K205" s="167"/>
      <c r="L205" s="171">
        <v>552.70009000000005</v>
      </c>
      <c r="M205" s="171">
        <v>983.10071000000005</v>
      </c>
      <c r="N205" s="171">
        <v>1535.8008</v>
      </c>
      <c r="O205" s="166">
        <v>577.81714923324205</v>
      </c>
      <c r="P205" s="172">
        <v>221.102</v>
      </c>
      <c r="Q205" s="178">
        <v>2.6133510743152102</v>
      </c>
      <c r="R205" s="179">
        <v>858.79932898118398</v>
      </c>
      <c r="S205" s="168">
        <v>0.01</v>
      </c>
      <c r="T205" s="168">
        <v>0.01</v>
      </c>
      <c r="U205" s="175">
        <v>0</v>
      </c>
      <c r="V205" s="176">
        <v>0</v>
      </c>
      <c r="W205" s="167"/>
      <c r="X205" s="175">
        <v>2024.6844149999999</v>
      </c>
      <c r="Y205" s="166">
        <v>761.75072755026201</v>
      </c>
      <c r="Z205" s="177">
        <v>573</v>
      </c>
      <c r="AA205" s="178">
        <v>1.32940790148388</v>
      </c>
      <c r="AB205" s="179">
        <v>270.19172432428701</v>
      </c>
      <c r="AC205" s="168">
        <v>0.02</v>
      </c>
      <c r="AD205" s="168">
        <v>0.02</v>
      </c>
      <c r="AE205" s="176">
        <v>0</v>
      </c>
      <c r="AF205" s="176">
        <v>0</v>
      </c>
      <c r="AG205" s="167"/>
      <c r="AH205" s="180">
        <v>167.1</v>
      </c>
      <c r="AI205" s="166">
        <v>62.868339199246897</v>
      </c>
      <c r="AJ205" s="181" t="s">
        <v>53</v>
      </c>
      <c r="AK205" s="182">
        <v>0.997910146019792</v>
      </c>
      <c r="AL205" s="183">
        <v>-25.802337718272099</v>
      </c>
      <c r="AM205" s="168">
        <v>4.0000000000000001E-3</v>
      </c>
      <c r="AN205" s="168">
        <v>0</v>
      </c>
      <c r="AO205" s="176">
        <v>1</v>
      </c>
      <c r="AP205" s="176">
        <v>34</v>
      </c>
      <c r="AQ205" s="167"/>
      <c r="AR205" s="180">
        <v>18</v>
      </c>
      <c r="AS205" s="166">
        <v>6.7721729837608899</v>
      </c>
      <c r="AT205" s="181" t="s">
        <v>54</v>
      </c>
      <c r="AU205" s="173">
        <v>0.42326081148505601</v>
      </c>
      <c r="AV205" s="174">
        <v>-30.991069896704001</v>
      </c>
      <c r="AW205" s="168"/>
      <c r="AX205" s="168"/>
      <c r="AY205" s="176">
        <v>25</v>
      </c>
      <c r="AZ205" s="176">
        <v>34</v>
      </c>
      <c r="BA205" s="167"/>
      <c r="BB205" s="184">
        <v>131.4</v>
      </c>
      <c r="BC205" s="180">
        <v>49.436862781454501</v>
      </c>
      <c r="BD205" s="181" t="s">
        <v>55</v>
      </c>
      <c r="BE205" s="178">
        <v>1.54490196192045</v>
      </c>
      <c r="BF205" s="179">
        <v>33.417860206591897</v>
      </c>
      <c r="BG205" s="168">
        <v>0.02</v>
      </c>
      <c r="BH205" s="168">
        <v>0.02</v>
      </c>
      <c r="BI205" s="176">
        <v>0</v>
      </c>
      <c r="BJ205" s="176">
        <v>0</v>
      </c>
      <c r="BK205" s="169"/>
      <c r="BL205" s="185">
        <v>0.8</v>
      </c>
      <c r="BM205" s="188">
        <v>0.78</v>
      </c>
      <c r="BN205" s="186"/>
      <c r="BO205" s="187">
        <v>0.95</v>
      </c>
      <c r="BP205" s="178">
        <v>1</v>
      </c>
      <c r="BQ205" s="186">
        <v>2.5000000000000001E-3</v>
      </c>
    </row>
    <row r="206" spans="1:69" s="156" customFormat="1" ht="22.35" customHeight="1" x14ac:dyDescent="0.2">
      <c r="A206" s="165" t="s">
        <v>220</v>
      </c>
      <c r="B206" s="165" t="s">
        <v>260</v>
      </c>
      <c r="C206" s="165" t="s">
        <v>271</v>
      </c>
      <c r="D206" s="166">
        <v>1.9523576782222201</v>
      </c>
      <c r="E206" s="167"/>
      <c r="F206" s="168">
        <v>0.01</v>
      </c>
      <c r="G206" s="168">
        <v>0.01</v>
      </c>
      <c r="H206" s="169"/>
      <c r="I206" s="170">
        <v>3</v>
      </c>
      <c r="J206" s="170">
        <v>3</v>
      </c>
      <c r="K206" s="167"/>
      <c r="L206" s="171">
        <v>852.99564999999996</v>
      </c>
      <c r="M206" s="171">
        <v>933.94546000000003</v>
      </c>
      <c r="N206" s="171">
        <v>1786.94111</v>
      </c>
      <c r="O206" s="166">
        <v>915.27343064881097</v>
      </c>
      <c r="P206" s="172">
        <v>214.857</v>
      </c>
      <c r="Q206" s="178">
        <v>4.2599190654659198</v>
      </c>
      <c r="R206" s="179">
        <v>1303.7027838524</v>
      </c>
      <c r="S206" s="168">
        <v>0.01</v>
      </c>
      <c r="T206" s="168">
        <v>0.01</v>
      </c>
      <c r="U206" s="175">
        <v>0</v>
      </c>
      <c r="V206" s="176">
        <v>0</v>
      </c>
      <c r="W206" s="167"/>
      <c r="X206" s="175">
        <v>642.83257500000002</v>
      </c>
      <c r="Y206" s="166">
        <v>329.259634220995</v>
      </c>
      <c r="Z206" s="177">
        <v>573</v>
      </c>
      <c r="AA206" s="173">
        <v>0.57462414349213797</v>
      </c>
      <c r="AB206" s="174">
        <v>-645.91091896377498</v>
      </c>
      <c r="AC206" s="168"/>
      <c r="AD206" s="168"/>
      <c r="AE206" s="176">
        <v>476</v>
      </c>
      <c r="AF206" s="176">
        <v>700</v>
      </c>
      <c r="AG206" s="167"/>
      <c r="AH206" s="180">
        <v>61</v>
      </c>
      <c r="AI206" s="166">
        <v>31.2442748992313</v>
      </c>
      <c r="AJ206" s="181" t="s">
        <v>53</v>
      </c>
      <c r="AK206" s="173">
        <v>0.495940871416369</v>
      </c>
      <c r="AL206" s="174">
        <v>-80.694310854655797</v>
      </c>
      <c r="AM206" s="168"/>
      <c r="AN206" s="168"/>
      <c r="AO206" s="176">
        <v>62</v>
      </c>
      <c r="AP206" s="176">
        <v>87</v>
      </c>
      <c r="AQ206" s="167"/>
      <c r="AR206" s="180">
        <v>8.6</v>
      </c>
      <c r="AS206" s="166">
        <v>4.4049305595637502</v>
      </c>
      <c r="AT206" s="181" t="s">
        <v>54</v>
      </c>
      <c r="AU206" s="173">
        <v>0.275308159972734</v>
      </c>
      <c r="AV206" s="174">
        <v>-27.385856724991999</v>
      </c>
      <c r="AW206" s="168"/>
      <c r="AX206" s="168"/>
      <c r="AY206" s="176">
        <v>23</v>
      </c>
      <c r="AZ206" s="176">
        <v>29</v>
      </c>
      <c r="BA206" s="167"/>
      <c r="BB206" s="184">
        <v>37.6</v>
      </c>
      <c r="BC206" s="180">
        <v>19.258766167394999</v>
      </c>
      <c r="BD206" s="181" t="s">
        <v>55</v>
      </c>
      <c r="BE206" s="173">
        <v>0.60183644273109405</v>
      </c>
      <c r="BF206" s="174">
        <v>-34.371713449983901</v>
      </c>
      <c r="BG206" s="168"/>
      <c r="BH206" s="168"/>
      <c r="BI206" s="176">
        <v>25</v>
      </c>
      <c r="BJ206" s="176">
        <v>38</v>
      </c>
      <c r="BK206" s="169"/>
      <c r="BL206" s="185">
        <v>0.8</v>
      </c>
      <c r="BM206" s="182">
        <v>0.83</v>
      </c>
      <c r="BN206" s="186">
        <v>1.1249999999999999E-3</v>
      </c>
      <c r="BO206" s="187">
        <v>0.95</v>
      </c>
      <c r="BP206" s="178">
        <v>1</v>
      </c>
      <c r="BQ206" s="186">
        <v>2.5000000000000001E-3</v>
      </c>
    </row>
    <row r="207" spans="1:69" s="156" customFormat="1" ht="22.35" customHeight="1" x14ac:dyDescent="0.2">
      <c r="A207" s="165" t="s">
        <v>220</v>
      </c>
      <c r="B207" s="165" t="s">
        <v>260</v>
      </c>
      <c r="C207" s="165" t="s">
        <v>272</v>
      </c>
      <c r="D207" s="166">
        <v>9.0627591208888898</v>
      </c>
      <c r="E207" s="167"/>
      <c r="F207" s="168">
        <v>5.0999999999999997E-2</v>
      </c>
      <c r="G207" s="168">
        <v>4.3999999999999997E-2</v>
      </c>
      <c r="H207" s="169"/>
      <c r="I207" s="170">
        <v>5</v>
      </c>
      <c r="J207" s="170">
        <v>4</v>
      </c>
      <c r="K207" s="167"/>
      <c r="L207" s="171">
        <v>5901.4167600000001</v>
      </c>
      <c r="M207" s="171">
        <v>2673.9932399999998</v>
      </c>
      <c r="N207" s="171">
        <v>8575.41</v>
      </c>
      <c r="O207" s="166">
        <v>946.22508284860101</v>
      </c>
      <c r="P207" s="172">
        <v>241.29400000000001</v>
      </c>
      <c r="Q207" s="178">
        <v>3.9214612996949798</v>
      </c>
      <c r="R207" s="179">
        <v>6056.2286119882401</v>
      </c>
      <c r="S207" s="168">
        <v>0.01</v>
      </c>
      <c r="T207" s="168">
        <v>0.01</v>
      </c>
      <c r="U207" s="175">
        <v>0</v>
      </c>
      <c r="V207" s="176">
        <v>0</v>
      </c>
      <c r="W207" s="167"/>
      <c r="X207" s="175">
        <v>5934.1476149999999</v>
      </c>
      <c r="Y207" s="166">
        <v>654.78377344514104</v>
      </c>
      <c r="Z207" s="177">
        <v>573</v>
      </c>
      <c r="AA207" s="182">
        <v>1.1427290985081</v>
      </c>
      <c r="AB207" s="183">
        <v>-48.143429662272901</v>
      </c>
      <c r="AC207" s="168">
        <v>1.9E-2</v>
      </c>
      <c r="AD207" s="168">
        <v>1.4E-2</v>
      </c>
      <c r="AE207" s="176">
        <v>0</v>
      </c>
      <c r="AF207" s="176">
        <v>298</v>
      </c>
      <c r="AG207" s="167"/>
      <c r="AH207" s="180">
        <v>559.29999999999995</v>
      </c>
      <c r="AI207" s="166">
        <v>61.714097499387499</v>
      </c>
      <c r="AJ207" s="181" t="s">
        <v>53</v>
      </c>
      <c r="AK207" s="182">
        <v>0.97958884919662603</v>
      </c>
      <c r="AL207" s="183">
        <v>-98.438805957631999</v>
      </c>
      <c r="AM207" s="168">
        <v>2E-3</v>
      </c>
      <c r="AN207" s="168"/>
      <c r="AO207" s="176">
        <v>12</v>
      </c>
      <c r="AP207" s="176">
        <v>126</v>
      </c>
      <c r="AQ207" s="167"/>
      <c r="AR207" s="180">
        <v>131.4</v>
      </c>
      <c r="AS207" s="166">
        <v>14.498895782977799</v>
      </c>
      <c r="AT207" s="181" t="s">
        <v>54</v>
      </c>
      <c r="AU207" s="188">
        <v>0.906180986436116</v>
      </c>
      <c r="AV207" s="171">
        <v>-35.644776116224001</v>
      </c>
      <c r="AW207" s="168"/>
      <c r="AX207" s="168"/>
      <c r="AY207" s="176">
        <v>14</v>
      </c>
      <c r="AZ207" s="176">
        <v>43</v>
      </c>
      <c r="BA207" s="167"/>
      <c r="BB207" s="184">
        <v>396.8</v>
      </c>
      <c r="BC207" s="180">
        <v>43.783575697759602</v>
      </c>
      <c r="BD207" s="181" t="s">
        <v>55</v>
      </c>
      <c r="BE207" s="178">
        <v>1.36823674055499</v>
      </c>
      <c r="BF207" s="179">
        <v>62.710447767551997</v>
      </c>
      <c r="BG207" s="168">
        <v>0.02</v>
      </c>
      <c r="BH207" s="168">
        <v>0.02</v>
      </c>
      <c r="BI207" s="176">
        <v>0</v>
      </c>
      <c r="BJ207" s="176">
        <v>0</v>
      </c>
      <c r="BK207" s="169"/>
      <c r="BL207" s="185">
        <v>0.8</v>
      </c>
      <c r="BM207" s="188">
        <v>0.77</v>
      </c>
      <c r="BN207" s="186"/>
      <c r="BO207" s="187">
        <v>0.95</v>
      </c>
      <c r="BP207" s="178">
        <v>1</v>
      </c>
      <c r="BQ207" s="186">
        <v>2.5000000000000001E-3</v>
      </c>
    </row>
    <row r="208" spans="1:69" s="156" customFormat="1" ht="22.35" customHeight="1" x14ac:dyDescent="0.2">
      <c r="A208" s="165" t="s">
        <v>220</v>
      </c>
      <c r="B208" s="165" t="s">
        <v>260</v>
      </c>
      <c r="C208" s="165" t="s">
        <v>273</v>
      </c>
      <c r="D208" s="166">
        <v>3.7574485252222201</v>
      </c>
      <c r="E208" s="167"/>
      <c r="F208" s="168">
        <v>4.2000000000000003E-2</v>
      </c>
      <c r="G208" s="168">
        <v>3.7999999999999999E-2</v>
      </c>
      <c r="H208" s="169"/>
      <c r="I208" s="170">
        <v>5</v>
      </c>
      <c r="J208" s="170">
        <v>5</v>
      </c>
      <c r="K208" s="167"/>
      <c r="L208" s="171">
        <v>1626.9907499999999</v>
      </c>
      <c r="M208" s="171">
        <v>1740.0768</v>
      </c>
      <c r="N208" s="171">
        <v>3367.0675500000002</v>
      </c>
      <c r="O208" s="166">
        <v>896.104770936514</v>
      </c>
      <c r="P208" s="172">
        <v>224.04499999999999</v>
      </c>
      <c r="Q208" s="178">
        <v>3.9996642234216901</v>
      </c>
      <c r="R208" s="179">
        <v>2397.2706868319101</v>
      </c>
      <c r="S208" s="168">
        <v>0.01</v>
      </c>
      <c r="T208" s="168">
        <v>0.01</v>
      </c>
      <c r="U208" s="175">
        <v>0</v>
      </c>
      <c r="V208" s="176">
        <v>0</v>
      </c>
      <c r="W208" s="167"/>
      <c r="X208" s="175">
        <v>2953.624965</v>
      </c>
      <c r="Y208" s="166">
        <v>786.07197016100599</v>
      </c>
      <c r="Z208" s="177">
        <v>573</v>
      </c>
      <c r="AA208" s="178">
        <v>1.37185335106633</v>
      </c>
      <c r="AB208" s="179">
        <v>473.34822329491402</v>
      </c>
      <c r="AC208" s="168">
        <v>0.02</v>
      </c>
      <c r="AD208" s="168">
        <v>0.02</v>
      </c>
      <c r="AE208" s="176">
        <v>0</v>
      </c>
      <c r="AF208" s="176">
        <v>0</v>
      </c>
      <c r="AG208" s="167"/>
      <c r="AH208" s="180">
        <v>197.4</v>
      </c>
      <c r="AI208" s="166">
        <v>52.535649836567103</v>
      </c>
      <c r="AJ208" s="181" t="s">
        <v>53</v>
      </c>
      <c r="AK208" s="188">
        <v>0.83389920375503301</v>
      </c>
      <c r="AL208" s="171">
        <v>-75.300584166527798</v>
      </c>
      <c r="AM208" s="168"/>
      <c r="AN208" s="168"/>
      <c r="AO208" s="176">
        <v>40</v>
      </c>
      <c r="AP208" s="176">
        <v>87</v>
      </c>
      <c r="AQ208" s="167"/>
      <c r="AR208" s="180">
        <v>33.4</v>
      </c>
      <c r="AS208" s="166">
        <v>8.8890106613036508</v>
      </c>
      <c r="AT208" s="181" t="s">
        <v>54</v>
      </c>
      <c r="AU208" s="173">
        <v>0.55556316633147795</v>
      </c>
      <c r="AV208" s="174">
        <v>-35.857291216896002</v>
      </c>
      <c r="AW208" s="168"/>
      <c r="AX208" s="168"/>
      <c r="AY208" s="176">
        <v>27</v>
      </c>
      <c r="AZ208" s="176">
        <v>39</v>
      </c>
      <c r="BA208" s="167"/>
      <c r="BB208" s="184">
        <v>129.4</v>
      </c>
      <c r="BC208" s="180">
        <v>34.438262861457801</v>
      </c>
      <c r="BD208" s="181" t="s">
        <v>55</v>
      </c>
      <c r="BE208" s="182">
        <v>1.0761957144205601</v>
      </c>
      <c r="BF208" s="183">
        <v>-9.1145824337918899</v>
      </c>
      <c r="BG208" s="168">
        <v>1.2E-2</v>
      </c>
      <c r="BH208" s="168">
        <v>8.0000000000000002E-3</v>
      </c>
      <c r="BI208" s="176">
        <v>0</v>
      </c>
      <c r="BJ208" s="176">
        <v>15</v>
      </c>
      <c r="BK208" s="169"/>
      <c r="BL208" s="185">
        <v>0.8</v>
      </c>
      <c r="BM208" s="182">
        <v>0.81</v>
      </c>
      <c r="BN208" s="186">
        <v>3.7500000000000001E-4</v>
      </c>
      <c r="BO208" s="187">
        <v>0.95</v>
      </c>
      <c r="BP208" s="178">
        <v>1</v>
      </c>
      <c r="BQ208" s="186">
        <v>2.5000000000000001E-3</v>
      </c>
    </row>
    <row r="209" spans="1:69" s="156" customFormat="1" ht="22.35" customHeight="1" x14ac:dyDescent="0.2">
      <c r="A209" s="165" t="s">
        <v>220</v>
      </c>
      <c r="B209" s="165" t="s">
        <v>260</v>
      </c>
      <c r="C209" s="165" t="s">
        <v>274</v>
      </c>
      <c r="D209" s="166">
        <v>2.624758167</v>
      </c>
      <c r="E209" s="167"/>
      <c r="F209" s="168">
        <v>4.7E-2</v>
      </c>
      <c r="G209" s="168">
        <v>0.04</v>
      </c>
      <c r="H209" s="169"/>
      <c r="I209" s="170">
        <v>5</v>
      </c>
      <c r="J209" s="170">
        <v>5</v>
      </c>
      <c r="K209" s="167"/>
      <c r="L209" s="171">
        <v>1672.1296600000001</v>
      </c>
      <c r="M209" s="171">
        <v>259.303</v>
      </c>
      <c r="N209" s="171">
        <v>1931.4326599999999</v>
      </c>
      <c r="O209" s="166">
        <v>735.85166217715005</v>
      </c>
      <c r="P209" s="172">
        <v>262.75900000000001</v>
      </c>
      <c r="Q209" s="178">
        <v>2.8004812858062</v>
      </c>
      <c r="R209" s="179">
        <v>1136.9226464544299</v>
      </c>
      <c r="S209" s="168">
        <v>0.01</v>
      </c>
      <c r="T209" s="168">
        <v>0.01</v>
      </c>
      <c r="U209" s="175">
        <v>0</v>
      </c>
      <c r="V209" s="176">
        <v>0</v>
      </c>
      <c r="W209" s="167"/>
      <c r="X209" s="175">
        <v>1508.5229099999999</v>
      </c>
      <c r="Y209" s="166">
        <v>574.728342201592</v>
      </c>
      <c r="Z209" s="177">
        <v>573</v>
      </c>
      <c r="AA209" s="182">
        <v>1.0030163040167399</v>
      </c>
      <c r="AB209" s="183">
        <v>-224.06945700403199</v>
      </c>
      <c r="AC209" s="168">
        <v>4.0000000000000001E-3</v>
      </c>
      <c r="AD209" s="168">
        <v>1E-3</v>
      </c>
      <c r="AE209" s="176">
        <v>0</v>
      </c>
      <c r="AF209" s="176">
        <v>297</v>
      </c>
      <c r="AG209" s="167"/>
      <c r="AH209" s="180">
        <v>179.85</v>
      </c>
      <c r="AI209" s="166">
        <v>68.520598301656804</v>
      </c>
      <c r="AJ209" s="181" t="s">
        <v>53</v>
      </c>
      <c r="AK209" s="182">
        <v>1.0876285444707401</v>
      </c>
      <c r="AL209" s="183">
        <v>-10.644448728192</v>
      </c>
      <c r="AM209" s="168">
        <v>1.2999999999999999E-2</v>
      </c>
      <c r="AN209" s="168">
        <v>8.9999999999999993E-3</v>
      </c>
      <c r="AO209" s="176">
        <v>0</v>
      </c>
      <c r="AP209" s="176">
        <v>19</v>
      </c>
      <c r="AQ209" s="167"/>
      <c r="AR209" s="180">
        <v>6.6</v>
      </c>
      <c r="AS209" s="166">
        <v>2.5145173688681401</v>
      </c>
      <c r="AT209" s="181" t="s">
        <v>54</v>
      </c>
      <c r="AU209" s="173">
        <v>0.15715733555425901</v>
      </c>
      <c r="AV209" s="174">
        <v>-41.779542534143999</v>
      </c>
      <c r="AW209" s="168"/>
      <c r="AX209" s="168"/>
      <c r="AY209" s="176">
        <v>36</v>
      </c>
      <c r="AZ209" s="176">
        <v>44</v>
      </c>
      <c r="BA209" s="167"/>
      <c r="BB209" s="184">
        <v>112</v>
      </c>
      <c r="BC209" s="180">
        <v>42.670597774732101</v>
      </c>
      <c r="BD209" s="181" t="s">
        <v>55</v>
      </c>
      <c r="BE209" s="178">
        <v>1.3334561804603799</v>
      </c>
      <c r="BF209" s="179">
        <v>15.240914931712</v>
      </c>
      <c r="BG209" s="168">
        <v>0.02</v>
      </c>
      <c r="BH209" s="168">
        <v>0.02</v>
      </c>
      <c r="BI209" s="176">
        <v>0</v>
      </c>
      <c r="BJ209" s="176">
        <v>0</v>
      </c>
      <c r="BK209" s="169"/>
      <c r="BL209" s="185">
        <v>0.8</v>
      </c>
      <c r="BM209" s="188">
        <v>0.75</v>
      </c>
      <c r="BN209" s="186"/>
      <c r="BO209" s="187">
        <v>0.95</v>
      </c>
      <c r="BP209" s="178">
        <v>1</v>
      </c>
      <c r="BQ209" s="186">
        <v>2.5000000000000001E-3</v>
      </c>
    </row>
    <row r="210" spans="1:69" s="156" customFormat="1" ht="22.35" customHeight="1" x14ac:dyDescent="0.2">
      <c r="A210" s="165" t="s">
        <v>275</v>
      </c>
      <c r="B210" s="165" t="s">
        <v>276</v>
      </c>
      <c r="C210" s="165" t="s">
        <v>277</v>
      </c>
      <c r="D210" s="166">
        <v>3.8480691394444402</v>
      </c>
      <c r="E210" s="167"/>
      <c r="F210" s="168">
        <v>5.0999999999999997E-2</v>
      </c>
      <c r="G210" s="168">
        <v>0.05</v>
      </c>
      <c r="H210" s="169"/>
      <c r="I210" s="170">
        <v>5</v>
      </c>
      <c r="J210" s="170">
        <v>4</v>
      </c>
      <c r="K210" s="167"/>
      <c r="L210" s="171">
        <v>3957.7535800000001</v>
      </c>
      <c r="M210" s="171">
        <v>895.57006000000001</v>
      </c>
      <c r="N210" s="171">
        <v>4853.3236399999996</v>
      </c>
      <c r="O210" s="166">
        <v>1261.2360807791199</v>
      </c>
      <c r="P210" s="172">
        <v>287.5</v>
      </c>
      <c r="Q210" s="178">
        <v>4.3869081070578098</v>
      </c>
      <c r="R210" s="179">
        <v>3578.8431410160001</v>
      </c>
      <c r="S210" s="168">
        <v>0.01</v>
      </c>
      <c r="T210" s="168">
        <v>0.01</v>
      </c>
      <c r="U210" s="175">
        <v>0</v>
      </c>
      <c r="V210" s="176">
        <v>0</v>
      </c>
      <c r="W210" s="167"/>
      <c r="X210" s="175">
        <v>3624.0181299999999</v>
      </c>
      <c r="Y210" s="166">
        <v>941.77573184748098</v>
      </c>
      <c r="Z210" s="177">
        <v>573</v>
      </c>
      <c r="AA210" s="178">
        <v>1.64358766465529</v>
      </c>
      <c r="AB210" s="179">
        <v>1083.92308332928</v>
      </c>
      <c r="AC210" s="168">
        <v>0.02</v>
      </c>
      <c r="AD210" s="168">
        <v>0.02</v>
      </c>
      <c r="AE210" s="176">
        <v>0</v>
      </c>
      <c r="AF210" s="176">
        <v>0</v>
      </c>
      <c r="AG210" s="167"/>
      <c r="AH210" s="180">
        <v>235.25</v>
      </c>
      <c r="AI210" s="166">
        <v>61.134556442497697</v>
      </c>
      <c r="AJ210" s="181" t="s">
        <v>53</v>
      </c>
      <c r="AK210" s="182">
        <v>0.97038978480155103</v>
      </c>
      <c r="AL210" s="183">
        <v>-44.027465864319701</v>
      </c>
      <c r="AM210" s="168">
        <v>1E-3</v>
      </c>
      <c r="AN210" s="168"/>
      <c r="AO210" s="176">
        <v>8</v>
      </c>
      <c r="AP210" s="176">
        <v>56</v>
      </c>
      <c r="AQ210" s="167"/>
      <c r="AR210" s="180">
        <v>42.7</v>
      </c>
      <c r="AS210" s="166">
        <v>11.096474219318401</v>
      </c>
      <c r="AT210" s="181" t="s">
        <v>54</v>
      </c>
      <c r="AU210" s="173">
        <v>0.69352963870739903</v>
      </c>
      <c r="AV210" s="174">
        <v>-28.227610378239898</v>
      </c>
      <c r="AW210" s="168"/>
      <c r="AX210" s="168"/>
      <c r="AY210" s="176">
        <v>19</v>
      </c>
      <c r="AZ210" s="176">
        <v>32</v>
      </c>
      <c r="BA210" s="167"/>
      <c r="BB210" s="184">
        <v>189.6</v>
      </c>
      <c r="BC210" s="180">
        <v>49.2714639808611</v>
      </c>
      <c r="BD210" s="181" t="s">
        <v>55</v>
      </c>
      <c r="BE210" s="178">
        <v>1.53973324940191</v>
      </c>
      <c r="BF210" s="179">
        <v>47.744779243520199</v>
      </c>
      <c r="BG210" s="168">
        <v>0.02</v>
      </c>
      <c r="BH210" s="168">
        <v>0.02</v>
      </c>
      <c r="BI210" s="176">
        <v>0</v>
      </c>
      <c r="BJ210" s="176">
        <v>0</v>
      </c>
      <c r="BK210" s="169"/>
      <c r="BL210" s="185">
        <v>0.8</v>
      </c>
      <c r="BM210" s="188">
        <v>0.78</v>
      </c>
      <c r="BN210" s="186"/>
      <c r="BO210" s="187">
        <v>0.95</v>
      </c>
      <c r="BP210" s="178">
        <v>1</v>
      </c>
      <c r="BQ210" s="186">
        <v>2.5000000000000001E-3</v>
      </c>
    </row>
    <row r="211" spans="1:69" s="156" customFormat="1" ht="22.35" customHeight="1" x14ac:dyDescent="0.2">
      <c r="A211" s="165" t="s">
        <v>275</v>
      </c>
      <c r="B211" s="165" t="s">
        <v>276</v>
      </c>
      <c r="C211" s="165" t="s">
        <v>278</v>
      </c>
      <c r="D211" s="166">
        <v>2.98956710155556</v>
      </c>
      <c r="E211" s="167"/>
      <c r="F211" s="168">
        <v>1.7999999999999999E-2</v>
      </c>
      <c r="G211" s="168">
        <v>1.2E-2</v>
      </c>
      <c r="H211" s="169"/>
      <c r="I211" s="170">
        <v>5</v>
      </c>
      <c r="J211" s="170">
        <v>4</v>
      </c>
      <c r="K211" s="167"/>
      <c r="L211" s="171">
        <v>1169.6177299999999</v>
      </c>
      <c r="M211" s="171">
        <v>1205.18577</v>
      </c>
      <c r="N211" s="171">
        <v>2374.8035</v>
      </c>
      <c r="O211" s="166">
        <v>794.36367183874995</v>
      </c>
      <c r="P211" s="172">
        <v>222.37200000000001</v>
      </c>
      <c r="Q211" s="178">
        <v>3.5722288410355199</v>
      </c>
      <c r="R211" s="179">
        <v>1608.9584901358101</v>
      </c>
      <c r="S211" s="168">
        <v>0.01</v>
      </c>
      <c r="T211" s="168">
        <v>0.01</v>
      </c>
      <c r="U211" s="175">
        <v>0</v>
      </c>
      <c r="V211" s="176">
        <v>0</v>
      </c>
      <c r="W211" s="167"/>
      <c r="X211" s="175">
        <v>1750.0326250000001</v>
      </c>
      <c r="Y211" s="166">
        <v>585.37994483863895</v>
      </c>
      <c r="Z211" s="177">
        <v>573</v>
      </c>
      <c r="AA211" s="182">
        <v>1.02160548837459</v>
      </c>
      <c r="AB211" s="183">
        <v>-223.36866046841899</v>
      </c>
      <c r="AC211" s="168">
        <v>6.0000000000000001E-3</v>
      </c>
      <c r="AD211" s="168">
        <v>2E-3</v>
      </c>
      <c r="AE211" s="176">
        <v>0</v>
      </c>
      <c r="AF211" s="176">
        <v>306</v>
      </c>
      <c r="AG211" s="167"/>
      <c r="AH211" s="180">
        <v>127.55</v>
      </c>
      <c r="AI211" s="166">
        <v>42.665040009850301</v>
      </c>
      <c r="AJ211" s="181" t="s">
        <v>53</v>
      </c>
      <c r="AK211" s="173">
        <v>0.67722285729921095</v>
      </c>
      <c r="AL211" s="174">
        <v>-89.420821962496305</v>
      </c>
      <c r="AM211" s="168"/>
      <c r="AN211" s="168"/>
      <c r="AO211" s="176">
        <v>61</v>
      </c>
      <c r="AP211" s="176">
        <v>99</v>
      </c>
      <c r="AQ211" s="167"/>
      <c r="AR211" s="180">
        <v>7</v>
      </c>
      <c r="AS211" s="166">
        <v>2.3414761275496101</v>
      </c>
      <c r="AT211" s="181" t="s">
        <v>54</v>
      </c>
      <c r="AU211" s="173">
        <v>0.14634225797185099</v>
      </c>
      <c r="AV211" s="174">
        <v>-48.103700815872102</v>
      </c>
      <c r="AW211" s="168"/>
      <c r="AX211" s="168"/>
      <c r="AY211" s="176">
        <v>41</v>
      </c>
      <c r="AZ211" s="176">
        <v>51</v>
      </c>
      <c r="BA211" s="167"/>
      <c r="BB211" s="184">
        <v>93.8</v>
      </c>
      <c r="BC211" s="180">
        <v>31.375780109164701</v>
      </c>
      <c r="BD211" s="181" t="s">
        <v>55</v>
      </c>
      <c r="BE211" s="182">
        <v>0.98049312841139702</v>
      </c>
      <c r="BF211" s="183">
        <v>-16.4074016317442</v>
      </c>
      <c r="BG211" s="168">
        <v>2E-3</v>
      </c>
      <c r="BH211" s="168"/>
      <c r="BI211" s="176">
        <v>2</v>
      </c>
      <c r="BJ211" s="176">
        <v>21</v>
      </c>
      <c r="BK211" s="169"/>
      <c r="BL211" s="185">
        <v>0.8</v>
      </c>
      <c r="BM211" s="182">
        <v>0.81</v>
      </c>
      <c r="BN211" s="186">
        <v>3.7500000000000001E-4</v>
      </c>
      <c r="BO211" s="187">
        <v>0.95</v>
      </c>
      <c r="BP211" s="178">
        <v>1</v>
      </c>
      <c r="BQ211" s="186">
        <v>2.5000000000000001E-3</v>
      </c>
    </row>
    <row r="212" spans="1:69" s="156" customFormat="1" ht="22.35" customHeight="1" x14ac:dyDescent="0.2">
      <c r="A212" s="165" t="s">
        <v>275</v>
      </c>
      <c r="B212" s="165" t="s">
        <v>276</v>
      </c>
      <c r="C212" s="165" t="s">
        <v>279</v>
      </c>
      <c r="D212" s="166">
        <v>3.33559711066667</v>
      </c>
      <c r="E212" s="167"/>
      <c r="F212" s="168">
        <v>0.03</v>
      </c>
      <c r="G212" s="168">
        <v>0.03</v>
      </c>
      <c r="H212" s="169"/>
      <c r="I212" s="170">
        <v>3</v>
      </c>
      <c r="J212" s="170">
        <v>3</v>
      </c>
      <c r="K212" s="167"/>
      <c r="L212" s="171">
        <v>1686.6592800000001</v>
      </c>
      <c r="M212" s="171">
        <v>-167.21639999999999</v>
      </c>
      <c r="N212" s="171">
        <v>1519.4428800000001</v>
      </c>
      <c r="O212" s="166">
        <v>455.52350286582299</v>
      </c>
      <c r="P212" s="172">
        <v>230.685</v>
      </c>
      <c r="Q212" s="178">
        <v>1.9746559284991401</v>
      </c>
      <c r="R212" s="179">
        <v>633.01088316579001</v>
      </c>
      <c r="S212" s="168">
        <v>0.01</v>
      </c>
      <c r="T212" s="168">
        <v>0.01</v>
      </c>
      <c r="U212" s="175">
        <v>0</v>
      </c>
      <c r="V212" s="176">
        <v>0</v>
      </c>
      <c r="W212" s="167"/>
      <c r="X212" s="175">
        <v>2756.0392099999999</v>
      </c>
      <c r="Y212" s="166">
        <v>826.25062876648406</v>
      </c>
      <c r="Z212" s="177">
        <v>573</v>
      </c>
      <c r="AA212" s="178">
        <v>1.4419731741125399</v>
      </c>
      <c r="AB212" s="179">
        <v>554.22489963737405</v>
      </c>
      <c r="AC212" s="168">
        <v>0.02</v>
      </c>
      <c r="AD212" s="168">
        <v>0.02</v>
      </c>
      <c r="AE212" s="176">
        <v>0</v>
      </c>
      <c r="AF212" s="176">
        <v>0</v>
      </c>
      <c r="AG212" s="167"/>
      <c r="AH212" s="180">
        <v>136</v>
      </c>
      <c r="AI212" s="166">
        <v>40.772310170522502</v>
      </c>
      <c r="AJ212" s="181" t="s">
        <v>53</v>
      </c>
      <c r="AK212" s="173">
        <v>0.64717952651623001</v>
      </c>
      <c r="AL212" s="174">
        <v>-106.08429590374401</v>
      </c>
      <c r="AM212" s="168"/>
      <c r="AN212" s="168"/>
      <c r="AO212" s="176">
        <v>75</v>
      </c>
      <c r="AP212" s="176">
        <v>117</v>
      </c>
      <c r="AQ212" s="167"/>
      <c r="AR212" s="180">
        <v>13</v>
      </c>
      <c r="AS212" s="166">
        <v>3.89735317806465</v>
      </c>
      <c r="AT212" s="181" t="s">
        <v>54</v>
      </c>
      <c r="AU212" s="173">
        <v>0.24358457362904101</v>
      </c>
      <c r="AV212" s="174">
        <v>-48.481725943808101</v>
      </c>
      <c r="AW212" s="168"/>
      <c r="AX212" s="168"/>
      <c r="AY212" s="176">
        <v>41</v>
      </c>
      <c r="AZ212" s="176">
        <v>52</v>
      </c>
      <c r="BA212" s="167"/>
      <c r="BB212" s="184">
        <v>95.2</v>
      </c>
      <c r="BC212" s="180">
        <v>28.540617119365699</v>
      </c>
      <c r="BD212" s="181" t="s">
        <v>55</v>
      </c>
      <c r="BE212" s="188">
        <v>0.89189428498017997</v>
      </c>
      <c r="BF212" s="171">
        <v>-27.7634518876161</v>
      </c>
      <c r="BG212" s="168"/>
      <c r="BH212" s="168"/>
      <c r="BI212" s="176">
        <v>12</v>
      </c>
      <c r="BJ212" s="176">
        <v>33</v>
      </c>
      <c r="BK212" s="169"/>
      <c r="BL212" s="185">
        <v>0.8</v>
      </c>
      <c r="BM212" s="188">
        <v>0.75</v>
      </c>
      <c r="BN212" s="186"/>
      <c r="BO212" s="187">
        <v>0.95</v>
      </c>
      <c r="BP212" s="178">
        <v>1</v>
      </c>
      <c r="BQ212" s="186">
        <v>2.5000000000000001E-3</v>
      </c>
    </row>
    <row r="213" spans="1:69" s="156" customFormat="1" ht="22.35" customHeight="1" x14ac:dyDescent="0.2">
      <c r="A213" s="165" t="s">
        <v>275</v>
      </c>
      <c r="B213" s="165" t="s">
        <v>276</v>
      </c>
      <c r="C213" s="165" t="s">
        <v>280</v>
      </c>
      <c r="D213" s="166">
        <v>3.7485562538888901</v>
      </c>
      <c r="E213" s="167"/>
      <c r="F213" s="168">
        <v>0.03</v>
      </c>
      <c r="G213" s="168">
        <v>2.3E-2</v>
      </c>
      <c r="H213" s="169"/>
      <c r="I213" s="170">
        <v>4</v>
      </c>
      <c r="J213" s="170">
        <v>3</v>
      </c>
      <c r="K213" s="167"/>
      <c r="L213" s="171">
        <v>1771.6225300000001</v>
      </c>
      <c r="M213" s="171">
        <v>1778.2512400000001</v>
      </c>
      <c r="N213" s="171">
        <v>3549.8737700000001</v>
      </c>
      <c r="O213" s="166">
        <v>946.99759842665605</v>
      </c>
      <c r="P213" s="172">
        <v>260.827</v>
      </c>
      <c r="Q213" s="178">
        <v>3.6307498779906102</v>
      </c>
      <c r="R213" s="179">
        <v>2423.53493629789</v>
      </c>
      <c r="S213" s="168">
        <v>0.01</v>
      </c>
      <c r="T213" s="168">
        <v>0.01</v>
      </c>
      <c r="U213" s="175">
        <v>0</v>
      </c>
      <c r="V213" s="176">
        <v>0</v>
      </c>
      <c r="W213" s="167"/>
      <c r="X213" s="175">
        <v>1974.268785</v>
      </c>
      <c r="Y213" s="166">
        <v>526.67444511518897</v>
      </c>
      <c r="Z213" s="177">
        <v>573</v>
      </c>
      <c r="AA213" s="188">
        <v>0.91915260927607101</v>
      </c>
      <c r="AB213" s="171">
        <v>-500.13820396704102</v>
      </c>
      <c r="AC213" s="168"/>
      <c r="AD213" s="168"/>
      <c r="AE213" s="176">
        <v>174</v>
      </c>
      <c r="AF213" s="176">
        <v>604</v>
      </c>
      <c r="AG213" s="167"/>
      <c r="AH213" s="180">
        <v>233.2</v>
      </c>
      <c r="AI213" s="166">
        <v>62.210617689962604</v>
      </c>
      <c r="AJ213" s="181" t="s">
        <v>53</v>
      </c>
      <c r="AK213" s="182">
        <v>0.98747012206289797</v>
      </c>
      <c r="AL213" s="183">
        <v>-38.8552186822401</v>
      </c>
      <c r="AM213" s="168">
        <v>3.0000000000000001E-3</v>
      </c>
      <c r="AN213" s="168"/>
      <c r="AO213" s="176">
        <v>3</v>
      </c>
      <c r="AP213" s="176">
        <v>51</v>
      </c>
      <c r="AQ213" s="167"/>
      <c r="AR213" s="180">
        <v>26</v>
      </c>
      <c r="AS213" s="166">
        <v>6.9360036875601496</v>
      </c>
      <c r="AT213" s="181" t="s">
        <v>54</v>
      </c>
      <c r="AU213" s="173">
        <v>0.43350023047250902</v>
      </c>
      <c r="AV213" s="174">
        <v>-43.093388871679998</v>
      </c>
      <c r="AW213" s="168"/>
      <c r="AX213" s="168"/>
      <c r="AY213" s="176">
        <v>34</v>
      </c>
      <c r="AZ213" s="176">
        <v>46</v>
      </c>
      <c r="BA213" s="167"/>
      <c r="BB213" s="184">
        <v>135</v>
      </c>
      <c r="BC213" s="180">
        <v>36.0138653007931</v>
      </c>
      <c r="BD213" s="181" t="s">
        <v>55</v>
      </c>
      <c r="BE213" s="182">
        <v>1.1254332906497799</v>
      </c>
      <c r="BF213" s="183">
        <v>-3.1867777433600399</v>
      </c>
      <c r="BG213" s="168">
        <v>1.7000000000000001E-2</v>
      </c>
      <c r="BH213" s="168">
        <v>1.2999999999999999E-2</v>
      </c>
      <c r="BI213" s="176">
        <v>0</v>
      </c>
      <c r="BJ213" s="176">
        <v>9</v>
      </c>
      <c r="BK213" s="169"/>
      <c r="BL213" s="185">
        <v>0.8</v>
      </c>
      <c r="BM213" s="188">
        <v>0.79</v>
      </c>
      <c r="BN213" s="186"/>
      <c r="BO213" s="187">
        <v>0.95</v>
      </c>
      <c r="BP213" s="178">
        <v>1</v>
      </c>
      <c r="BQ213" s="186">
        <v>2.5000000000000001E-3</v>
      </c>
    </row>
    <row r="214" spans="1:69" s="156" customFormat="1" ht="22.35" customHeight="1" x14ac:dyDescent="0.2">
      <c r="A214" s="165" t="s">
        <v>275</v>
      </c>
      <c r="B214" s="165" t="s">
        <v>276</v>
      </c>
      <c r="C214" s="165" t="s">
        <v>281</v>
      </c>
      <c r="D214" s="166">
        <v>3.10896044855556</v>
      </c>
      <c r="E214" s="167"/>
      <c r="F214" s="168">
        <v>2.3E-2</v>
      </c>
      <c r="G214" s="168">
        <v>1.7999999999999999E-2</v>
      </c>
      <c r="H214" s="169"/>
      <c r="I214" s="170">
        <v>4</v>
      </c>
      <c r="J214" s="170">
        <v>4</v>
      </c>
      <c r="K214" s="167"/>
      <c r="L214" s="171">
        <v>1539.0305000000001</v>
      </c>
      <c r="M214" s="171">
        <v>2537.7864300000001</v>
      </c>
      <c r="N214" s="171">
        <v>4076.81693</v>
      </c>
      <c r="O214" s="166">
        <v>1311.3119312579599</v>
      </c>
      <c r="P214" s="172">
        <v>237.98699999999999</v>
      </c>
      <c r="Q214" s="178">
        <v>5.5100149640861096</v>
      </c>
      <c r="R214" s="179">
        <v>3224.4611498485101</v>
      </c>
      <c r="S214" s="168">
        <v>0.01</v>
      </c>
      <c r="T214" s="168">
        <v>0.01</v>
      </c>
      <c r="U214" s="175">
        <v>0</v>
      </c>
      <c r="V214" s="176">
        <v>0</v>
      </c>
      <c r="W214" s="167"/>
      <c r="X214" s="175">
        <v>1925.0515949999999</v>
      </c>
      <c r="Y214" s="166">
        <v>619.19462368663801</v>
      </c>
      <c r="Z214" s="177">
        <v>573</v>
      </c>
      <c r="AA214" s="182">
        <v>1.08061888950548</v>
      </c>
      <c r="AB214" s="183">
        <v>-127.160761249731</v>
      </c>
      <c r="AC214" s="168">
        <v>1.2999999999999999E-2</v>
      </c>
      <c r="AD214" s="168">
        <v>8.0000000000000002E-3</v>
      </c>
      <c r="AE214" s="176">
        <v>0</v>
      </c>
      <c r="AF214" s="176">
        <v>213</v>
      </c>
      <c r="AG214" s="167"/>
      <c r="AH214" s="180">
        <v>83.5</v>
      </c>
      <c r="AI214" s="166">
        <v>26.8578521282877</v>
      </c>
      <c r="AJ214" s="181" t="s">
        <v>53</v>
      </c>
      <c r="AK214" s="173">
        <v>0.42631511314742299</v>
      </c>
      <c r="AL214" s="174">
        <v>-142.13591351436801</v>
      </c>
      <c r="AM214" s="168"/>
      <c r="AN214" s="168"/>
      <c r="AO214" s="176">
        <v>113</v>
      </c>
      <c r="AP214" s="176">
        <v>152</v>
      </c>
      <c r="AQ214" s="167"/>
      <c r="AR214" s="180">
        <v>6.8</v>
      </c>
      <c r="AS214" s="166">
        <v>2.1872262811060601</v>
      </c>
      <c r="AT214" s="181" t="s">
        <v>54</v>
      </c>
      <c r="AU214" s="173">
        <v>0.13670164256912901</v>
      </c>
      <c r="AV214" s="174">
        <v>-50.504358987776101</v>
      </c>
      <c r="AW214" s="168"/>
      <c r="AX214" s="168"/>
      <c r="AY214" s="176">
        <v>43</v>
      </c>
      <c r="AZ214" s="176">
        <v>53</v>
      </c>
      <c r="BA214" s="167"/>
      <c r="BB214" s="184">
        <v>62.6</v>
      </c>
      <c r="BC214" s="180">
        <v>20.1353478231234</v>
      </c>
      <c r="BD214" s="181" t="s">
        <v>55</v>
      </c>
      <c r="BE214" s="173">
        <v>0.62922961947260803</v>
      </c>
      <c r="BF214" s="174">
        <v>-52.008717975552202</v>
      </c>
      <c r="BG214" s="168"/>
      <c r="BH214" s="168"/>
      <c r="BI214" s="176">
        <v>37</v>
      </c>
      <c r="BJ214" s="176">
        <v>57</v>
      </c>
      <c r="BK214" s="169"/>
      <c r="BL214" s="185">
        <v>0.8</v>
      </c>
      <c r="BM214" s="182">
        <v>0.88</v>
      </c>
      <c r="BN214" s="186">
        <v>3.0000000000000001E-3</v>
      </c>
      <c r="BO214" s="187">
        <v>0.95</v>
      </c>
      <c r="BP214" s="178">
        <v>1</v>
      </c>
      <c r="BQ214" s="186">
        <v>2.5000000000000001E-3</v>
      </c>
    </row>
    <row r="215" spans="1:69" s="156" customFormat="1" ht="22.35" customHeight="1" x14ac:dyDescent="0.2">
      <c r="A215" s="165" t="s">
        <v>275</v>
      </c>
      <c r="B215" s="165" t="s">
        <v>276</v>
      </c>
      <c r="C215" s="165" t="s">
        <v>282</v>
      </c>
      <c r="D215" s="166">
        <v>3.74723678633333</v>
      </c>
      <c r="E215" s="167"/>
      <c r="F215" s="168">
        <v>0.03</v>
      </c>
      <c r="G215" s="168">
        <v>0.03</v>
      </c>
      <c r="H215" s="169"/>
      <c r="I215" s="170">
        <v>4</v>
      </c>
      <c r="J215" s="170">
        <v>4</v>
      </c>
      <c r="K215" s="167"/>
      <c r="L215" s="171">
        <v>1384.8727699999999</v>
      </c>
      <c r="M215" s="171">
        <v>5088.6342800000002</v>
      </c>
      <c r="N215" s="171">
        <v>6473.5070500000002</v>
      </c>
      <c r="O215" s="166">
        <v>1727.5414976736299</v>
      </c>
      <c r="P215" s="172">
        <v>287.5</v>
      </c>
      <c r="Q215" s="178">
        <v>6.00883999190828</v>
      </c>
      <c r="R215" s="179">
        <v>5232.4222263663996</v>
      </c>
      <c r="S215" s="168">
        <v>0.01</v>
      </c>
      <c r="T215" s="168">
        <v>0.01</v>
      </c>
      <c r="U215" s="175">
        <v>0</v>
      </c>
      <c r="V215" s="176">
        <v>0</v>
      </c>
      <c r="W215" s="167"/>
      <c r="X215" s="175">
        <v>2006.9844499999999</v>
      </c>
      <c r="Y215" s="166">
        <v>535.59050693560005</v>
      </c>
      <c r="Z215" s="177">
        <v>573</v>
      </c>
      <c r="AA215" s="188">
        <v>0.93471292658918004</v>
      </c>
      <c r="AB215" s="171">
        <v>-466.55156371148598</v>
      </c>
      <c r="AC215" s="168"/>
      <c r="AD215" s="168"/>
      <c r="AE215" s="176">
        <v>141</v>
      </c>
      <c r="AF215" s="176">
        <v>570</v>
      </c>
      <c r="AG215" s="167"/>
      <c r="AH215" s="180">
        <v>133.44999999999999</v>
      </c>
      <c r="AI215" s="166">
        <v>35.612908286636603</v>
      </c>
      <c r="AJ215" s="181" t="s">
        <v>53</v>
      </c>
      <c r="AK215" s="173">
        <v>0.56528425851804198</v>
      </c>
      <c r="AL215" s="174">
        <v>-138.50945700492801</v>
      </c>
      <c r="AM215" s="168"/>
      <c r="AN215" s="168"/>
      <c r="AO215" s="176">
        <v>103</v>
      </c>
      <c r="AP215" s="176">
        <v>150</v>
      </c>
      <c r="AQ215" s="167"/>
      <c r="AR215" s="180">
        <v>37.200000000000003</v>
      </c>
      <c r="AS215" s="166">
        <v>9.9273150113367006</v>
      </c>
      <c r="AT215" s="181" t="s">
        <v>54</v>
      </c>
      <c r="AU215" s="173">
        <v>0.62045718820854401</v>
      </c>
      <c r="AV215" s="174">
        <v>-31.869068445695898</v>
      </c>
      <c r="AW215" s="168"/>
      <c r="AX215" s="168"/>
      <c r="AY215" s="176">
        <v>23</v>
      </c>
      <c r="AZ215" s="176">
        <v>35</v>
      </c>
      <c r="BA215" s="167"/>
      <c r="BB215" s="184">
        <v>156</v>
      </c>
      <c r="BC215" s="180">
        <v>41.630675853992599</v>
      </c>
      <c r="BD215" s="181" t="s">
        <v>55</v>
      </c>
      <c r="BE215" s="178">
        <v>1.3009586204372701</v>
      </c>
      <c r="BF215" s="179">
        <v>17.861863108608102</v>
      </c>
      <c r="BG215" s="168">
        <v>0.02</v>
      </c>
      <c r="BH215" s="168">
        <v>0.02</v>
      </c>
      <c r="BI215" s="176">
        <v>0</v>
      </c>
      <c r="BJ215" s="176">
        <v>0</v>
      </c>
      <c r="BK215" s="169"/>
      <c r="BL215" s="185">
        <v>0.8</v>
      </c>
      <c r="BM215" s="182">
        <v>0.84</v>
      </c>
      <c r="BN215" s="186">
        <v>1.5E-3</v>
      </c>
      <c r="BO215" s="187">
        <v>0.95</v>
      </c>
      <c r="BP215" s="178">
        <v>1</v>
      </c>
      <c r="BQ215" s="186">
        <v>2.5000000000000001E-3</v>
      </c>
    </row>
    <row r="216" spans="1:69" s="156" customFormat="1" ht="22.35" customHeight="1" x14ac:dyDescent="0.2">
      <c r="A216" s="165" t="s">
        <v>275</v>
      </c>
      <c r="B216" s="165" t="s">
        <v>276</v>
      </c>
      <c r="C216" s="165" t="s">
        <v>283</v>
      </c>
      <c r="D216" s="166">
        <v>4.8968438782222199</v>
      </c>
      <c r="E216" s="167"/>
      <c r="F216" s="168">
        <v>4.2999999999999997E-2</v>
      </c>
      <c r="G216" s="168">
        <v>3.7999999999999999E-2</v>
      </c>
      <c r="H216" s="169"/>
      <c r="I216" s="170">
        <v>4</v>
      </c>
      <c r="J216" s="170">
        <v>4</v>
      </c>
      <c r="K216" s="167"/>
      <c r="L216" s="171">
        <v>3967.29547</v>
      </c>
      <c r="M216" s="171">
        <v>4478.9071100000001</v>
      </c>
      <c r="N216" s="171">
        <v>8446.2025799999992</v>
      </c>
      <c r="O216" s="166">
        <v>1724.82578371814</v>
      </c>
      <c r="P216" s="172">
        <v>287.5</v>
      </c>
      <c r="Q216" s="178">
        <v>5.9993940303239697</v>
      </c>
      <c r="R216" s="179">
        <v>6824.3678875327996</v>
      </c>
      <c r="S216" s="168">
        <v>0.01</v>
      </c>
      <c r="T216" s="168">
        <v>0.01</v>
      </c>
      <c r="U216" s="175">
        <v>0</v>
      </c>
      <c r="V216" s="176">
        <v>0</v>
      </c>
      <c r="W216" s="167"/>
      <c r="X216" s="175">
        <v>3043.58419</v>
      </c>
      <c r="Y216" s="166">
        <v>621.53996853682804</v>
      </c>
      <c r="Z216" s="177">
        <v>573</v>
      </c>
      <c r="AA216" s="182">
        <v>1.0847119869752699</v>
      </c>
      <c r="AB216" s="183">
        <v>-188.80286663897499</v>
      </c>
      <c r="AC216" s="168">
        <v>1.2999999999999999E-2</v>
      </c>
      <c r="AD216" s="168">
        <v>8.0000000000000002E-3</v>
      </c>
      <c r="AE216" s="176">
        <v>0</v>
      </c>
      <c r="AF216" s="176">
        <v>324</v>
      </c>
      <c r="AG216" s="167"/>
      <c r="AH216" s="180">
        <v>218.1</v>
      </c>
      <c r="AI216" s="166">
        <v>44.538891870732897</v>
      </c>
      <c r="AJ216" s="181" t="s">
        <v>53</v>
      </c>
      <c r="AK216" s="173">
        <v>0.70696653763068096</v>
      </c>
      <c r="AL216" s="174">
        <v>-137.29334130585599</v>
      </c>
      <c r="AM216" s="168"/>
      <c r="AN216" s="168"/>
      <c r="AO216" s="176">
        <v>91</v>
      </c>
      <c r="AP216" s="176">
        <v>153</v>
      </c>
      <c r="AQ216" s="167"/>
      <c r="AR216" s="180">
        <v>57.3</v>
      </c>
      <c r="AS216" s="166">
        <v>11.7014145079917</v>
      </c>
      <c r="AT216" s="181" t="s">
        <v>54</v>
      </c>
      <c r="AU216" s="173">
        <v>0.73133840674948303</v>
      </c>
      <c r="AV216" s="174">
        <v>-32.9586263633919</v>
      </c>
      <c r="AW216" s="168"/>
      <c r="AX216" s="168"/>
      <c r="AY216" s="176">
        <v>22</v>
      </c>
      <c r="AZ216" s="176">
        <v>37</v>
      </c>
      <c r="BA216" s="167"/>
      <c r="BB216" s="184">
        <v>195.2</v>
      </c>
      <c r="BC216" s="180">
        <v>39.862410330889801</v>
      </c>
      <c r="BD216" s="181" t="s">
        <v>55</v>
      </c>
      <c r="BE216" s="178">
        <v>1.2457003228403101</v>
      </c>
      <c r="BF216" s="179">
        <v>14.6827472732161</v>
      </c>
      <c r="BG216" s="168">
        <v>0.02</v>
      </c>
      <c r="BH216" s="168">
        <v>0.02</v>
      </c>
      <c r="BI216" s="176">
        <v>0</v>
      </c>
      <c r="BJ216" s="176">
        <v>0</v>
      </c>
      <c r="BK216" s="169"/>
      <c r="BL216" s="185">
        <v>0.8</v>
      </c>
      <c r="BM216" s="188">
        <v>0.74</v>
      </c>
      <c r="BN216" s="186"/>
      <c r="BO216" s="187">
        <v>0.95</v>
      </c>
      <c r="BP216" s="178">
        <v>1</v>
      </c>
      <c r="BQ216" s="186">
        <v>2.5000000000000001E-3</v>
      </c>
    </row>
    <row r="217" spans="1:69" s="156" customFormat="1" ht="22.35" customHeight="1" x14ac:dyDescent="0.2">
      <c r="A217" s="165" t="s">
        <v>275</v>
      </c>
      <c r="B217" s="165" t="s">
        <v>276</v>
      </c>
      <c r="C217" s="165" t="s">
        <v>284</v>
      </c>
      <c r="D217" s="166">
        <v>2.87505723911111</v>
      </c>
      <c r="E217" s="167"/>
      <c r="F217" s="168">
        <v>2.8000000000000001E-2</v>
      </c>
      <c r="G217" s="168">
        <v>2.3E-2</v>
      </c>
      <c r="H217" s="169"/>
      <c r="I217" s="170">
        <v>3</v>
      </c>
      <c r="J217" s="170">
        <v>3</v>
      </c>
      <c r="K217" s="167"/>
      <c r="L217" s="171">
        <v>836.24391000000003</v>
      </c>
      <c r="M217" s="171">
        <v>1927.7596100000001</v>
      </c>
      <c r="N217" s="171">
        <v>2764.0035200000002</v>
      </c>
      <c r="O217" s="166">
        <v>961.37338846671196</v>
      </c>
      <c r="P217" s="172">
        <v>287.5</v>
      </c>
      <c r="Q217" s="178">
        <v>3.3439074381450902</v>
      </c>
      <c r="R217" s="179">
        <v>1811.7845624064</v>
      </c>
      <c r="S217" s="168">
        <v>0.01</v>
      </c>
      <c r="T217" s="168">
        <v>0.01</v>
      </c>
      <c r="U217" s="175">
        <v>0</v>
      </c>
      <c r="V217" s="176">
        <v>0</v>
      </c>
      <c r="W217" s="167"/>
      <c r="X217" s="175">
        <v>1864.4234650000001</v>
      </c>
      <c r="Y217" s="166">
        <v>648.48220746256504</v>
      </c>
      <c r="Z217" s="177">
        <v>573</v>
      </c>
      <c r="AA217" s="182">
        <v>1.1317316011563101</v>
      </c>
      <c r="AB217" s="183">
        <v>-33.390318308287299</v>
      </c>
      <c r="AC217" s="168">
        <v>1.7999999999999999E-2</v>
      </c>
      <c r="AD217" s="168">
        <v>1.2999999999999999E-2</v>
      </c>
      <c r="AE217" s="176">
        <v>0</v>
      </c>
      <c r="AF217" s="176">
        <v>113</v>
      </c>
      <c r="AG217" s="167"/>
      <c r="AH217" s="180">
        <v>113.05</v>
      </c>
      <c r="AI217" s="166">
        <v>39.320956279448502</v>
      </c>
      <c r="AJ217" s="181" t="s">
        <v>53</v>
      </c>
      <c r="AK217" s="173">
        <v>0.62414216316585003</v>
      </c>
      <c r="AL217" s="174">
        <v>-95.610154185727893</v>
      </c>
      <c r="AM217" s="168"/>
      <c r="AN217" s="168"/>
      <c r="AO217" s="176">
        <v>69</v>
      </c>
      <c r="AP217" s="176">
        <v>105</v>
      </c>
      <c r="AQ217" s="167"/>
      <c r="AR217" s="180">
        <v>22.6</v>
      </c>
      <c r="AS217" s="166">
        <v>7.8607130642683503</v>
      </c>
      <c r="AT217" s="181" t="s">
        <v>54</v>
      </c>
      <c r="AU217" s="173">
        <v>0.491294566516772</v>
      </c>
      <c r="AV217" s="174">
        <v>-30.393055031296001</v>
      </c>
      <c r="AW217" s="168"/>
      <c r="AX217" s="168"/>
      <c r="AY217" s="176">
        <v>24</v>
      </c>
      <c r="AZ217" s="176">
        <v>33</v>
      </c>
      <c r="BA217" s="167"/>
      <c r="BB217" s="184">
        <v>73</v>
      </c>
      <c r="BC217" s="180">
        <v>25.390798835910999</v>
      </c>
      <c r="BD217" s="181" t="s">
        <v>55</v>
      </c>
      <c r="BE217" s="188">
        <v>0.79346246362221995</v>
      </c>
      <c r="BF217" s="171">
        <v>-32.986110062591898</v>
      </c>
      <c r="BG217" s="168"/>
      <c r="BH217" s="168"/>
      <c r="BI217" s="176">
        <v>20</v>
      </c>
      <c r="BJ217" s="176">
        <v>38</v>
      </c>
      <c r="BK217" s="169"/>
      <c r="BL217" s="185">
        <v>0.8</v>
      </c>
      <c r="BM217" s="188">
        <v>0.73</v>
      </c>
      <c r="BN217" s="186"/>
      <c r="BO217" s="187">
        <v>0.95</v>
      </c>
      <c r="BP217" s="178">
        <v>1</v>
      </c>
      <c r="BQ217" s="186">
        <v>2.5000000000000001E-3</v>
      </c>
    </row>
    <row r="218" spans="1:69" s="156" customFormat="1" ht="22.35" customHeight="1" x14ac:dyDescent="0.2">
      <c r="A218" s="165" t="s">
        <v>275</v>
      </c>
      <c r="B218" s="165" t="s">
        <v>276</v>
      </c>
      <c r="C218" s="165" t="s">
        <v>285</v>
      </c>
      <c r="D218" s="166">
        <v>2.5461804328888902</v>
      </c>
      <c r="E218" s="167"/>
      <c r="F218" s="168">
        <v>3.2000000000000001E-2</v>
      </c>
      <c r="G218" s="168">
        <v>0.03</v>
      </c>
      <c r="H218" s="169"/>
      <c r="I218" s="170">
        <v>5</v>
      </c>
      <c r="J218" s="170">
        <v>4</v>
      </c>
      <c r="K218" s="167"/>
      <c r="L218" s="171">
        <v>2781.8018000000002</v>
      </c>
      <c r="M218" s="171">
        <v>2147.9164000000001</v>
      </c>
      <c r="N218" s="171">
        <v>4929.7182000000003</v>
      </c>
      <c r="O218" s="166">
        <v>1936.1228828574201</v>
      </c>
      <c r="P218" s="172">
        <v>271.947</v>
      </c>
      <c r="Q218" s="178">
        <v>7.1194860868383198</v>
      </c>
      <c r="R218" s="179">
        <v>4132.0432980293699</v>
      </c>
      <c r="S218" s="168">
        <v>0.01</v>
      </c>
      <c r="T218" s="168">
        <v>0.01</v>
      </c>
      <c r="U218" s="175">
        <v>0</v>
      </c>
      <c r="V218" s="176">
        <v>0</v>
      </c>
      <c r="W218" s="167"/>
      <c r="X218" s="175">
        <v>2381.7994749999998</v>
      </c>
      <c r="Y218" s="166">
        <v>935.44017707245405</v>
      </c>
      <c r="Z218" s="177">
        <v>573</v>
      </c>
      <c r="AA218" s="178">
        <v>1.63253085003919</v>
      </c>
      <c r="AB218" s="179">
        <v>701.07595597177601</v>
      </c>
      <c r="AC218" s="168">
        <v>0.02</v>
      </c>
      <c r="AD218" s="168">
        <v>0.02</v>
      </c>
      <c r="AE218" s="176">
        <v>0</v>
      </c>
      <c r="AF218" s="176">
        <v>0</v>
      </c>
      <c r="AG218" s="167"/>
      <c r="AH218" s="180">
        <v>136.85</v>
      </c>
      <c r="AI218" s="166">
        <v>53.747172915287202</v>
      </c>
      <c r="AJ218" s="181" t="s">
        <v>53</v>
      </c>
      <c r="AK218" s="188">
        <v>0.853129728814083</v>
      </c>
      <c r="AL218" s="171">
        <v>-47.941591097344102</v>
      </c>
      <c r="AM218" s="168"/>
      <c r="AN218" s="168"/>
      <c r="AO218" s="176">
        <v>24</v>
      </c>
      <c r="AP218" s="176">
        <v>56</v>
      </c>
      <c r="AQ218" s="167"/>
      <c r="AR218" s="180">
        <v>17.8</v>
      </c>
      <c r="AS218" s="166">
        <v>6.9908635578524896</v>
      </c>
      <c r="AT218" s="181" t="s">
        <v>54</v>
      </c>
      <c r="AU218" s="173">
        <v>0.43692897236578099</v>
      </c>
      <c r="AV218" s="174">
        <v>-29.131197739008002</v>
      </c>
      <c r="AW218" s="168"/>
      <c r="AX218" s="168"/>
      <c r="AY218" s="176">
        <v>23</v>
      </c>
      <c r="AZ218" s="176">
        <v>32</v>
      </c>
      <c r="BA218" s="167"/>
      <c r="BB218" s="184">
        <v>79.599999999999994</v>
      </c>
      <c r="BC218" s="180">
        <v>31.262513438486401</v>
      </c>
      <c r="BD218" s="181" t="s">
        <v>55</v>
      </c>
      <c r="BE218" s="182">
        <v>0.97695354495270004</v>
      </c>
      <c r="BF218" s="183">
        <v>-14.262395478016</v>
      </c>
      <c r="BG218" s="168">
        <v>2E-3</v>
      </c>
      <c r="BH218" s="168"/>
      <c r="BI218" s="176">
        <v>2</v>
      </c>
      <c r="BJ218" s="176">
        <v>19</v>
      </c>
      <c r="BK218" s="169"/>
      <c r="BL218" s="185">
        <v>0.8</v>
      </c>
      <c r="BM218" s="182">
        <v>0.82</v>
      </c>
      <c r="BN218" s="186">
        <v>7.5000000000000002E-4</v>
      </c>
      <c r="BO218" s="187">
        <v>0.95</v>
      </c>
      <c r="BP218" s="178">
        <v>1</v>
      </c>
      <c r="BQ218" s="186">
        <v>2.5000000000000001E-3</v>
      </c>
    </row>
    <row r="219" spans="1:69" s="156" customFormat="1" ht="22.35" customHeight="1" x14ac:dyDescent="0.2">
      <c r="A219" s="165" t="s">
        <v>275</v>
      </c>
      <c r="B219" s="165" t="s">
        <v>276</v>
      </c>
      <c r="C219" s="165" t="s">
        <v>286</v>
      </c>
      <c r="D219" s="166">
        <v>3.79118941177778</v>
      </c>
      <c r="E219" s="167"/>
      <c r="F219" s="168">
        <v>0.03</v>
      </c>
      <c r="G219" s="168">
        <v>0.03</v>
      </c>
      <c r="H219" s="169"/>
      <c r="I219" s="170">
        <v>3</v>
      </c>
      <c r="J219" s="170">
        <v>3</v>
      </c>
      <c r="K219" s="167"/>
      <c r="L219" s="171">
        <v>2348.2290200000002</v>
      </c>
      <c r="M219" s="171">
        <v>2706.44697</v>
      </c>
      <c r="N219" s="171">
        <v>5054.6759899999997</v>
      </c>
      <c r="O219" s="166">
        <v>1333.26917781978</v>
      </c>
      <c r="P219" s="172">
        <v>272.346</v>
      </c>
      <c r="Q219" s="178">
        <v>4.8954975575913702</v>
      </c>
      <c r="R219" s="179">
        <v>3865.2183971858799</v>
      </c>
      <c r="S219" s="168">
        <v>0.01</v>
      </c>
      <c r="T219" s="168">
        <v>0.01</v>
      </c>
      <c r="U219" s="175">
        <v>0</v>
      </c>
      <c r="V219" s="176">
        <v>0</v>
      </c>
      <c r="W219" s="167"/>
      <c r="X219" s="175">
        <v>1631.4659349999999</v>
      </c>
      <c r="Y219" s="166">
        <v>430.33089561066498</v>
      </c>
      <c r="Z219" s="177">
        <v>573</v>
      </c>
      <c r="AA219" s="173">
        <v>0.75101377942524405</v>
      </c>
      <c r="AB219" s="174">
        <v>-871.08303095686597</v>
      </c>
      <c r="AC219" s="168"/>
      <c r="AD219" s="168"/>
      <c r="AE219" s="176">
        <v>541</v>
      </c>
      <c r="AF219" s="176">
        <v>976</v>
      </c>
      <c r="AG219" s="167"/>
      <c r="AH219" s="180">
        <v>89.9</v>
      </c>
      <c r="AI219" s="166">
        <v>23.712874835721699</v>
      </c>
      <c r="AJ219" s="181" t="s">
        <v>53</v>
      </c>
      <c r="AK219" s="173">
        <v>0.37639483866224999</v>
      </c>
      <c r="AL219" s="174">
        <v>-185.249362749184</v>
      </c>
      <c r="AM219" s="168"/>
      <c r="AN219" s="168"/>
      <c r="AO219" s="176">
        <v>149</v>
      </c>
      <c r="AP219" s="176">
        <v>197</v>
      </c>
      <c r="AQ219" s="167"/>
      <c r="AR219" s="180">
        <v>33</v>
      </c>
      <c r="AS219" s="166">
        <v>8.7043923201203306</v>
      </c>
      <c r="AT219" s="181" t="s">
        <v>54</v>
      </c>
      <c r="AU219" s="173">
        <v>0.544024520007521</v>
      </c>
      <c r="AV219" s="174">
        <v>-36.879203237887999</v>
      </c>
      <c r="AW219" s="168"/>
      <c r="AX219" s="168"/>
      <c r="AY219" s="176">
        <v>28</v>
      </c>
      <c r="AZ219" s="176">
        <v>40</v>
      </c>
      <c r="BA219" s="167"/>
      <c r="BB219" s="184">
        <v>195.4</v>
      </c>
      <c r="BC219" s="180">
        <v>51.540553313682203</v>
      </c>
      <c r="BD219" s="181" t="s">
        <v>55</v>
      </c>
      <c r="BE219" s="178">
        <v>1.61064229105257</v>
      </c>
      <c r="BF219" s="179">
        <v>55.6415935242239</v>
      </c>
      <c r="BG219" s="168">
        <v>0.02</v>
      </c>
      <c r="BH219" s="168">
        <v>0.02</v>
      </c>
      <c r="BI219" s="176">
        <v>0</v>
      </c>
      <c r="BJ219" s="176">
        <v>0</v>
      </c>
      <c r="BK219" s="169"/>
      <c r="BL219" s="185">
        <v>0.8</v>
      </c>
      <c r="BM219" s="188">
        <v>0.75</v>
      </c>
      <c r="BN219" s="186"/>
      <c r="BO219" s="187">
        <v>0.95</v>
      </c>
      <c r="BP219" s="178">
        <v>1</v>
      </c>
      <c r="BQ219" s="186">
        <v>2.5000000000000001E-3</v>
      </c>
    </row>
    <row r="220" spans="1:69" s="156" customFormat="1" ht="22.35" customHeight="1" x14ac:dyDescent="0.2">
      <c r="A220" s="165" t="s">
        <v>275</v>
      </c>
      <c r="B220" s="165" t="s">
        <v>276</v>
      </c>
      <c r="C220" s="165" t="s">
        <v>287</v>
      </c>
      <c r="D220" s="166">
        <v>4.0983728111111102</v>
      </c>
      <c r="E220" s="167"/>
      <c r="F220" s="168">
        <v>2.7E-2</v>
      </c>
      <c r="G220" s="168">
        <v>2.1999999999999999E-2</v>
      </c>
      <c r="H220" s="169"/>
      <c r="I220" s="170">
        <v>3</v>
      </c>
      <c r="J220" s="170">
        <v>3</v>
      </c>
      <c r="K220" s="167"/>
      <c r="L220" s="171">
        <v>2801.6782199999998</v>
      </c>
      <c r="M220" s="171">
        <v>2748.3681000000001</v>
      </c>
      <c r="N220" s="171">
        <v>5550.0463200000004</v>
      </c>
      <c r="O220" s="166">
        <v>1354.20728562156</v>
      </c>
      <c r="P220" s="172">
        <v>276.21300000000002</v>
      </c>
      <c r="Q220" s="178">
        <v>4.9027644811126203</v>
      </c>
      <c r="R220" s="179">
        <v>4245.9548456347002</v>
      </c>
      <c r="S220" s="168">
        <v>0.01</v>
      </c>
      <c r="T220" s="168">
        <v>0.01</v>
      </c>
      <c r="U220" s="175">
        <v>0</v>
      </c>
      <c r="V220" s="176">
        <v>0</v>
      </c>
      <c r="W220" s="167"/>
      <c r="X220" s="175">
        <v>1915.190165</v>
      </c>
      <c r="Y220" s="166">
        <v>467.30501427486598</v>
      </c>
      <c r="Z220" s="177">
        <v>573</v>
      </c>
      <c r="AA220" s="188">
        <v>0.81554103712891102</v>
      </c>
      <c r="AB220" s="171">
        <v>-790.12933412319899</v>
      </c>
      <c r="AC220" s="168"/>
      <c r="AD220" s="168"/>
      <c r="AE220" s="176">
        <v>434</v>
      </c>
      <c r="AF220" s="176">
        <v>903</v>
      </c>
      <c r="AG220" s="167"/>
      <c r="AH220" s="180">
        <v>151.94999999999999</v>
      </c>
      <c r="AI220" s="166">
        <v>37.075690036799003</v>
      </c>
      <c r="AJ220" s="181" t="s">
        <v>53</v>
      </c>
      <c r="AK220" s="173">
        <v>0.58850301645712599</v>
      </c>
      <c r="AL220" s="174">
        <v>-145.49350513920001</v>
      </c>
      <c r="AM220" s="168"/>
      <c r="AN220" s="168"/>
      <c r="AO220" s="176">
        <v>107</v>
      </c>
      <c r="AP220" s="176">
        <v>158</v>
      </c>
      <c r="AQ220" s="167"/>
      <c r="AR220" s="180">
        <v>28.8</v>
      </c>
      <c r="AS220" s="166">
        <v>7.0271791580112604</v>
      </c>
      <c r="AT220" s="181" t="s">
        <v>54</v>
      </c>
      <c r="AU220" s="173">
        <v>0.43919869737570399</v>
      </c>
      <c r="AV220" s="174">
        <v>-46.7412076544</v>
      </c>
      <c r="AW220" s="168"/>
      <c r="AX220" s="168"/>
      <c r="AY220" s="176">
        <v>37</v>
      </c>
      <c r="AZ220" s="176">
        <v>50</v>
      </c>
      <c r="BA220" s="167"/>
      <c r="BB220" s="184">
        <v>146.80000000000001</v>
      </c>
      <c r="BC220" s="180">
        <v>35.819093763751802</v>
      </c>
      <c r="BD220" s="181" t="s">
        <v>55</v>
      </c>
      <c r="BE220" s="182">
        <v>1.11934668011724</v>
      </c>
      <c r="BF220" s="183">
        <v>-4.2824153087998997</v>
      </c>
      <c r="BG220" s="168">
        <v>1.7000000000000001E-2</v>
      </c>
      <c r="BH220" s="168">
        <v>1.2E-2</v>
      </c>
      <c r="BI220" s="176">
        <v>0</v>
      </c>
      <c r="BJ220" s="176">
        <v>11</v>
      </c>
      <c r="BK220" s="169"/>
      <c r="BL220" s="185">
        <v>0.8</v>
      </c>
      <c r="BM220" s="188">
        <v>0.77</v>
      </c>
      <c r="BN220" s="186"/>
      <c r="BO220" s="187">
        <v>0.95</v>
      </c>
      <c r="BP220" s="178">
        <v>1</v>
      </c>
      <c r="BQ220" s="186">
        <v>2.5000000000000001E-3</v>
      </c>
    </row>
    <row r="221" spans="1:69" s="156" customFormat="1" ht="22.35" customHeight="1" x14ac:dyDescent="0.2">
      <c r="A221" s="165" t="s">
        <v>275</v>
      </c>
      <c r="B221" s="165" t="s">
        <v>276</v>
      </c>
      <c r="C221" s="165" t="s">
        <v>288</v>
      </c>
      <c r="D221" s="166">
        <v>3.0671238162222201</v>
      </c>
      <c r="E221" s="167"/>
      <c r="F221" s="168">
        <v>1.4E-2</v>
      </c>
      <c r="G221" s="168">
        <v>0.01</v>
      </c>
      <c r="H221" s="169"/>
      <c r="I221" s="170">
        <v>4</v>
      </c>
      <c r="J221" s="170">
        <v>3</v>
      </c>
      <c r="K221" s="167"/>
      <c r="L221" s="171">
        <v>726.80858999999998</v>
      </c>
      <c r="M221" s="171">
        <v>1383.31016</v>
      </c>
      <c r="N221" s="171">
        <v>2110.1187500000001</v>
      </c>
      <c r="O221" s="166">
        <v>687.97964361250797</v>
      </c>
      <c r="P221" s="172">
        <v>259.01299999999998</v>
      </c>
      <c r="Q221" s="178">
        <v>2.65615873957102</v>
      </c>
      <c r="R221" s="179">
        <v>1194.94121795514</v>
      </c>
      <c r="S221" s="168">
        <v>0.01</v>
      </c>
      <c r="T221" s="168">
        <v>0.01</v>
      </c>
      <c r="U221" s="175">
        <v>0</v>
      </c>
      <c r="V221" s="176">
        <v>0</v>
      </c>
      <c r="W221" s="167"/>
      <c r="X221" s="175">
        <v>1145.11196</v>
      </c>
      <c r="Y221" s="166">
        <v>373.35041837679501</v>
      </c>
      <c r="Z221" s="177">
        <v>573</v>
      </c>
      <c r="AA221" s="173">
        <v>0.65157141077974801</v>
      </c>
      <c r="AB221" s="174">
        <v>-879.48420259302304</v>
      </c>
      <c r="AC221" s="168"/>
      <c r="AD221" s="168"/>
      <c r="AE221" s="176">
        <v>613</v>
      </c>
      <c r="AF221" s="176">
        <v>964</v>
      </c>
      <c r="AG221" s="167"/>
      <c r="AH221" s="180">
        <v>103.75</v>
      </c>
      <c r="AI221" s="166">
        <v>33.8264792087164</v>
      </c>
      <c r="AJ221" s="181" t="s">
        <v>53</v>
      </c>
      <c r="AK221" s="173">
        <v>0.53692824140819695</v>
      </c>
      <c r="AL221" s="174">
        <v>-118.84957808614401</v>
      </c>
      <c r="AM221" s="168"/>
      <c r="AN221" s="168"/>
      <c r="AO221" s="176">
        <v>90</v>
      </c>
      <c r="AP221" s="176">
        <v>129</v>
      </c>
      <c r="AQ221" s="167"/>
      <c r="AR221" s="180">
        <v>17.600000000000001</v>
      </c>
      <c r="AS221" s="166">
        <v>5.7382750272135796</v>
      </c>
      <c r="AT221" s="181" t="s">
        <v>54</v>
      </c>
      <c r="AU221" s="173">
        <v>0.358642189200849</v>
      </c>
      <c r="AV221" s="174">
        <v>-38.933226180608003</v>
      </c>
      <c r="AW221" s="168"/>
      <c r="AX221" s="168"/>
      <c r="AY221" s="176">
        <v>32</v>
      </c>
      <c r="AZ221" s="176">
        <v>42</v>
      </c>
      <c r="BA221" s="167"/>
      <c r="BB221" s="184">
        <v>97.8</v>
      </c>
      <c r="BC221" s="180">
        <v>31.886551003493601</v>
      </c>
      <c r="BD221" s="181" t="s">
        <v>55</v>
      </c>
      <c r="BE221" s="182">
        <v>0.99645471885917702</v>
      </c>
      <c r="BF221" s="183">
        <v>-15.266452361215901</v>
      </c>
      <c r="BG221" s="168">
        <v>4.0000000000000001E-3</v>
      </c>
      <c r="BH221" s="168">
        <v>0</v>
      </c>
      <c r="BI221" s="176">
        <v>1</v>
      </c>
      <c r="BJ221" s="176">
        <v>20</v>
      </c>
      <c r="BK221" s="169"/>
      <c r="BL221" s="185">
        <v>0.8</v>
      </c>
      <c r="BM221" s="182">
        <v>0.81</v>
      </c>
      <c r="BN221" s="186">
        <v>3.7500000000000001E-4</v>
      </c>
      <c r="BO221" s="187">
        <v>0.95</v>
      </c>
      <c r="BP221" s="178">
        <v>1</v>
      </c>
      <c r="BQ221" s="186">
        <v>2.5000000000000001E-3</v>
      </c>
    </row>
    <row r="222" spans="1:69" s="156" customFormat="1" ht="22.35" customHeight="1" x14ac:dyDescent="0.2">
      <c r="A222" s="165" t="s">
        <v>275</v>
      </c>
      <c r="B222" s="165" t="s">
        <v>276</v>
      </c>
      <c r="C222" s="165" t="s">
        <v>289</v>
      </c>
      <c r="D222" s="166">
        <v>7.3002462538888899</v>
      </c>
      <c r="E222" s="167"/>
      <c r="F222" s="168">
        <v>2.1999999999999999E-2</v>
      </c>
      <c r="G222" s="168">
        <v>1.7000000000000001E-2</v>
      </c>
      <c r="H222" s="169"/>
      <c r="I222" s="170">
        <v>3</v>
      </c>
      <c r="J222" s="170">
        <v>3</v>
      </c>
      <c r="K222" s="167"/>
      <c r="L222" s="171">
        <v>3938.4114199999999</v>
      </c>
      <c r="M222" s="171">
        <v>2794.0232099999998</v>
      </c>
      <c r="N222" s="171">
        <v>6732.4346299999997</v>
      </c>
      <c r="O222" s="166">
        <v>922.22020954616301</v>
      </c>
      <c r="P222" s="172">
        <v>287.5</v>
      </c>
      <c r="Q222" s="178">
        <v>3.2077224679866498</v>
      </c>
      <c r="R222" s="179">
        <v>4314.5930707119996</v>
      </c>
      <c r="S222" s="168">
        <v>0.01</v>
      </c>
      <c r="T222" s="168">
        <v>0.01</v>
      </c>
      <c r="U222" s="175">
        <v>0</v>
      </c>
      <c r="V222" s="176">
        <v>0</v>
      </c>
      <c r="W222" s="167"/>
      <c r="X222" s="175">
        <v>3184.6268150000001</v>
      </c>
      <c r="Y222" s="166">
        <v>436.23553291829398</v>
      </c>
      <c r="Z222" s="177">
        <v>573</v>
      </c>
      <c r="AA222" s="173">
        <v>0.76131855657642999</v>
      </c>
      <c r="AB222" s="174">
        <v>-1634.23653620704</v>
      </c>
      <c r="AC222" s="168"/>
      <c r="AD222" s="168"/>
      <c r="AE222" s="176">
        <v>999</v>
      </c>
      <c r="AF222" s="176">
        <v>1836</v>
      </c>
      <c r="AG222" s="167"/>
      <c r="AH222" s="180">
        <v>259.39999999999998</v>
      </c>
      <c r="AI222" s="166">
        <v>35.533047924488301</v>
      </c>
      <c r="AJ222" s="181" t="s">
        <v>53</v>
      </c>
      <c r="AK222" s="173">
        <v>0.56401663372203603</v>
      </c>
      <c r="AL222" s="174">
        <v>-270.42267212223999</v>
      </c>
      <c r="AM222" s="168"/>
      <c r="AN222" s="168"/>
      <c r="AO222" s="176">
        <v>201</v>
      </c>
      <c r="AP222" s="176">
        <v>293</v>
      </c>
      <c r="AQ222" s="167"/>
      <c r="AR222" s="180">
        <v>64.8</v>
      </c>
      <c r="AS222" s="166">
        <v>8.8764128970965395</v>
      </c>
      <c r="AT222" s="181" t="s">
        <v>54</v>
      </c>
      <c r="AU222" s="173">
        <v>0.55477580606853405</v>
      </c>
      <c r="AV222" s="174">
        <v>-69.758138951679996</v>
      </c>
      <c r="AW222" s="168"/>
      <c r="AX222" s="168"/>
      <c r="AY222" s="176">
        <v>53</v>
      </c>
      <c r="AZ222" s="176">
        <v>76</v>
      </c>
      <c r="BA222" s="167"/>
      <c r="BB222" s="184">
        <v>250.4</v>
      </c>
      <c r="BC222" s="180">
        <v>34.300212799891497</v>
      </c>
      <c r="BD222" s="181" t="s">
        <v>55</v>
      </c>
      <c r="BE222" s="182">
        <v>1.07188164999661</v>
      </c>
      <c r="BF222" s="183">
        <v>-18.716277903360002</v>
      </c>
      <c r="BG222" s="168">
        <v>1.2E-2</v>
      </c>
      <c r="BH222" s="168">
        <v>7.0000000000000001E-3</v>
      </c>
      <c r="BI222" s="176">
        <v>0</v>
      </c>
      <c r="BJ222" s="176">
        <v>30</v>
      </c>
      <c r="BK222" s="169"/>
      <c r="BL222" s="185">
        <v>0.8</v>
      </c>
      <c r="BM222" s="173">
        <v>0.65</v>
      </c>
      <c r="BN222" s="186"/>
      <c r="BO222" s="187">
        <v>0.95</v>
      </c>
      <c r="BP222" s="178">
        <v>1</v>
      </c>
      <c r="BQ222" s="186">
        <v>2.5000000000000001E-3</v>
      </c>
    </row>
    <row r="223" spans="1:69" s="156" customFormat="1" ht="22.35" customHeight="1" x14ac:dyDescent="0.2">
      <c r="A223" s="165" t="s">
        <v>275</v>
      </c>
      <c r="B223" s="165" t="s">
        <v>276</v>
      </c>
      <c r="C223" s="165" t="s">
        <v>290</v>
      </c>
      <c r="D223" s="166">
        <v>2.9612506945555599</v>
      </c>
      <c r="E223" s="167"/>
      <c r="F223" s="168">
        <v>0.06</v>
      </c>
      <c r="G223" s="168">
        <v>5.6000000000000001E-2</v>
      </c>
      <c r="H223" s="169"/>
      <c r="I223" s="170">
        <v>6</v>
      </c>
      <c r="J223" s="170">
        <v>6</v>
      </c>
      <c r="K223" s="167"/>
      <c r="L223" s="171">
        <v>1491.6829600000001</v>
      </c>
      <c r="M223" s="171">
        <v>1049.9114999999999</v>
      </c>
      <c r="N223" s="171">
        <v>2541.5944599999998</v>
      </c>
      <c r="O223" s="166">
        <v>858.284124566988</v>
      </c>
      <c r="P223" s="172">
        <v>273.31099999999998</v>
      </c>
      <c r="Q223" s="178">
        <v>3.1403204575263599</v>
      </c>
      <c r="R223" s="179">
        <v>1609.2320283562101</v>
      </c>
      <c r="S223" s="168">
        <v>0.01</v>
      </c>
      <c r="T223" s="168">
        <v>0.01</v>
      </c>
      <c r="U223" s="175">
        <v>0</v>
      </c>
      <c r="V223" s="176">
        <v>0</v>
      </c>
      <c r="W223" s="167"/>
      <c r="X223" s="175">
        <v>1968.96</v>
      </c>
      <c r="Y223" s="166">
        <v>664.908244215884</v>
      </c>
      <c r="Z223" s="177">
        <v>573</v>
      </c>
      <c r="AA223" s="178">
        <v>1.1603983319648901</v>
      </c>
      <c r="AB223" s="179">
        <v>14.250261526653301</v>
      </c>
      <c r="AC223" s="168">
        <v>0.02</v>
      </c>
      <c r="AD223" s="168">
        <v>1.6E-2</v>
      </c>
      <c r="AE223" s="176">
        <v>0</v>
      </c>
      <c r="AF223" s="176">
        <v>68</v>
      </c>
      <c r="AG223" s="167"/>
      <c r="AH223" s="180">
        <v>149.15</v>
      </c>
      <c r="AI223" s="166">
        <v>50.367231749146299</v>
      </c>
      <c r="AJ223" s="181" t="s">
        <v>53</v>
      </c>
      <c r="AK223" s="188">
        <v>0.79947986903406798</v>
      </c>
      <c r="AL223" s="171">
        <v>-65.7657304080643</v>
      </c>
      <c r="AM223" s="168"/>
      <c r="AN223" s="168"/>
      <c r="AO223" s="176">
        <v>38</v>
      </c>
      <c r="AP223" s="176">
        <v>75</v>
      </c>
      <c r="AQ223" s="167"/>
      <c r="AR223" s="180">
        <v>71</v>
      </c>
      <c r="AS223" s="166">
        <v>23.9763557102875</v>
      </c>
      <c r="AT223" s="181" t="s">
        <v>54</v>
      </c>
      <c r="AU223" s="178">
        <v>1.4985222318929701</v>
      </c>
      <c r="AV223" s="179">
        <v>16.4182271979519</v>
      </c>
      <c r="AW223" s="168">
        <v>0.01</v>
      </c>
      <c r="AX223" s="168">
        <v>0.01</v>
      </c>
      <c r="AY223" s="176">
        <v>0</v>
      </c>
      <c r="AZ223" s="176">
        <v>0</v>
      </c>
      <c r="BA223" s="167"/>
      <c r="BB223" s="184">
        <v>237.4</v>
      </c>
      <c r="BC223" s="180">
        <v>80.168828811581093</v>
      </c>
      <c r="BD223" s="181" t="s">
        <v>55</v>
      </c>
      <c r="BE223" s="178">
        <v>2.5052759003619101</v>
      </c>
      <c r="BF223" s="179">
        <v>128.23645439590399</v>
      </c>
      <c r="BG223" s="168">
        <v>0.02</v>
      </c>
      <c r="BH223" s="168">
        <v>0.02</v>
      </c>
      <c r="BI223" s="176">
        <v>0</v>
      </c>
      <c r="BJ223" s="176">
        <v>0</v>
      </c>
      <c r="BK223" s="169"/>
      <c r="BL223" s="185">
        <v>0.8</v>
      </c>
      <c r="BM223" s="182">
        <v>0.81</v>
      </c>
      <c r="BN223" s="186">
        <v>3.7500000000000001E-4</v>
      </c>
      <c r="BO223" s="187">
        <v>0.95</v>
      </c>
      <c r="BP223" s="178">
        <v>1</v>
      </c>
      <c r="BQ223" s="186">
        <v>2.5000000000000001E-3</v>
      </c>
    </row>
    <row r="224" spans="1:69" s="156" customFormat="1" ht="22.35" customHeight="1" x14ac:dyDescent="0.2">
      <c r="A224" s="165" t="s">
        <v>275</v>
      </c>
      <c r="B224" s="165" t="s">
        <v>276</v>
      </c>
      <c r="C224" s="165" t="s">
        <v>291</v>
      </c>
      <c r="D224" s="166">
        <v>3.1521611030000001</v>
      </c>
      <c r="E224" s="167"/>
      <c r="F224" s="168">
        <v>3.2000000000000001E-2</v>
      </c>
      <c r="G224" s="168">
        <v>0.03</v>
      </c>
      <c r="H224" s="169"/>
      <c r="I224" s="170">
        <v>4</v>
      </c>
      <c r="J224" s="170">
        <v>3</v>
      </c>
      <c r="K224" s="167"/>
      <c r="L224" s="171">
        <v>1335.1375700000001</v>
      </c>
      <c r="M224" s="171">
        <v>1118.37438</v>
      </c>
      <c r="N224" s="171">
        <v>2453.5119500000001</v>
      </c>
      <c r="O224" s="166">
        <v>778.35867832545898</v>
      </c>
      <c r="P224" s="172">
        <v>216.041</v>
      </c>
      <c r="Q224" s="178">
        <v>3.6028285294247802</v>
      </c>
      <c r="R224" s="179">
        <v>1669.00451554509</v>
      </c>
      <c r="S224" s="168">
        <v>0.01</v>
      </c>
      <c r="T224" s="168">
        <v>0.01</v>
      </c>
      <c r="U224" s="175">
        <v>0</v>
      </c>
      <c r="V224" s="176">
        <v>0</v>
      </c>
      <c r="W224" s="167"/>
      <c r="X224" s="175">
        <v>1675.9016449999999</v>
      </c>
      <c r="Y224" s="166">
        <v>531.66751007903702</v>
      </c>
      <c r="Z224" s="177">
        <v>573</v>
      </c>
      <c r="AA224" s="188">
        <v>0.92786650973653895</v>
      </c>
      <c r="AB224" s="171">
        <v>-404.82729044588802</v>
      </c>
      <c r="AC224" s="168"/>
      <c r="AD224" s="168"/>
      <c r="AE224" s="176">
        <v>131</v>
      </c>
      <c r="AF224" s="176">
        <v>492</v>
      </c>
      <c r="AG224" s="167"/>
      <c r="AH224" s="180">
        <v>194.55</v>
      </c>
      <c r="AI224" s="166">
        <v>61.719561165462402</v>
      </c>
      <c r="AJ224" s="181" t="s">
        <v>53</v>
      </c>
      <c r="AK224" s="182">
        <v>0.97967557405495898</v>
      </c>
      <c r="AL224" s="183">
        <v>-34.221244211327999</v>
      </c>
      <c r="AM224" s="168">
        <v>2E-3</v>
      </c>
      <c r="AN224" s="168"/>
      <c r="AO224" s="176">
        <v>5</v>
      </c>
      <c r="AP224" s="176">
        <v>44</v>
      </c>
      <c r="AQ224" s="167"/>
      <c r="AR224" s="180">
        <v>8</v>
      </c>
      <c r="AS224" s="166">
        <v>2.5379413483613402</v>
      </c>
      <c r="AT224" s="181" t="s">
        <v>54</v>
      </c>
      <c r="AU224" s="173">
        <v>0.15862133427258401</v>
      </c>
      <c r="AV224" s="174">
        <v>-50.100633450495998</v>
      </c>
      <c r="AW224" s="168"/>
      <c r="AX224" s="168"/>
      <c r="AY224" s="176">
        <v>43</v>
      </c>
      <c r="AZ224" s="176">
        <v>53</v>
      </c>
      <c r="BA224" s="167"/>
      <c r="BB224" s="184">
        <v>133.6</v>
      </c>
      <c r="BC224" s="180">
        <v>42.383620517634398</v>
      </c>
      <c r="BD224" s="181" t="s">
        <v>55</v>
      </c>
      <c r="BE224" s="178">
        <v>1.32448814117608</v>
      </c>
      <c r="BF224" s="179">
        <v>17.398733099007998</v>
      </c>
      <c r="BG224" s="168">
        <v>0.02</v>
      </c>
      <c r="BH224" s="168">
        <v>0.02</v>
      </c>
      <c r="BI224" s="176">
        <v>0</v>
      </c>
      <c r="BJ224" s="176">
        <v>0</v>
      </c>
      <c r="BK224" s="169"/>
      <c r="BL224" s="185">
        <v>0.8</v>
      </c>
      <c r="BM224" s="188">
        <v>0.72</v>
      </c>
      <c r="BN224" s="186"/>
      <c r="BO224" s="187">
        <v>0.95</v>
      </c>
      <c r="BP224" s="178">
        <v>1</v>
      </c>
      <c r="BQ224" s="186">
        <v>2.5000000000000001E-3</v>
      </c>
    </row>
    <row r="225" spans="1:69" s="156" customFormat="1" ht="22.35" customHeight="1" x14ac:dyDescent="0.2">
      <c r="A225" s="165" t="s">
        <v>275</v>
      </c>
      <c r="B225" s="165" t="s">
        <v>276</v>
      </c>
      <c r="C225" s="165" t="s">
        <v>292</v>
      </c>
      <c r="D225" s="166">
        <v>7.7095109328888896</v>
      </c>
      <c r="E225" s="167"/>
      <c r="F225" s="168">
        <v>5.2999999999999999E-2</v>
      </c>
      <c r="G225" s="168">
        <v>4.65E-2</v>
      </c>
      <c r="H225" s="169"/>
      <c r="I225" s="170">
        <v>5</v>
      </c>
      <c r="J225" s="170">
        <v>5</v>
      </c>
      <c r="K225" s="167"/>
      <c r="L225" s="171">
        <v>3303.6810300000002</v>
      </c>
      <c r="M225" s="171">
        <v>928.02701999999999</v>
      </c>
      <c r="N225" s="171">
        <v>4231.7080500000002</v>
      </c>
      <c r="O225" s="166">
        <v>548.89448719081099</v>
      </c>
      <c r="P225" s="172">
        <v>287.5</v>
      </c>
      <c r="Q225" s="178">
        <v>1.9091982163158701</v>
      </c>
      <c r="R225" s="179">
        <v>1678.3180290272001</v>
      </c>
      <c r="S225" s="168">
        <v>0.01</v>
      </c>
      <c r="T225" s="168">
        <v>0.01</v>
      </c>
      <c r="U225" s="175">
        <v>0</v>
      </c>
      <c r="V225" s="176">
        <v>0</v>
      </c>
      <c r="W225" s="167"/>
      <c r="X225" s="175">
        <v>4930.2639499999996</v>
      </c>
      <c r="Y225" s="166">
        <v>639.50411289611395</v>
      </c>
      <c r="Z225" s="177">
        <v>573</v>
      </c>
      <c r="AA225" s="182">
        <v>1.1160630242515099</v>
      </c>
      <c r="AB225" s="183">
        <v>-158.75337875622401</v>
      </c>
      <c r="AC225" s="168">
        <v>1.6E-2</v>
      </c>
      <c r="AD225" s="168">
        <v>1.2E-2</v>
      </c>
      <c r="AE225" s="176">
        <v>0</v>
      </c>
      <c r="AF225" s="176">
        <v>371</v>
      </c>
      <c r="AG225" s="167"/>
      <c r="AH225" s="180">
        <v>254.1</v>
      </c>
      <c r="AI225" s="166">
        <v>32.959289144529997</v>
      </c>
      <c r="AJ225" s="181" t="s">
        <v>53</v>
      </c>
      <c r="AK225" s="173">
        <v>0.52316331975444397</v>
      </c>
      <c r="AL225" s="174">
        <v>-305.42546546534402</v>
      </c>
      <c r="AM225" s="168"/>
      <c r="AN225" s="168"/>
      <c r="AO225" s="176">
        <v>232</v>
      </c>
      <c r="AP225" s="176">
        <v>329</v>
      </c>
      <c r="AQ225" s="167"/>
      <c r="AR225" s="180">
        <v>134.5</v>
      </c>
      <c r="AS225" s="166">
        <v>17.445983431480801</v>
      </c>
      <c r="AT225" s="181" t="s">
        <v>54</v>
      </c>
      <c r="AU225" s="182">
        <v>1.0903739644675501</v>
      </c>
      <c r="AV225" s="183">
        <v>-7.6017055150080104</v>
      </c>
      <c r="AW225" s="168">
        <v>7.0000000000000001E-3</v>
      </c>
      <c r="AX225" s="168">
        <v>4.4999999999999997E-3</v>
      </c>
      <c r="AY225" s="176">
        <v>0</v>
      </c>
      <c r="AZ225" s="176">
        <v>14</v>
      </c>
      <c r="BA225" s="167"/>
      <c r="BB225" s="184">
        <v>304.39999999999998</v>
      </c>
      <c r="BC225" s="180">
        <v>39.4836978181619</v>
      </c>
      <c r="BD225" s="181" t="s">
        <v>55</v>
      </c>
      <c r="BE225" s="178">
        <v>1.23386555681756</v>
      </c>
      <c r="BF225" s="179">
        <v>20.196588969983999</v>
      </c>
      <c r="BG225" s="168">
        <v>0.02</v>
      </c>
      <c r="BH225" s="168">
        <v>0.02</v>
      </c>
      <c r="BI225" s="176">
        <v>0</v>
      </c>
      <c r="BJ225" s="176">
        <v>0</v>
      </c>
      <c r="BK225" s="169"/>
      <c r="BL225" s="185">
        <v>0.8</v>
      </c>
      <c r="BM225" s="188">
        <v>0.78</v>
      </c>
      <c r="BN225" s="186"/>
      <c r="BO225" s="187">
        <v>0.95</v>
      </c>
      <c r="BP225" s="178">
        <v>1</v>
      </c>
      <c r="BQ225" s="186">
        <v>2.5000000000000001E-3</v>
      </c>
    </row>
    <row r="226" spans="1:69" s="156" customFormat="1" ht="22.35" customHeight="1" x14ac:dyDescent="0.2">
      <c r="A226" s="165" t="s">
        <v>275</v>
      </c>
      <c r="B226" s="165" t="s">
        <v>276</v>
      </c>
      <c r="C226" s="165" t="s">
        <v>293</v>
      </c>
      <c r="D226" s="166">
        <v>2.83696294222222</v>
      </c>
      <c r="E226" s="167"/>
      <c r="F226" s="168">
        <v>1.9E-2</v>
      </c>
      <c r="G226" s="168">
        <v>1.4E-2</v>
      </c>
      <c r="H226" s="169"/>
      <c r="I226" s="170">
        <v>4</v>
      </c>
      <c r="J226" s="170">
        <v>4</v>
      </c>
      <c r="K226" s="167"/>
      <c r="L226" s="171">
        <v>800.65576999999996</v>
      </c>
      <c r="M226" s="171">
        <v>1977.68443</v>
      </c>
      <c r="N226" s="171">
        <v>2778.3402000000001</v>
      </c>
      <c r="O226" s="166">
        <v>979.33609165289204</v>
      </c>
      <c r="P226" s="172">
        <v>287.5</v>
      </c>
      <c r="Q226" s="178">
        <v>3.4063864057491902</v>
      </c>
      <c r="R226" s="179">
        <v>1838.738073536</v>
      </c>
      <c r="S226" s="168">
        <v>0.01</v>
      </c>
      <c r="T226" s="168">
        <v>0.01</v>
      </c>
      <c r="U226" s="175">
        <v>0</v>
      </c>
      <c r="V226" s="176">
        <v>0</v>
      </c>
      <c r="W226" s="167"/>
      <c r="X226" s="175">
        <v>1698.3117950000001</v>
      </c>
      <c r="Y226" s="166">
        <v>598.63728557190598</v>
      </c>
      <c r="Z226" s="177">
        <v>573</v>
      </c>
      <c r="AA226" s="182">
        <v>1.04474220867697</v>
      </c>
      <c r="AB226" s="183">
        <v>-174.35609530911799</v>
      </c>
      <c r="AC226" s="168">
        <v>8.9999999999999993E-3</v>
      </c>
      <c r="AD226" s="168">
        <v>4.0000000000000001E-3</v>
      </c>
      <c r="AE226" s="176">
        <v>0</v>
      </c>
      <c r="AF226" s="176">
        <v>253</v>
      </c>
      <c r="AG226" s="167"/>
      <c r="AH226" s="180">
        <v>116</v>
      </c>
      <c r="AI226" s="166">
        <v>40.888796351049997</v>
      </c>
      <c r="AJ226" s="181" t="s">
        <v>53</v>
      </c>
      <c r="AK226" s="173">
        <v>0.64902851350873003</v>
      </c>
      <c r="AL226" s="174">
        <v>-89.895422494719796</v>
      </c>
      <c r="AM226" s="168"/>
      <c r="AN226" s="168"/>
      <c r="AO226" s="176">
        <v>63</v>
      </c>
      <c r="AP226" s="176">
        <v>99</v>
      </c>
      <c r="AQ226" s="167"/>
      <c r="AR226" s="180">
        <v>8.6</v>
      </c>
      <c r="AS226" s="166">
        <v>3.0314107639571501</v>
      </c>
      <c r="AT226" s="181" t="s">
        <v>54</v>
      </c>
      <c r="AU226" s="173">
        <v>0.189463172747322</v>
      </c>
      <c r="AV226" s="174">
        <v>-43.6909009510399</v>
      </c>
      <c r="AW226" s="168"/>
      <c r="AX226" s="168"/>
      <c r="AY226" s="176">
        <v>37</v>
      </c>
      <c r="AZ226" s="176">
        <v>46</v>
      </c>
      <c r="BA226" s="167"/>
      <c r="BB226" s="184">
        <v>72.400000000000006</v>
      </c>
      <c r="BC226" s="180">
        <v>25.520248757034601</v>
      </c>
      <c r="BD226" s="181" t="s">
        <v>55</v>
      </c>
      <c r="BE226" s="188">
        <v>0.79750777365733205</v>
      </c>
      <c r="BF226" s="171">
        <v>-32.181801902079897</v>
      </c>
      <c r="BG226" s="168"/>
      <c r="BH226" s="168"/>
      <c r="BI226" s="176">
        <v>19</v>
      </c>
      <c r="BJ226" s="176">
        <v>37</v>
      </c>
      <c r="BK226" s="169"/>
      <c r="BL226" s="185">
        <v>0.8</v>
      </c>
      <c r="BM226" s="182">
        <v>0.86</v>
      </c>
      <c r="BN226" s="186">
        <v>2.2499999999999998E-3</v>
      </c>
      <c r="BO226" s="187">
        <v>0.95</v>
      </c>
      <c r="BP226" s="178">
        <v>1</v>
      </c>
      <c r="BQ226" s="186">
        <v>2.5000000000000001E-3</v>
      </c>
    </row>
    <row r="227" spans="1:69" s="156" customFormat="1" ht="22.35" customHeight="1" x14ac:dyDescent="0.2">
      <c r="A227" s="165" t="s">
        <v>275</v>
      </c>
      <c r="B227" s="165" t="s">
        <v>276</v>
      </c>
      <c r="C227" s="165" t="s">
        <v>294</v>
      </c>
      <c r="D227" s="166">
        <v>2.9777762321111099</v>
      </c>
      <c r="E227" s="167"/>
      <c r="F227" s="168">
        <v>4.8000000000000001E-2</v>
      </c>
      <c r="G227" s="168">
        <v>4.3999999999999997E-2</v>
      </c>
      <c r="H227" s="169"/>
      <c r="I227" s="170">
        <v>5</v>
      </c>
      <c r="J227" s="170">
        <v>5</v>
      </c>
      <c r="K227" s="167"/>
      <c r="L227" s="171">
        <v>2867.4492300000002</v>
      </c>
      <c r="M227" s="171">
        <v>1119.54261</v>
      </c>
      <c r="N227" s="171">
        <v>3986.9918400000001</v>
      </c>
      <c r="O227" s="166">
        <v>1338.9158651365101</v>
      </c>
      <c r="P227" s="172">
        <v>252.76900000000001</v>
      </c>
      <c r="Q227" s="178">
        <v>5.2969939554949796</v>
      </c>
      <c r="R227" s="179">
        <v>3119.8935124824998</v>
      </c>
      <c r="S227" s="168">
        <v>0.01</v>
      </c>
      <c r="T227" s="168">
        <v>0.01</v>
      </c>
      <c r="U227" s="175">
        <v>0</v>
      </c>
      <c r="V227" s="176">
        <v>0</v>
      </c>
      <c r="W227" s="167"/>
      <c r="X227" s="175">
        <v>2487.9791399999999</v>
      </c>
      <c r="Y227" s="166">
        <v>835.51581652464597</v>
      </c>
      <c r="Z227" s="177">
        <v>573</v>
      </c>
      <c r="AA227" s="178">
        <v>1.45814278625593</v>
      </c>
      <c r="AB227" s="179">
        <v>522.36096028838494</v>
      </c>
      <c r="AC227" s="168">
        <v>0.02</v>
      </c>
      <c r="AD227" s="168">
        <v>0.02</v>
      </c>
      <c r="AE227" s="176">
        <v>0</v>
      </c>
      <c r="AF227" s="176">
        <v>0</v>
      </c>
      <c r="AG227" s="167"/>
      <c r="AH227" s="180">
        <v>140.65</v>
      </c>
      <c r="AI227" s="166">
        <v>47.233233472444397</v>
      </c>
      <c r="AJ227" s="181" t="s">
        <v>53</v>
      </c>
      <c r="AK227" s="173">
        <v>0.749733864641975</v>
      </c>
      <c r="AL227" s="174">
        <v>-75.465087821695903</v>
      </c>
      <c r="AM227" s="168"/>
      <c r="AN227" s="168"/>
      <c r="AO227" s="176">
        <v>47</v>
      </c>
      <c r="AP227" s="176">
        <v>85</v>
      </c>
      <c r="AQ227" s="167"/>
      <c r="AR227" s="180">
        <v>13.3</v>
      </c>
      <c r="AS227" s="166">
        <v>4.4664202288198398</v>
      </c>
      <c r="AT227" s="181" t="s">
        <v>54</v>
      </c>
      <c r="AU227" s="173">
        <v>0.27915126430123999</v>
      </c>
      <c r="AV227" s="174">
        <v>-41.586371510272002</v>
      </c>
      <c r="AW227" s="168"/>
      <c r="AX227" s="168"/>
      <c r="AY227" s="176">
        <v>35</v>
      </c>
      <c r="AZ227" s="176">
        <v>44</v>
      </c>
      <c r="BA227" s="167"/>
      <c r="BB227" s="184">
        <v>108.4</v>
      </c>
      <c r="BC227" s="180">
        <v>36.403003970230898</v>
      </c>
      <c r="BD227" s="181" t="s">
        <v>55</v>
      </c>
      <c r="BE227" s="182">
        <v>1.13759387406972</v>
      </c>
      <c r="BF227" s="183">
        <v>-1.3727430205439399</v>
      </c>
      <c r="BG227" s="168">
        <v>1.7999999999999999E-2</v>
      </c>
      <c r="BH227" s="168">
        <v>1.4E-2</v>
      </c>
      <c r="BI227" s="176">
        <v>0</v>
      </c>
      <c r="BJ227" s="176">
        <v>6</v>
      </c>
      <c r="BK227" s="169"/>
      <c r="BL227" s="185">
        <v>0.8</v>
      </c>
      <c r="BM227" s="182">
        <v>0.81</v>
      </c>
      <c r="BN227" s="186">
        <v>3.7500000000000001E-4</v>
      </c>
      <c r="BO227" s="187">
        <v>0.95</v>
      </c>
      <c r="BP227" s="178">
        <v>1</v>
      </c>
      <c r="BQ227" s="186">
        <v>2.5000000000000001E-3</v>
      </c>
    </row>
    <row r="228" spans="1:69" s="156" customFormat="1" ht="22.35" customHeight="1" x14ac:dyDescent="0.2">
      <c r="A228" s="165" t="s">
        <v>275</v>
      </c>
      <c r="B228" s="165" t="s">
        <v>276</v>
      </c>
      <c r="C228" s="165" t="s">
        <v>295</v>
      </c>
      <c r="D228" s="166">
        <v>3.3124110478888902</v>
      </c>
      <c r="E228" s="167"/>
      <c r="F228" s="168">
        <v>1.4E-2</v>
      </c>
      <c r="G228" s="168">
        <v>0.01</v>
      </c>
      <c r="H228" s="169"/>
      <c r="I228" s="170">
        <v>4</v>
      </c>
      <c r="J228" s="170">
        <v>3</v>
      </c>
      <c r="K228" s="167"/>
      <c r="L228" s="171">
        <v>1722.8988899999999</v>
      </c>
      <c r="M228" s="171">
        <v>515.67912999999999</v>
      </c>
      <c r="N228" s="171">
        <v>2238.5780199999999</v>
      </c>
      <c r="O228" s="166">
        <v>675.81528609703196</v>
      </c>
      <c r="P228" s="172">
        <v>266.572</v>
      </c>
      <c r="Q228" s="178">
        <v>2.5352073214629902</v>
      </c>
      <c r="R228" s="179">
        <v>1221.36658438777</v>
      </c>
      <c r="S228" s="168">
        <v>0.01</v>
      </c>
      <c r="T228" s="168">
        <v>0.01</v>
      </c>
      <c r="U228" s="175">
        <v>0</v>
      </c>
      <c r="V228" s="176">
        <v>0</v>
      </c>
      <c r="W228" s="167"/>
      <c r="X228" s="175">
        <v>1603.110905</v>
      </c>
      <c r="Y228" s="166">
        <v>483.97100535626902</v>
      </c>
      <c r="Z228" s="177">
        <v>573</v>
      </c>
      <c r="AA228" s="188">
        <v>0.84462653639837604</v>
      </c>
      <c r="AB228" s="171">
        <v>-583.39837806726496</v>
      </c>
      <c r="AC228" s="168"/>
      <c r="AD228" s="168"/>
      <c r="AE228" s="176">
        <v>295</v>
      </c>
      <c r="AF228" s="176">
        <v>675</v>
      </c>
      <c r="AG228" s="167"/>
      <c r="AH228" s="180">
        <v>159.35</v>
      </c>
      <c r="AI228" s="166">
        <v>48.1069522158366</v>
      </c>
      <c r="AJ228" s="181" t="s">
        <v>53</v>
      </c>
      <c r="AK228" s="188">
        <v>0.76360241612438995</v>
      </c>
      <c r="AL228" s="171">
        <v>-81.051544211584101</v>
      </c>
      <c r="AM228" s="168"/>
      <c r="AN228" s="168"/>
      <c r="AO228" s="176">
        <v>50</v>
      </c>
      <c r="AP228" s="176">
        <v>92</v>
      </c>
      <c r="AQ228" s="167"/>
      <c r="AR228" s="180">
        <v>30.8</v>
      </c>
      <c r="AS228" s="166">
        <v>9.2983629008331796</v>
      </c>
      <c r="AT228" s="181" t="s">
        <v>54</v>
      </c>
      <c r="AU228" s="173">
        <v>0.58114768130207395</v>
      </c>
      <c r="AV228" s="174">
        <v>-30.254360434688</v>
      </c>
      <c r="AW228" s="168"/>
      <c r="AX228" s="168"/>
      <c r="AY228" s="176">
        <v>23</v>
      </c>
      <c r="AZ228" s="176">
        <v>33</v>
      </c>
      <c r="BA228" s="167"/>
      <c r="BB228" s="184">
        <v>105.8</v>
      </c>
      <c r="BC228" s="180">
        <v>31.940480354160702</v>
      </c>
      <c r="BD228" s="181" t="s">
        <v>55</v>
      </c>
      <c r="BE228" s="182">
        <v>0.99814001106752204</v>
      </c>
      <c r="BF228" s="183">
        <v>-16.308720869376</v>
      </c>
      <c r="BG228" s="168">
        <v>4.0000000000000001E-3</v>
      </c>
      <c r="BH228" s="168">
        <v>0</v>
      </c>
      <c r="BI228" s="176">
        <v>1</v>
      </c>
      <c r="BJ228" s="176">
        <v>22</v>
      </c>
      <c r="BK228" s="169"/>
      <c r="BL228" s="185">
        <v>0.8</v>
      </c>
      <c r="BM228" s="182">
        <v>0.83</v>
      </c>
      <c r="BN228" s="186">
        <v>1.1249999999999999E-3</v>
      </c>
      <c r="BO228" s="187">
        <v>0.95</v>
      </c>
      <c r="BP228" s="178">
        <v>1</v>
      </c>
      <c r="BQ228" s="186">
        <v>2.5000000000000001E-3</v>
      </c>
    </row>
    <row r="229" spans="1:69" s="156" customFormat="1" ht="22.35" customHeight="1" x14ac:dyDescent="0.2">
      <c r="A229" s="165" t="s">
        <v>275</v>
      </c>
      <c r="B229" s="165" t="s">
        <v>276</v>
      </c>
      <c r="C229" s="165" t="s">
        <v>296</v>
      </c>
      <c r="D229" s="166">
        <v>3.82718426455556</v>
      </c>
      <c r="E229" s="167"/>
      <c r="F229" s="168">
        <v>0.01</v>
      </c>
      <c r="G229" s="168">
        <v>0.01</v>
      </c>
      <c r="H229" s="169"/>
      <c r="I229" s="170">
        <v>2</v>
      </c>
      <c r="J229" s="170">
        <v>2</v>
      </c>
      <c r="K229" s="167"/>
      <c r="L229" s="171">
        <v>1200.98542</v>
      </c>
      <c r="M229" s="171">
        <v>1790.3992499999999</v>
      </c>
      <c r="N229" s="171">
        <v>2991.3846699999999</v>
      </c>
      <c r="O229" s="166">
        <v>781.61501072835995</v>
      </c>
      <c r="P229" s="172">
        <v>255.06700000000001</v>
      </c>
      <c r="Q229" s="178">
        <v>3.0643517614131199</v>
      </c>
      <c r="R229" s="179">
        <v>1866.81562305388</v>
      </c>
      <c r="S229" s="168">
        <v>0.01</v>
      </c>
      <c r="T229" s="168">
        <v>0.01</v>
      </c>
      <c r="U229" s="175">
        <v>0</v>
      </c>
      <c r="V229" s="176">
        <v>0</v>
      </c>
      <c r="W229" s="167"/>
      <c r="X229" s="175">
        <v>1765.65239</v>
      </c>
      <c r="Y229" s="166">
        <v>461.34501710620998</v>
      </c>
      <c r="Z229" s="177">
        <v>573</v>
      </c>
      <c r="AA229" s="188">
        <v>0.80513964590961595</v>
      </c>
      <c r="AB229" s="171">
        <v>-760.65663429606695</v>
      </c>
      <c r="AC229" s="168"/>
      <c r="AD229" s="168"/>
      <c r="AE229" s="176">
        <v>428</v>
      </c>
      <c r="AF229" s="176">
        <v>866</v>
      </c>
      <c r="AG229" s="167"/>
      <c r="AH229" s="180">
        <v>109.4</v>
      </c>
      <c r="AI229" s="166">
        <v>28.5849837472365</v>
      </c>
      <c r="AJ229" s="181" t="s">
        <v>53</v>
      </c>
      <c r="AK229" s="173">
        <v>0.45372990074978597</v>
      </c>
      <c r="AL229" s="174">
        <v>-168.361725184384</v>
      </c>
      <c r="AM229" s="168"/>
      <c r="AN229" s="168"/>
      <c r="AO229" s="176">
        <v>132</v>
      </c>
      <c r="AP229" s="176">
        <v>180</v>
      </c>
      <c r="AQ229" s="167"/>
      <c r="AR229" s="180">
        <v>10</v>
      </c>
      <c r="AS229" s="166">
        <v>2.61288699700517</v>
      </c>
      <c r="AT229" s="181" t="s">
        <v>54</v>
      </c>
      <c r="AU229" s="173">
        <v>0.16330543731282299</v>
      </c>
      <c r="AV229" s="174">
        <v>-60.542660364288103</v>
      </c>
      <c r="AW229" s="168"/>
      <c r="AX229" s="168"/>
      <c r="AY229" s="176">
        <v>52</v>
      </c>
      <c r="AZ229" s="176">
        <v>64</v>
      </c>
      <c r="BA229" s="167"/>
      <c r="BB229" s="184">
        <v>103.6</v>
      </c>
      <c r="BC229" s="180">
        <v>27.069509288973499</v>
      </c>
      <c r="BD229" s="181" t="s">
        <v>55</v>
      </c>
      <c r="BE229" s="188">
        <v>0.84592216528042297</v>
      </c>
      <c r="BF229" s="171">
        <v>-37.485320728576198</v>
      </c>
      <c r="BG229" s="168"/>
      <c r="BH229" s="168"/>
      <c r="BI229" s="176">
        <v>19</v>
      </c>
      <c r="BJ229" s="176">
        <v>44</v>
      </c>
      <c r="BK229" s="169"/>
      <c r="BL229" s="185">
        <v>0.8</v>
      </c>
      <c r="BM229" s="188">
        <v>0.78</v>
      </c>
      <c r="BN229" s="186"/>
      <c r="BO229" s="187">
        <v>0.95</v>
      </c>
      <c r="BP229" s="178">
        <v>1</v>
      </c>
      <c r="BQ229" s="186">
        <v>2.5000000000000001E-3</v>
      </c>
    </row>
    <row r="230" spans="1:69" s="156" customFormat="1" ht="22.35" customHeight="1" x14ac:dyDescent="0.2">
      <c r="A230" s="165" t="s">
        <v>275</v>
      </c>
      <c r="B230" s="165" t="s">
        <v>276</v>
      </c>
      <c r="C230" s="165" t="s">
        <v>297</v>
      </c>
      <c r="D230" s="166">
        <v>6.0225891787777801</v>
      </c>
      <c r="E230" s="167"/>
      <c r="F230" s="168">
        <v>3.7999999999999999E-2</v>
      </c>
      <c r="G230" s="168">
        <v>3.3000000000000002E-2</v>
      </c>
      <c r="H230" s="169"/>
      <c r="I230" s="170">
        <v>5</v>
      </c>
      <c r="J230" s="170">
        <v>5</v>
      </c>
      <c r="K230" s="167"/>
      <c r="L230" s="171">
        <v>4027.0110100000002</v>
      </c>
      <c r="M230" s="171">
        <v>3703.9573599999999</v>
      </c>
      <c r="N230" s="171">
        <v>7730.9683699999996</v>
      </c>
      <c r="O230" s="166">
        <v>1283.6619169114399</v>
      </c>
      <c r="P230" s="172">
        <v>287.5</v>
      </c>
      <c r="Q230" s="178">
        <v>4.46491101534414</v>
      </c>
      <c r="R230" s="179">
        <v>5736.2868339888</v>
      </c>
      <c r="S230" s="168">
        <v>0.01</v>
      </c>
      <c r="T230" s="168">
        <v>0.01</v>
      </c>
      <c r="U230" s="175">
        <v>0</v>
      </c>
      <c r="V230" s="176">
        <v>0</v>
      </c>
      <c r="W230" s="167"/>
      <c r="X230" s="175">
        <v>3570.6159849999999</v>
      </c>
      <c r="Y230" s="166">
        <v>592.87058755095404</v>
      </c>
      <c r="Z230" s="177">
        <v>573</v>
      </c>
      <c r="AA230" s="182">
        <v>1.03467816326519</v>
      </c>
      <c r="AB230" s="183">
        <v>-404.87104155449703</v>
      </c>
      <c r="AC230" s="168">
        <v>8.0000000000000002E-3</v>
      </c>
      <c r="AD230" s="168">
        <v>3.0000000000000001E-3</v>
      </c>
      <c r="AE230" s="176">
        <v>0</v>
      </c>
      <c r="AF230" s="176">
        <v>571</v>
      </c>
      <c r="AG230" s="167"/>
      <c r="AH230" s="180">
        <v>332.85</v>
      </c>
      <c r="AI230" s="166">
        <v>55.266927582058401</v>
      </c>
      <c r="AJ230" s="181" t="s">
        <v>53</v>
      </c>
      <c r="AK230" s="188">
        <v>0.87725281876283201</v>
      </c>
      <c r="AL230" s="171">
        <v>-104.24543223897599</v>
      </c>
      <c r="AM230" s="168"/>
      <c r="AN230" s="168"/>
      <c r="AO230" s="176">
        <v>47</v>
      </c>
      <c r="AP230" s="176">
        <v>123</v>
      </c>
      <c r="AQ230" s="167"/>
      <c r="AR230" s="180">
        <v>48.7</v>
      </c>
      <c r="AS230" s="166">
        <v>8.0862231432965093</v>
      </c>
      <c r="AT230" s="181" t="s">
        <v>54</v>
      </c>
      <c r="AU230" s="173">
        <v>0.50538894645603205</v>
      </c>
      <c r="AV230" s="174">
        <v>-62.308363743232</v>
      </c>
      <c r="AW230" s="168"/>
      <c r="AX230" s="168"/>
      <c r="AY230" s="176">
        <v>48</v>
      </c>
      <c r="AZ230" s="176">
        <v>67</v>
      </c>
      <c r="BA230" s="167"/>
      <c r="BB230" s="184">
        <v>245.2</v>
      </c>
      <c r="BC230" s="180">
        <v>40.713386339554503</v>
      </c>
      <c r="BD230" s="181" t="s">
        <v>55</v>
      </c>
      <c r="BE230" s="178">
        <v>1.27229332311108</v>
      </c>
      <c r="BF230" s="179">
        <v>23.183272513535901</v>
      </c>
      <c r="BG230" s="168">
        <v>0.02</v>
      </c>
      <c r="BH230" s="168">
        <v>0.02</v>
      </c>
      <c r="BI230" s="176">
        <v>0</v>
      </c>
      <c r="BJ230" s="176">
        <v>0</v>
      </c>
      <c r="BK230" s="169"/>
      <c r="BL230" s="185">
        <v>0.8</v>
      </c>
      <c r="BM230" s="182">
        <v>0.82</v>
      </c>
      <c r="BN230" s="186">
        <v>7.5000000000000002E-4</v>
      </c>
      <c r="BO230" s="187">
        <v>0.95</v>
      </c>
      <c r="BP230" s="178">
        <v>1</v>
      </c>
      <c r="BQ230" s="186">
        <v>2.5000000000000001E-3</v>
      </c>
    </row>
    <row r="231" spans="1:69" s="156" customFormat="1" ht="22.35" customHeight="1" x14ac:dyDescent="0.2">
      <c r="A231" s="165" t="s">
        <v>275</v>
      </c>
      <c r="B231" s="165" t="s">
        <v>276</v>
      </c>
      <c r="C231" s="165" t="s">
        <v>298</v>
      </c>
      <c r="D231" s="166">
        <v>5.7046753833333304</v>
      </c>
      <c r="E231" s="167"/>
      <c r="F231" s="168">
        <v>0.03</v>
      </c>
      <c r="G231" s="168">
        <v>0.03</v>
      </c>
      <c r="H231" s="169"/>
      <c r="I231" s="170">
        <v>3</v>
      </c>
      <c r="J231" s="170">
        <v>3</v>
      </c>
      <c r="K231" s="167"/>
      <c r="L231" s="171">
        <v>3269.0573199999999</v>
      </c>
      <c r="M231" s="171">
        <v>2044.62851</v>
      </c>
      <c r="N231" s="171">
        <v>5313.6858300000004</v>
      </c>
      <c r="O231" s="166">
        <v>931.46155967513198</v>
      </c>
      <c r="P231" s="172">
        <v>221.803</v>
      </c>
      <c r="Q231" s="178">
        <v>4.1994993741073499</v>
      </c>
      <c r="R231" s="179">
        <v>3856.043970615</v>
      </c>
      <c r="S231" s="168">
        <v>0.01</v>
      </c>
      <c r="T231" s="168">
        <v>0.01</v>
      </c>
      <c r="U231" s="175">
        <v>0</v>
      </c>
      <c r="V231" s="176">
        <v>0</v>
      </c>
      <c r="W231" s="167"/>
      <c r="X231" s="175">
        <v>2971.6316550000001</v>
      </c>
      <c r="Y231" s="166">
        <v>520.91161289945796</v>
      </c>
      <c r="Z231" s="177">
        <v>573</v>
      </c>
      <c r="AA231" s="188">
        <v>0.90909531047025804</v>
      </c>
      <c r="AB231" s="171">
        <v>-794.00174683679802</v>
      </c>
      <c r="AC231" s="168"/>
      <c r="AD231" s="168"/>
      <c r="AE231" s="176">
        <v>298</v>
      </c>
      <c r="AF231" s="176">
        <v>951</v>
      </c>
      <c r="AG231" s="167"/>
      <c r="AH231" s="180">
        <v>273.14999999999998</v>
      </c>
      <c r="AI231" s="166">
        <v>47.8817779532258</v>
      </c>
      <c r="AJ231" s="181" t="s">
        <v>53</v>
      </c>
      <c r="AK231" s="173">
        <v>0.760028221479775</v>
      </c>
      <c r="AL231" s="174">
        <v>-140.8725206208</v>
      </c>
      <c r="AM231" s="168"/>
      <c r="AN231" s="168"/>
      <c r="AO231" s="176">
        <v>87</v>
      </c>
      <c r="AP231" s="176">
        <v>159</v>
      </c>
      <c r="AQ231" s="167"/>
      <c r="AR231" s="180">
        <v>22.6</v>
      </c>
      <c r="AS231" s="166">
        <v>3.9616627557858402</v>
      </c>
      <c r="AT231" s="181" t="s">
        <v>54</v>
      </c>
      <c r="AU231" s="173">
        <v>0.24760392223661501</v>
      </c>
      <c r="AV231" s="174">
        <v>-82.548576665599896</v>
      </c>
      <c r="AW231" s="168"/>
      <c r="AX231" s="168"/>
      <c r="AY231" s="176">
        <v>69</v>
      </c>
      <c r="AZ231" s="176">
        <v>87</v>
      </c>
      <c r="BA231" s="167"/>
      <c r="BB231" s="184">
        <v>254.6</v>
      </c>
      <c r="BC231" s="180">
        <v>44.6300591868618</v>
      </c>
      <c r="BD231" s="181" t="s">
        <v>55</v>
      </c>
      <c r="BE231" s="178">
        <v>1.3946893495894299</v>
      </c>
      <c r="BF231" s="179">
        <v>44.3028466688001</v>
      </c>
      <c r="BG231" s="168">
        <v>0.02</v>
      </c>
      <c r="BH231" s="168">
        <v>0.02</v>
      </c>
      <c r="BI231" s="176">
        <v>0</v>
      </c>
      <c r="BJ231" s="176">
        <v>0</v>
      </c>
      <c r="BK231" s="169"/>
      <c r="BL231" s="185">
        <v>0.8</v>
      </c>
      <c r="BM231" s="188">
        <v>0.78</v>
      </c>
      <c r="BN231" s="186"/>
      <c r="BO231" s="187">
        <v>0.95</v>
      </c>
      <c r="BP231" s="178">
        <v>1</v>
      </c>
      <c r="BQ231" s="186">
        <v>2.5000000000000001E-3</v>
      </c>
    </row>
    <row r="232" spans="1:69" s="156" customFormat="1" ht="22.35" customHeight="1" x14ac:dyDescent="0.2">
      <c r="A232" s="165" t="s">
        <v>275</v>
      </c>
      <c r="B232" s="165" t="s">
        <v>299</v>
      </c>
      <c r="C232" s="165" t="s">
        <v>300</v>
      </c>
      <c r="D232" s="166">
        <v>2.4562906796666701</v>
      </c>
      <c r="E232" s="167"/>
      <c r="F232" s="168">
        <v>5.6000000000000001E-2</v>
      </c>
      <c r="G232" s="168">
        <v>5.1999999999999998E-2</v>
      </c>
      <c r="H232" s="169"/>
      <c r="I232" s="170">
        <v>6</v>
      </c>
      <c r="J232" s="170">
        <v>6</v>
      </c>
      <c r="K232" s="167"/>
      <c r="L232" s="171">
        <v>663.61536000000001</v>
      </c>
      <c r="M232" s="171">
        <v>619.00946999999996</v>
      </c>
      <c r="N232" s="171">
        <v>1282.62483</v>
      </c>
      <c r="O232" s="166">
        <v>522.17957777459003</v>
      </c>
      <c r="P232" s="172">
        <v>232.92099999999999</v>
      </c>
      <c r="Q232" s="178">
        <v>2.24187418813499</v>
      </c>
      <c r="R232" s="179">
        <v>623.54065302876597</v>
      </c>
      <c r="S232" s="168">
        <v>0.01</v>
      </c>
      <c r="T232" s="168">
        <v>0.01</v>
      </c>
      <c r="U232" s="175">
        <v>0</v>
      </c>
      <c r="V232" s="176">
        <v>0</v>
      </c>
      <c r="W232" s="167"/>
      <c r="X232" s="175">
        <v>2009.63285</v>
      </c>
      <c r="Y232" s="166">
        <v>818.15758478256305</v>
      </c>
      <c r="Z232" s="177">
        <v>573</v>
      </c>
      <c r="AA232" s="178">
        <v>1.4278491881022</v>
      </c>
      <c r="AB232" s="179">
        <v>388.24519751474998</v>
      </c>
      <c r="AC232" s="168">
        <v>0.02</v>
      </c>
      <c r="AD232" s="168">
        <v>0.02</v>
      </c>
      <c r="AE232" s="176">
        <v>0</v>
      </c>
      <c r="AF232" s="176">
        <v>0</v>
      </c>
      <c r="AG232" s="167"/>
      <c r="AH232" s="180">
        <v>157.19999999999999</v>
      </c>
      <c r="AI232" s="166">
        <v>63.9989400689877</v>
      </c>
      <c r="AJ232" s="181" t="s">
        <v>53</v>
      </c>
      <c r="AK232" s="182">
        <v>1.0158561915712301</v>
      </c>
      <c r="AL232" s="183">
        <v>-21.0677523674882</v>
      </c>
      <c r="AM232" s="168">
        <v>6.0000000000000001E-3</v>
      </c>
      <c r="AN232" s="168">
        <v>2E-3</v>
      </c>
      <c r="AO232" s="176">
        <v>0</v>
      </c>
      <c r="AP232" s="176">
        <v>29</v>
      </c>
      <c r="AQ232" s="167"/>
      <c r="AR232" s="180">
        <v>10</v>
      </c>
      <c r="AS232" s="166">
        <v>4.0711793937015104</v>
      </c>
      <c r="AT232" s="181" t="s">
        <v>54</v>
      </c>
      <c r="AU232" s="173">
        <v>0.25444871210634401</v>
      </c>
      <c r="AV232" s="174">
        <v>-35.274349807616098</v>
      </c>
      <c r="AW232" s="168"/>
      <c r="AX232" s="168"/>
      <c r="AY232" s="176">
        <v>30</v>
      </c>
      <c r="AZ232" s="176">
        <v>38</v>
      </c>
      <c r="BA232" s="167"/>
      <c r="BB232" s="184">
        <v>98.6</v>
      </c>
      <c r="BC232" s="180">
        <v>40.141828821896802</v>
      </c>
      <c r="BD232" s="181" t="s">
        <v>55</v>
      </c>
      <c r="BE232" s="178">
        <v>1.2544321506842799</v>
      </c>
      <c r="BF232" s="179">
        <v>8.0513003847678792</v>
      </c>
      <c r="BG232" s="168">
        <v>0.02</v>
      </c>
      <c r="BH232" s="168">
        <v>0.02</v>
      </c>
      <c r="BI232" s="176">
        <v>0</v>
      </c>
      <c r="BJ232" s="176">
        <v>0</v>
      </c>
      <c r="BK232" s="169"/>
      <c r="BL232" s="185">
        <v>0.8</v>
      </c>
      <c r="BM232" s="182">
        <v>0.85</v>
      </c>
      <c r="BN232" s="186">
        <v>1.8749999999999999E-3</v>
      </c>
      <c r="BO232" s="187">
        <v>0.95</v>
      </c>
      <c r="BP232" s="178">
        <v>1</v>
      </c>
      <c r="BQ232" s="186">
        <v>2.5000000000000001E-3</v>
      </c>
    </row>
    <row r="233" spans="1:69" s="156" customFormat="1" ht="22.35" customHeight="1" x14ac:dyDescent="0.2">
      <c r="A233" s="165" t="s">
        <v>275</v>
      </c>
      <c r="B233" s="165" t="s">
        <v>299</v>
      </c>
      <c r="C233" s="165" t="s">
        <v>301</v>
      </c>
      <c r="D233" s="166">
        <v>3.3263409928888898</v>
      </c>
      <c r="E233" s="167"/>
      <c r="F233" s="168">
        <v>4.2000000000000003E-2</v>
      </c>
      <c r="G233" s="168">
        <v>3.5000000000000003E-2</v>
      </c>
      <c r="H233" s="169"/>
      <c r="I233" s="170">
        <v>5</v>
      </c>
      <c r="J233" s="170">
        <v>4</v>
      </c>
      <c r="K233" s="167"/>
      <c r="L233" s="171">
        <v>857.91168000000005</v>
      </c>
      <c r="M233" s="171">
        <v>1851.83419</v>
      </c>
      <c r="N233" s="171">
        <v>2709.7458700000002</v>
      </c>
      <c r="O233" s="166">
        <v>814.63261757978</v>
      </c>
      <c r="P233" s="172">
        <v>222.845</v>
      </c>
      <c r="Q233" s="178">
        <v>3.6556019546311602</v>
      </c>
      <c r="R233" s="179">
        <v>1855.81612573851</v>
      </c>
      <c r="S233" s="168">
        <v>0.01</v>
      </c>
      <c r="T233" s="168">
        <v>0.01</v>
      </c>
      <c r="U233" s="175">
        <v>0</v>
      </c>
      <c r="V233" s="176">
        <v>0</v>
      </c>
      <c r="W233" s="167"/>
      <c r="X233" s="175">
        <v>2010.3578399999999</v>
      </c>
      <c r="Y233" s="166">
        <v>604.37515104367799</v>
      </c>
      <c r="Z233" s="177">
        <v>573</v>
      </c>
      <c r="AA233" s="182">
        <v>1.0547559355038001</v>
      </c>
      <c r="AB233" s="183">
        <v>-185.346544041985</v>
      </c>
      <c r="AC233" s="168">
        <v>0.01</v>
      </c>
      <c r="AD233" s="168">
        <v>5.0000000000000001E-3</v>
      </c>
      <c r="AE233" s="176">
        <v>0</v>
      </c>
      <c r="AF233" s="176">
        <v>277</v>
      </c>
      <c r="AG233" s="167"/>
      <c r="AH233" s="180">
        <v>205.65</v>
      </c>
      <c r="AI233" s="166">
        <v>61.824689783651799</v>
      </c>
      <c r="AJ233" s="181" t="s">
        <v>53</v>
      </c>
      <c r="AK233" s="182">
        <v>0.981344282280188</v>
      </c>
      <c r="AL233" s="183">
        <v>-35.762523899903996</v>
      </c>
      <c r="AM233" s="168">
        <v>2E-3</v>
      </c>
      <c r="AN233" s="168"/>
      <c r="AO233" s="176">
        <v>4</v>
      </c>
      <c r="AP233" s="176">
        <v>46</v>
      </c>
      <c r="AQ233" s="167"/>
      <c r="AR233" s="180">
        <v>29.2</v>
      </c>
      <c r="AS233" s="166">
        <v>8.7784144988214603</v>
      </c>
      <c r="AT233" s="181" t="s">
        <v>54</v>
      </c>
      <c r="AU233" s="173">
        <v>0.54865090617634105</v>
      </c>
      <c r="AV233" s="174">
        <v>-32.111117180927998</v>
      </c>
      <c r="AW233" s="168"/>
      <c r="AX233" s="168"/>
      <c r="AY233" s="176">
        <v>25</v>
      </c>
      <c r="AZ233" s="176">
        <v>35</v>
      </c>
      <c r="BA233" s="167"/>
      <c r="BB233" s="184">
        <v>167.6</v>
      </c>
      <c r="BC233" s="180">
        <v>50.385694178167</v>
      </c>
      <c r="BD233" s="181" t="s">
        <v>55</v>
      </c>
      <c r="BE233" s="178">
        <v>1.5745529430677201</v>
      </c>
      <c r="BF233" s="179">
        <v>44.977765638144</v>
      </c>
      <c r="BG233" s="168">
        <v>0.02</v>
      </c>
      <c r="BH233" s="168">
        <v>0.02</v>
      </c>
      <c r="BI233" s="176">
        <v>0</v>
      </c>
      <c r="BJ233" s="176">
        <v>0</v>
      </c>
      <c r="BK233" s="169"/>
      <c r="BL233" s="185">
        <v>0.8</v>
      </c>
      <c r="BM233" s="188">
        <v>0.72</v>
      </c>
      <c r="BN233" s="186"/>
      <c r="BO233" s="187">
        <v>0.95</v>
      </c>
      <c r="BP233" s="178">
        <v>1</v>
      </c>
      <c r="BQ233" s="186">
        <v>2.5000000000000001E-3</v>
      </c>
    </row>
    <row r="234" spans="1:69" s="156" customFormat="1" ht="22.35" customHeight="1" x14ac:dyDescent="0.2">
      <c r="A234" s="165" t="s">
        <v>275</v>
      </c>
      <c r="B234" s="165" t="s">
        <v>299</v>
      </c>
      <c r="C234" s="165" t="s">
        <v>302</v>
      </c>
      <c r="D234" s="166">
        <v>2.2747145523333301</v>
      </c>
      <c r="E234" s="167"/>
      <c r="F234" s="168">
        <v>3.5000000000000003E-2</v>
      </c>
      <c r="G234" s="168">
        <v>3.1E-2</v>
      </c>
      <c r="H234" s="169"/>
      <c r="I234" s="170">
        <v>5</v>
      </c>
      <c r="J234" s="170">
        <v>5</v>
      </c>
      <c r="K234" s="167"/>
      <c r="L234" s="171">
        <v>1182.6841899999999</v>
      </c>
      <c r="M234" s="171">
        <v>915.76314000000002</v>
      </c>
      <c r="N234" s="171">
        <v>2098.44733</v>
      </c>
      <c r="O234" s="166">
        <v>922.510179506908</v>
      </c>
      <c r="P234" s="172">
        <v>212.5</v>
      </c>
      <c r="Q234" s="178">
        <v>4.3412243741501602</v>
      </c>
      <c r="R234" s="179">
        <v>1541.5972075888001</v>
      </c>
      <c r="S234" s="168">
        <v>0.01</v>
      </c>
      <c r="T234" s="168">
        <v>0.01</v>
      </c>
      <c r="U234" s="175">
        <v>0</v>
      </c>
      <c r="V234" s="176">
        <v>0</v>
      </c>
      <c r="W234" s="167"/>
      <c r="X234" s="175">
        <v>1703.2826250000001</v>
      </c>
      <c r="Y234" s="166">
        <v>748.78961109772001</v>
      </c>
      <c r="Z234" s="177">
        <v>573</v>
      </c>
      <c r="AA234" s="178">
        <v>1.306788152003</v>
      </c>
      <c r="AB234" s="179">
        <v>201.75264786297799</v>
      </c>
      <c r="AC234" s="168">
        <v>0.02</v>
      </c>
      <c r="AD234" s="168">
        <v>0.02</v>
      </c>
      <c r="AE234" s="176">
        <v>0</v>
      </c>
      <c r="AF234" s="176">
        <v>0</v>
      </c>
      <c r="AG234" s="167"/>
      <c r="AH234" s="180">
        <v>123.3</v>
      </c>
      <c r="AI234" s="166">
        <v>54.204603330788302</v>
      </c>
      <c r="AJ234" s="181" t="s">
        <v>53</v>
      </c>
      <c r="AK234" s="188">
        <v>0.86039052906013203</v>
      </c>
      <c r="AL234" s="171">
        <v>-41.789683350143797</v>
      </c>
      <c r="AM234" s="168"/>
      <c r="AN234" s="168"/>
      <c r="AO234" s="176">
        <v>21</v>
      </c>
      <c r="AP234" s="176">
        <v>49</v>
      </c>
      <c r="AQ234" s="167"/>
      <c r="AR234" s="180">
        <v>19.600000000000001</v>
      </c>
      <c r="AS234" s="166">
        <v>8.6164657362810306</v>
      </c>
      <c r="AT234" s="181" t="s">
        <v>54</v>
      </c>
      <c r="AU234" s="173">
        <v>0.53852910851756397</v>
      </c>
      <c r="AV234" s="174">
        <v>-22.327538628607901</v>
      </c>
      <c r="AW234" s="168"/>
      <c r="AX234" s="168"/>
      <c r="AY234" s="176">
        <v>17</v>
      </c>
      <c r="AZ234" s="176">
        <v>25</v>
      </c>
      <c r="BA234" s="167"/>
      <c r="BB234" s="184">
        <v>73.599999999999994</v>
      </c>
      <c r="BC234" s="180">
        <v>32.355708070932799</v>
      </c>
      <c r="BD234" s="181" t="s">
        <v>55</v>
      </c>
      <c r="BE234" s="182">
        <v>1.01111587721665</v>
      </c>
      <c r="BF234" s="183">
        <v>-10.2550772572159</v>
      </c>
      <c r="BG234" s="168">
        <v>5.0000000000000001E-3</v>
      </c>
      <c r="BH234" s="168">
        <v>1E-3</v>
      </c>
      <c r="BI234" s="176">
        <v>0</v>
      </c>
      <c r="BJ234" s="176">
        <v>14</v>
      </c>
      <c r="BK234" s="169"/>
      <c r="BL234" s="185">
        <v>0.8</v>
      </c>
      <c r="BM234" s="182">
        <v>0.82</v>
      </c>
      <c r="BN234" s="186">
        <v>7.5000000000000002E-4</v>
      </c>
      <c r="BO234" s="187">
        <v>0.95</v>
      </c>
      <c r="BP234" s="178">
        <v>1</v>
      </c>
      <c r="BQ234" s="186">
        <v>2.5000000000000001E-3</v>
      </c>
    </row>
    <row r="235" spans="1:69" s="156" customFormat="1" ht="22.35" customHeight="1" x14ac:dyDescent="0.2">
      <c r="A235" s="165" t="s">
        <v>275</v>
      </c>
      <c r="B235" s="165" t="s">
        <v>299</v>
      </c>
      <c r="C235" s="165" t="s">
        <v>303</v>
      </c>
      <c r="D235" s="166">
        <v>2.9376340330000001</v>
      </c>
      <c r="E235" s="167"/>
      <c r="F235" s="168">
        <v>7.0000000000000007E-2</v>
      </c>
      <c r="G235" s="168">
        <v>6.3E-2</v>
      </c>
      <c r="H235" s="169"/>
      <c r="I235" s="170">
        <v>5</v>
      </c>
      <c r="J235" s="170">
        <v>5</v>
      </c>
      <c r="K235" s="167"/>
      <c r="L235" s="171">
        <v>966.06984</v>
      </c>
      <c r="M235" s="171">
        <v>1969.1160600000001</v>
      </c>
      <c r="N235" s="171">
        <v>2935.1858999999999</v>
      </c>
      <c r="O235" s="166">
        <v>999.16663104644795</v>
      </c>
      <c r="P235" s="172">
        <v>229.05500000000001</v>
      </c>
      <c r="Q235" s="178">
        <v>4.36212538930147</v>
      </c>
      <c r="R235" s="179">
        <v>2160.02841253</v>
      </c>
      <c r="S235" s="168">
        <v>0.01</v>
      </c>
      <c r="T235" s="168">
        <v>0.01</v>
      </c>
      <c r="U235" s="175">
        <v>0</v>
      </c>
      <c r="V235" s="176">
        <v>0</v>
      </c>
      <c r="W235" s="167"/>
      <c r="X235" s="175">
        <v>1941.42091</v>
      </c>
      <c r="Y235" s="166">
        <v>660.87909119753795</v>
      </c>
      <c r="Z235" s="177">
        <v>573</v>
      </c>
      <c r="AA235" s="178">
        <v>1.1533666513045999</v>
      </c>
      <c r="AB235" s="179">
        <v>2.30043535283176</v>
      </c>
      <c r="AC235" s="168">
        <v>0.02</v>
      </c>
      <c r="AD235" s="168">
        <v>1.4999999999999999E-2</v>
      </c>
      <c r="AE235" s="176">
        <v>0</v>
      </c>
      <c r="AF235" s="176">
        <v>79</v>
      </c>
      <c r="AG235" s="167"/>
      <c r="AH235" s="180">
        <v>218.5</v>
      </c>
      <c r="AI235" s="166">
        <v>74.379584912713298</v>
      </c>
      <c r="AJ235" s="181" t="s">
        <v>53</v>
      </c>
      <c r="AK235" s="178">
        <v>1.1806283319478299</v>
      </c>
      <c r="AL235" s="179">
        <v>5.2982724209920198</v>
      </c>
      <c r="AM235" s="168">
        <v>0.02</v>
      </c>
      <c r="AN235" s="168">
        <v>1.7999999999999999E-2</v>
      </c>
      <c r="AO235" s="176">
        <v>0</v>
      </c>
      <c r="AP235" s="176">
        <v>4</v>
      </c>
      <c r="AQ235" s="167"/>
      <c r="AR235" s="180">
        <v>25.1</v>
      </c>
      <c r="AS235" s="166">
        <v>8.5442909899730193</v>
      </c>
      <c r="AT235" s="181" t="s">
        <v>54</v>
      </c>
      <c r="AU235" s="173">
        <v>0.53401818687331404</v>
      </c>
      <c r="AV235" s="174">
        <v>-29.046470496255999</v>
      </c>
      <c r="AW235" s="168"/>
      <c r="AX235" s="168"/>
      <c r="AY235" s="176">
        <v>22</v>
      </c>
      <c r="AZ235" s="176">
        <v>32</v>
      </c>
      <c r="BA235" s="167"/>
      <c r="BB235" s="184">
        <v>128.6</v>
      </c>
      <c r="BC235" s="180">
        <v>43.776725948626698</v>
      </c>
      <c r="BD235" s="181" t="s">
        <v>55</v>
      </c>
      <c r="BE235" s="178">
        <v>1.3680226858945801</v>
      </c>
      <c r="BF235" s="179">
        <v>20.307059007488</v>
      </c>
      <c r="BG235" s="168">
        <v>0.02</v>
      </c>
      <c r="BH235" s="168">
        <v>0.02</v>
      </c>
      <c r="BI235" s="176">
        <v>0</v>
      </c>
      <c r="BJ235" s="176">
        <v>0</v>
      </c>
      <c r="BK235" s="169"/>
      <c r="BL235" s="185">
        <v>0.8</v>
      </c>
      <c r="BM235" s="188">
        <v>0.76</v>
      </c>
      <c r="BN235" s="186"/>
      <c r="BO235" s="187">
        <v>0.95</v>
      </c>
      <c r="BP235" s="178">
        <v>1</v>
      </c>
      <c r="BQ235" s="186">
        <v>2.5000000000000001E-3</v>
      </c>
    </row>
    <row r="236" spans="1:69" s="156" customFormat="1" ht="22.35" customHeight="1" x14ac:dyDescent="0.2">
      <c r="A236" s="165" t="s">
        <v>275</v>
      </c>
      <c r="B236" s="165" t="s">
        <v>299</v>
      </c>
      <c r="C236" s="165" t="s">
        <v>304</v>
      </c>
      <c r="D236" s="166">
        <v>3.2454949072222199</v>
      </c>
      <c r="E236" s="167"/>
      <c r="F236" s="168">
        <v>0.01</v>
      </c>
      <c r="G236" s="168">
        <v>0.01</v>
      </c>
      <c r="H236" s="169"/>
      <c r="I236" s="170">
        <v>2</v>
      </c>
      <c r="J236" s="170">
        <v>2</v>
      </c>
      <c r="K236" s="167"/>
      <c r="L236" s="171">
        <v>1451.7116100000001</v>
      </c>
      <c r="M236" s="171">
        <v>-42.561160000000001</v>
      </c>
      <c r="N236" s="171">
        <v>1409.1504500000001</v>
      </c>
      <c r="O236" s="166">
        <v>434.18661568816799</v>
      </c>
      <c r="P236" s="172">
        <v>242.61199999999999</v>
      </c>
      <c r="Q236" s="178">
        <v>1.78963371839879</v>
      </c>
      <c r="R236" s="179">
        <v>502.07024598349102</v>
      </c>
      <c r="S236" s="168">
        <v>0.01</v>
      </c>
      <c r="T236" s="168">
        <v>0.01</v>
      </c>
      <c r="U236" s="175">
        <v>0</v>
      </c>
      <c r="V236" s="176">
        <v>0</v>
      </c>
      <c r="W236" s="167"/>
      <c r="X236" s="175">
        <v>1261.8269250000001</v>
      </c>
      <c r="Y236" s="166">
        <v>388.79337699530799</v>
      </c>
      <c r="Z236" s="177">
        <v>573</v>
      </c>
      <c r="AA236" s="173">
        <v>0.67852247294120005</v>
      </c>
      <c r="AB236" s="174">
        <v>-880.51128127775905</v>
      </c>
      <c r="AC236" s="168"/>
      <c r="AD236" s="168"/>
      <c r="AE236" s="176">
        <v>598</v>
      </c>
      <c r="AF236" s="176">
        <v>970</v>
      </c>
      <c r="AG236" s="167"/>
      <c r="AH236" s="180">
        <v>140.30000000000001</v>
      </c>
      <c r="AI236" s="166">
        <v>43.229154261739701</v>
      </c>
      <c r="AJ236" s="181" t="s">
        <v>53</v>
      </c>
      <c r="AK236" s="173">
        <v>0.68617705177364596</v>
      </c>
      <c r="AL236" s="174">
        <v>-95.245038386559798</v>
      </c>
      <c r="AM236" s="168"/>
      <c r="AN236" s="168"/>
      <c r="AO236" s="176">
        <v>65</v>
      </c>
      <c r="AP236" s="176">
        <v>106</v>
      </c>
      <c r="AQ236" s="167"/>
      <c r="AR236" s="180">
        <v>12.8</v>
      </c>
      <c r="AS236" s="166">
        <v>3.9439285427674098</v>
      </c>
      <c r="AT236" s="181" t="s">
        <v>54</v>
      </c>
      <c r="AU236" s="173">
        <v>0.246495533922963</v>
      </c>
      <c r="AV236" s="174">
        <v>-47.020962129920001</v>
      </c>
      <c r="AW236" s="168"/>
      <c r="AX236" s="168"/>
      <c r="AY236" s="176">
        <v>40</v>
      </c>
      <c r="AZ236" s="176">
        <v>50</v>
      </c>
      <c r="BA236" s="167"/>
      <c r="BB236" s="184">
        <v>84</v>
      </c>
      <c r="BC236" s="180">
        <v>25.8820310619111</v>
      </c>
      <c r="BD236" s="181" t="s">
        <v>55</v>
      </c>
      <c r="BE236" s="188">
        <v>0.80881347068472298</v>
      </c>
      <c r="BF236" s="171">
        <v>-35.641924259839897</v>
      </c>
      <c r="BG236" s="168"/>
      <c r="BH236" s="168"/>
      <c r="BI236" s="176">
        <v>20</v>
      </c>
      <c r="BJ236" s="176">
        <v>41</v>
      </c>
      <c r="BK236" s="169"/>
      <c r="BL236" s="185">
        <v>0.8</v>
      </c>
      <c r="BM236" s="188">
        <v>0.74</v>
      </c>
      <c r="BN236" s="186"/>
      <c r="BO236" s="187">
        <v>0.95</v>
      </c>
      <c r="BP236" s="178">
        <v>1</v>
      </c>
      <c r="BQ236" s="186">
        <v>2.5000000000000001E-3</v>
      </c>
    </row>
    <row r="237" spans="1:69" s="156" customFormat="1" ht="22.35" customHeight="1" x14ac:dyDescent="0.2">
      <c r="A237" s="165" t="s">
        <v>275</v>
      </c>
      <c r="B237" s="165" t="s">
        <v>299</v>
      </c>
      <c r="C237" s="165" t="s">
        <v>305</v>
      </c>
      <c r="D237" s="166">
        <v>2.8560806016666702</v>
      </c>
      <c r="E237" s="167"/>
      <c r="F237" s="168">
        <v>0.05</v>
      </c>
      <c r="G237" s="168">
        <v>0.04</v>
      </c>
      <c r="H237" s="169"/>
      <c r="I237" s="170">
        <v>7</v>
      </c>
      <c r="J237" s="170">
        <v>7</v>
      </c>
      <c r="K237" s="167"/>
      <c r="L237" s="171">
        <v>973.97928000000002</v>
      </c>
      <c r="M237" s="171">
        <v>1938.3076100000001</v>
      </c>
      <c r="N237" s="171">
        <v>2912.2868899999999</v>
      </c>
      <c r="O237" s="166">
        <v>1019.67951755302</v>
      </c>
      <c r="P237" s="172">
        <v>215.88200000000001</v>
      </c>
      <c r="Q237" s="178">
        <v>4.72331883877776</v>
      </c>
      <c r="R237" s="179">
        <v>2201.9908858987501</v>
      </c>
      <c r="S237" s="168">
        <v>0.01</v>
      </c>
      <c r="T237" s="168">
        <v>0.01</v>
      </c>
      <c r="U237" s="175">
        <v>0</v>
      </c>
      <c r="V237" s="176">
        <v>0</v>
      </c>
      <c r="W237" s="167"/>
      <c r="X237" s="175">
        <v>1652.8358499999999</v>
      </c>
      <c r="Y237" s="166">
        <v>578.70770490002496</v>
      </c>
      <c r="Z237" s="177">
        <v>573</v>
      </c>
      <c r="AA237" s="182">
        <v>1.00996109057596</v>
      </c>
      <c r="AB237" s="183">
        <v>-232.45153083776199</v>
      </c>
      <c r="AC237" s="168">
        <v>5.0000000000000001E-3</v>
      </c>
      <c r="AD237" s="168">
        <v>1E-3</v>
      </c>
      <c r="AE237" s="176">
        <v>0</v>
      </c>
      <c r="AF237" s="176">
        <v>312</v>
      </c>
      <c r="AG237" s="167"/>
      <c r="AH237" s="180">
        <v>181.5</v>
      </c>
      <c r="AI237" s="166">
        <v>63.548626706853298</v>
      </c>
      <c r="AJ237" s="181" t="s">
        <v>53</v>
      </c>
      <c r="AK237" s="182">
        <v>1.0087083604262399</v>
      </c>
      <c r="AL237" s="183">
        <v>-25.7829057465602</v>
      </c>
      <c r="AM237" s="168">
        <v>5.0000000000000001E-3</v>
      </c>
      <c r="AN237" s="168">
        <v>1E-3</v>
      </c>
      <c r="AO237" s="176">
        <v>0</v>
      </c>
      <c r="AP237" s="176">
        <v>35</v>
      </c>
      <c r="AQ237" s="167"/>
      <c r="AR237" s="180">
        <v>52.8</v>
      </c>
      <c r="AS237" s="166">
        <v>18.486873223811902</v>
      </c>
      <c r="AT237" s="181" t="s">
        <v>54</v>
      </c>
      <c r="AU237" s="178">
        <v>1.1554295764882401</v>
      </c>
      <c r="AV237" s="179">
        <v>0.156722350079946</v>
      </c>
      <c r="AW237" s="168">
        <v>0.01</v>
      </c>
      <c r="AX237" s="168">
        <v>8.0000000000000002E-3</v>
      </c>
      <c r="AY237" s="176">
        <v>0</v>
      </c>
      <c r="AZ237" s="176">
        <v>3</v>
      </c>
      <c r="BA237" s="167"/>
      <c r="BB237" s="184">
        <v>131.6</v>
      </c>
      <c r="BC237" s="180">
        <v>46.077130989652296</v>
      </c>
      <c r="BD237" s="181" t="s">
        <v>55</v>
      </c>
      <c r="BE237" s="178">
        <v>1.43991034342663</v>
      </c>
      <c r="BF237" s="179">
        <v>26.313444700159899</v>
      </c>
      <c r="BG237" s="168">
        <v>0.02</v>
      </c>
      <c r="BH237" s="168">
        <v>0.02</v>
      </c>
      <c r="BI237" s="176">
        <v>0</v>
      </c>
      <c r="BJ237" s="176">
        <v>0</v>
      </c>
      <c r="BK237" s="169"/>
      <c r="BL237" s="185">
        <v>0.8</v>
      </c>
      <c r="BM237" s="182">
        <v>0.81</v>
      </c>
      <c r="BN237" s="186">
        <v>3.7500000000000001E-4</v>
      </c>
      <c r="BO237" s="187">
        <v>0.95</v>
      </c>
      <c r="BP237" s="178">
        <v>1</v>
      </c>
      <c r="BQ237" s="186">
        <v>2.5000000000000001E-3</v>
      </c>
    </row>
    <row r="238" spans="1:69" s="156" customFormat="1" ht="22.35" customHeight="1" x14ac:dyDescent="0.2">
      <c r="A238" s="165" t="s">
        <v>275</v>
      </c>
      <c r="B238" s="165" t="s">
        <v>299</v>
      </c>
      <c r="C238" s="165" t="s">
        <v>306</v>
      </c>
      <c r="D238" s="166">
        <v>9.2014397199999998</v>
      </c>
      <c r="E238" s="167"/>
      <c r="F238" s="168">
        <v>3.5000000000000003E-2</v>
      </c>
      <c r="G238" s="168">
        <v>3.1E-2</v>
      </c>
      <c r="H238" s="169"/>
      <c r="I238" s="170">
        <v>4</v>
      </c>
      <c r="J238" s="170">
        <v>4</v>
      </c>
      <c r="K238" s="167"/>
      <c r="L238" s="171">
        <v>6164.6352299999999</v>
      </c>
      <c r="M238" s="171">
        <v>-1779.73397</v>
      </c>
      <c r="N238" s="171">
        <v>4384.9012599999996</v>
      </c>
      <c r="O238" s="166">
        <v>476.54512700540698</v>
      </c>
      <c r="P238" s="172">
        <v>232.92099999999999</v>
      </c>
      <c r="Q238" s="178">
        <v>2.0459517476114502</v>
      </c>
      <c r="R238" s="179">
        <v>1915.92502074252</v>
      </c>
      <c r="S238" s="168">
        <v>0.01</v>
      </c>
      <c r="T238" s="168">
        <v>0.01</v>
      </c>
      <c r="U238" s="175">
        <v>0</v>
      </c>
      <c r="V238" s="176">
        <v>0</v>
      </c>
      <c r="W238" s="167"/>
      <c r="X238" s="175">
        <v>5320.7460350000001</v>
      </c>
      <c r="Y238" s="166">
        <v>578.25146899946196</v>
      </c>
      <c r="Z238" s="177">
        <v>573</v>
      </c>
      <c r="AA238" s="182">
        <v>1.0091648673638101</v>
      </c>
      <c r="AB238" s="183">
        <v>-753.08751841312005</v>
      </c>
      <c r="AC238" s="168">
        <v>5.0000000000000001E-3</v>
      </c>
      <c r="AD238" s="168">
        <v>1E-3</v>
      </c>
      <c r="AE238" s="176">
        <v>0</v>
      </c>
      <c r="AF238" s="176">
        <v>1007</v>
      </c>
      <c r="AG238" s="167"/>
      <c r="AH238" s="180">
        <v>551.79999999999995</v>
      </c>
      <c r="AI238" s="166">
        <v>59.9688762618987</v>
      </c>
      <c r="AJ238" s="181" t="s">
        <v>53</v>
      </c>
      <c r="AK238" s="188">
        <v>0.95188692479204295</v>
      </c>
      <c r="AL238" s="171">
        <v>-116.00368911872</v>
      </c>
      <c r="AM238" s="168"/>
      <c r="AN238" s="168"/>
      <c r="AO238" s="176">
        <v>28</v>
      </c>
      <c r="AP238" s="176">
        <v>144</v>
      </c>
      <c r="AQ238" s="167"/>
      <c r="AR238" s="180">
        <v>49.8</v>
      </c>
      <c r="AS238" s="166">
        <v>5.4121965165686001</v>
      </c>
      <c r="AT238" s="181" t="s">
        <v>54</v>
      </c>
      <c r="AU238" s="173">
        <v>0.33826228228553701</v>
      </c>
      <c r="AV238" s="174">
        <v>-119.80093691904</v>
      </c>
      <c r="AW238" s="168"/>
      <c r="AX238" s="168"/>
      <c r="AY238" s="176">
        <v>98</v>
      </c>
      <c r="AZ238" s="176">
        <v>127</v>
      </c>
      <c r="BA238" s="167"/>
      <c r="BB238" s="184">
        <v>363</v>
      </c>
      <c r="BC238" s="180">
        <v>39.450348102698896</v>
      </c>
      <c r="BD238" s="181" t="s">
        <v>55</v>
      </c>
      <c r="BE238" s="178">
        <v>1.2328233782093401</v>
      </c>
      <c r="BF238" s="179">
        <v>23.798126161919999</v>
      </c>
      <c r="BG238" s="168">
        <v>0.02</v>
      </c>
      <c r="BH238" s="168">
        <v>0.02</v>
      </c>
      <c r="BI238" s="176">
        <v>0</v>
      </c>
      <c r="BJ238" s="176">
        <v>0</v>
      </c>
      <c r="BK238" s="169"/>
      <c r="BL238" s="185">
        <v>0.8</v>
      </c>
      <c r="BM238" s="188">
        <v>0.77</v>
      </c>
      <c r="BN238" s="186"/>
      <c r="BO238" s="187">
        <v>0.95</v>
      </c>
      <c r="BP238" s="178">
        <v>1</v>
      </c>
      <c r="BQ238" s="186">
        <v>2.5000000000000001E-3</v>
      </c>
    </row>
    <row r="239" spans="1:69" s="156" customFormat="1" ht="22.35" customHeight="1" x14ac:dyDescent="0.2">
      <c r="A239" s="165" t="s">
        <v>275</v>
      </c>
      <c r="B239" s="165" t="s">
        <v>299</v>
      </c>
      <c r="C239" s="165" t="s">
        <v>307</v>
      </c>
      <c r="D239" s="166">
        <v>2.4944492774444398</v>
      </c>
      <c r="E239" s="167"/>
      <c r="F239" s="168">
        <v>4.3999999999999997E-2</v>
      </c>
      <c r="G239" s="168">
        <v>3.5999999999999997E-2</v>
      </c>
      <c r="H239" s="169"/>
      <c r="I239" s="170">
        <v>4</v>
      </c>
      <c r="J239" s="170">
        <v>4</v>
      </c>
      <c r="K239" s="167"/>
      <c r="L239" s="171">
        <v>2035.1780699999999</v>
      </c>
      <c r="M239" s="171">
        <v>12.19712</v>
      </c>
      <c r="N239" s="171">
        <v>2047.37519</v>
      </c>
      <c r="O239" s="166">
        <v>820.77242801165698</v>
      </c>
      <c r="P239" s="172">
        <v>245.339</v>
      </c>
      <c r="Q239" s="178">
        <v>3.3454625151796402</v>
      </c>
      <c r="R239" s="179">
        <v>1342.36767364666</v>
      </c>
      <c r="S239" s="168">
        <v>0.01</v>
      </c>
      <c r="T239" s="168">
        <v>0.01</v>
      </c>
      <c r="U239" s="175">
        <v>0</v>
      </c>
      <c r="V239" s="176">
        <v>0</v>
      </c>
      <c r="W239" s="167"/>
      <c r="X239" s="175">
        <v>1668.197535</v>
      </c>
      <c r="Y239" s="166">
        <v>668.76386306361906</v>
      </c>
      <c r="Z239" s="177">
        <v>573</v>
      </c>
      <c r="AA239" s="178">
        <v>1.16712716066949</v>
      </c>
      <c r="AB239" s="179">
        <v>21.6215447560351</v>
      </c>
      <c r="AC239" s="168">
        <v>0.02</v>
      </c>
      <c r="AD239" s="168">
        <v>1.7000000000000001E-2</v>
      </c>
      <c r="AE239" s="176">
        <v>0</v>
      </c>
      <c r="AF239" s="176">
        <v>47</v>
      </c>
      <c r="AG239" s="167"/>
      <c r="AH239" s="180">
        <v>87.7</v>
      </c>
      <c r="AI239" s="166">
        <v>35.158061057007501</v>
      </c>
      <c r="AJ239" s="181" t="s">
        <v>53</v>
      </c>
      <c r="AK239" s="173">
        <v>0.55806446122234099</v>
      </c>
      <c r="AL239" s="174">
        <v>-93.337150759807599</v>
      </c>
      <c r="AM239" s="168"/>
      <c r="AN239" s="168"/>
      <c r="AO239" s="176">
        <v>70</v>
      </c>
      <c r="AP239" s="176">
        <v>101</v>
      </c>
      <c r="AQ239" s="167"/>
      <c r="AR239" s="180">
        <v>11</v>
      </c>
      <c r="AS239" s="166">
        <v>4.4097910105710696</v>
      </c>
      <c r="AT239" s="181" t="s">
        <v>54</v>
      </c>
      <c r="AU239" s="173">
        <v>0.27561193816069202</v>
      </c>
      <c r="AV239" s="174">
        <v>-34.9776890818559</v>
      </c>
      <c r="AW239" s="168"/>
      <c r="AX239" s="168"/>
      <c r="AY239" s="176">
        <v>29</v>
      </c>
      <c r="AZ239" s="176">
        <v>37</v>
      </c>
      <c r="BA239" s="167"/>
      <c r="BB239" s="184">
        <v>87</v>
      </c>
      <c r="BC239" s="180">
        <v>34.877437992698397</v>
      </c>
      <c r="BD239" s="181" t="s">
        <v>55</v>
      </c>
      <c r="BE239" s="182">
        <v>1.08991993727183</v>
      </c>
      <c r="BF239" s="183">
        <v>-4.9553781637118304</v>
      </c>
      <c r="BG239" s="168">
        <v>1.4E-2</v>
      </c>
      <c r="BH239" s="168">
        <v>8.9999999999999993E-3</v>
      </c>
      <c r="BI239" s="176">
        <v>0</v>
      </c>
      <c r="BJ239" s="176">
        <v>9</v>
      </c>
      <c r="BK239" s="169"/>
      <c r="BL239" s="185">
        <v>0.8</v>
      </c>
      <c r="BM239" s="188">
        <v>0.79</v>
      </c>
      <c r="BN239" s="186"/>
      <c r="BO239" s="187">
        <v>0.95</v>
      </c>
      <c r="BP239" s="178">
        <v>1</v>
      </c>
      <c r="BQ239" s="186">
        <v>2.5000000000000001E-3</v>
      </c>
    </row>
    <row r="240" spans="1:69" s="156" customFormat="1" ht="22.35" customHeight="1" x14ac:dyDescent="0.2">
      <c r="A240" s="165" t="s">
        <v>275</v>
      </c>
      <c r="B240" s="165" t="s">
        <v>299</v>
      </c>
      <c r="C240" s="165" t="s">
        <v>308</v>
      </c>
      <c r="D240" s="166">
        <v>2.6001805638888902</v>
      </c>
      <c r="E240" s="167"/>
      <c r="F240" s="168"/>
      <c r="G240" s="168"/>
      <c r="H240" s="169"/>
      <c r="I240" s="170">
        <v>1</v>
      </c>
      <c r="J240" s="170">
        <v>1</v>
      </c>
      <c r="K240" s="167"/>
      <c r="L240" s="171"/>
      <c r="M240" s="171">
        <v>72.353960000000001</v>
      </c>
      <c r="N240" s="171">
        <v>72.353960000000001</v>
      </c>
      <c r="O240" s="166">
        <v>27.8265136678761</v>
      </c>
      <c r="P240" s="172">
        <v>217.09100000000001</v>
      </c>
      <c r="Q240" s="173">
        <v>0.12817902938341999</v>
      </c>
      <c r="R240" s="174">
        <v>-577.922160212074</v>
      </c>
      <c r="S240" s="168"/>
      <c r="T240" s="168"/>
      <c r="U240" s="175">
        <v>493</v>
      </c>
      <c r="V240" s="176">
        <v>606</v>
      </c>
      <c r="W240" s="167"/>
      <c r="X240" s="175">
        <v>1076.60023</v>
      </c>
      <c r="Y240" s="166">
        <v>414.04825686021297</v>
      </c>
      <c r="Z240" s="177">
        <v>573</v>
      </c>
      <c r="AA240" s="173">
        <v>0.72259730691136603</v>
      </c>
      <c r="AB240" s="174">
        <v>-639.76855950080096</v>
      </c>
      <c r="AC240" s="168"/>
      <c r="AD240" s="168"/>
      <c r="AE240" s="176">
        <v>414</v>
      </c>
      <c r="AF240" s="176">
        <v>712</v>
      </c>
      <c r="AG240" s="167"/>
      <c r="AH240" s="180">
        <v>96.2</v>
      </c>
      <c r="AI240" s="166">
        <v>36.997430615403502</v>
      </c>
      <c r="AJ240" s="181" t="s">
        <v>53</v>
      </c>
      <c r="AK240" s="173">
        <v>0.58726080341910403</v>
      </c>
      <c r="AL240" s="174">
        <v>-92.510704604800097</v>
      </c>
      <c r="AM240" s="168"/>
      <c r="AN240" s="168"/>
      <c r="AO240" s="176">
        <v>68</v>
      </c>
      <c r="AP240" s="176">
        <v>101</v>
      </c>
      <c r="AQ240" s="167"/>
      <c r="AR240" s="180">
        <v>18.399999999999999</v>
      </c>
      <c r="AS240" s="166">
        <v>7.0764316353786398</v>
      </c>
      <c r="AT240" s="181" t="s">
        <v>54</v>
      </c>
      <c r="AU240" s="173">
        <v>0.44227697721116499</v>
      </c>
      <c r="AV240" s="174">
        <v>-29.526528153600001</v>
      </c>
      <c r="AW240" s="168"/>
      <c r="AX240" s="168"/>
      <c r="AY240" s="176">
        <v>24</v>
      </c>
      <c r="AZ240" s="176">
        <v>32</v>
      </c>
      <c r="BA240" s="167"/>
      <c r="BB240" s="184">
        <v>72.400000000000006</v>
      </c>
      <c r="BC240" s="180">
        <v>27.844220130511601</v>
      </c>
      <c r="BD240" s="181" t="s">
        <v>55</v>
      </c>
      <c r="BE240" s="188">
        <v>0.87013187907848699</v>
      </c>
      <c r="BF240" s="171">
        <v>-23.453056307200001</v>
      </c>
      <c r="BG240" s="168"/>
      <c r="BH240" s="168"/>
      <c r="BI240" s="176">
        <v>11</v>
      </c>
      <c r="BJ240" s="176">
        <v>28</v>
      </c>
      <c r="BK240" s="169"/>
      <c r="BL240" s="185">
        <v>0.8</v>
      </c>
      <c r="BM240" s="173"/>
      <c r="BN240" s="186"/>
      <c r="BO240" s="187">
        <v>0.95</v>
      </c>
      <c r="BP240" s="178">
        <v>1</v>
      </c>
      <c r="BQ240" s="186">
        <v>2.5000000000000001E-3</v>
      </c>
    </row>
    <row r="241" spans="1:69" s="156" customFormat="1" ht="22.35" customHeight="1" x14ac:dyDescent="0.2">
      <c r="A241" s="165" t="s">
        <v>275</v>
      </c>
      <c r="B241" s="165" t="s">
        <v>299</v>
      </c>
      <c r="C241" s="165" t="s">
        <v>309</v>
      </c>
      <c r="D241" s="166">
        <v>3.3634437715555601</v>
      </c>
      <c r="E241" s="167"/>
      <c r="F241" s="168">
        <v>3.2000000000000001E-2</v>
      </c>
      <c r="G241" s="168">
        <v>0.03</v>
      </c>
      <c r="H241" s="169"/>
      <c r="I241" s="170">
        <v>4</v>
      </c>
      <c r="J241" s="170">
        <v>3</v>
      </c>
      <c r="K241" s="167"/>
      <c r="L241" s="171">
        <v>6714.7305999999999</v>
      </c>
      <c r="M241" s="171">
        <v>-1884.73027</v>
      </c>
      <c r="N241" s="171">
        <v>4830.0003299999998</v>
      </c>
      <c r="O241" s="166">
        <v>1436.0282668754601</v>
      </c>
      <c r="P241" s="172">
        <v>217.09100000000001</v>
      </c>
      <c r="Q241" s="178">
        <v>6.61486780601434</v>
      </c>
      <c r="R241" s="179">
        <v>3988.84060567399</v>
      </c>
      <c r="S241" s="168">
        <v>0.01</v>
      </c>
      <c r="T241" s="168">
        <v>0.01</v>
      </c>
      <c r="U241" s="175">
        <v>0</v>
      </c>
      <c r="V241" s="176">
        <v>0</v>
      </c>
      <c r="W241" s="167"/>
      <c r="X241" s="175">
        <v>1748.8745449999999</v>
      </c>
      <c r="Y241" s="166">
        <v>519.96544725680496</v>
      </c>
      <c r="Z241" s="177">
        <v>573</v>
      </c>
      <c r="AA241" s="188">
        <v>0.90744406153020096</v>
      </c>
      <c r="AB241" s="171">
        <v>-471.32123482873902</v>
      </c>
      <c r="AC241" s="168"/>
      <c r="AD241" s="168"/>
      <c r="AE241" s="176">
        <v>179</v>
      </c>
      <c r="AF241" s="176">
        <v>564</v>
      </c>
      <c r="AG241" s="167"/>
      <c r="AH241" s="180">
        <v>207.7</v>
      </c>
      <c r="AI241" s="166">
        <v>61.752184399961301</v>
      </c>
      <c r="AJ241" s="181" t="s">
        <v>53</v>
      </c>
      <c r="AK241" s="182">
        <v>0.98019340317398895</v>
      </c>
      <c r="AL241" s="183">
        <v>-36.405295164416302</v>
      </c>
      <c r="AM241" s="168">
        <v>2E-3</v>
      </c>
      <c r="AN241" s="168"/>
      <c r="AO241" s="176">
        <v>5</v>
      </c>
      <c r="AP241" s="176">
        <v>47</v>
      </c>
      <c r="AQ241" s="167"/>
      <c r="AR241" s="180">
        <v>21.5</v>
      </c>
      <c r="AS241" s="166">
        <v>6.3922578940739898</v>
      </c>
      <c r="AT241" s="181" t="s">
        <v>54</v>
      </c>
      <c r="AU241" s="173">
        <v>0.39951611837962397</v>
      </c>
      <c r="AV241" s="174">
        <v>-40.494995597312098</v>
      </c>
      <c r="AW241" s="168"/>
      <c r="AX241" s="168"/>
      <c r="AY241" s="176">
        <v>33</v>
      </c>
      <c r="AZ241" s="176">
        <v>44</v>
      </c>
      <c r="BA241" s="167"/>
      <c r="BB241" s="184">
        <v>141</v>
      </c>
      <c r="BC241" s="180">
        <v>41.921319212299203</v>
      </c>
      <c r="BD241" s="181" t="s">
        <v>55</v>
      </c>
      <c r="BE241" s="178">
        <v>1.3100412253843501</v>
      </c>
      <c r="BF241" s="179">
        <v>17.010008805375801</v>
      </c>
      <c r="BG241" s="168">
        <v>0.02</v>
      </c>
      <c r="BH241" s="168">
        <v>0.02</v>
      </c>
      <c r="BI241" s="176">
        <v>0</v>
      </c>
      <c r="BJ241" s="176">
        <v>0</v>
      </c>
      <c r="BK241" s="169"/>
      <c r="BL241" s="185">
        <v>0.8</v>
      </c>
      <c r="BM241" s="188">
        <v>0.79</v>
      </c>
      <c r="BN241" s="186"/>
      <c r="BO241" s="187">
        <v>0.95</v>
      </c>
      <c r="BP241" s="178">
        <v>1</v>
      </c>
      <c r="BQ241" s="186">
        <v>2.5000000000000001E-3</v>
      </c>
    </row>
    <row r="242" spans="1:69" s="156" customFormat="1" ht="22.35" customHeight="1" x14ac:dyDescent="0.2">
      <c r="A242" s="165" t="s">
        <v>275</v>
      </c>
      <c r="B242" s="165" t="s">
        <v>299</v>
      </c>
      <c r="C242" s="165" t="s">
        <v>310</v>
      </c>
      <c r="D242" s="166">
        <v>2.3177117403333298</v>
      </c>
      <c r="E242" s="167"/>
      <c r="F242" s="168">
        <v>4.2000000000000003E-2</v>
      </c>
      <c r="G242" s="168">
        <v>3.5999999999999997E-2</v>
      </c>
      <c r="H242" s="169"/>
      <c r="I242" s="170">
        <v>5</v>
      </c>
      <c r="J242" s="170">
        <v>4</v>
      </c>
      <c r="K242" s="167"/>
      <c r="L242" s="171">
        <v>200.47361000000001</v>
      </c>
      <c r="M242" s="171">
        <v>781.61608999999999</v>
      </c>
      <c r="N242" s="171">
        <v>982.08969999999999</v>
      </c>
      <c r="O242" s="166">
        <v>423.73246116393898</v>
      </c>
      <c r="P242" s="172">
        <v>215.88200000000001</v>
      </c>
      <c r="Q242" s="178">
        <v>1.9627966257675</v>
      </c>
      <c r="R242" s="179">
        <v>405.683912692511</v>
      </c>
      <c r="S242" s="168">
        <v>0.01</v>
      </c>
      <c r="T242" s="168">
        <v>0.01</v>
      </c>
      <c r="U242" s="175">
        <v>0</v>
      </c>
      <c r="V242" s="176">
        <v>0</v>
      </c>
      <c r="W242" s="167"/>
      <c r="X242" s="175">
        <v>1301.5187550000001</v>
      </c>
      <c r="Y242" s="166">
        <v>561.55333398484504</v>
      </c>
      <c r="Z242" s="177">
        <v>573</v>
      </c>
      <c r="AA242" s="182">
        <v>0.98002327047965898</v>
      </c>
      <c r="AB242" s="183">
        <v>-228.39349394707</v>
      </c>
      <c r="AC242" s="168">
        <v>2E-3</v>
      </c>
      <c r="AD242" s="168"/>
      <c r="AE242" s="176">
        <v>27</v>
      </c>
      <c r="AF242" s="176">
        <v>293</v>
      </c>
      <c r="AG242" s="167"/>
      <c r="AH242" s="180">
        <v>154.80000000000001</v>
      </c>
      <c r="AI242" s="166">
        <v>66.790014179130296</v>
      </c>
      <c r="AJ242" s="181" t="s">
        <v>53</v>
      </c>
      <c r="AK242" s="182">
        <v>1.06015895522429</v>
      </c>
      <c r="AL242" s="183">
        <v>-13.410247266431799</v>
      </c>
      <c r="AM242" s="168">
        <v>0.01</v>
      </c>
      <c r="AN242" s="168">
        <v>6.0000000000000001E-3</v>
      </c>
      <c r="AO242" s="176">
        <v>0</v>
      </c>
      <c r="AP242" s="176">
        <v>21</v>
      </c>
      <c r="AQ242" s="167"/>
      <c r="AR242" s="180">
        <v>27.8</v>
      </c>
      <c r="AS242" s="166">
        <v>11.9945891096888</v>
      </c>
      <c r="AT242" s="181" t="s">
        <v>54</v>
      </c>
      <c r="AU242" s="173">
        <v>0.74966181935554699</v>
      </c>
      <c r="AV242" s="174">
        <v>-14.920062797823901</v>
      </c>
      <c r="AW242" s="168"/>
      <c r="AX242" s="168"/>
      <c r="AY242" s="176">
        <v>10</v>
      </c>
      <c r="AZ242" s="176">
        <v>17</v>
      </c>
      <c r="BA242" s="167"/>
      <c r="BB242" s="184">
        <v>111.2</v>
      </c>
      <c r="BC242" s="180">
        <v>47.9783564387551</v>
      </c>
      <c r="BD242" s="181" t="s">
        <v>55</v>
      </c>
      <c r="BE242" s="178">
        <v>1.4993236387111</v>
      </c>
      <c r="BF242" s="179">
        <v>25.7598744043521</v>
      </c>
      <c r="BG242" s="168">
        <v>0.02</v>
      </c>
      <c r="BH242" s="168">
        <v>0.02</v>
      </c>
      <c r="BI242" s="176">
        <v>0</v>
      </c>
      <c r="BJ242" s="176">
        <v>0</v>
      </c>
      <c r="BK242" s="169"/>
      <c r="BL242" s="185">
        <v>0.8</v>
      </c>
      <c r="BM242" s="188">
        <v>0.79</v>
      </c>
      <c r="BN242" s="186"/>
      <c r="BO242" s="187">
        <v>0.95</v>
      </c>
      <c r="BP242" s="178">
        <v>1</v>
      </c>
      <c r="BQ242" s="186">
        <v>2.5000000000000001E-3</v>
      </c>
    </row>
    <row r="243" spans="1:69" s="156" customFormat="1" ht="22.35" customHeight="1" x14ac:dyDescent="0.2">
      <c r="A243" s="165" t="s">
        <v>275</v>
      </c>
      <c r="B243" s="165" t="s">
        <v>299</v>
      </c>
      <c r="C243" s="165" t="s">
        <v>311</v>
      </c>
      <c r="D243" s="166">
        <v>2.7902735091111102</v>
      </c>
      <c r="E243" s="167"/>
      <c r="F243" s="168">
        <v>4.4999999999999998E-2</v>
      </c>
      <c r="G243" s="168">
        <v>0.04</v>
      </c>
      <c r="H243" s="169"/>
      <c r="I243" s="170">
        <v>5</v>
      </c>
      <c r="J243" s="170">
        <v>5</v>
      </c>
      <c r="K243" s="167"/>
      <c r="L243" s="171">
        <v>1101.8741500000001</v>
      </c>
      <c r="M243" s="171">
        <v>1654.2549899999999</v>
      </c>
      <c r="N243" s="171">
        <v>2756.12914</v>
      </c>
      <c r="O243" s="166">
        <v>987.76307448011096</v>
      </c>
      <c r="P243" s="172">
        <v>245.339</v>
      </c>
      <c r="Q243" s="178">
        <v>4.0261151895137397</v>
      </c>
      <c r="R243" s="179">
        <v>1967.5126648555099</v>
      </c>
      <c r="S243" s="168">
        <v>0.01</v>
      </c>
      <c r="T243" s="168">
        <v>0.01</v>
      </c>
      <c r="U243" s="175">
        <v>0</v>
      </c>
      <c r="V243" s="176">
        <v>0</v>
      </c>
      <c r="W243" s="167"/>
      <c r="X243" s="175">
        <v>2012.3160700000001</v>
      </c>
      <c r="Y243" s="166">
        <v>721.18954053398795</v>
      </c>
      <c r="Z243" s="177">
        <v>573</v>
      </c>
      <c r="AA243" s="178">
        <v>1.2586204895881099</v>
      </c>
      <c r="AB243" s="179">
        <v>170.467687729793</v>
      </c>
      <c r="AC243" s="168">
        <v>0.02</v>
      </c>
      <c r="AD243" s="168">
        <v>0.02</v>
      </c>
      <c r="AE243" s="176">
        <v>0</v>
      </c>
      <c r="AF243" s="176">
        <v>0</v>
      </c>
      <c r="AG243" s="167"/>
      <c r="AH243" s="180">
        <v>117.55</v>
      </c>
      <c r="AI243" s="166">
        <v>42.128486550211903</v>
      </c>
      <c r="AJ243" s="181" t="s">
        <v>53</v>
      </c>
      <c r="AK243" s="173">
        <v>0.66870613571764903</v>
      </c>
      <c r="AL243" s="174">
        <v>-84.956890197247901</v>
      </c>
      <c r="AM243" s="168"/>
      <c r="AN243" s="168"/>
      <c r="AO243" s="176">
        <v>59</v>
      </c>
      <c r="AP243" s="176">
        <v>94</v>
      </c>
      <c r="AQ243" s="167"/>
      <c r="AR243" s="180">
        <v>12.8</v>
      </c>
      <c r="AS243" s="166">
        <v>4.5873639118903604</v>
      </c>
      <c r="AT243" s="181" t="s">
        <v>54</v>
      </c>
      <c r="AU243" s="173">
        <v>0.28671024449314703</v>
      </c>
      <c r="AV243" s="174">
        <v>-38.630321319936002</v>
      </c>
      <c r="AW243" s="168"/>
      <c r="AX243" s="168"/>
      <c r="AY243" s="176">
        <v>32</v>
      </c>
      <c r="AZ243" s="176">
        <v>41</v>
      </c>
      <c r="BA243" s="167"/>
      <c r="BB243" s="184">
        <v>98.2</v>
      </c>
      <c r="BC243" s="180">
        <v>35.1936825115339</v>
      </c>
      <c r="BD243" s="181" t="s">
        <v>55</v>
      </c>
      <c r="BE243" s="182">
        <v>1.0998025784854299</v>
      </c>
      <c r="BF243" s="183">
        <v>-4.6606426398719503</v>
      </c>
      <c r="BG243" s="168">
        <v>1.4999999999999999E-2</v>
      </c>
      <c r="BH243" s="168">
        <v>0.01</v>
      </c>
      <c r="BI243" s="176">
        <v>0</v>
      </c>
      <c r="BJ243" s="176">
        <v>9</v>
      </c>
      <c r="BK243" s="169"/>
      <c r="BL243" s="185">
        <v>0.8</v>
      </c>
      <c r="BM243" s="182">
        <v>0.88</v>
      </c>
      <c r="BN243" s="186">
        <v>3.0000000000000001E-3</v>
      </c>
      <c r="BO243" s="187">
        <v>0.95</v>
      </c>
      <c r="BP243" s="178">
        <v>1</v>
      </c>
      <c r="BQ243" s="186">
        <v>2.5000000000000001E-3</v>
      </c>
    </row>
    <row r="244" spans="1:69" s="156" customFormat="1" ht="22.35" customHeight="1" x14ac:dyDescent="0.2">
      <c r="A244" s="165" t="s">
        <v>275</v>
      </c>
      <c r="B244" s="165" t="s">
        <v>299</v>
      </c>
      <c r="C244" s="165" t="s">
        <v>312</v>
      </c>
      <c r="D244" s="166">
        <v>3.578419974</v>
      </c>
      <c r="E244" s="167"/>
      <c r="F244" s="168">
        <v>2.1999999999999999E-2</v>
      </c>
      <c r="G244" s="168">
        <v>1.4999999999999999E-2</v>
      </c>
      <c r="H244" s="169"/>
      <c r="I244" s="170">
        <v>4</v>
      </c>
      <c r="J244" s="170">
        <v>4</v>
      </c>
      <c r="K244" s="167"/>
      <c r="L244" s="171">
        <v>1773.9681</v>
      </c>
      <c r="M244" s="171">
        <v>1874.5771999999999</v>
      </c>
      <c r="N244" s="171">
        <v>3648.5453000000002</v>
      </c>
      <c r="O244" s="166">
        <v>1019.59672886624</v>
      </c>
      <c r="P244" s="172">
        <v>213.536</v>
      </c>
      <c r="Q244" s="178">
        <v>4.7748235841555502</v>
      </c>
      <c r="R244" s="179">
        <v>2768.2773463215899</v>
      </c>
      <c r="S244" s="168">
        <v>0.01</v>
      </c>
      <c r="T244" s="168">
        <v>0.01</v>
      </c>
      <c r="U244" s="175">
        <v>0</v>
      </c>
      <c r="V244" s="176">
        <v>0</v>
      </c>
      <c r="W244" s="167"/>
      <c r="X244" s="175">
        <v>2053.9829800000002</v>
      </c>
      <c r="Y244" s="166">
        <v>573.99159263691297</v>
      </c>
      <c r="Z244" s="177">
        <v>573</v>
      </c>
      <c r="AA244" s="182">
        <v>1.00173052816215</v>
      </c>
      <c r="AB244" s="183">
        <v>-308.11773115750498</v>
      </c>
      <c r="AC244" s="168">
        <v>4.0000000000000001E-3</v>
      </c>
      <c r="AD244" s="168">
        <v>1E-3</v>
      </c>
      <c r="AE244" s="176">
        <v>0</v>
      </c>
      <c r="AF244" s="176">
        <v>407</v>
      </c>
      <c r="AG244" s="167"/>
      <c r="AH244" s="180">
        <v>173.05</v>
      </c>
      <c r="AI244" s="166">
        <v>48.359332123491001</v>
      </c>
      <c r="AJ244" s="181" t="s">
        <v>53</v>
      </c>
      <c r="AK244" s="188">
        <v>0.767608446404619</v>
      </c>
      <c r="AL244" s="171">
        <v>-86.657408033023998</v>
      </c>
      <c r="AM244" s="168"/>
      <c r="AN244" s="168"/>
      <c r="AO244" s="176">
        <v>53</v>
      </c>
      <c r="AP244" s="176">
        <v>98</v>
      </c>
      <c r="AQ244" s="167"/>
      <c r="AR244" s="180">
        <v>42.8</v>
      </c>
      <c r="AS244" s="166">
        <v>11.960586043833599</v>
      </c>
      <c r="AT244" s="181" t="s">
        <v>54</v>
      </c>
      <c r="AU244" s="173">
        <v>0.74753662773960305</v>
      </c>
      <c r="AV244" s="174">
        <v>-23.157436960767999</v>
      </c>
      <c r="AW244" s="168"/>
      <c r="AX244" s="168"/>
      <c r="AY244" s="176">
        <v>15</v>
      </c>
      <c r="AZ244" s="176">
        <v>26</v>
      </c>
      <c r="BA244" s="167"/>
      <c r="BB244" s="184">
        <v>118.8</v>
      </c>
      <c r="BC244" s="180">
        <v>33.199009859986901</v>
      </c>
      <c r="BD244" s="181" t="s">
        <v>55</v>
      </c>
      <c r="BE244" s="182">
        <v>1.03746905812459</v>
      </c>
      <c r="BF244" s="183">
        <v>-13.114873921536001</v>
      </c>
      <c r="BG244" s="168">
        <v>8.0000000000000002E-3</v>
      </c>
      <c r="BH244" s="168">
        <v>4.0000000000000001E-3</v>
      </c>
      <c r="BI244" s="176">
        <v>0</v>
      </c>
      <c r="BJ244" s="176">
        <v>19</v>
      </c>
      <c r="BK244" s="169"/>
      <c r="BL244" s="185">
        <v>0.8</v>
      </c>
      <c r="BM244" s="188">
        <v>0.8</v>
      </c>
      <c r="BN244" s="186">
        <v>0</v>
      </c>
      <c r="BO244" s="187">
        <v>0.95</v>
      </c>
      <c r="BP244" s="178">
        <v>1</v>
      </c>
      <c r="BQ244" s="186">
        <v>2.5000000000000001E-3</v>
      </c>
    </row>
    <row r="245" spans="1:69" s="156" customFormat="1" ht="22.35" customHeight="1" x14ac:dyDescent="0.2">
      <c r="A245" s="165" t="s">
        <v>275</v>
      </c>
      <c r="B245" s="165" t="s">
        <v>299</v>
      </c>
      <c r="C245" s="165" t="s">
        <v>313</v>
      </c>
      <c r="D245" s="166">
        <v>3.0802030008888899</v>
      </c>
      <c r="E245" s="167"/>
      <c r="F245" s="168">
        <v>0</v>
      </c>
      <c r="G245" s="168"/>
      <c r="H245" s="169"/>
      <c r="I245" s="170">
        <v>2</v>
      </c>
      <c r="J245" s="170">
        <v>2</v>
      </c>
      <c r="K245" s="167"/>
      <c r="L245" s="171">
        <v>1055.4539299999999</v>
      </c>
      <c r="M245" s="171">
        <v>-632.9384</v>
      </c>
      <c r="N245" s="171">
        <v>422.51553000000001</v>
      </c>
      <c r="O245" s="166">
        <v>137.171326006133</v>
      </c>
      <c r="P245" s="172">
        <v>252.38499999999999</v>
      </c>
      <c r="Q245" s="173">
        <v>0.54350031105704899</v>
      </c>
      <c r="R245" s="174">
        <v>-473.045853605003</v>
      </c>
      <c r="S245" s="168"/>
      <c r="T245" s="168"/>
      <c r="U245" s="175">
        <v>355</v>
      </c>
      <c r="V245" s="176">
        <v>511</v>
      </c>
      <c r="W245" s="167"/>
      <c r="X245" s="175">
        <v>1095.18487</v>
      </c>
      <c r="Y245" s="166">
        <v>355.55606876688</v>
      </c>
      <c r="Z245" s="177">
        <v>573</v>
      </c>
      <c r="AA245" s="173">
        <v>0.62051669941863896</v>
      </c>
      <c r="AB245" s="174">
        <v>-938.04481007475295</v>
      </c>
      <c r="AC245" s="168"/>
      <c r="AD245" s="168"/>
      <c r="AE245" s="176">
        <v>670</v>
      </c>
      <c r="AF245" s="176">
        <v>1023</v>
      </c>
      <c r="AG245" s="167"/>
      <c r="AH245" s="180">
        <v>82.6</v>
      </c>
      <c r="AI245" s="166">
        <v>26.816414364950301</v>
      </c>
      <c r="AJ245" s="181" t="s">
        <v>53</v>
      </c>
      <c r="AK245" s="173">
        <v>0.42565737087222799</v>
      </c>
      <c r="AL245" s="174">
        <v>-140.94881299251199</v>
      </c>
      <c r="AM245" s="168"/>
      <c r="AN245" s="168"/>
      <c r="AO245" s="176">
        <v>112</v>
      </c>
      <c r="AP245" s="176">
        <v>151</v>
      </c>
      <c r="AQ245" s="167"/>
      <c r="AR245" s="180">
        <v>15.3</v>
      </c>
      <c r="AS245" s="166">
        <v>4.9672050821276104</v>
      </c>
      <c r="AT245" s="181" t="s">
        <v>54</v>
      </c>
      <c r="AU245" s="173">
        <v>0.31045031763297598</v>
      </c>
      <c r="AV245" s="174">
        <v>-41.474301712383998</v>
      </c>
      <c r="AW245" s="168"/>
      <c r="AX245" s="168"/>
      <c r="AY245" s="176">
        <v>34</v>
      </c>
      <c r="AZ245" s="176">
        <v>44</v>
      </c>
      <c r="BA245" s="167"/>
      <c r="BB245" s="184">
        <v>94.4</v>
      </c>
      <c r="BC245" s="180">
        <v>30.647330702800399</v>
      </c>
      <c r="BD245" s="181" t="s">
        <v>55</v>
      </c>
      <c r="BE245" s="188">
        <v>0.95772908446251304</v>
      </c>
      <c r="BF245" s="171">
        <v>-19.148603424768002</v>
      </c>
      <c r="BG245" s="168">
        <v>0</v>
      </c>
      <c r="BH245" s="168"/>
      <c r="BI245" s="176">
        <v>5</v>
      </c>
      <c r="BJ245" s="176">
        <v>24</v>
      </c>
      <c r="BK245" s="169"/>
      <c r="BL245" s="185">
        <v>0.8</v>
      </c>
      <c r="BM245" s="182">
        <v>0.81</v>
      </c>
      <c r="BN245" s="186">
        <v>3.7500000000000001E-4</v>
      </c>
      <c r="BO245" s="187">
        <v>0.95</v>
      </c>
      <c r="BP245" s="178">
        <v>1</v>
      </c>
      <c r="BQ245" s="186">
        <v>2.5000000000000001E-3</v>
      </c>
    </row>
    <row r="246" spans="1:69" s="156" customFormat="1" ht="22.35" customHeight="1" x14ac:dyDescent="0.2">
      <c r="A246" s="165" t="s">
        <v>275</v>
      </c>
      <c r="B246" s="165" t="s">
        <v>299</v>
      </c>
      <c r="C246" s="165" t="s">
        <v>314</v>
      </c>
      <c r="D246" s="166">
        <v>6.0121721623333304</v>
      </c>
      <c r="E246" s="167"/>
      <c r="F246" s="168">
        <v>3.6999999999999998E-2</v>
      </c>
      <c r="G246" s="168">
        <v>2.8000000000000001E-2</v>
      </c>
      <c r="H246" s="169"/>
      <c r="I246" s="170">
        <v>5</v>
      </c>
      <c r="J246" s="170">
        <v>5</v>
      </c>
      <c r="K246" s="167"/>
      <c r="L246" s="171">
        <v>5328.52934</v>
      </c>
      <c r="M246" s="171">
        <v>663.23071000000004</v>
      </c>
      <c r="N246" s="171">
        <v>5991.7600499999999</v>
      </c>
      <c r="O246" s="166">
        <v>996.60486895880695</v>
      </c>
      <c r="P246" s="172">
        <v>220.02799999999999</v>
      </c>
      <c r="Q246" s="178">
        <v>4.5294456567291803</v>
      </c>
      <c r="R246" s="179">
        <v>4467.8412085529699</v>
      </c>
      <c r="S246" s="168">
        <v>0.01</v>
      </c>
      <c r="T246" s="168">
        <v>0.01</v>
      </c>
      <c r="U246" s="175">
        <v>0</v>
      </c>
      <c r="V246" s="176">
        <v>0</v>
      </c>
      <c r="W246" s="167"/>
      <c r="X246" s="175">
        <v>3544.4366150000001</v>
      </c>
      <c r="Y246" s="166">
        <v>589.543432772291</v>
      </c>
      <c r="Z246" s="177">
        <v>573</v>
      </c>
      <c r="AA246" s="182">
        <v>1.0288716104228499</v>
      </c>
      <c r="AB246" s="183">
        <v>-424.17418066758103</v>
      </c>
      <c r="AC246" s="168">
        <v>7.0000000000000001E-3</v>
      </c>
      <c r="AD246" s="168">
        <v>3.0000000000000001E-3</v>
      </c>
      <c r="AE246" s="176">
        <v>0</v>
      </c>
      <c r="AF246" s="176">
        <v>590</v>
      </c>
      <c r="AG246" s="167"/>
      <c r="AH246" s="180">
        <v>328.75</v>
      </c>
      <c r="AI246" s="166">
        <v>54.680736200410401</v>
      </c>
      <c r="AJ246" s="181" t="s">
        <v>53</v>
      </c>
      <c r="AK246" s="188">
        <v>0.86794819365730802</v>
      </c>
      <c r="AL246" s="171">
        <v>-107.589406853504</v>
      </c>
      <c r="AM246" s="168"/>
      <c r="AN246" s="168"/>
      <c r="AO246" s="176">
        <v>51</v>
      </c>
      <c r="AP246" s="176">
        <v>126</v>
      </c>
      <c r="AQ246" s="167"/>
      <c r="AR246" s="180">
        <v>33.799999999999997</v>
      </c>
      <c r="AS246" s="166">
        <v>5.6219281629623499</v>
      </c>
      <c r="AT246" s="181" t="s">
        <v>54</v>
      </c>
      <c r="AU246" s="173">
        <v>0.35137051018514698</v>
      </c>
      <c r="AV246" s="174">
        <v>-77.016357296127893</v>
      </c>
      <c r="AW246" s="168"/>
      <c r="AX246" s="168"/>
      <c r="AY246" s="176">
        <v>63</v>
      </c>
      <c r="AZ246" s="176">
        <v>82</v>
      </c>
      <c r="BA246" s="167"/>
      <c r="BB246" s="184">
        <v>221.2</v>
      </c>
      <c r="BC246" s="180">
        <v>36.792026912641198</v>
      </c>
      <c r="BD246" s="181" t="s">
        <v>55</v>
      </c>
      <c r="BE246" s="178">
        <v>1.1497508410200401</v>
      </c>
      <c r="BF246" s="179">
        <v>-0.43271459225581999</v>
      </c>
      <c r="BG246" s="168">
        <v>0.02</v>
      </c>
      <c r="BH246" s="168">
        <v>1.4999999999999999E-2</v>
      </c>
      <c r="BI246" s="176">
        <v>0</v>
      </c>
      <c r="BJ246" s="176">
        <v>10</v>
      </c>
      <c r="BK246" s="169"/>
      <c r="BL246" s="185">
        <v>0.8</v>
      </c>
      <c r="BM246" s="182">
        <v>0.81</v>
      </c>
      <c r="BN246" s="186">
        <v>3.7500000000000001E-4</v>
      </c>
      <c r="BO246" s="187">
        <v>0.95</v>
      </c>
      <c r="BP246" s="178">
        <v>1</v>
      </c>
      <c r="BQ246" s="186">
        <v>2.5000000000000001E-3</v>
      </c>
    </row>
    <row r="247" spans="1:69" s="156" customFormat="1" ht="22.35" customHeight="1" x14ac:dyDescent="0.2">
      <c r="A247" s="165" t="s">
        <v>275</v>
      </c>
      <c r="B247" s="165" t="s">
        <v>299</v>
      </c>
      <c r="C247" s="165" t="s">
        <v>315</v>
      </c>
      <c r="D247" s="166">
        <v>8.5561773496666707</v>
      </c>
      <c r="E247" s="167"/>
      <c r="F247" s="168">
        <v>1.2E-2</v>
      </c>
      <c r="G247" s="168">
        <v>0.01</v>
      </c>
      <c r="H247" s="169"/>
      <c r="I247" s="170">
        <v>3</v>
      </c>
      <c r="J247" s="170">
        <v>2</v>
      </c>
      <c r="K247" s="167"/>
      <c r="L247" s="171">
        <v>3658.4410800000001</v>
      </c>
      <c r="M247" s="171">
        <v>3454.1523299999999</v>
      </c>
      <c r="N247" s="171">
        <v>7112.5934100000004</v>
      </c>
      <c r="O247" s="166">
        <v>831.28167163074204</v>
      </c>
      <c r="P247" s="172">
        <v>215.38300000000001</v>
      </c>
      <c r="Q247" s="178">
        <v>3.8595509934894698</v>
      </c>
      <c r="R247" s="179">
        <v>4989.6242816890499</v>
      </c>
      <c r="S247" s="168">
        <v>0.01</v>
      </c>
      <c r="T247" s="168">
        <v>0.01</v>
      </c>
      <c r="U247" s="175">
        <v>0</v>
      </c>
      <c r="V247" s="176">
        <v>0</v>
      </c>
      <c r="W247" s="167"/>
      <c r="X247" s="175">
        <v>4778.2725549999996</v>
      </c>
      <c r="Y247" s="166">
        <v>558.45880230453099</v>
      </c>
      <c r="Z247" s="177">
        <v>573</v>
      </c>
      <c r="AA247" s="182">
        <v>0.97462269163094295</v>
      </c>
      <c r="AB247" s="183">
        <v>-869.62588880557098</v>
      </c>
      <c r="AC247" s="168">
        <v>2E-3</v>
      </c>
      <c r="AD247" s="168"/>
      <c r="AE247" s="176">
        <v>125</v>
      </c>
      <c r="AF247" s="176">
        <v>1105</v>
      </c>
      <c r="AG247" s="167"/>
      <c r="AH247" s="180">
        <v>281.89999999999998</v>
      </c>
      <c r="AI247" s="166">
        <v>32.946956155716201</v>
      </c>
      <c r="AJ247" s="181" t="s">
        <v>53</v>
      </c>
      <c r="AK247" s="173">
        <v>0.52296755802724204</v>
      </c>
      <c r="AL247" s="174">
        <v>-339.07312732940801</v>
      </c>
      <c r="AM247" s="168"/>
      <c r="AN247" s="168"/>
      <c r="AO247" s="176">
        <v>258</v>
      </c>
      <c r="AP247" s="176">
        <v>365</v>
      </c>
      <c r="AQ247" s="167"/>
      <c r="AR247" s="180">
        <v>69.5</v>
      </c>
      <c r="AS247" s="166">
        <v>8.1227862817391898</v>
      </c>
      <c r="AT247" s="181" t="s">
        <v>54</v>
      </c>
      <c r="AU247" s="173">
        <v>0.50767414260869903</v>
      </c>
      <c r="AV247" s="174">
        <v>-88.207460909056095</v>
      </c>
      <c r="AW247" s="168"/>
      <c r="AX247" s="168"/>
      <c r="AY247" s="176">
        <v>68</v>
      </c>
      <c r="AZ247" s="176">
        <v>95</v>
      </c>
      <c r="BA247" s="167"/>
      <c r="BB247" s="184">
        <v>252.6</v>
      </c>
      <c r="BC247" s="180">
        <v>29.522529708882299</v>
      </c>
      <c r="BD247" s="181" t="s">
        <v>55</v>
      </c>
      <c r="BE247" s="188">
        <v>0.92257905340257196</v>
      </c>
      <c r="BF247" s="171">
        <v>-62.814921818112097</v>
      </c>
      <c r="BG247" s="168"/>
      <c r="BH247" s="168"/>
      <c r="BI247" s="176">
        <v>22</v>
      </c>
      <c r="BJ247" s="176">
        <v>76</v>
      </c>
      <c r="BK247" s="169"/>
      <c r="BL247" s="185">
        <v>0.8</v>
      </c>
      <c r="BM247" s="188">
        <v>0.78</v>
      </c>
      <c r="BN247" s="186"/>
      <c r="BO247" s="187">
        <v>0.95</v>
      </c>
      <c r="BP247" s="178">
        <v>1</v>
      </c>
      <c r="BQ247" s="186">
        <v>2.5000000000000001E-3</v>
      </c>
    </row>
    <row r="248" spans="1:69" s="156" customFormat="1" ht="22.35" customHeight="1" x14ac:dyDescent="0.2">
      <c r="A248" s="165" t="s">
        <v>275</v>
      </c>
      <c r="B248" s="165" t="s">
        <v>299</v>
      </c>
      <c r="C248" s="165" t="s">
        <v>316</v>
      </c>
      <c r="D248" s="166">
        <v>7.66372503566667</v>
      </c>
      <c r="E248" s="167"/>
      <c r="F248" s="168">
        <v>0.01</v>
      </c>
      <c r="G248" s="168">
        <v>0.01</v>
      </c>
      <c r="H248" s="169"/>
      <c r="I248" s="170">
        <v>2</v>
      </c>
      <c r="J248" s="170">
        <v>2</v>
      </c>
      <c r="K248" s="167"/>
      <c r="L248" s="171">
        <v>4709.9885000000004</v>
      </c>
      <c r="M248" s="171">
        <v>2003.3647599999999</v>
      </c>
      <c r="N248" s="171">
        <v>6713.3532599999999</v>
      </c>
      <c r="O248" s="166">
        <v>875.99088286131405</v>
      </c>
      <c r="P248" s="172">
        <v>245.339</v>
      </c>
      <c r="Q248" s="178">
        <v>3.5705325401233199</v>
      </c>
      <c r="R248" s="179">
        <v>4547.3506067227099</v>
      </c>
      <c r="S248" s="168">
        <v>0.01</v>
      </c>
      <c r="T248" s="168">
        <v>0.01</v>
      </c>
      <c r="U248" s="175">
        <v>0</v>
      </c>
      <c r="V248" s="176">
        <v>0</v>
      </c>
      <c r="W248" s="167"/>
      <c r="X248" s="175">
        <v>3472.87968</v>
      </c>
      <c r="Y248" s="166">
        <v>453.15817880173898</v>
      </c>
      <c r="Z248" s="177">
        <v>573</v>
      </c>
      <c r="AA248" s="188">
        <v>0.79085196998558305</v>
      </c>
      <c r="AB248" s="171">
        <v>-1585.9145611434301</v>
      </c>
      <c r="AC248" s="168"/>
      <c r="AD248" s="168"/>
      <c r="AE248" s="176">
        <v>919</v>
      </c>
      <c r="AF248" s="176">
        <v>1797</v>
      </c>
      <c r="AG248" s="167"/>
      <c r="AH248" s="180">
        <v>317.3</v>
      </c>
      <c r="AI248" s="166">
        <v>41.402842419750002</v>
      </c>
      <c r="AJ248" s="181" t="s">
        <v>53</v>
      </c>
      <c r="AK248" s="173">
        <v>0.65718797491666703</v>
      </c>
      <c r="AL248" s="174">
        <v>-238.902508188544</v>
      </c>
      <c r="AM248" s="168"/>
      <c r="AN248" s="168"/>
      <c r="AO248" s="176">
        <v>166</v>
      </c>
      <c r="AP248" s="176">
        <v>263</v>
      </c>
      <c r="AQ248" s="167"/>
      <c r="AR248" s="180">
        <v>37.4</v>
      </c>
      <c r="AS248" s="166">
        <v>4.8801333328038101</v>
      </c>
      <c r="AT248" s="181" t="s">
        <v>54</v>
      </c>
      <c r="AU248" s="173">
        <v>0.30500833330023802</v>
      </c>
      <c r="AV248" s="174">
        <v>-103.857779857408</v>
      </c>
      <c r="AW248" s="168"/>
      <c r="AX248" s="168"/>
      <c r="AY248" s="176">
        <v>86</v>
      </c>
      <c r="AZ248" s="176">
        <v>110</v>
      </c>
      <c r="BA248" s="167"/>
      <c r="BB248" s="184">
        <v>188.2</v>
      </c>
      <c r="BC248" s="180">
        <v>24.557248482183901</v>
      </c>
      <c r="BD248" s="181" t="s">
        <v>55</v>
      </c>
      <c r="BE248" s="188">
        <v>0.76741401506824602</v>
      </c>
      <c r="BF248" s="171">
        <v>-94.315559714816004</v>
      </c>
      <c r="BG248" s="168"/>
      <c r="BH248" s="168"/>
      <c r="BI248" s="176">
        <v>58</v>
      </c>
      <c r="BJ248" s="176">
        <v>107</v>
      </c>
      <c r="BK248" s="169"/>
      <c r="BL248" s="185">
        <v>0.8</v>
      </c>
      <c r="BM248" s="188">
        <v>0.76</v>
      </c>
      <c r="BN248" s="186"/>
      <c r="BO248" s="187">
        <v>0.95</v>
      </c>
      <c r="BP248" s="178">
        <v>1</v>
      </c>
      <c r="BQ248" s="186">
        <v>2.5000000000000001E-3</v>
      </c>
    </row>
    <row r="249" spans="1:69" s="156" customFormat="1" ht="22.35" customHeight="1" x14ac:dyDescent="0.2">
      <c r="A249" s="165" t="s">
        <v>275</v>
      </c>
      <c r="B249" s="165" t="s">
        <v>299</v>
      </c>
      <c r="C249" s="165" t="s">
        <v>317</v>
      </c>
      <c r="D249" s="166">
        <v>4.1744710626666697</v>
      </c>
      <c r="E249" s="167"/>
      <c r="F249" s="168">
        <v>1.4E-2</v>
      </c>
      <c r="G249" s="168">
        <v>0.01</v>
      </c>
      <c r="H249" s="169"/>
      <c r="I249" s="170">
        <v>5</v>
      </c>
      <c r="J249" s="170">
        <v>3</v>
      </c>
      <c r="K249" s="167"/>
      <c r="L249" s="171">
        <v>1576.8494000000001</v>
      </c>
      <c r="M249" s="171">
        <v>1063.92509</v>
      </c>
      <c r="N249" s="171">
        <v>2640.7744899999998</v>
      </c>
      <c r="O249" s="166">
        <v>632.60098114395896</v>
      </c>
      <c r="P249" s="172">
        <v>233.489</v>
      </c>
      <c r="Q249" s="178">
        <v>2.7093395455201699</v>
      </c>
      <c r="R249" s="179">
        <v>1517.92806880847</v>
      </c>
      <c r="S249" s="168">
        <v>0.01</v>
      </c>
      <c r="T249" s="168">
        <v>0.01</v>
      </c>
      <c r="U249" s="175">
        <v>0</v>
      </c>
      <c r="V249" s="176">
        <v>0</v>
      </c>
      <c r="W249" s="167"/>
      <c r="X249" s="175">
        <v>2331.4804749999998</v>
      </c>
      <c r="Y249" s="166">
        <v>558.50919553641404</v>
      </c>
      <c r="Z249" s="177">
        <v>573</v>
      </c>
      <c r="AA249" s="182">
        <v>0.97471063793440504</v>
      </c>
      <c r="AB249" s="183">
        <v>-424.07117558201799</v>
      </c>
      <c r="AC249" s="168">
        <v>2E-3</v>
      </c>
      <c r="AD249" s="168"/>
      <c r="AE249" s="176">
        <v>61</v>
      </c>
      <c r="AF249" s="176">
        <v>539</v>
      </c>
      <c r="AG249" s="167"/>
      <c r="AH249" s="180">
        <v>150.69999999999999</v>
      </c>
      <c r="AI249" s="166">
        <v>36.100381997553598</v>
      </c>
      <c r="AJ249" s="181" t="s">
        <v>53</v>
      </c>
      <c r="AK249" s="173">
        <v>0.57302193646910404</v>
      </c>
      <c r="AL249" s="174">
        <v>-152.26641184409601</v>
      </c>
      <c r="AM249" s="168"/>
      <c r="AN249" s="168"/>
      <c r="AO249" s="176">
        <v>113</v>
      </c>
      <c r="AP249" s="176">
        <v>165</v>
      </c>
      <c r="AQ249" s="167"/>
      <c r="AR249" s="180">
        <v>30.6</v>
      </c>
      <c r="AS249" s="166">
        <v>7.3302700008303798</v>
      </c>
      <c r="AT249" s="181" t="s">
        <v>54</v>
      </c>
      <c r="AU249" s="173">
        <v>0.45814187505189902</v>
      </c>
      <c r="AV249" s="174">
        <v>-46.343850627072101</v>
      </c>
      <c r="AW249" s="168"/>
      <c r="AX249" s="168"/>
      <c r="AY249" s="176">
        <v>37</v>
      </c>
      <c r="AZ249" s="176">
        <v>50</v>
      </c>
      <c r="BA249" s="167"/>
      <c r="BB249" s="184">
        <v>131.4</v>
      </c>
      <c r="BC249" s="180">
        <v>31.477041768271601</v>
      </c>
      <c r="BD249" s="181" t="s">
        <v>55</v>
      </c>
      <c r="BE249" s="182">
        <v>0.98365755525848897</v>
      </c>
      <c r="BF249" s="183">
        <v>-22.487701254144099</v>
      </c>
      <c r="BG249" s="168">
        <v>2E-3</v>
      </c>
      <c r="BH249" s="168"/>
      <c r="BI249" s="176">
        <v>3</v>
      </c>
      <c r="BJ249" s="176">
        <v>29</v>
      </c>
      <c r="BK249" s="169"/>
      <c r="BL249" s="185">
        <v>0.8</v>
      </c>
      <c r="BM249" s="182">
        <v>0.82</v>
      </c>
      <c r="BN249" s="186">
        <v>7.5000000000000002E-4</v>
      </c>
      <c r="BO249" s="187">
        <v>0.95</v>
      </c>
      <c r="BP249" s="178">
        <v>1</v>
      </c>
      <c r="BQ249" s="186">
        <v>2.5000000000000001E-3</v>
      </c>
    </row>
    <row r="250" spans="1:69" s="156" customFormat="1" ht="22.35" customHeight="1" x14ac:dyDescent="0.2">
      <c r="A250" s="165" t="s">
        <v>275</v>
      </c>
      <c r="B250" s="165" t="s">
        <v>318</v>
      </c>
      <c r="C250" s="165" t="s">
        <v>319</v>
      </c>
      <c r="D250" s="166">
        <v>2.5533062174444399</v>
      </c>
      <c r="E250" s="167"/>
      <c r="F250" s="168">
        <v>7.0000000000000007E-2</v>
      </c>
      <c r="G250" s="168">
        <v>6.5000000000000002E-2</v>
      </c>
      <c r="H250" s="169"/>
      <c r="I250" s="170">
        <v>5</v>
      </c>
      <c r="J250" s="170">
        <v>5</v>
      </c>
      <c r="K250" s="167"/>
      <c r="L250" s="171">
        <v>865.56267000000003</v>
      </c>
      <c r="M250" s="171">
        <v>176.8116</v>
      </c>
      <c r="N250" s="171">
        <v>1042.37427</v>
      </c>
      <c r="O250" s="166">
        <v>408.24491119725297</v>
      </c>
      <c r="P250" s="172">
        <v>240.12899999999999</v>
      </c>
      <c r="Q250" s="178">
        <v>1.7001066559942899</v>
      </c>
      <c r="R250" s="179">
        <v>336.05672527059897</v>
      </c>
      <c r="S250" s="168">
        <v>0.01</v>
      </c>
      <c r="T250" s="168">
        <v>0.01</v>
      </c>
      <c r="U250" s="175">
        <v>0</v>
      </c>
      <c r="V250" s="176">
        <v>0</v>
      </c>
      <c r="W250" s="167"/>
      <c r="X250" s="175">
        <v>1687.9969550000001</v>
      </c>
      <c r="Y250" s="166">
        <v>661.10243396089197</v>
      </c>
      <c r="Z250" s="177">
        <v>573</v>
      </c>
      <c r="AA250" s="178">
        <v>1.15375642925112</v>
      </c>
      <c r="AB250" s="179">
        <v>2.5697340897950198</v>
      </c>
      <c r="AC250" s="168">
        <v>0.02</v>
      </c>
      <c r="AD250" s="168">
        <v>1.4999999999999999E-2</v>
      </c>
      <c r="AE250" s="176">
        <v>0</v>
      </c>
      <c r="AF250" s="176">
        <v>68</v>
      </c>
      <c r="AG250" s="167"/>
      <c r="AH250" s="180">
        <v>223.55</v>
      </c>
      <c r="AI250" s="166">
        <v>87.553149118066599</v>
      </c>
      <c r="AJ250" s="181" t="s">
        <v>53</v>
      </c>
      <c r="AK250" s="178">
        <v>1.3897325256836</v>
      </c>
      <c r="AL250" s="179">
        <v>38.241247962752396</v>
      </c>
      <c r="AM250" s="168">
        <v>0.02</v>
      </c>
      <c r="AN250" s="168">
        <v>0.02</v>
      </c>
      <c r="AO250" s="176">
        <v>0</v>
      </c>
      <c r="AP250" s="176">
        <v>0</v>
      </c>
      <c r="AQ250" s="167"/>
      <c r="AR250" s="180">
        <v>11.8</v>
      </c>
      <c r="AS250" s="166">
        <v>4.6214590006405096</v>
      </c>
      <c r="AT250" s="181" t="s">
        <v>54</v>
      </c>
      <c r="AU250" s="173">
        <v>0.28884118754003202</v>
      </c>
      <c r="AV250" s="174">
        <v>-35.262540199935898</v>
      </c>
      <c r="AW250" s="168"/>
      <c r="AX250" s="168"/>
      <c r="AY250" s="176">
        <v>30</v>
      </c>
      <c r="AZ250" s="176">
        <v>38</v>
      </c>
      <c r="BA250" s="167"/>
      <c r="BB250" s="184">
        <v>99.6</v>
      </c>
      <c r="BC250" s="180">
        <v>39.008247157948702</v>
      </c>
      <c r="BD250" s="181" t="s">
        <v>55</v>
      </c>
      <c r="BE250" s="178">
        <v>1.2190077236859</v>
      </c>
      <c r="BF250" s="179">
        <v>5.4749196001281897</v>
      </c>
      <c r="BG250" s="168">
        <v>0.02</v>
      </c>
      <c r="BH250" s="168">
        <v>0.02</v>
      </c>
      <c r="BI250" s="176">
        <v>0</v>
      </c>
      <c r="BJ250" s="176">
        <v>0</v>
      </c>
      <c r="BK250" s="169"/>
      <c r="BL250" s="185">
        <v>0.8</v>
      </c>
      <c r="BM250" s="188">
        <v>0.76</v>
      </c>
      <c r="BN250" s="186"/>
      <c r="BO250" s="187">
        <v>0.95</v>
      </c>
      <c r="BP250" s="178">
        <v>1</v>
      </c>
      <c r="BQ250" s="186">
        <v>2.5000000000000001E-3</v>
      </c>
    </row>
    <row r="251" spans="1:69" s="156" customFormat="1" ht="22.35" customHeight="1" x14ac:dyDescent="0.2">
      <c r="A251" s="165" t="s">
        <v>275</v>
      </c>
      <c r="B251" s="165" t="s">
        <v>318</v>
      </c>
      <c r="C251" s="165" t="s">
        <v>320</v>
      </c>
      <c r="D251" s="166">
        <v>2.2514665105555598</v>
      </c>
      <c r="E251" s="167"/>
      <c r="F251" s="168">
        <v>0.01</v>
      </c>
      <c r="G251" s="168">
        <v>0.01</v>
      </c>
      <c r="H251" s="169"/>
      <c r="I251" s="170">
        <v>3</v>
      </c>
      <c r="J251" s="170">
        <v>3</v>
      </c>
      <c r="K251" s="167"/>
      <c r="L251" s="171">
        <v>928.72492</v>
      </c>
      <c r="M251" s="171">
        <v>655.20746999999994</v>
      </c>
      <c r="N251" s="171">
        <v>1583.9323899999999</v>
      </c>
      <c r="O251" s="166">
        <v>703.51141470416997</v>
      </c>
      <c r="P251" s="172">
        <v>255.477</v>
      </c>
      <c r="Q251" s="178">
        <v>2.7537172219188801</v>
      </c>
      <c r="R251" s="179">
        <v>921.30439800578199</v>
      </c>
      <c r="S251" s="168">
        <v>0.01</v>
      </c>
      <c r="T251" s="168">
        <v>0.01</v>
      </c>
      <c r="U251" s="175">
        <v>0</v>
      </c>
      <c r="V251" s="176">
        <v>0</v>
      </c>
      <c r="W251" s="167"/>
      <c r="X251" s="175">
        <v>1188.0812599999999</v>
      </c>
      <c r="Y251" s="166">
        <v>527.69217504675998</v>
      </c>
      <c r="Z251" s="177">
        <v>573</v>
      </c>
      <c r="AA251" s="188">
        <v>0.920928752263106</v>
      </c>
      <c r="AB251" s="171">
        <v>-298.10277775168299</v>
      </c>
      <c r="AC251" s="168"/>
      <c r="AD251" s="168"/>
      <c r="AE251" s="176">
        <v>103</v>
      </c>
      <c r="AF251" s="176">
        <v>361</v>
      </c>
      <c r="AG251" s="167"/>
      <c r="AH251" s="180">
        <v>63.8</v>
      </c>
      <c r="AI251" s="166">
        <v>28.337085939713599</v>
      </c>
      <c r="AJ251" s="181" t="s">
        <v>53</v>
      </c>
      <c r="AK251" s="173">
        <v>0.44979501491608997</v>
      </c>
      <c r="AL251" s="174">
        <v>-99.6024334700803</v>
      </c>
      <c r="AM251" s="168"/>
      <c r="AN251" s="168"/>
      <c r="AO251" s="176">
        <v>79</v>
      </c>
      <c r="AP251" s="176">
        <v>107</v>
      </c>
      <c r="AQ251" s="167"/>
      <c r="AR251" s="180">
        <v>7.8</v>
      </c>
      <c r="AS251" s="166">
        <v>3.4644086258584101</v>
      </c>
      <c r="AT251" s="181" t="s">
        <v>54</v>
      </c>
      <c r="AU251" s="173">
        <v>0.21652553911615099</v>
      </c>
      <c r="AV251" s="174">
        <v>-33.699030722560103</v>
      </c>
      <c r="AW251" s="168"/>
      <c r="AX251" s="168"/>
      <c r="AY251" s="176">
        <v>29</v>
      </c>
      <c r="AZ251" s="176">
        <v>36</v>
      </c>
      <c r="BA251" s="167"/>
      <c r="BB251" s="184">
        <v>61.6</v>
      </c>
      <c r="BC251" s="180">
        <v>27.359945045240799</v>
      </c>
      <c r="BD251" s="181" t="s">
        <v>55</v>
      </c>
      <c r="BE251" s="188">
        <v>0.85499828266377398</v>
      </c>
      <c r="BF251" s="171">
        <v>-21.398061445120099</v>
      </c>
      <c r="BG251" s="168"/>
      <c r="BH251" s="168"/>
      <c r="BI251" s="176">
        <v>11</v>
      </c>
      <c r="BJ251" s="176">
        <v>25</v>
      </c>
      <c r="BK251" s="169"/>
      <c r="BL251" s="185">
        <v>0.8</v>
      </c>
      <c r="BM251" s="182">
        <v>0.91</v>
      </c>
      <c r="BN251" s="186">
        <v>4.1250000000000002E-3</v>
      </c>
      <c r="BO251" s="187">
        <v>0.95</v>
      </c>
      <c r="BP251" s="178">
        <v>1</v>
      </c>
      <c r="BQ251" s="186">
        <v>2.5000000000000001E-3</v>
      </c>
    </row>
    <row r="252" spans="1:69" s="156" customFormat="1" ht="22.35" customHeight="1" x14ac:dyDescent="0.2">
      <c r="A252" s="165" t="s">
        <v>275</v>
      </c>
      <c r="B252" s="165" t="s">
        <v>318</v>
      </c>
      <c r="C252" s="165" t="s">
        <v>321</v>
      </c>
      <c r="D252" s="166">
        <v>2.8395425426666701</v>
      </c>
      <c r="E252" s="167"/>
      <c r="F252" s="168">
        <v>0.01</v>
      </c>
      <c r="G252" s="168">
        <v>0.01</v>
      </c>
      <c r="H252" s="169"/>
      <c r="I252" s="170">
        <v>3</v>
      </c>
      <c r="J252" s="170">
        <v>3</v>
      </c>
      <c r="K252" s="167"/>
      <c r="L252" s="171">
        <v>249.59396000000001</v>
      </c>
      <c r="M252" s="171">
        <v>1950.9358099999999</v>
      </c>
      <c r="N252" s="171">
        <v>2200.5297700000001</v>
      </c>
      <c r="O252" s="166">
        <v>774.95925380059396</v>
      </c>
      <c r="P252" s="172">
        <v>222.37200000000001</v>
      </c>
      <c r="Q252" s="178">
        <v>3.4849677738231102</v>
      </c>
      <c r="R252" s="179">
        <v>1473.1169330488499</v>
      </c>
      <c r="S252" s="168">
        <v>0.01</v>
      </c>
      <c r="T252" s="168">
        <v>0.01</v>
      </c>
      <c r="U252" s="175">
        <v>0</v>
      </c>
      <c r="V252" s="176">
        <v>0</v>
      </c>
      <c r="W252" s="167"/>
      <c r="X252" s="175">
        <v>909.82177999999999</v>
      </c>
      <c r="Y252" s="166">
        <v>320.41139244406901</v>
      </c>
      <c r="Z252" s="177">
        <v>573</v>
      </c>
      <c r="AA252" s="173">
        <v>0.55918218576626399</v>
      </c>
      <c r="AB252" s="174">
        <v>-964.54889424409805</v>
      </c>
      <c r="AC252" s="168"/>
      <c r="AD252" s="168"/>
      <c r="AE252" s="176">
        <v>718</v>
      </c>
      <c r="AF252" s="176">
        <v>1043</v>
      </c>
      <c r="AG252" s="167"/>
      <c r="AH252" s="180">
        <v>110.3</v>
      </c>
      <c r="AI252" s="166">
        <v>38.844285071501403</v>
      </c>
      <c r="AJ252" s="181" t="s">
        <v>53</v>
      </c>
      <c r="AK252" s="173">
        <v>0.616575953515896</v>
      </c>
      <c r="AL252" s="174">
        <v>-95.782639576576202</v>
      </c>
      <c r="AM252" s="168"/>
      <c r="AN252" s="168"/>
      <c r="AO252" s="176">
        <v>69</v>
      </c>
      <c r="AP252" s="176">
        <v>105</v>
      </c>
      <c r="AQ252" s="167"/>
      <c r="AR252" s="180">
        <v>7</v>
      </c>
      <c r="AS252" s="166">
        <v>2.4651858159611102</v>
      </c>
      <c r="AT252" s="181" t="s">
        <v>54</v>
      </c>
      <c r="AU252" s="173">
        <v>0.154074113497569</v>
      </c>
      <c r="AV252" s="174">
        <v>-45.3384481464321</v>
      </c>
      <c r="AW252" s="168"/>
      <c r="AX252" s="168"/>
      <c r="AY252" s="176">
        <v>39</v>
      </c>
      <c r="AZ252" s="176">
        <v>48</v>
      </c>
      <c r="BA252" s="167"/>
      <c r="BB252" s="184">
        <v>54.4</v>
      </c>
      <c r="BC252" s="180">
        <v>19.1580154840406</v>
      </c>
      <c r="BD252" s="181" t="s">
        <v>55</v>
      </c>
      <c r="BE252" s="173">
        <v>0.59868798387626798</v>
      </c>
      <c r="BF252" s="174">
        <v>-50.276896292864102</v>
      </c>
      <c r="BG252" s="168"/>
      <c r="BH252" s="168"/>
      <c r="BI252" s="176">
        <v>37</v>
      </c>
      <c r="BJ252" s="176">
        <v>55</v>
      </c>
      <c r="BK252" s="169"/>
      <c r="BL252" s="185">
        <v>0.8</v>
      </c>
      <c r="BM252" s="182">
        <v>0.83</v>
      </c>
      <c r="BN252" s="186">
        <v>1.1249999999999999E-3</v>
      </c>
      <c r="BO252" s="187">
        <v>0.95</v>
      </c>
      <c r="BP252" s="178">
        <v>1</v>
      </c>
      <c r="BQ252" s="186">
        <v>2.5000000000000001E-3</v>
      </c>
    </row>
    <row r="253" spans="1:69" s="156" customFormat="1" ht="22.35" customHeight="1" x14ac:dyDescent="0.2">
      <c r="A253" s="165" t="s">
        <v>275</v>
      </c>
      <c r="B253" s="165" t="s">
        <v>318</v>
      </c>
      <c r="C253" s="165" t="s">
        <v>322</v>
      </c>
      <c r="D253" s="166">
        <v>2.59845626488889</v>
      </c>
      <c r="E253" s="167"/>
      <c r="F253" s="168">
        <v>0.04</v>
      </c>
      <c r="G253" s="168">
        <v>3.4000000000000002E-2</v>
      </c>
      <c r="H253" s="169"/>
      <c r="I253" s="170">
        <v>6</v>
      </c>
      <c r="J253" s="170">
        <v>5</v>
      </c>
      <c r="K253" s="167"/>
      <c r="L253" s="171">
        <v>836.37577999999996</v>
      </c>
      <c r="M253" s="171">
        <v>339.08438999999998</v>
      </c>
      <c r="N253" s="171">
        <v>1175.4601700000001</v>
      </c>
      <c r="O253" s="166">
        <v>452.36865668403402</v>
      </c>
      <c r="P253" s="172">
        <v>286.47199999999998</v>
      </c>
      <c r="Q253" s="178">
        <v>1.57910251851502</v>
      </c>
      <c r="R253" s="179">
        <v>317.92869249123203</v>
      </c>
      <c r="S253" s="168">
        <v>0.01</v>
      </c>
      <c r="T253" s="168">
        <v>0.01</v>
      </c>
      <c r="U253" s="175">
        <v>0</v>
      </c>
      <c r="V253" s="176">
        <v>0</v>
      </c>
      <c r="W253" s="167"/>
      <c r="X253" s="175">
        <v>1985.717245</v>
      </c>
      <c r="Y253" s="166">
        <v>764.19113603395999</v>
      </c>
      <c r="Z253" s="177">
        <v>573</v>
      </c>
      <c r="AA253" s="178">
        <v>1.3336669040732301</v>
      </c>
      <c r="AB253" s="179">
        <v>270.48665837190299</v>
      </c>
      <c r="AC253" s="168">
        <v>0.02</v>
      </c>
      <c r="AD253" s="168">
        <v>0.02</v>
      </c>
      <c r="AE253" s="176">
        <v>0</v>
      </c>
      <c r="AF253" s="176">
        <v>0</v>
      </c>
      <c r="AG253" s="167"/>
      <c r="AH253" s="180">
        <v>158.9</v>
      </c>
      <c r="AI253" s="166">
        <v>61.151693082967697</v>
      </c>
      <c r="AJ253" s="181" t="s">
        <v>53</v>
      </c>
      <c r="AK253" s="182">
        <v>0.97066179496774097</v>
      </c>
      <c r="AL253" s="183">
        <v>-29.685561880576099</v>
      </c>
      <c r="AM253" s="168">
        <v>1E-3</v>
      </c>
      <c r="AN253" s="168"/>
      <c r="AO253" s="176">
        <v>5</v>
      </c>
      <c r="AP253" s="176">
        <v>38</v>
      </c>
      <c r="AQ253" s="167"/>
      <c r="AR253" s="180">
        <v>21.6</v>
      </c>
      <c r="AS253" s="166">
        <v>8.3126278828955495</v>
      </c>
      <c r="AT253" s="181" t="s">
        <v>54</v>
      </c>
      <c r="AU253" s="173">
        <v>0.51953924268097196</v>
      </c>
      <c r="AV253" s="174">
        <v>-26.294745874432</v>
      </c>
      <c r="AW253" s="168"/>
      <c r="AX253" s="168"/>
      <c r="AY253" s="176">
        <v>20</v>
      </c>
      <c r="AZ253" s="176">
        <v>29</v>
      </c>
      <c r="BA253" s="167"/>
      <c r="BB253" s="184">
        <v>86.8</v>
      </c>
      <c r="BC253" s="180">
        <v>33.404449084969201</v>
      </c>
      <c r="BD253" s="181" t="s">
        <v>55</v>
      </c>
      <c r="BE253" s="182">
        <v>1.04388903390529</v>
      </c>
      <c r="BF253" s="183">
        <v>-8.9894917488640491</v>
      </c>
      <c r="BG253" s="168">
        <v>8.9999999999999993E-3</v>
      </c>
      <c r="BH253" s="168">
        <v>4.0000000000000001E-3</v>
      </c>
      <c r="BI253" s="176">
        <v>0</v>
      </c>
      <c r="BJ253" s="176">
        <v>13</v>
      </c>
      <c r="BK253" s="169"/>
      <c r="BL253" s="185">
        <v>0.8</v>
      </c>
      <c r="BM253" s="182">
        <v>0.86</v>
      </c>
      <c r="BN253" s="186">
        <v>2.2499999999999998E-3</v>
      </c>
      <c r="BO253" s="187">
        <v>0.95</v>
      </c>
      <c r="BP253" s="178">
        <v>1</v>
      </c>
      <c r="BQ253" s="186">
        <v>2.5000000000000001E-3</v>
      </c>
    </row>
    <row r="254" spans="1:69" s="156" customFormat="1" ht="22.35" customHeight="1" x14ac:dyDescent="0.2">
      <c r="A254" s="165" t="s">
        <v>275</v>
      </c>
      <c r="B254" s="165" t="s">
        <v>318</v>
      </c>
      <c r="C254" s="165" t="s">
        <v>323</v>
      </c>
      <c r="D254" s="166">
        <v>3.4220960403333298</v>
      </c>
      <c r="E254" s="167"/>
      <c r="F254" s="168">
        <v>0.05</v>
      </c>
      <c r="G254" s="168">
        <v>0.05</v>
      </c>
      <c r="H254" s="169"/>
      <c r="I254" s="170">
        <v>4</v>
      </c>
      <c r="J254" s="170">
        <v>4</v>
      </c>
      <c r="K254" s="167"/>
      <c r="L254" s="171">
        <v>2508.60232</v>
      </c>
      <c r="M254" s="171">
        <v>1907.7647099999999</v>
      </c>
      <c r="N254" s="171">
        <v>4416.3670300000003</v>
      </c>
      <c r="O254" s="166">
        <v>1290.5444435071499</v>
      </c>
      <c r="P254" s="172">
        <v>237.096</v>
      </c>
      <c r="Q254" s="178">
        <v>5.4431303923606897</v>
      </c>
      <c r="R254" s="179">
        <v>3481.67422423874</v>
      </c>
      <c r="S254" s="168">
        <v>0.01</v>
      </c>
      <c r="T254" s="168">
        <v>0.01</v>
      </c>
      <c r="U254" s="175">
        <v>0</v>
      </c>
      <c r="V254" s="176">
        <v>0</v>
      </c>
      <c r="W254" s="167"/>
      <c r="X254" s="175">
        <v>2460.007865</v>
      </c>
      <c r="Y254" s="166">
        <v>718.85997236955996</v>
      </c>
      <c r="Z254" s="177">
        <v>573</v>
      </c>
      <c r="AA254" s="178">
        <v>1.25455492560133</v>
      </c>
      <c r="AB254" s="179">
        <v>201.09595716013001</v>
      </c>
      <c r="AC254" s="168">
        <v>0.02</v>
      </c>
      <c r="AD254" s="168">
        <v>0.02</v>
      </c>
      <c r="AE254" s="176">
        <v>0</v>
      </c>
      <c r="AF254" s="176">
        <v>0</v>
      </c>
      <c r="AG254" s="167"/>
      <c r="AH254" s="180">
        <v>120.25</v>
      </c>
      <c r="AI254" s="166">
        <v>35.139282645114399</v>
      </c>
      <c r="AJ254" s="181" t="s">
        <v>53</v>
      </c>
      <c r="AK254" s="173">
        <v>0.55776639119229299</v>
      </c>
      <c r="AL254" s="174">
        <v>-128.11204222323201</v>
      </c>
      <c r="AM254" s="168"/>
      <c r="AN254" s="168"/>
      <c r="AO254" s="176">
        <v>96</v>
      </c>
      <c r="AP254" s="176">
        <v>139</v>
      </c>
      <c r="AQ254" s="167"/>
      <c r="AR254" s="180">
        <v>15</v>
      </c>
      <c r="AS254" s="166">
        <v>4.3832785004300803</v>
      </c>
      <c r="AT254" s="181" t="s">
        <v>54</v>
      </c>
      <c r="AU254" s="173">
        <v>0.27395490627688002</v>
      </c>
      <c r="AV254" s="174">
        <v>-48.076074215423901</v>
      </c>
      <c r="AW254" s="168"/>
      <c r="AX254" s="168"/>
      <c r="AY254" s="176">
        <v>40</v>
      </c>
      <c r="AZ254" s="176">
        <v>51</v>
      </c>
      <c r="BA254" s="167"/>
      <c r="BB254" s="184">
        <v>149.6</v>
      </c>
      <c r="BC254" s="180">
        <v>43.715897577622599</v>
      </c>
      <c r="BD254" s="181" t="s">
        <v>55</v>
      </c>
      <c r="BE254" s="178">
        <v>1.36612179930071</v>
      </c>
      <c r="BF254" s="179">
        <v>23.4478515691521</v>
      </c>
      <c r="BG254" s="168">
        <v>0.02</v>
      </c>
      <c r="BH254" s="168">
        <v>0.02</v>
      </c>
      <c r="BI254" s="176">
        <v>0</v>
      </c>
      <c r="BJ254" s="176">
        <v>0</v>
      </c>
      <c r="BK254" s="169"/>
      <c r="BL254" s="185">
        <v>0.8</v>
      </c>
      <c r="BM254" s="188">
        <v>0.77</v>
      </c>
      <c r="BN254" s="186"/>
      <c r="BO254" s="187">
        <v>0.95</v>
      </c>
      <c r="BP254" s="178">
        <v>1</v>
      </c>
      <c r="BQ254" s="186">
        <v>2.5000000000000001E-3</v>
      </c>
    </row>
    <row r="255" spans="1:69" s="156" customFormat="1" ht="22.35" customHeight="1" x14ac:dyDescent="0.2">
      <c r="A255" s="165" t="s">
        <v>275</v>
      </c>
      <c r="B255" s="165" t="s">
        <v>318</v>
      </c>
      <c r="C255" s="165" t="s">
        <v>324</v>
      </c>
      <c r="D255" s="166">
        <v>2.6425147733333301</v>
      </c>
      <c r="E255" s="167"/>
      <c r="F255" s="168">
        <v>0.08</v>
      </c>
      <c r="G255" s="168">
        <v>0.08</v>
      </c>
      <c r="H255" s="169"/>
      <c r="I255" s="170">
        <v>6</v>
      </c>
      <c r="J255" s="170">
        <v>6</v>
      </c>
      <c r="K255" s="167"/>
      <c r="L255" s="171">
        <v>2477.3892099999998</v>
      </c>
      <c r="M255" s="171">
        <v>829.45393000000001</v>
      </c>
      <c r="N255" s="171">
        <v>3306.8431399999999</v>
      </c>
      <c r="O255" s="166">
        <v>1251.4000577672</v>
      </c>
      <c r="P255" s="172">
        <v>265.19900000000001</v>
      </c>
      <c r="Q255" s="178">
        <v>4.7187208766518696</v>
      </c>
      <c r="R255" s="179">
        <v>2499.5304387700398</v>
      </c>
      <c r="S255" s="168">
        <v>0.01</v>
      </c>
      <c r="T255" s="168">
        <v>0.01</v>
      </c>
      <c r="U255" s="175">
        <v>0</v>
      </c>
      <c r="V255" s="176">
        <v>0</v>
      </c>
      <c r="W255" s="167"/>
      <c r="X255" s="175">
        <v>2016.01143</v>
      </c>
      <c r="Y255" s="166">
        <v>762.91396753742799</v>
      </c>
      <c r="Z255" s="177">
        <v>573</v>
      </c>
      <c r="AA255" s="178">
        <v>1.33143798872151</v>
      </c>
      <c r="AB255" s="179">
        <v>271.69799818176199</v>
      </c>
      <c r="AC255" s="168">
        <v>0.02</v>
      </c>
      <c r="AD255" s="168">
        <v>0.02</v>
      </c>
      <c r="AE255" s="176">
        <v>0</v>
      </c>
      <c r="AF255" s="176">
        <v>0</v>
      </c>
      <c r="AG255" s="167"/>
      <c r="AH255" s="180">
        <v>199.3</v>
      </c>
      <c r="AI255" s="166">
        <v>75.420581186987306</v>
      </c>
      <c r="AJ255" s="181" t="s">
        <v>53</v>
      </c>
      <c r="AK255" s="178">
        <v>1.1971520823331301</v>
      </c>
      <c r="AL255" s="179">
        <v>7.5168478105603098</v>
      </c>
      <c r="AM255" s="168">
        <v>0.02</v>
      </c>
      <c r="AN255" s="168">
        <v>0.02</v>
      </c>
      <c r="AO255" s="176">
        <v>0</v>
      </c>
      <c r="AP255" s="176">
        <v>1</v>
      </c>
      <c r="AQ255" s="167"/>
      <c r="AR255" s="180">
        <v>59.2</v>
      </c>
      <c r="AS255" s="166">
        <v>22.402902189009801</v>
      </c>
      <c r="AT255" s="181" t="s">
        <v>54</v>
      </c>
      <c r="AU255" s="178">
        <v>1.4001813868131101</v>
      </c>
      <c r="AV255" s="179">
        <v>10.4931676979201</v>
      </c>
      <c r="AW255" s="168">
        <v>0.01</v>
      </c>
      <c r="AX255" s="168">
        <v>0.01</v>
      </c>
      <c r="AY255" s="176">
        <v>0</v>
      </c>
      <c r="AZ255" s="176">
        <v>0</v>
      </c>
      <c r="BA255" s="167"/>
      <c r="BB255" s="184">
        <v>169.8</v>
      </c>
      <c r="BC255" s="180">
        <v>64.256972832666506</v>
      </c>
      <c r="BD255" s="181" t="s">
        <v>55</v>
      </c>
      <c r="BE255" s="178">
        <v>2.0080304010208301</v>
      </c>
      <c r="BF255" s="179">
        <v>72.386335395840106</v>
      </c>
      <c r="BG255" s="168">
        <v>0.02</v>
      </c>
      <c r="BH255" s="168">
        <v>0.02</v>
      </c>
      <c r="BI255" s="176">
        <v>0</v>
      </c>
      <c r="BJ255" s="176">
        <v>0</v>
      </c>
      <c r="BK255" s="169"/>
      <c r="BL255" s="185">
        <v>0.8</v>
      </c>
      <c r="BM255" s="188">
        <v>0.78</v>
      </c>
      <c r="BN255" s="186"/>
      <c r="BO255" s="187">
        <v>0.95</v>
      </c>
      <c r="BP255" s="178">
        <v>1</v>
      </c>
      <c r="BQ255" s="186">
        <v>2.5000000000000001E-3</v>
      </c>
    </row>
    <row r="256" spans="1:69" s="156" customFormat="1" ht="22.35" customHeight="1" x14ac:dyDescent="0.2">
      <c r="A256" s="165" t="s">
        <v>275</v>
      </c>
      <c r="B256" s="165" t="s">
        <v>318</v>
      </c>
      <c r="C256" s="165" t="s">
        <v>325</v>
      </c>
      <c r="D256" s="166">
        <v>3.04966082633333</v>
      </c>
      <c r="E256" s="167"/>
      <c r="F256" s="168">
        <v>2.8000000000000001E-2</v>
      </c>
      <c r="G256" s="168">
        <v>1.9E-2</v>
      </c>
      <c r="H256" s="169"/>
      <c r="I256" s="170">
        <v>5</v>
      </c>
      <c r="J256" s="170">
        <v>5</v>
      </c>
      <c r="K256" s="167"/>
      <c r="L256" s="171">
        <v>1040.4178999999999</v>
      </c>
      <c r="M256" s="171">
        <v>2526.2619300000001</v>
      </c>
      <c r="N256" s="171">
        <v>3566.67983</v>
      </c>
      <c r="O256" s="166">
        <v>1169.53328029212</v>
      </c>
      <c r="P256" s="172">
        <v>266.08300000000003</v>
      </c>
      <c r="Q256" s="178">
        <v>4.3953701675496699</v>
      </c>
      <c r="R256" s="179">
        <v>2631.8745672954501</v>
      </c>
      <c r="S256" s="168">
        <v>0.01</v>
      </c>
      <c r="T256" s="168">
        <v>0.01</v>
      </c>
      <c r="U256" s="175">
        <v>0</v>
      </c>
      <c r="V256" s="176">
        <v>0</v>
      </c>
      <c r="W256" s="167"/>
      <c r="X256" s="175">
        <v>1895.6180400000001</v>
      </c>
      <c r="Y256" s="166">
        <v>621.58323431630197</v>
      </c>
      <c r="Z256" s="177">
        <v>573</v>
      </c>
      <c r="AA256" s="182">
        <v>1.0847874944438101</v>
      </c>
      <c r="AB256" s="183">
        <v>-117.45087281932599</v>
      </c>
      <c r="AC256" s="168">
        <v>1.2999999999999999E-2</v>
      </c>
      <c r="AD256" s="168">
        <v>8.0000000000000002E-3</v>
      </c>
      <c r="AE256" s="176">
        <v>0</v>
      </c>
      <c r="AF256" s="176">
        <v>202</v>
      </c>
      <c r="AG256" s="167"/>
      <c r="AH256" s="180">
        <v>120.75</v>
      </c>
      <c r="AI256" s="166">
        <v>39.594567027697998</v>
      </c>
      <c r="AJ256" s="181" t="s">
        <v>53</v>
      </c>
      <c r="AK256" s="173">
        <v>0.62848519091584099</v>
      </c>
      <c r="AL256" s="174">
        <v>-100.58218413196801</v>
      </c>
      <c r="AM256" s="168"/>
      <c r="AN256" s="168"/>
      <c r="AO256" s="176">
        <v>72</v>
      </c>
      <c r="AP256" s="176">
        <v>110</v>
      </c>
      <c r="AQ256" s="167"/>
      <c r="AR256" s="180">
        <v>5.5</v>
      </c>
      <c r="AS256" s="166">
        <v>1.8034792434976299</v>
      </c>
      <c r="AT256" s="181" t="s">
        <v>54</v>
      </c>
      <c r="AU256" s="173">
        <v>0.11271745271860199</v>
      </c>
      <c r="AV256" s="174">
        <v>-50.711348350975904</v>
      </c>
      <c r="AW256" s="168"/>
      <c r="AX256" s="168"/>
      <c r="AY256" s="176">
        <v>44</v>
      </c>
      <c r="AZ256" s="176">
        <v>54</v>
      </c>
      <c r="BA256" s="167"/>
      <c r="BB256" s="184">
        <v>98.4</v>
      </c>
      <c r="BC256" s="180">
        <v>32.265883192757599</v>
      </c>
      <c r="BD256" s="181" t="s">
        <v>55</v>
      </c>
      <c r="BE256" s="182">
        <v>1.0083088497736801</v>
      </c>
      <c r="BF256" s="183">
        <v>-14.022696701951901</v>
      </c>
      <c r="BG256" s="168">
        <v>5.0000000000000001E-3</v>
      </c>
      <c r="BH256" s="168">
        <v>1E-3</v>
      </c>
      <c r="BI256" s="176">
        <v>0</v>
      </c>
      <c r="BJ256" s="176">
        <v>19</v>
      </c>
      <c r="BK256" s="169"/>
      <c r="BL256" s="185">
        <v>0.8</v>
      </c>
      <c r="BM256" s="182">
        <v>0.85</v>
      </c>
      <c r="BN256" s="186">
        <v>1.8749999999999999E-3</v>
      </c>
      <c r="BO256" s="187">
        <v>0.95</v>
      </c>
      <c r="BP256" s="178">
        <v>1</v>
      </c>
      <c r="BQ256" s="186">
        <v>2.5000000000000001E-3</v>
      </c>
    </row>
    <row r="257" spans="1:69" s="156" customFormat="1" ht="22.35" customHeight="1" x14ac:dyDescent="0.2">
      <c r="A257" s="165" t="s">
        <v>275</v>
      </c>
      <c r="B257" s="165" t="s">
        <v>318</v>
      </c>
      <c r="C257" s="165" t="s">
        <v>326</v>
      </c>
      <c r="D257" s="166">
        <v>2.8493458841111101</v>
      </c>
      <c r="E257" s="167"/>
      <c r="F257" s="168">
        <v>0.05</v>
      </c>
      <c r="G257" s="168">
        <v>4.4999999999999998E-2</v>
      </c>
      <c r="H257" s="169"/>
      <c r="I257" s="170">
        <v>5</v>
      </c>
      <c r="J257" s="170">
        <v>5</v>
      </c>
      <c r="K257" s="167"/>
      <c r="L257" s="171">
        <v>1897.5000700000001</v>
      </c>
      <c r="M257" s="171">
        <v>2524.7166400000001</v>
      </c>
      <c r="N257" s="171">
        <v>4422.2167099999997</v>
      </c>
      <c r="O257" s="166">
        <v>1552.01119480079</v>
      </c>
      <c r="P257" s="172">
        <v>263.75299999999999</v>
      </c>
      <c r="Q257" s="178">
        <v>5.8843357034831403</v>
      </c>
      <c r="R257" s="179">
        <v>3556.4616092322999</v>
      </c>
      <c r="S257" s="168">
        <v>0.01</v>
      </c>
      <c r="T257" s="168">
        <v>0.01</v>
      </c>
      <c r="U257" s="175">
        <v>0</v>
      </c>
      <c r="V257" s="176">
        <v>0</v>
      </c>
      <c r="W257" s="167"/>
      <c r="X257" s="175">
        <v>1880.67527</v>
      </c>
      <c r="Y257" s="166">
        <v>660.03754773587298</v>
      </c>
      <c r="Z257" s="177">
        <v>573</v>
      </c>
      <c r="AA257" s="178">
        <v>1.15189798906784</v>
      </c>
      <c r="AB257" s="179">
        <v>-0.16655071820741801</v>
      </c>
      <c r="AC257" s="168">
        <v>0.02</v>
      </c>
      <c r="AD257" s="168">
        <v>1.4999999999999999E-2</v>
      </c>
      <c r="AE257" s="176">
        <v>0</v>
      </c>
      <c r="AF257" s="176">
        <v>79</v>
      </c>
      <c r="AG257" s="167"/>
      <c r="AH257" s="180">
        <v>164.25</v>
      </c>
      <c r="AI257" s="166">
        <v>57.644809258122002</v>
      </c>
      <c r="AJ257" s="181" t="s">
        <v>53</v>
      </c>
      <c r="AK257" s="188">
        <v>0.91499697235114297</v>
      </c>
      <c r="AL257" s="171">
        <v>-42.544126885247898</v>
      </c>
      <c r="AM257" s="168"/>
      <c r="AN257" s="168"/>
      <c r="AO257" s="176">
        <v>16</v>
      </c>
      <c r="AP257" s="176">
        <v>52</v>
      </c>
      <c r="AQ257" s="167"/>
      <c r="AR257" s="180">
        <v>33.9</v>
      </c>
      <c r="AS257" s="166">
        <v>11.897467481585</v>
      </c>
      <c r="AT257" s="181" t="s">
        <v>54</v>
      </c>
      <c r="AU257" s="173">
        <v>0.74359171759906195</v>
      </c>
      <c r="AV257" s="174">
        <v>-18.619143335935998</v>
      </c>
      <c r="AW257" s="168"/>
      <c r="AX257" s="168"/>
      <c r="AY257" s="176">
        <v>12</v>
      </c>
      <c r="AZ257" s="176">
        <v>21</v>
      </c>
      <c r="BA257" s="167"/>
      <c r="BB257" s="184">
        <v>113</v>
      </c>
      <c r="BC257" s="180">
        <v>39.658224938616598</v>
      </c>
      <c r="BD257" s="181" t="s">
        <v>55</v>
      </c>
      <c r="BE257" s="178">
        <v>1.23931952933177</v>
      </c>
      <c r="BF257" s="179">
        <v>7.9617133281280399</v>
      </c>
      <c r="BG257" s="168">
        <v>0.02</v>
      </c>
      <c r="BH257" s="168">
        <v>0.02</v>
      </c>
      <c r="BI257" s="176">
        <v>0</v>
      </c>
      <c r="BJ257" s="176">
        <v>0</v>
      </c>
      <c r="BK257" s="169"/>
      <c r="BL257" s="185">
        <v>0.8</v>
      </c>
      <c r="BM257" s="182">
        <v>0.87</v>
      </c>
      <c r="BN257" s="186">
        <v>2.6250000000000002E-3</v>
      </c>
      <c r="BO257" s="187">
        <v>0.95</v>
      </c>
      <c r="BP257" s="178">
        <v>1</v>
      </c>
      <c r="BQ257" s="186">
        <v>2.5000000000000001E-3</v>
      </c>
    </row>
    <row r="258" spans="1:69" s="156" customFormat="1" ht="22.35" customHeight="1" x14ac:dyDescent="0.2">
      <c r="A258" s="165" t="s">
        <v>275</v>
      </c>
      <c r="B258" s="165" t="s">
        <v>318</v>
      </c>
      <c r="C258" s="165" t="s">
        <v>327</v>
      </c>
      <c r="D258" s="166">
        <v>7.8533208782222204</v>
      </c>
      <c r="E258" s="167"/>
      <c r="F258" s="168">
        <v>2.9000000000000001E-2</v>
      </c>
      <c r="G258" s="168">
        <v>0.02</v>
      </c>
      <c r="H258" s="169"/>
      <c r="I258" s="170">
        <v>5</v>
      </c>
      <c r="J258" s="170">
        <v>5</v>
      </c>
      <c r="K258" s="167"/>
      <c r="L258" s="171">
        <v>3798.9518400000002</v>
      </c>
      <c r="M258" s="171">
        <v>-1031.5922599999999</v>
      </c>
      <c r="N258" s="171">
        <v>2767.3595799999998</v>
      </c>
      <c r="O258" s="166">
        <v>352.38081098584303</v>
      </c>
      <c r="P258" s="172">
        <v>267.36500000000001</v>
      </c>
      <c r="Q258" s="178">
        <v>1.3179765900018401</v>
      </c>
      <c r="R258" s="179">
        <v>348.50156663002201</v>
      </c>
      <c r="S258" s="168">
        <v>0.01</v>
      </c>
      <c r="T258" s="168">
        <v>0.01</v>
      </c>
      <c r="U258" s="175">
        <v>0</v>
      </c>
      <c r="V258" s="176">
        <v>0</v>
      </c>
      <c r="W258" s="167"/>
      <c r="X258" s="175">
        <v>4828.6669899999997</v>
      </c>
      <c r="Y258" s="166">
        <v>614.85670391874805</v>
      </c>
      <c r="Z258" s="177">
        <v>573</v>
      </c>
      <c r="AA258" s="182">
        <v>1.07304834889834</v>
      </c>
      <c r="AB258" s="183">
        <v>-355.27870843097401</v>
      </c>
      <c r="AC258" s="168">
        <v>1.2E-2</v>
      </c>
      <c r="AD258" s="168">
        <v>7.0000000000000001E-3</v>
      </c>
      <c r="AE258" s="176">
        <v>0</v>
      </c>
      <c r="AF258" s="176">
        <v>572</v>
      </c>
      <c r="AG258" s="167"/>
      <c r="AH258" s="180">
        <v>420.3</v>
      </c>
      <c r="AI258" s="166">
        <v>53.518760600438398</v>
      </c>
      <c r="AJ258" s="181" t="s">
        <v>53</v>
      </c>
      <c r="AK258" s="188">
        <v>0.84950413651489598</v>
      </c>
      <c r="AL258" s="171">
        <v>-149.66261605785601</v>
      </c>
      <c r="AM258" s="168"/>
      <c r="AN258" s="168"/>
      <c r="AO258" s="176">
        <v>75</v>
      </c>
      <c r="AP258" s="176">
        <v>174</v>
      </c>
      <c r="AQ258" s="167"/>
      <c r="AR258" s="180">
        <v>61.6</v>
      </c>
      <c r="AS258" s="166">
        <v>7.8438154960433204</v>
      </c>
      <c r="AT258" s="181" t="s">
        <v>54</v>
      </c>
      <c r="AU258" s="173">
        <v>0.49023846850270802</v>
      </c>
      <c r="AV258" s="174">
        <v>-83.152410427391999</v>
      </c>
      <c r="AW258" s="168"/>
      <c r="AX258" s="168"/>
      <c r="AY258" s="176">
        <v>65</v>
      </c>
      <c r="AZ258" s="176">
        <v>90</v>
      </c>
      <c r="BA258" s="167"/>
      <c r="BB258" s="184">
        <v>258.2</v>
      </c>
      <c r="BC258" s="180">
        <v>32.877811056467301</v>
      </c>
      <c r="BD258" s="181" t="s">
        <v>55</v>
      </c>
      <c r="BE258" s="182">
        <v>1.0274315955146001</v>
      </c>
      <c r="BF258" s="183">
        <v>-31.304820854783902</v>
      </c>
      <c r="BG258" s="168">
        <v>7.0000000000000001E-3</v>
      </c>
      <c r="BH258" s="168">
        <v>3.0000000000000001E-3</v>
      </c>
      <c r="BI258" s="176">
        <v>0</v>
      </c>
      <c r="BJ258" s="176">
        <v>44</v>
      </c>
      <c r="BK258" s="169"/>
      <c r="BL258" s="185">
        <v>0.8</v>
      </c>
      <c r="BM258" s="182">
        <v>0.81</v>
      </c>
      <c r="BN258" s="186">
        <v>3.7500000000000001E-4</v>
      </c>
      <c r="BO258" s="187">
        <v>0.95</v>
      </c>
      <c r="BP258" s="178">
        <v>1</v>
      </c>
      <c r="BQ258" s="186">
        <v>2.5000000000000001E-3</v>
      </c>
    </row>
    <row r="259" spans="1:69" s="156" customFormat="1" ht="22.35" customHeight="1" x14ac:dyDescent="0.2">
      <c r="A259" s="165" t="s">
        <v>275</v>
      </c>
      <c r="B259" s="165" t="s">
        <v>318</v>
      </c>
      <c r="C259" s="165" t="s">
        <v>328</v>
      </c>
      <c r="D259" s="166">
        <v>8.9100383940000007</v>
      </c>
      <c r="E259" s="167"/>
      <c r="F259" s="168">
        <v>1.5E-3</v>
      </c>
      <c r="G259" s="168"/>
      <c r="H259" s="169"/>
      <c r="I259" s="170">
        <v>2</v>
      </c>
      <c r="J259" s="170">
        <v>1</v>
      </c>
      <c r="K259" s="167"/>
      <c r="L259" s="171">
        <v>4377.8224399999999</v>
      </c>
      <c r="M259" s="171">
        <v>-2040.3157699999999</v>
      </c>
      <c r="N259" s="171">
        <v>2337.5066700000002</v>
      </c>
      <c r="O259" s="166">
        <v>262.345297139693</v>
      </c>
      <c r="P259" s="172">
        <v>266.08300000000003</v>
      </c>
      <c r="Q259" s="182">
        <v>0.98595286861502796</v>
      </c>
      <c r="R259" s="183">
        <v>-393.666157381289</v>
      </c>
      <c r="S259" s="168">
        <v>1.5E-3</v>
      </c>
      <c r="T259" s="168"/>
      <c r="U259" s="175">
        <v>34</v>
      </c>
      <c r="V259" s="176">
        <v>508</v>
      </c>
      <c r="W259" s="167"/>
      <c r="X259" s="175">
        <v>3632.368375</v>
      </c>
      <c r="Y259" s="166">
        <v>407.67146160066198</v>
      </c>
      <c r="Z259" s="177">
        <v>573</v>
      </c>
      <c r="AA259" s="173">
        <v>0.71146851937288402</v>
      </c>
      <c r="AB259" s="174">
        <v>-2249.1123287258201</v>
      </c>
      <c r="AC259" s="168"/>
      <c r="AD259" s="168"/>
      <c r="AE259" s="176">
        <v>1474</v>
      </c>
      <c r="AF259" s="176">
        <v>2495</v>
      </c>
      <c r="AG259" s="167"/>
      <c r="AH259" s="180">
        <v>413.45</v>
      </c>
      <c r="AI259" s="166">
        <v>46.402718116053897</v>
      </c>
      <c r="AJ259" s="181" t="s">
        <v>53</v>
      </c>
      <c r="AK259" s="173">
        <v>0.73655108120720503</v>
      </c>
      <c r="AL259" s="174">
        <v>-233.204946482944</v>
      </c>
      <c r="AM259" s="168"/>
      <c r="AN259" s="168"/>
      <c r="AO259" s="176">
        <v>148</v>
      </c>
      <c r="AP259" s="176">
        <v>261</v>
      </c>
      <c r="AQ259" s="167"/>
      <c r="AR259" s="180">
        <v>63.6</v>
      </c>
      <c r="AS259" s="166">
        <v>7.1380163796856504</v>
      </c>
      <c r="AT259" s="181" t="s">
        <v>54</v>
      </c>
      <c r="AU259" s="173">
        <v>0.44612602373035298</v>
      </c>
      <c r="AV259" s="174">
        <v>-100.629827678208</v>
      </c>
      <c r="AW259" s="168"/>
      <c r="AX259" s="168"/>
      <c r="AY259" s="176">
        <v>79</v>
      </c>
      <c r="AZ259" s="176">
        <v>108</v>
      </c>
      <c r="BA259" s="167"/>
      <c r="BB259" s="184">
        <v>271.2</v>
      </c>
      <c r="BC259" s="180">
        <v>30.437579279414301</v>
      </c>
      <c r="BD259" s="181" t="s">
        <v>55</v>
      </c>
      <c r="BE259" s="188">
        <v>0.95117435248169602</v>
      </c>
      <c r="BF259" s="171">
        <v>-57.259655356415998</v>
      </c>
      <c r="BG259" s="168"/>
      <c r="BH259" s="168"/>
      <c r="BI259" s="176">
        <v>14</v>
      </c>
      <c r="BJ259" s="176">
        <v>71</v>
      </c>
      <c r="BK259" s="169"/>
      <c r="BL259" s="185">
        <v>0.8</v>
      </c>
      <c r="BM259" s="188">
        <v>0.73</v>
      </c>
      <c r="BN259" s="186"/>
      <c r="BO259" s="187">
        <v>0.95</v>
      </c>
      <c r="BP259" s="178">
        <v>1</v>
      </c>
      <c r="BQ259" s="186">
        <v>2.5000000000000001E-3</v>
      </c>
    </row>
    <row r="260" spans="1:69" s="156" customFormat="1" ht="22.35" customHeight="1" x14ac:dyDescent="0.2">
      <c r="A260" s="165" t="s">
        <v>275</v>
      </c>
      <c r="B260" s="165" t="s">
        <v>318</v>
      </c>
      <c r="C260" s="165" t="s">
        <v>329</v>
      </c>
      <c r="D260" s="166">
        <v>3.7235578407777798</v>
      </c>
      <c r="E260" s="167"/>
      <c r="F260" s="168">
        <v>5.6000000000000001E-2</v>
      </c>
      <c r="G260" s="168">
        <v>5.0999999999999997E-2</v>
      </c>
      <c r="H260" s="169"/>
      <c r="I260" s="170">
        <v>5</v>
      </c>
      <c r="J260" s="170">
        <v>5</v>
      </c>
      <c r="K260" s="167"/>
      <c r="L260" s="171">
        <v>1155.0283400000001</v>
      </c>
      <c r="M260" s="171">
        <v>1825.43724</v>
      </c>
      <c r="N260" s="171">
        <v>2980.46558</v>
      </c>
      <c r="O260" s="166">
        <v>800.43488175745404</v>
      </c>
      <c r="P260" s="172">
        <v>287.5</v>
      </c>
      <c r="Q260" s="178">
        <v>2.7841213278520098</v>
      </c>
      <c r="R260" s="179">
        <v>1747.2232231344001</v>
      </c>
      <c r="S260" s="168">
        <v>0.01</v>
      </c>
      <c r="T260" s="168">
        <v>0.01</v>
      </c>
      <c r="U260" s="175">
        <v>0</v>
      </c>
      <c r="V260" s="176">
        <v>0</v>
      </c>
      <c r="W260" s="167"/>
      <c r="X260" s="175">
        <v>2866.6980549999998</v>
      </c>
      <c r="Y260" s="166">
        <v>769.88143533207597</v>
      </c>
      <c r="Z260" s="177">
        <v>573</v>
      </c>
      <c r="AA260" s="178">
        <v>1.34359761838059</v>
      </c>
      <c r="AB260" s="179">
        <v>408.79241853395098</v>
      </c>
      <c r="AC260" s="168">
        <v>0.02</v>
      </c>
      <c r="AD260" s="168">
        <v>0.02</v>
      </c>
      <c r="AE260" s="176">
        <v>0</v>
      </c>
      <c r="AF260" s="176">
        <v>0</v>
      </c>
      <c r="AG260" s="167"/>
      <c r="AH260" s="180">
        <v>238.05</v>
      </c>
      <c r="AI260" s="166">
        <v>63.9307915115604</v>
      </c>
      <c r="AJ260" s="181" t="s">
        <v>53</v>
      </c>
      <c r="AK260" s="182">
        <v>1.01477446843747</v>
      </c>
      <c r="AL260" s="183">
        <v>-32.190933852288097</v>
      </c>
      <c r="AM260" s="168">
        <v>6.0000000000000001E-3</v>
      </c>
      <c r="AN260" s="168">
        <v>1E-3</v>
      </c>
      <c r="AO260" s="176">
        <v>0</v>
      </c>
      <c r="AP260" s="176">
        <v>44</v>
      </c>
      <c r="AQ260" s="167"/>
      <c r="AR260" s="180">
        <v>31.2</v>
      </c>
      <c r="AS260" s="166">
        <v>8.3790829454345008</v>
      </c>
      <c r="AT260" s="181" t="s">
        <v>54</v>
      </c>
      <c r="AU260" s="173">
        <v>0.52369268408965597</v>
      </c>
      <c r="AV260" s="174">
        <v>-37.432618121216002</v>
      </c>
      <c r="AW260" s="168"/>
      <c r="AX260" s="168"/>
      <c r="AY260" s="176">
        <v>29</v>
      </c>
      <c r="AZ260" s="176">
        <v>41</v>
      </c>
      <c r="BA260" s="167"/>
      <c r="BB260" s="184">
        <v>154.80000000000001</v>
      </c>
      <c r="BC260" s="180">
        <v>41.573142306194299</v>
      </c>
      <c r="BD260" s="181" t="s">
        <v>55</v>
      </c>
      <c r="BE260" s="178">
        <v>1.2991606970685701</v>
      </c>
      <c r="BF260" s="179">
        <v>17.534763757567902</v>
      </c>
      <c r="BG260" s="168">
        <v>0.02</v>
      </c>
      <c r="BH260" s="168">
        <v>0.02</v>
      </c>
      <c r="BI260" s="176">
        <v>0</v>
      </c>
      <c r="BJ260" s="176">
        <v>0</v>
      </c>
      <c r="BK260" s="169"/>
      <c r="BL260" s="185">
        <v>0.8</v>
      </c>
      <c r="BM260" s="188">
        <v>0.78</v>
      </c>
      <c r="BN260" s="186"/>
      <c r="BO260" s="187">
        <v>0.95</v>
      </c>
      <c r="BP260" s="178">
        <v>1</v>
      </c>
      <c r="BQ260" s="186">
        <v>2.5000000000000001E-3</v>
      </c>
    </row>
    <row r="261" spans="1:69" s="156" customFormat="1" ht="22.35" customHeight="1" x14ac:dyDescent="0.2">
      <c r="A261" s="165" t="s">
        <v>275</v>
      </c>
      <c r="B261" s="165" t="s">
        <v>318</v>
      </c>
      <c r="C261" s="165" t="s">
        <v>330</v>
      </c>
      <c r="D261" s="166">
        <v>2.4875433197777799</v>
      </c>
      <c r="E261" s="167"/>
      <c r="F261" s="168">
        <v>3.5999999999999997E-2</v>
      </c>
      <c r="G261" s="168">
        <v>2.7E-2</v>
      </c>
      <c r="H261" s="169"/>
      <c r="I261" s="170">
        <v>5</v>
      </c>
      <c r="J261" s="170">
        <v>5</v>
      </c>
      <c r="K261" s="167"/>
      <c r="L261" s="171">
        <v>376.62234000000001</v>
      </c>
      <c r="M261" s="171">
        <v>969.24396000000002</v>
      </c>
      <c r="N261" s="171">
        <v>1345.8662999999999</v>
      </c>
      <c r="O261" s="166">
        <v>541.04235664938403</v>
      </c>
      <c r="P261" s="172">
        <v>263.75299999999999</v>
      </c>
      <c r="Q261" s="178">
        <v>2.0513220954809399</v>
      </c>
      <c r="R261" s="179">
        <v>590.042540769006</v>
      </c>
      <c r="S261" s="168">
        <v>0.01</v>
      </c>
      <c r="T261" s="168">
        <v>0.01</v>
      </c>
      <c r="U261" s="175">
        <v>0</v>
      </c>
      <c r="V261" s="176">
        <v>0</v>
      </c>
      <c r="W261" s="167"/>
      <c r="X261" s="175">
        <v>1341.867765</v>
      </c>
      <c r="Y261" s="166">
        <v>539.43493338635597</v>
      </c>
      <c r="Z261" s="177">
        <v>573</v>
      </c>
      <c r="AA261" s="188">
        <v>0.94142222231475703</v>
      </c>
      <c r="AB261" s="171">
        <v>-300.14963021203403</v>
      </c>
      <c r="AC261" s="168"/>
      <c r="AD261" s="168"/>
      <c r="AE261" s="176">
        <v>84</v>
      </c>
      <c r="AF261" s="176">
        <v>369</v>
      </c>
      <c r="AG261" s="167"/>
      <c r="AH261" s="180">
        <v>159.6</v>
      </c>
      <c r="AI261" s="166">
        <v>64.159686680052502</v>
      </c>
      <c r="AJ261" s="181" t="s">
        <v>53</v>
      </c>
      <c r="AK261" s="182">
        <v>1.0184077250801999</v>
      </c>
      <c r="AL261" s="183">
        <v>-20.935943976192199</v>
      </c>
      <c r="AM261" s="168">
        <v>6.0000000000000001E-3</v>
      </c>
      <c r="AN261" s="168">
        <v>2E-3</v>
      </c>
      <c r="AO261" s="176">
        <v>0</v>
      </c>
      <c r="AP261" s="176">
        <v>29</v>
      </c>
      <c r="AQ261" s="167"/>
      <c r="AR261" s="180">
        <v>16.399999999999999</v>
      </c>
      <c r="AS261" s="166">
        <v>6.5928500097297098</v>
      </c>
      <c r="AT261" s="181" t="s">
        <v>54</v>
      </c>
      <c r="AU261" s="173">
        <v>0.41205312560810697</v>
      </c>
      <c r="AV261" s="174">
        <v>-29.450398470143998</v>
      </c>
      <c r="AW261" s="168"/>
      <c r="AX261" s="168"/>
      <c r="AY261" s="176">
        <v>24</v>
      </c>
      <c r="AZ261" s="176">
        <v>32</v>
      </c>
      <c r="BA261" s="167"/>
      <c r="BB261" s="184">
        <v>91.6</v>
      </c>
      <c r="BC261" s="180">
        <v>36.8234793226367</v>
      </c>
      <c r="BD261" s="181" t="s">
        <v>55</v>
      </c>
      <c r="BE261" s="178">
        <v>1.1507337288324</v>
      </c>
      <c r="BF261" s="179">
        <v>-0.10079694028807799</v>
      </c>
      <c r="BG261" s="168">
        <v>0.02</v>
      </c>
      <c r="BH261" s="168">
        <v>1.4999999999999999E-2</v>
      </c>
      <c r="BI261" s="176">
        <v>0</v>
      </c>
      <c r="BJ261" s="176">
        <v>4</v>
      </c>
      <c r="BK261" s="169"/>
      <c r="BL261" s="185">
        <v>0.8</v>
      </c>
      <c r="BM261" s="182">
        <v>0.9</v>
      </c>
      <c r="BN261" s="186">
        <v>3.7499999999999999E-3</v>
      </c>
      <c r="BO261" s="187">
        <v>0.95</v>
      </c>
      <c r="BP261" s="178">
        <v>1</v>
      </c>
      <c r="BQ261" s="186">
        <v>2.5000000000000001E-3</v>
      </c>
    </row>
    <row r="262" spans="1:69" s="156" customFormat="1" ht="22.35" customHeight="1" x14ac:dyDescent="0.2">
      <c r="A262" s="165" t="s">
        <v>275</v>
      </c>
      <c r="B262" s="165" t="s">
        <v>318</v>
      </c>
      <c r="C262" s="165" t="s">
        <v>331</v>
      </c>
      <c r="D262" s="166">
        <v>2.6455275504444402</v>
      </c>
      <c r="E262" s="167"/>
      <c r="F262" s="168">
        <v>0.06</v>
      </c>
      <c r="G262" s="168">
        <v>0.06</v>
      </c>
      <c r="H262" s="169"/>
      <c r="I262" s="170">
        <v>5</v>
      </c>
      <c r="J262" s="170">
        <v>5</v>
      </c>
      <c r="K262" s="167"/>
      <c r="L262" s="171">
        <v>419.31195000000002</v>
      </c>
      <c r="M262" s="171">
        <v>233.81218000000001</v>
      </c>
      <c r="N262" s="171">
        <v>653.12413000000004</v>
      </c>
      <c r="O262" s="166">
        <v>246.8785970081</v>
      </c>
      <c r="P262" s="172">
        <v>266.08300000000003</v>
      </c>
      <c r="Q262" s="188">
        <v>0.92782551688044701</v>
      </c>
      <c r="R262" s="171">
        <v>-157.80312310005399</v>
      </c>
      <c r="S262" s="168"/>
      <c r="T262" s="168"/>
      <c r="U262" s="175">
        <v>51</v>
      </c>
      <c r="V262" s="176">
        <v>192</v>
      </c>
      <c r="W262" s="167"/>
      <c r="X262" s="175">
        <v>1927.890795</v>
      </c>
      <c r="Y262" s="166">
        <v>728.73586014105797</v>
      </c>
      <c r="Z262" s="177">
        <v>573</v>
      </c>
      <c r="AA262" s="178">
        <v>1.27179033183431</v>
      </c>
      <c r="AB262" s="179">
        <v>181.58864106182699</v>
      </c>
      <c r="AC262" s="168">
        <v>0.02</v>
      </c>
      <c r="AD262" s="168">
        <v>0.02</v>
      </c>
      <c r="AE262" s="176">
        <v>0</v>
      </c>
      <c r="AF262" s="176">
        <v>0</v>
      </c>
      <c r="AG262" s="167"/>
      <c r="AH262" s="180">
        <v>276.95</v>
      </c>
      <c r="AI262" s="166">
        <v>104.6861144778</v>
      </c>
      <c r="AJ262" s="181" t="s">
        <v>53</v>
      </c>
      <c r="AK262" s="178">
        <v>1.66168435679048</v>
      </c>
      <c r="AL262" s="179">
        <v>84.948192498944294</v>
      </c>
      <c r="AM262" s="168">
        <v>0.02</v>
      </c>
      <c r="AN262" s="168">
        <v>0.02</v>
      </c>
      <c r="AO262" s="176">
        <v>0</v>
      </c>
      <c r="AP262" s="176">
        <v>0</v>
      </c>
      <c r="AQ262" s="167"/>
      <c r="AR262" s="180">
        <v>33.200000000000003</v>
      </c>
      <c r="AS262" s="166">
        <v>12.5494818583244</v>
      </c>
      <c r="AT262" s="181" t="s">
        <v>54</v>
      </c>
      <c r="AU262" s="188">
        <v>0.78434261614527601</v>
      </c>
      <c r="AV262" s="171">
        <v>-15.562363809791901</v>
      </c>
      <c r="AW262" s="168"/>
      <c r="AX262" s="168"/>
      <c r="AY262" s="176">
        <v>10</v>
      </c>
      <c r="AZ262" s="176">
        <v>18</v>
      </c>
      <c r="BA262" s="167"/>
      <c r="BB262" s="184">
        <v>173.8</v>
      </c>
      <c r="BC262" s="180">
        <v>65.695781535445306</v>
      </c>
      <c r="BD262" s="181" t="s">
        <v>55</v>
      </c>
      <c r="BE262" s="178">
        <v>2.0529931729826698</v>
      </c>
      <c r="BF262" s="179">
        <v>76.275272380416197</v>
      </c>
      <c r="BG262" s="168">
        <v>0.02</v>
      </c>
      <c r="BH262" s="168">
        <v>0.02</v>
      </c>
      <c r="BI262" s="176">
        <v>0</v>
      </c>
      <c r="BJ262" s="176">
        <v>0</v>
      </c>
      <c r="BK262" s="169"/>
      <c r="BL262" s="185">
        <v>0.8</v>
      </c>
      <c r="BM262" s="182">
        <v>0.81</v>
      </c>
      <c r="BN262" s="186">
        <v>3.7500000000000001E-4</v>
      </c>
      <c r="BO262" s="187">
        <v>0.95</v>
      </c>
      <c r="BP262" s="178">
        <v>1</v>
      </c>
      <c r="BQ262" s="186">
        <v>2.5000000000000001E-3</v>
      </c>
    </row>
    <row r="263" spans="1:69" s="156" customFormat="1" ht="22.35" customHeight="1" x14ac:dyDescent="0.2">
      <c r="A263" s="165" t="s">
        <v>275</v>
      </c>
      <c r="B263" s="165" t="s">
        <v>318</v>
      </c>
      <c r="C263" s="165" t="s">
        <v>332</v>
      </c>
      <c r="D263" s="166">
        <v>2.5458872463333302</v>
      </c>
      <c r="E263" s="167"/>
      <c r="F263" s="168">
        <v>2.7E-2</v>
      </c>
      <c r="G263" s="168">
        <v>2.1999999999999999E-2</v>
      </c>
      <c r="H263" s="169"/>
      <c r="I263" s="170">
        <v>3</v>
      </c>
      <c r="J263" s="170">
        <v>3</v>
      </c>
      <c r="K263" s="167"/>
      <c r="L263" s="171">
        <v>1152.6405999999999</v>
      </c>
      <c r="M263" s="171">
        <v>1138.8378299999999</v>
      </c>
      <c r="N263" s="171">
        <v>2291.4784300000001</v>
      </c>
      <c r="O263" s="166">
        <v>900.07066624818503</v>
      </c>
      <c r="P263" s="172">
        <v>287.5</v>
      </c>
      <c r="Q263" s="178">
        <v>3.1306805782545601</v>
      </c>
      <c r="R263" s="179">
        <v>1448.2805740143999</v>
      </c>
      <c r="S263" s="168">
        <v>0.01</v>
      </c>
      <c r="T263" s="168">
        <v>0.01</v>
      </c>
      <c r="U263" s="175">
        <v>0</v>
      </c>
      <c r="V263" s="176">
        <v>0</v>
      </c>
      <c r="W263" s="167"/>
      <c r="X263" s="175">
        <v>1337.447995</v>
      </c>
      <c r="Y263" s="166">
        <v>525.33669624459401</v>
      </c>
      <c r="Z263" s="177">
        <v>573</v>
      </c>
      <c r="AA263" s="188">
        <v>0.91681796901325296</v>
      </c>
      <c r="AB263" s="171">
        <v>-343.08199275564601</v>
      </c>
      <c r="AC263" s="168"/>
      <c r="AD263" s="168"/>
      <c r="AE263" s="176">
        <v>122</v>
      </c>
      <c r="AF263" s="176">
        <v>414</v>
      </c>
      <c r="AG263" s="167"/>
      <c r="AH263" s="180">
        <v>123.45</v>
      </c>
      <c r="AI263" s="166">
        <v>48.489971493355199</v>
      </c>
      <c r="AJ263" s="181" t="s">
        <v>53</v>
      </c>
      <c r="AK263" s="188">
        <v>0.76968208719611497</v>
      </c>
      <c r="AL263" s="171">
        <v>-61.320312789887801</v>
      </c>
      <c r="AM263" s="168"/>
      <c r="AN263" s="168"/>
      <c r="AO263" s="176">
        <v>37</v>
      </c>
      <c r="AP263" s="176">
        <v>70</v>
      </c>
      <c r="AQ263" s="167"/>
      <c r="AR263" s="180">
        <v>9.8000000000000007</v>
      </c>
      <c r="AS263" s="166">
        <v>3.8493456511533499</v>
      </c>
      <c r="AT263" s="181" t="s">
        <v>54</v>
      </c>
      <c r="AU263" s="173">
        <v>0.24058410319708401</v>
      </c>
      <c r="AV263" s="174">
        <v>-37.1257937244159</v>
      </c>
      <c r="AW263" s="168"/>
      <c r="AX263" s="168"/>
      <c r="AY263" s="176">
        <v>31</v>
      </c>
      <c r="AZ263" s="176">
        <v>40</v>
      </c>
      <c r="BA263" s="167"/>
      <c r="BB263" s="184">
        <v>91.6</v>
      </c>
      <c r="BC263" s="180">
        <v>35.979598127106797</v>
      </c>
      <c r="BD263" s="181" t="s">
        <v>55</v>
      </c>
      <c r="BE263" s="182">
        <v>1.1243624414720901</v>
      </c>
      <c r="BF263" s="183">
        <v>-2.2515874488318701</v>
      </c>
      <c r="BG263" s="168">
        <v>1.7000000000000001E-2</v>
      </c>
      <c r="BH263" s="168">
        <v>1.2E-2</v>
      </c>
      <c r="BI263" s="176">
        <v>0</v>
      </c>
      <c r="BJ263" s="176">
        <v>7</v>
      </c>
      <c r="BK263" s="169"/>
      <c r="BL263" s="185">
        <v>0.8</v>
      </c>
      <c r="BM263" s="188">
        <v>0.8</v>
      </c>
      <c r="BN263" s="186">
        <v>0</v>
      </c>
      <c r="BO263" s="187">
        <v>0.95</v>
      </c>
      <c r="BP263" s="178">
        <v>1</v>
      </c>
      <c r="BQ263" s="186">
        <v>2.5000000000000001E-3</v>
      </c>
    </row>
    <row r="264" spans="1:69" s="156" customFormat="1" ht="22.35" customHeight="1" x14ac:dyDescent="0.2">
      <c r="A264" s="165" t="s">
        <v>275</v>
      </c>
      <c r="B264" s="165" t="s">
        <v>318</v>
      </c>
      <c r="C264" s="165" t="s">
        <v>333</v>
      </c>
      <c r="D264" s="166">
        <v>2.3152426593333302</v>
      </c>
      <c r="E264" s="167"/>
      <c r="F264" s="168">
        <v>2.5999999999999999E-2</v>
      </c>
      <c r="G264" s="168">
        <v>2.1000000000000001E-2</v>
      </c>
      <c r="H264" s="169"/>
      <c r="I264" s="170">
        <v>4</v>
      </c>
      <c r="J264" s="170">
        <v>4</v>
      </c>
      <c r="K264" s="167"/>
      <c r="L264" s="171">
        <v>2295.4466000000002</v>
      </c>
      <c r="M264" s="171">
        <v>-1212.5643700000001</v>
      </c>
      <c r="N264" s="171">
        <v>1082.8822299999999</v>
      </c>
      <c r="O264" s="166">
        <v>467.71867546350899</v>
      </c>
      <c r="P264" s="172">
        <v>247.95</v>
      </c>
      <c r="Q264" s="178">
        <v>1.8863427120931999</v>
      </c>
      <c r="R264" s="179">
        <v>421.56002117628202</v>
      </c>
      <c r="S264" s="168">
        <v>0.01</v>
      </c>
      <c r="T264" s="168">
        <v>0.01</v>
      </c>
      <c r="U264" s="175">
        <v>0</v>
      </c>
      <c r="V264" s="176">
        <v>0</v>
      </c>
      <c r="W264" s="167"/>
      <c r="X264" s="175">
        <v>1475.8856049999999</v>
      </c>
      <c r="Y264" s="166">
        <v>637.46475949306205</v>
      </c>
      <c r="Z264" s="177">
        <v>573</v>
      </c>
      <c r="AA264" s="182">
        <v>1.1125039432688699</v>
      </c>
      <c r="AB264" s="183">
        <v>-52.396813455294001</v>
      </c>
      <c r="AC264" s="168">
        <v>1.6E-2</v>
      </c>
      <c r="AD264" s="168">
        <v>1.0999999999999999E-2</v>
      </c>
      <c r="AE264" s="176">
        <v>0</v>
      </c>
      <c r="AF264" s="176">
        <v>117</v>
      </c>
      <c r="AG264" s="167"/>
      <c r="AH264" s="180">
        <v>68.849999999999994</v>
      </c>
      <c r="AI264" s="166">
        <v>29.7377036149745</v>
      </c>
      <c r="AJ264" s="181" t="s">
        <v>53</v>
      </c>
      <c r="AK264" s="173">
        <v>0.472027041507531</v>
      </c>
      <c r="AL264" s="174">
        <v>-99.181051243775698</v>
      </c>
      <c r="AM264" s="168"/>
      <c r="AN264" s="168"/>
      <c r="AO264" s="176">
        <v>78</v>
      </c>
      <c r="AP264" s="176">
        <v>107</v>
      </c>
      <c r="AQ264" s="167"/>
      <c r="AR264" s="180">
        <v>6</v>
      </c>
      <c r="AS264" s="166">
        <v>2.5915210121982102</v>
      </c>
      <c r="AT264" s="181" t="s">
        <v>54</v>
      </c>
      <c r="AU264" s="173">
        <v>0.161970063262388</v>
      </c>
      <c r="AV264" s="174">
        <v>-36.674552696831903</v>
      </c>
      <c r="AW264" s="168"/>
      <c r="AX264" s="168"/>
      <c r="AY264" s="176">
        <v>32</v>
      </c>
      <c r="AZ264" s="176">
        <v>39</v>
      </c>
      <c r="BA264" s="167"/>
      <c r="BB264" s="184">
        <v>63</v>
      </c>
      <c r="BC264" s="180">
        <v>27.210970628081199</v>
      </c>
      <c r="BD264" s="181" t="s">
        <v>55</v>
      </c>
      <c r="BE264" s="188">
        <v>0.85034283212753803</v>
      </c>
      <c r="BF264" s="171">
        <v>-22.349105393663901</v>
      </c>
      <c r="BG264" s="168"/>
      <c r="BH264" s="168"/>
      <c r="BI264" s="176">
        <v>12</v>
      </c>
      <c r="BJ264" s="176">
        <v>26</v>
      </c>
      <c r="BK264" s="169"/>
      <c r="BL264" s="185">
        <v>0.8</v>
      </c>
      <c r="BM264" s="182">
        <v>0.86</v>
      </c>
      <c r="BN264" s="186">
        <v>2.2499999999999998E-3</v>
      </c>
      <c r="BO264" s="187">
        <v>0.95</v>
      </c>
      <c r="BP264" s="178">
        <v>1</v>
      </c>
      <c r="BQ264" s="186">
        <v>2.5000000000000001E-3</v>
      </c>
    </row>
    <row r="265" spans="1:69" s="156" customFormat="1" ht="22.35" customHeight="1" x14ac:dyDescent="0.2">
      <c r="A265" s="165" t="s">
        <v>275</v>
      </c>
      <c r="B265" s="165" t="s">
        <v>318</v>
      </c>
      <c r="C265" s="165" t="s">
        <v>334</v>
      </c>
      <c r="D265" s="166">
        <v>8.72427697</v>
      </c>
      <c r="E265" s="167"/>
      <c r="F265" s="168">
        <v>1.4E-2</v>
      </c>
      <c r="G265" s="168">
        <v>0.01</v>
      </c>
      <c r="H265" s="169"/>
      <c r="I265" s="170">
        <v>3</v>
      </c>
      <c r="J265" s="170">
        <v>2</v>
      </c>
      <c r="K265" s="167"/>
      <c r="L265" s="171">
        <v>9807.5955400000003</v>
      </c>
      <c r="M265" s="171">
        <v>1216.0934299999999</v>
      </c>
      <c r="N265" s="171">
        <v>11023.688969999999</v>
      </c>
      <c r="O265" s="166">
        <v>1263.56476392335</v>
      </c>
      <c r="P265" s="172">
        <v>287.5</v>
      </c>
      <c r="Q265" s="178">
        <v>4.3950078745159997</v>
      </c>
      <c r="R265" s="179">
        <v>8134.208437536</v>
      </c>
      <c r="S265" s="168">
        <v>0.01</v>
      </c>
      <c r="T265" s="168">
        <v>0.01</v>
      </c>
      <c r="U265" s="175">
        <v>0</v>
      </c>
      <c r="V265" s="176">
        <v>0</v>
      </c>
      <c r="W265" s="167"/>
      <c r="X265" s="175">
        <v>3624.8172800000002</v>
      </c>
      <c r="Y265" s="166">
        <v>415.48626808440298</v>
      </c>
      <c r="Z265" s="177">
        <v>573</v>
      </c>
      <c r="AA265" s="173">
        <v>0.72510692510366903</v>
      </c>
      <c r="AB265" s="174">
        <v>-2134.0430507891201</v>
      </c>
      <c r="AC265" s="168"/>
      <c r="AD265" s="168"/>
      <c r="AE265" s="176">
        <v>1375</v>
      </c>
      <c r="AF265" s="176">
        <v>2374</v>
      </c>
      <c r="AG265" s="167"/>
      <c r="AH265" s="180">
        <v>493.25</v>
      </c>
      <c r="AI265" s="166">
        <v>56.537636493675002</v>
      </c>
      <c r="AJ265" s="181" t="s">
        <v>53</v>
      </c>
      <c r="AK265" s="188">
        <v>0.89742280148690401</v>
      </c>
      <c r="AL265" s="171">
        <v>-139.92312537472</v>
      </c>
      <c r="AM265" s="168"/>
      <c r="AN265" s="168"/>
      <c r="AO265" s="176">
        <v>57</v>
      </c>
      <c r="AP265" s="176">
        <v>167</v>
      </c>
      <c r="AQ265" s="167"/>
      <c r="AR265" s="180">
        <v>24.6</v>
      </c>
      <c r="AS265" s="166">
        <v>2.8197179072365</v>
      </c>
      <c r="AT265" s="181" t="s">
        <v>54</v>
      </c>
      <c r="AU265" s="173">
        <v>0.176232369202281</v>
      </c>
      <c r="AV265" s="174">
        <v>-136.20587311104001</v>
      </c>
      <c r="AW265" s="168"/>
      <c r="AX265" s="168"/>
      <c r="AY265" s="176">
        <v>115</v>
      </c>
      <c r="AZ265" s="176">
        <v>143</v>
      </c>
      <c r="BA265" s="167"/>
      <c r="BB265" s="184">
        <v>278</v>
      </c>
      <c r="BC265" s="180">
        <v>31.8651048053556</v>
      </c>
      <c r="BD265" s="181" t="s">
        <v>55</v>
      </c>
      <c r="BE265" s="182">
        <v>0.99578452516736105</v>
      </c>
      <c r="BF265" s="183">
        <v>-43.611746222080001</v>
      </c>
      <c r="BG265" s="168">
        <v>4.0000000000000001E-3</v>
      </c>
      <c r="BH265" s="168">
        <v>0</v>
      </c>
      <c r="BI265" s="176">
        <v>2</v>
      </c>
      <c r="BJ265" s="176">
        <v>58</v>
      </c>
      <c r="BK265" s="169"/>
      <c r="BL265" s="185">
        <v>0.8</v>
      </c>
      <c r="BM265" s="188">
        <v>0.73</v>
      </c>
      <c r="BN265" s="186"/>
      <c r="BO265" s="187">
        <v>0.95</v>
      </c>
      <c r="BP265" s="178">
        <v>1</v>
      </c>
      <c r="BQ265" s="186">
        <v>2.5000000000000001E-3</v>
      </c>
    </row>
    <row r="266" spans="1:69" s="156" customFormat="1" ht="22.35" customHeight="1" x14ac:dyDescent="0.2">
      <c r="A266" s="165" t="s">
        <v>275</v>
      </c>
      <c r="B266" s="165" t="s">
        <v>318</v>
      </c>
      <c r="C266" s="165" t="s">
        <v>335</v>
      </c>
      <c r="D266" s="166">
        <v>1.9537440934444401</v>
      </c>
      <c r="E266" s="167"/>
      <c r="F266" s="168">
        <v>0.08</v>
      </c>
      <c r="G266" s="168">
        <v>0.08</v>
      </c>
      <c r="H266" s="169"/>
      <c r="I266" s="170">
        <v>7</v>
      </c>
      <c r="J266" s="170">
        <v>7</v>
      </c>
      <c r="K266" s="167"/>
      <c r="L266" s="171">
        <v>1543.88888</v>
      </c>
      <c r="M266" s="171">
        <v>3164.4145699999999</v>
      </c>
      <c r="N266" s="171">
        <v>4708.3034500000003</v>
      </c>
      <c r="O266" s="166">
        <v>2409.8874902798898</v>
      </c>
      <c r="P266" s="172">
        <v>242.66300000000001</v>
      </c>
      <c r="Q266" s="178">
        <v>9.9310050987579093</v>
      </c>
      <c r="R266" s="179">
        <v>4162.1386338044704</v>
      </c>
      <c r="S266" s="168">
        <v>0.01</v>
      </c>
      <c r="T266" s="168">
        <v>0.01</v>
      </c>
      <c r="U266" s="175">
        <v>0</v>
      </c>
      <c r="V266" s="176">
        <v>0</v>
      </c>
      <c r="W266" s="167"/>
      <c r="X266" s="175">
        <v>1775.426105</v>
      </c>
      <c r="Y266" s="166">
        <v>908.73012026356503</v>
      </c>
      <c r="Z266" s="177">
        <v>573</v>
      </c>
      <c r="AA266" s="178">
        <v>1.5859164402505499</v>
      </c>
      <c r="AB266" s="179">
        <v>485.76744389369901</v>
      </c>
      <c r="AC266" s="168">
        <v>0.02</v>
      </c>
      <c r="AD266" s="168">
        <v>0.02</v>
      </c>
      <c r="AE266" s="176">
        <v>0</v>
      </c>
      <c r="AF266" s="176">
        <v>0</v>
      </c>
      <c r="AG266" s="167"/>
      <c r="AH266" s="180">
        <v>165</v>
      </c>
      <c r="AI266" s="166">
        <v>84.453230366063707</v>
      </c>
      <c r="AJ266" s="181" t="s">
        <v>53</v>
      </c>
      <c r="AK266" s="178">
        <v>1.340527466128</v>
      </c>
      <c r="AL266" s="179">
        <v>23.205068674176299</v>
      </c>
      <c r="AM266" s="168">
        <v>0.02</v>
      </c>
      <c r="AN266" s="168">
        <v>0.02</v>
      </c>
      <c r="AO266" s="176">
        <v>0</v>
      </c>
      <c r="AP266" s="176">
        <v>0</v>
      </c>
      <c r="AQ266" s="167"/>
      <c r="AR266" s="180">
        <v>44.7</v>
      </c>
      <c r="AS266" s="166">
        <v>22.879147862806299</v>
      </c>
      <c r="AT266" s="181" t="s">
        <v>54</v>
      </c>
      <c r="AU266" s="178">
        <v>1.4299467414253999</v>
      </c>
      <c r="AV266" s="179">
        <v>8.6885888696320901</v>
      </c>
      <c r="AW266" s="168">
        <v>0.01</v>
      </c>
      <c r="AX266" s="168">
        <v>0.01</v>
      </c>
      <c r="AY266" s="176">
        <v>0</v>
      </c>
      <c r="AZ266" s="176">
        <v>0</v>
      </c>
      <c r="BA266" s="167"/>
      <c r="BB266" s="184">
        <v>103.8</v>
      </c>
      <c r="BC266" s="180">
        <v>53.128759466650997</v>
      </c>
      <c r="BD266" s="181" t="s">
        <v>55</v>
      </c>
      <c r="BE266" s="178">
        <v>1.6602737333328399</v>
      </c>
      <c r="BF266" s="179">
        <v>31.7771777392642</v>
      </c>
      <c r="BG266" s="168">
        <v>0.02</v>
      </c>
      <c r="BH266" s="168">
        <v>0.02</v>
      </c>
      <c r="BI266" s="176">
        <v>0</v>
      </c>
      <c r="BJ266" s="176">
        <v>0</v>
      </c>
      <c r="BK266" s="169"/>
      <c r="BL266" s="185">
        <v>0.8</v>
      </c>
      <c r="BM266" s="182">
        <v>0.87</v>
      </c>
      <c r="BN266" s="186">
        <v>2.6250000000000002E-3</v>
      </c>
      <c r="BO266" s="187">
        <v>0.95</v>
      </c>
      <c r="BP266" s="178">
        <v>1</v>
      </c>
      <c r="BQ266" s="186">
        <v>2.5000000000000001E-3</v>
      </c>
    </row>
    <row r="267" spans="1:69" s="156" customFormat="1" ht="22.35" customHeight="1" x14ac:dyDescent="0.2">
      <c r="A267" s="165" t="s">
        <v>275</v>
      </c>
      <c r="B267" s="165" t="s">
        <v>318</v>
      </c>
      <c r="C267" s="165" t="s">
        <v>336</v>
      </c>
      <c r="D267" s="166">
        <v>1.6595588506666701</v>
      </c>
      <c r="E267" s="167"/>
      <c r="F267" s="168"/>
      <c r="G267" s="168"/>
      <c r="H267" s="169"/>
      <c r="I267" s="170">
        <v>1</v>
      </c>
      <c r="J267" s="170">
        <v>1</v>
      </c>
      <c r="K267" s="167"/>
      <c r="L267" s="171"/>
      <c r="M267" s="171">
        <v>149.07517000000001</v>
      </c>
      <c r="N267" s="171">
        <v>149.07517000000001</v>
      </c>
      <c r="O267" s="166">
        <v>89.828191353451899</v>
      </c>
      <c r="P267" s="172">
        <v>287.5</v>
      </c>
      <c r="Q267" s="173">
        <v>0.31244588296852799</v>
      </c>
      <c r="R267" s="174">
        <v>-400.57072134080101</v>
      </c>
      <c r="S267" s="168"/>
      <c r="T267" s="168"/>
      <c r="U267" s="175">
        <v>329</v>
      </c>
      <c r="V267" s="176">
        <v>424</v>
      </c>
      <c r="W267" s="167"/>
      <c r="X267" s="175">
        <v>186.24148</v>
      </c>
      <c r="Y267" s="166">
        <v>112.223486335049</v>
      </c>
      <c r="Z267" s="177">
        <v>573</v>
      </c>
      <c r="AA267" s="173">
        <v>0.19585250669293</v>
      </c>
      <c r="AB267" s="174">
        <v>-909.22667908966605</v>
      </c>
      <c r="AC267" s="168"/>
      <c r="AD267" s="168"/>
      <c r="AE267" s="176">
        <v>765</v>
      </c>
      <c r="AF267" s="176">
        <v>955</v>
      </c>
      <c r="AG267" s="167"/>
      <c r="AH267" s="180">
        <v>13.8</v>
      </c>
      <c r="AI267" s="166">
        <v>8.3154628680123999</v>
      </c>
      <c r="AJ267" s="181" t="s">
        <v>53</v>
      </c>
      <c r="AK267" s="173">
        <v>0.13199147409543499</v>
      </c>
      <c r="AL267" s="174">
        <v>-106.644143145984</v>
      </c>
      <c r="AM267" s="168"/>
      <c r="AN267" s="168"/>
      <c r="AO267" s="176">
        <v>91</v>
      </c>
      <c r="AP267" s="176">
        <v>112</v>
      </c>
      <c r="AQ267" s="167"/>
      <c r="AR267" s="180"/>
      <c r="AS267" s="166" t="s">
        <v>145</v>
      </c>
      <c r="AT267" s="181" t="s">
        <v>54</v>
      </c>
      <c r="AU267" s="173"/>
      <c r="AV267" s="174"/>
      <c r="AW267" s="168"/>
      <c r="AX267" s="168"/>
      <c r="AY267" s="176">
        <v>27</v>
      </c>
      <c r="AZ267" s="176">
        <v>32</v>
      </c>
      <c r="BA267" s="167"/>
      <c r="BB267" s="184">
        <v>1</v>
      </c>
      <c r="BC267" s="180">
        <v>0.60256977304437698</v>
      </c>
      <c r="BD267" s="181" t="s">
        <v>55</v>
      </c>
      <c r="BE267" s="173">
        <v>1.8830305407636801E-2</v>
      </c>
      <c r="BF267" s="174">
        <v>-60.177977470976103</v>
      </c>
      <c r="BG267" s="168"/>
      <c r="BH267" s="168"/>
      <c r="BI267" s="176">
        <v>53</v>
      </c>
      <c r="BJ267" s="176">
        <v>63</v>
      </c>
      <c r="BK267" s="169"/>
      <c r="BL267" s="185">
        <v>0.8</v>
      </c>
      <c r="BM267" s="173"/>
      <c r="BN267" s="186"/>
      <c r="BO267" s="187">
        <v>0.95</v>
      </c>
      <c r="BP267" s="178">
        <v>1</v>
      </c>
      <c r="BQ267" s="186">
        <v>2.5000000000000001E-3</v>
      </c>
    </row>
    <row r="268" spans="1:69" s="156" customFormat="1" ht="22.35" customHeight="1" x14ac:dyDescent="0.2">
      <c r="A268" s="165" t="s">
        <v>275</v>
      </c>
      <c r="B268" s="165" t="s">
        <v>318</v>
      </c>
      <c r="C268" s="165" t="s">
        <v>337</v>
      </c>
      <c r="D268" s="166">
        <v>1.9110045248888901</v>
      </c>
      <c r="E268" s="167"/>
      <c r="F268" s="168">
        <v>0.08</v>
      </c>
      <c r="G268" s="168">
        <v>7.85E-2</v>
      </c>
      <c r="H268" s="169"/>
      <c r="I268" s="170">
        <v>6</v>
      </c>
      <c r="J268" s="170">
        <v>6</v>
      </c>
      <c r="K268" s="167"/>
      <c r="L268" s="171">
        <v>992.47204999999997</v>
      </c>
      <c r="M268" s="171">
        <v>1199.2650599999999</v>
      </c>
      <c r="N268" s="171">
        <v>2191.73711</v>
      </c>
      <c r="O268" s="166">
        <v>1146.9031503875899</v>
      </c>
      <c r="P268" s="172">
        <v>245.202</v>
      </c>
      <c r="Q268" s="178">
        <v>4.67738089570065</v>
      </c>
      <c r="R268" s="179">
        <v>1651.9304944984001</v>
      </c>
      <c r="S268" s="168">
        <v>0.01</v>
      </c>
      <c r="T268" s="168">
        <v>0.01</v>
      </c>
      <c r="U268" s="175">
        <v>0</v>
      </c>
      <c r="V268" s="176">
        <v>0</v>
      </c>
      <c r="W268" s="167"/>
      <c r="X268" s="175">
        <v>1393.3266249999999</v>
      </c>
      <c r="Y268" s="166">
        <v>729.10692091689896</v>
      </c>
      <c r="Z268" s="177">
        <v>573</v>
      </c>
      <c r="AA268" s="178">
        <v>1.2724379073593399</v>
      </c>
      <c r="AB268" s="179">
        <v>131.88018213894301</v>
      </c>
      <c r="AC268" s="168">
        <v>0.02</v>
      </c>
      <c r="AD268" s="168">
        <v>0.02</v>
      </c>
      <c r="AE268" s="176">
        <v>0</v>
      </c>
      <c r="AF268" s="176">
        <v>0</v>
      </c>
      <c r="AG268" s="167"/>
      <c r="AH268" s="180">
        <v>167.2</v>
      </c>
      <c r="AI268" s="166">
        <v>87.493251754451705</v>
      </c>
      <c r="AJ268" s="181" t="s">
        <v>53</v>
      </c>
      <c r="AK268" s="178">
        <v>1.38878177388019</v>
      </c>
      <c r="AL268" s="179">
        <v>28.506935601664001</v>
      </c>
      <c r="AM268" s="168">
        <v>0.02</v>
      </c>
      <c r="AN268" s="168">
        <v>0.02</v>
      </c>
      <c r="AO268" s="176">
        <v>0</v>
      </c>
      <c r="AP268" s="176">
        <v>0</v>
      </c>
      <c r="AQ268" s="167"/>
      <c r="AR268" s="180">
        <v>35.799999999999997</v>
      </c>
      <c r="AS268" s="166">
        <v>18.733602947424501</v>
      </c>
      <c r="AT268" s="181" t="s">
        <v>54</v>
      </c>
      <c r="AU268" s="178">
        <v>1.17085018421403</v>
      </c>
      <c r="AV268" s="179">
        <v>0.57636459724798805</v>
      </c>
      <c r="AW268" s="168">
        <v>0.01</v>
      </c>
      <c r="AX268" s="168">
        <v>8.5000000000000006E-3</v>
      </c>
      <c r="AY268" s="176">
        <v>0</v>
      </c>
      <c r="AZ268" s="176">
        <v>1</v>
      </c>
      <c r="BA268" s="167"/>
      <c r="BB268" s="184">
        <v>130</v>
      </c>
      <c r="BC268" s="180">
        <v>68.027049809083294</v>
      </c>
      <c r="BD268" s="181" t="s">
        <v>55</v>
      </c>
      <c r="BE268" s="178">
        <v>2.1258453065338498</v>
      </c>
      <c r="BF268" s="179">
        <v>59.552729194496003</v>
      </c>
      <c r="BG268" s="168">
        <v>0.02</v>
      </c>
      <c r="BH268" s="168">
        <v>0.02</v>
      </c>
      <c r="BI268" s="176">
        <v>0</v>
      </c>
      <c r="BJ268" s="176">
        <v>0</v>
      </c>
      <c r="BK268" s="169"/>
      <c r="BL268" s="185">
        <v>0.8</v>
      </c>
      <c r="BM268" s="188">
        <v>0.76</v>
      </c>
      <c r="BN268" s="186"/>
      <c r="BO268" s="187">
        <v>0.95</v>
      </c>
      <c r="BP268" s="178">
        <v>1</v>
      </c>
      <c r="BQ268" s="186">
        <v>2.5000000000000001E-3</v>
      </c>
    </row>
    <row r="269" spans="1:69" s="156" customFormat="1" ht="22.35" customHeight="1" x14ac:dyDescent="0.2">
      <c r="A269" s="165" t="s">
        <v>275</v>
      </c>
      <c r="B269" s="165" t="s">
        <v>318</v>
      </c>
      <c r="C269" s="165" t="s">
        <v>338</v>
      </c>
      <c r="D269" s="166">
        <v>4.3293466174444397</v>
      </c>
      <c r="E269" s="167"/>
      <c r="F269" s="168">
        <v>2.5000000000000001E-2</v>
      </c>
      <c r="G269" s="168">
        <v>0.02</v>
      </c>
      <c r="H269" s="169"/>
      <c r="I269" s="170">
        <v>3</v>
      </c>
      <c r="J269" s="170">
        <v>3</v>
      </c>
      <c r="K269" s="167"/>
      <c r="L269" s="171">
        <v>2153.5802699999999</v>
      </c>
      <c r="M269" s="171">
        <v>1048.6427900000001</v>
      </c>
      <c r="N269" s="171">
        <v>3202.2230599999998</v>
      </c>
      <c r="O269" s="166">
        <v>739.65504334929597</v>
      </c>
      <c r="P269" s="172">
        <v>287.5</v>
      </c>
      <c r="Q269" s="178">
        <v>2.5727131942584198</v>
      </c>
      <c r="R269" s="179">
        <v>1768.3434603024</v>
      </c>
      <c r="S269" s="168">
        <v>0.01</v>
      </c>
      <c r="T269" s="168">
        <v>0.01</v>
      </c>
      <c r="U269" s="175">
        <v>0</v>
      </c>
      <c r="V269" s="176">
        <v>0</v>
      </c>
      <c r="W269" s="167"/>
      <c r="X269" s="175">
        <v>2337.7933849999999</v>
      </c>
      <c r="Y269" s="166">
        <v>539.98757585733995</v>
      </c>
      <c r="Z269" s="177">
        <v>573</v>
      </c>
      <c r="AA269" s="188">
        <v>0.94238669434090805</v>
      </c>
      <c r="AB269" s="171">
        <v>-519.990999788605</v>
      </c>
      <c r="AC269" s="168"/>
      <c r="AD269" s="168"/>
      <c r="AE269" s="176">
        <v>143</v>
      </c>
      <c r="AF269" s="176">
        <v>640</v>
      </c>
      <c r="AG269" s="167"/>
      <c r="AH269" s="180">
        <v>206.8</v>
      </c>
      <c r="AI269" s="166">
        <v>47.767023126938099</v>
      </c>
      <c r="AJ269" s="181" t="s">
        <v>53</v>
      </c>
      <c r="AK269" s="173">
        <v>0.75820671630060499</v>
      </c>
      <c r="AL269" s="174">
        <v>-107.40666010764799</v>
      </c>
      <c r="AM269" s="168"/>
      <c r="AN269" s="168"/>
      <c r="AO269" s="176">
        <v>66</v>
      </c>
      <c r="AP269" s="176">
        <v>121</v>
      </c>
      <c r="AQ269" s="167"/>
      <c r="AR269" s="180">
        <v>30.6</v>
      </c>
      <c r="AS269" s="166">
        <v>7.0680411396726601</v>
      </c>
      <c r="AT269" s="181" t="s">
        <v>54</v>
      </c>
      <c r="AU269" s="173">
        <v>0.44175257122954098</v>
      </c>
      <c r="AV269" s="174">
        <v>-49.198516852735899</v>
      </c>
      <c r="AW269" s="168"/>
      <c r="AX269" s="168"/>
      <c r="AY269" s="176">
        <v>39</v>
      </c>
      <c r="AZ269" s="176">
        <v>53</v>
      </c>
      <c r="BA269" s="167"/>
      <c r="BB269" s="184">
        <v>152.80000000000001</v>
      </c>
      <c r="BC269" s="180">
        <v>35.294009351045197</v>
      </c>
      <c r="BD269" s="181" t="s">
        <v>55</v>
      </c>
      <c r="BE269" s="182">
        <v>1.10293779222016</v>
      </c>
      <c r="BF269" s="183">
        <v>-6.7970337054717902</v>
      </c>
      <c r="BG269" s="168">
        <v>1.4999999999999999E-2</v>
      </c>
      <c r="BH269" s="168">
        <v>0.01</v>
      </c>
      <c r="BI269" s="176">
        <v>0</v>
      </c>
      <c r="BJ269" s="176">
        <v>14</v>
      </c>
      <c r="BK269" s="169"/>
      <c r="BL269" s="185">
        <v>0.8</v>
      </c>
      <c r="BM269" s="188">
        <v>0.79</v>
      </c>
      <c r="BN269" s="186"/>
      <c r="BO269" s="187">
        <v>0.95</v>
      </c>
      <c r="BP269" s="178">
        <v>1</v>
      </c>
      <c r="BQ269" s="186">
        <v>2.5000000000000001E-3</v>
      </c>
    </row>
    <row r="270" spans="1:69" s="156" customFormat="1" ht="22.35" customHeight="1" x14ac:dyDescent="0.2">
      <c r="A270" s="165" t="s">
        <v>339</v>
      </c>
      <c r="B270" s="165" t="s">
        <v>340</v>
      </c>
      <c r="C270" s="165" t="s">
        <v>341</v>
      </c>
      <c r="D270" s="166">
        <v>3.4371100664444398</v>
      </c>
      <c r="E270" s="167"/>
      <c r="F270" s="168">
        <v>0.01</v>
      </c>
      <c r="G270" s="168">
        <v>0.01</v>
      </c>
      <c r="H270" s="169"/>
      <c r="I270" s="170">
        <v>3</v>
      </c>
      <c r="J270" s="170">
        <v>3</v>
      </c>
      <c r="K270" s="167"/>
      <c r="L270" s="171">
        <v>1867.4073800000001</v>
      </c>
      <c r="M270" s="171">
        <v>2981.4194600000001</v>
      </c>
      <c r="N270" s="171">
        <v>4848.8268399999997</v>
      </c>
      <c r="O270" s="166">
        <v>1410.7278342168199</v>
      </c>
      <c r="P270" s="172">
        <v>242.35900000000001</v>
      </c>
      <c r="Q270" s="178">
        <v>5.82081884401578</v>
      </c>
      <c r="R270" s="179">
        <v>3889.1940685003901</v>
      </c>
      <c r="S270" s="168">
        <v>0.01</v>
      </c>
      <c r="T270" s="168">
        <v>0.01</v>
      </c>
      <c r="U270" s="175">
        <v>0</v>
      </c>
      <c r="V270" s="176">
        <v>0</v>
      </c>
      <c r="W270" s="167"/>
      <c r="X270" s="175">
        <v>1372.88536</v>
      </c>
      <c r="Y270" s="166">
        <v>399.430141444436</v>
      </c>
      <c r="Z270" s="177">
        <v>573</v>
      </c>
      <c r="AA270" s="173">
        <v>0.69708576168313496</v>
      </c>
      <c r="AB270" s="174">
        <v>-895.93724641970903</v>
      </c>
      <c r="AC270" s="168"/>
      <c r="AD270" s="168"/>
      <c r="AE270" s="176">
        <v>597</v>
      </c>
      <c r="AF270" s="176">
        <v>991</v>
      </c>
      <c r="AG270" s="167"/>
      <c r="AH270" s="180">
        <v>126.3</v>
      </c>
      <c r="AI270" s="166">
        <v>36.745986470736597</v>
      </c>
      <c r="AJ270" s="181" t="s">
        <v>53</v>
      </c>
      <c r="AK270" s="173">
        <v>0.58326962651962799</v>
      </c>
      <c r="AL270" s="174">
        <v>-123.15170018227199</v>
      </c>
      <c r="AM270" s="168"/>
      <c r="AN270" s="168"/>
      <c r="AO270" s="176">
        <v>91</v>
      </c>
      <c r="AP270" s="176">
        <v>134</v>
      </c>
      <c r="AQ270" s="167"/>
      <c r="AR270" s="180">
        <v>15.8</v>
      </c>
      <c r="AS270" s="166">
        <v>4.5968850850169298</v>
      </c>
      <c r="AT270" s="181" t="s">
        <v>54</v>
      </c>
      <c r="AU270" s="173">
        <v>0.287305317813558</v>
      </c>
      <c r="AV270" s="174">
        <v>-47.5528127447039</v>
      </c>
      <c r="AW270" s="168"/>
      <c r="AX270" s="168"/>
      <c r="AY270" s="176">
        <v>40</v>
      </c>
      <c r="AZ270" s="176">
        <v>51</v>
      </c>
      <c r="BA270" s="167"/>
      <c r="BB270" s="184">
        <v>94.6</v>
      </c>
      <c r="BC270" s="180">
        <v>27.5231220913039</v>
      </c>
      <c r="BD270" s="181" t="s">
        <v>55</v>
      </c>
      <c r="BE270" s="188">
        <v>0.860097565353246</v>
      </c>
      <c r="BF270" s="171">
        <v>-32.105625489407799</v>
      </c>
      <c r="BG270" s="168"/>
      <c r="BH270" s="168"/>
      <c r="BI270" s="176">
        <v>16</v>
      </c>
      <c r="BJ270" s="176">
        <v>38</v>
      </c>
      <c r="BK270" s="169"/>
      <c r="BL270" s="185">
        <v>0.8</v>
      </c>
      <c r="BM270" s="182">
        <v>0.83</v>
      </c>
      <c r="BN270" s="186">
        <v>1.1249999999999999E-3</v>
      </c>
      <c r="BO270" s="187">
        <v>0.95</v>
      </c>
      <c r="BP270" s="178">
        <v>1</v>
      </c>
      <c r="BQ270" s="186">
        <v>2.5000000000000001E-3</v>
      </c>
    </row>
    <row r="271" spans="1:69" s="156" customFormat="1" ht="22.35" customHeight="1" x14ac:dyDescent="0.2">
      <c r="A271" s="165" t="s">
        <v>339</v>
      </c>
      <c r="B271" s="165" t="s">
        <v>340</v>
      </c>
      <c r="C271" s="165" t="s">
        <v>342</v>
      </c>
      <c r="D271" s="166">
        <v>2.6865209235555598</v>
      </c>
      <c r="E271" s="167"/>
      <c r="F271" s="168">
        <v>4.7E-2</v>
      </c>
      <c r="G271" s="168">
        <v>4.2000000000000003E-2</v>
      </c>
      <c r="H271" s="169"/>
      <c r="I271" s="170">
        <v>4</v>
      </c>
      <c r="J271" s="170">
        <v>4</v>
      </c>
      <c r="K271" s="167"/>
      <c r="L271" s="171">
        <v>1274.1777500000001</v>
      </c>
      <c r="M271" s="171">
        <v>130.97725</v>
      </c>
      <c r="N271" s="171">
        <v>1405.155</v>
      </c>
      <c r="O271" s="166">
        <v>523.03891910147695</v>
      </c>
      <c r="P271" s="172">
        <v>212.5</v>
      </c>
      <c r="Q271" s="178">
        <v>2.4613596193010698</v>
      </c>
      <c r="R271" s="179">
        <v>747.49467791359905</v>
      </c>
      <c r="S271" s="168">
        <v>0.01</v>
      </c>
      <c r="T271" s="168">
        <v>0.01</v>
      </c>
      <c r="U271" s="175">
        <v>0</v>
      </c>
      <c r="V271" s="176">
        <v>0</v>
      </c>
      <c r="W271" s="167"/>
      <c r="X271" s="175">
        <v>1842.40508</v>
      </c>
      <c r="Y271" s="166">
        <v>685.79591688480696</v>
      </c>
      <c r="Z271" s="177">
        <v>573</v>
      </c>
      <c r="AA271" s="178">
        <v>1.19685151288797</v>
      </c>
      <c r="AB271" s="179">
        <v>69.043364444669095</v>
      </c>
      <c r="AC271" s="168">
        <v>0.02</v>
      </c>
      <c r="AD271" s="168">
        <v>0.02</v>
      </c>
      <c r="AE271" s="176">
        <v>0</v>
      </c>
      <c r="AF271" s="176">
        <v>5</v>
      </c>
      <c r="AG271" s="167"/>
      <c r="AH271" s="180">
        <v>153.9</v>
      </c>
      <c r="AI271" s="166">
        <v>57.2859859942265</v>
      </c>
      <c r="AJ271" s="181" t="s">
        <v>53</v>
      </c>
      <c r="AK271" s="188">
        <v>0.90930136498772196</v>
      </c>
      <c r="AL271" s="171">
        <v>-41.076942547968301</v>
      </c>
      <c r="AM271" s="168"/>
      <c r="AN271" s="168"/>
      <c r="AO271" s="176">
        <v>16</v>
      </c>
      <c r="AP271" s="176">
        <v>50</v>
      </c>
      <c r="AQ271" s="167"/>
      <c r="AR271" s="180">
        <v>16</v>
      </c>
      <c r="AS271" s="166">
        <v>5.9556580630774798</v>
      </c>
      <c r="AT271" s="181" t="s">
        <v>54</v>
      </c>
      <c r="AU271" s="173">
        <v>0.37222862894234199</v>
      </c>
      <c r="AV271" s="174">
        <v>-33.517953662976097</v>
      </c>
      <c r="AW271" s="168"/>
      <c r="AX271" s="168"/>
      <c r="AY271" s="176">
        <v>27</v>
      </c>
      <c r="AZ271" s="176">
        <v>36</v>
      </c>
      <c r="BA271" s="167"/>
      <c r="BB271" s="184">
        <v>96.4</v>
      </c>
      <c r="BC271" s="180">
        <v>35.882839830041803</v>
      </c>
      <c r="BD271" s="181" t="s">
        <v>55</v>
      </c>
      <c r="BE271" s="182">
        <v>1.1213387446888099</v>
      </c>
      <c r="BF271" s="183">
        <v>-2.6359073259521502</v>
      </c>
      <c r="BG271" s="168">
        <v>1.7000000000000001E-2</v>
      </c>
      <c r="BH271" s="168">
        <v>1.2E-2</v>
      </c>
      <c r="BI271" s="176">
        <v>0</v>
      </c>
      <c r="BJ271" s="176">
        <v>7</v>
      </c>
      <c r="BK271" s="169"/>
      <c r="BL271" s="185">
        <v>0.8</v>
      </c>
      <c r="BM271" s="188">
        <v>0.75</v>
      </c>
      <c r="BN271" s="186"/>
      <c r="BO271" s="187">
        <v>0.95</v>
      </c>
      <c r="BP271" s="178">
        <v>1</v>
      </c>
      <c r="BQ271" s="186">
        <v>2.5000000000000001E-3</v>
      </c>
    </row>
    <row r="272" spans="1:69" s="156" customFormat="1" ht="22.35" customHeight="1" x14ac:dyDescent="0.2">
      <c r="A272" s="165" t="s">
        <v>339</v>
      </c>
      <c r="B272" s="165" t="s">
        <v>340</v>
      </c>
      <c r="C272" s="165" t="s">
        <v>343</v>
      </c>
      <c r="D272" s="166">
        <v>1</v>
      </c>
      <c r="E272" s="167"/>
      <c r="F272" s="168">
        <v>0.03</v>
      </c>
      <c r="G272" s="168">
        <v>0.03</v>
      </c>
      <c r="H272" s="169"/>
      <c r="I272" s="170">
        <v>4</v>
      </c>
      <c r="J272" s="170">
        <v>4</v>
      </c>
      <c r="K272" s="167"/>
      <c r="L272" s="171">
        <v>578.85206000000005</v>
      </c>
      <c r="M272" s="171">
        <v>258.11588999999998</v>
      </c>
      <c r="N272" s="171">
        <v>836.96794999999997</v>
      </c>
      <c r="O272" s="166">
        <v>836.96794999999997</v>
      </c>
      <c r="P272" s="172">
        <v>212.5</v>
      </c>
      <c r="Q272" s="178">
        <v>3.9386727058823499</v>
      </c>
      <c r="R272" s="179">
        <v>592.16795000000002</v>
      </c>
      <c r="S272" s="168">
        <v>0.01</v>
      </c>
      <c r="T272" s="168">
        <v>0.01</v>
      </c>
      <c r="U272" s="175">
        <v>0</v>
      </c>
      <c r="V272" s="176">
        <v>0</v>
      </c>
      <c r="W272" s="167"/>
      <c r="X272" s="175">
        <v>350.40894500000002</v>
      </c>
      <c r="Y272" s="166">
        <v>350.40894500000002</v>
      </c>
      <c r="Z272" s="177">
        <v>573</v>
      </c>
      <c r="AA272" s="173">
        <v>0.61153393542757395</v>
      </c>
      <c r="AB272" s="174">
        <v>-309.68705499999999</v>
      </c>
      <c r="AC272" s="168"/>
      <c r="AD272" s="168"/>
      <c r="AE272" s="176">
        <v>223</v>
      </c>
      <c r="AF272" s="176">
        <v>338</v>
      </c>
      <c r="AG272" s="167"/>
      <c r="AH272" s="180">
        <v>51.7</v>
      </c>
      <c r="AI272" s="166">
        <v>51.7</v>
      </c>
      <c r="AJ272" s="181" t="s">
        <v>53</v>
      </c>
      <c r="AK272" s="188">
        <v>0.82063492063492105</v>
      </c>
      <c r="AL272" s="171">
        <v>-20.876000000000001</v>
      </c>
      <c r="AM272" s="168"/>
      <c r="AN272" s="168"/>
      <c r="AO272" s="176">
        <v>12</v>
      </c>
      <c r="AP272" s="176">
        <v>24</v>
      </c>
      <c r="AQ272" s="167"/>
      <c r="AR272" s="180">
        <v>1</v>
      </c>
      <c r="AS272" s="166">
        <v>1</v>
      </c>
      <c r="AT272" s="181" t="s">
        <v>54</v>
      </c>
      <c r="AU272" s="173">
        <v>6.25E-2</v>
      </c>
      <c r="AV272" s="174">
        <v>-17.431999999999999</v>
      </c>
      <c r="AW272" s="168"/>
      <c r="AX272" s="168"/>
      <c r="AY272" s="176">
        <v>15</v>
      </c>
      <c r="AZ272" s="176">
        <v>19</v>
      </c>
      <c r="BA272" s="167"/>
      <c r="BB272" s="184">
        <v>48.2</v>
      </c>
      <c r="BC272" s="180">
        <v>48.2</v>
      </c>
      <c r="BD272" s="181" t="s">
        <v>55</v>
      </c>
      <c r="BE272" s="178">
        <v>1.5062500000000001</v>
      </c>
      <c r="BF272" s="179">
        <v>11.336</v>
      </c>
      <c r="BG272" s="168">
        <v>0.02</v>
      </c>
      <c r="BH272" s="168">
        <v>0.02</v>
      </c>
      <c r="BI272" s="176">
        <v>0</v>
      </c>
      <c r="BJ272" s="176">
        <v>0</v>
      </c>
      <c r="BK272" s="169"/>
      <c r="BL272" s="185">
        <v>0.8</v>
      </c>
      <c r="BM272" s="182">
        <v>0.85</v>
      </c>
      <c r="BN272" s="186">
        <v>1.8749999999999999E-3</v>
      </c>
      <c r="BO272" s="187">
        <v>0.95</v>
      </c>
      <c r="BP272" s="178">
        <v>1</v>
      </c>
      <c r="BQ272" s="186">
        <v>2.5000000000000001E-3</v>
      </c>
    </row>
    <row r="273" spans="1:69" s="156" customFormat="1" ht="22.35" customHeight="1" x14ac:dyDescent="0.2">
      <c r="A273" s="165" t="s">
        <v>339</v>
      </c>
      <c r="B273" s="165" t="s">
        <v>340</v>
      </c>
      <c r="C273" s="165" t="s">
        <v>344</v>
      </c>
      <c r="D273" s="166">
        <v>2.6251377059999998</v>
      </c>
      <c r="E273" s="167"/>
      <c r="F273" s="168"/>
      <c r="G273" s="168"/>
      <c r="H273" s="169"/>
      <c r="I273" s="170">
        <v>2</v>
      </c>
      <c r="J273" s="170">
        <v>2</v>
      </c>
      <c r="K273" s="167"/>
      <c r="L273" s="171">
        <v>867.99607000000003</v>
      </c>
      <c r="M273" s="171">
        <v>-702.06025</v>
      </c>
      <c r="N273" s="171">
        <v>165.93582000000001</v>
      </c>
      <c r="O273" s="166">
        <v>63.210329736507902</v>
      </c>
      <c r="P273" s="172">
        <v>212.5</v>
      </c>
      <c r="Q273" s="173">
        <v>0.29746037523062502</v>
      </c>
      <c r="R273" s="174">
        <v>-476.69789042880001</v>
      </c>
      <c r="S273" s="168"/>
      <c r="T273" s="168"/>
      <c r="U273" s="175">
        <v>392</v>
      </c>
      <c r="V273" s="176">
        <v>504</v>
      </c>
      <c r="W273" s="167"/>
      <c r="X273" s="175">
        <v>1369.5794900000001</v>
      </c>
      <c r="Y273" s="166">
        <v>521.71719863293094</v>
      </c>
      <c r="Z273" s="177">
        <v>573</v>
      </c>
      <c r="AA273" s="188">
        <v>0.91050121925467897</v>
      </c>
      <c r="AB273" s="171">
        <v>-363.26340917977598</v>
      </c>
      <c r="AC273" s="168"/>
      <c r="AD273" s="168"/>
      <c r="AE273" s="176">
        <v>135</v>
      </c>
      <c r="AF273" s="176">
        <v>436</v>
      </c>
      <c r="AG273" s="167"/>
      <c r="AH273" s="180">
        <v>78.2</v>
      </c>
      <c r="AI273" s="166">
        <v>29.7889134810972</v>
      </c>
      <c r="AJ273" s="181" t="s">
        <v>53</v>
      </c>
      <c r="AK273" s="173">
        <v>0.47283989652535202</v>
      </c>
      <c r="AL273" s="174">
        <v>-112.321994150656</v>
      </c>
      <c r="AM273" s="168"/>
      <c r="AN273" s="168"/>
      <c r="AO273" s="176">
        <v>88</v>
      </c>
      <c r="AP273" s="176">
        <v>121</v>
      </c>
      <c r="AQ273" s="167"/>
      <c r="AR273" s="180">
        <v>6</v>
      </c>
      <c r="AS273" s="166">
        <v>2.28559438473892</v>
      </c>
      <c r="AT273" s="181" t="s">
        <v>54</v>
      </c>
      <c r="AU273" s="173">
        <v>0.142849649046182</v>
      </c>
      <c r="AV273" s="174">
        <v>-42.386538196991999</v>
      </c>
      <c r="AW273" s="168"/>
      <c r="AX273" s="168"/>
      <c r="AY273" s="176">
        <v>37</v>
      </c>
      <c r="AZ273" s="176">
        <v>45</v>
      </c>
      <c r="BA273" s="167"/>
      <c r="BB273" s="184">
        <v>43.6</v>
      </c>
      <c r="BC273" s="180">
        <v>16.608652529102802</v>
      </c>
      <c r="BD273" s="181" t="s">
        <v>55</v>
      </c>
      <c r="BE273" s="173">
        <v>0.519020391534462</v>
      </c>
      <c r="BF273" s="174">
        <v>-53.173076393983997</v>
      </c>
      <c r="BG273" s="168"/>
      <c r="BH273" s="168"/>
      <c r="BI273" s="176">
        <v>41</v>
      </c>
      <c r="BJ273" s="176">
        <v>58</v>
      </c>
      <c r="BK273" s="169"/>
      <c r="BL273" s="185">
        <v>0.8</v>
      </c>
      <c r="BM273" s="182">
        <v>0.82</v>
      </c>
      <c r="BN273" s="186">
        <v>7.5000000000000002E-4</v>
      </c>
      <c r="BO273" s="187">
        <v>0.95</v>
      </c>
      <c r="BP273" s="178">
        <v>1</v>
      </c>
      <c r="BQ273" s="186">
        <v>2.5000000000000001E-3</v>
      </c>
    </row>
    <row r="274" spans="1:69" s="156" customFormat="1" ht="22.35" customHeight="1" x14ac:dyDescent="0.2">
      <c r="A274" s="165" t="s">
        <v>339</v>
      </c>
      <c r="B274" s="165" t="s">
        <v>340</v>
      </c>
      <c r="C274" s="165" t="s">
        <v>345</v>
      </c>
      <c r="D274" s="166">
        <v>4.5014537384444404</v>
      </c>
      <c r="E274" s="167"/>
      <c r="F274" s="168">
        <v>0.01</v>
      </c>
      <c r="G274" s="168">
        <v>0.01</v>
      </c>
      <c r="H274" s="169"/>
      <c r="I274" s="170">
        <v>3</v>
      </c>
      <c r="J274" s="170">
        <v>3</v>
      </c>
      <c r="K274" s="167"/>
      <c r="L274" s="171">
        <v>3120.8884400000002</v>
      </c>
      <c r="M274" s="171">
        <v>-69.28322</v>
      </c>
      <c r="N274" s="171">
        <v>3051.6052199999999</v>
      </c>
      <c r="O274" s="166">
        <v>677.91549070868302</v>
      </c>
      <c r="P274" s="172">
        <v>218.52799999999999</v>
      </c>
      <c r="Q274" s="178">
        <v>3.1021905234509202</v>
      </c>
      <c r="R274" s="179">
        <v>1918.3900976968901</v>
      </c>
      <c r="S274" s="168">
        <v>0.01</v>
      </c>
      <c r="T274" s="168">
        <v>0.01</v>
      </c>
      <c r="U274" s="175">
        <v>0</v>
      </c>
      <c r="V274" s="176">
        <v>0</v>
      </c>
      <c r="W274" s="167"/>
      <c r="X274" s="175">
        <v>2350.1375699999999</v>
      </c>
      <c r="Y274" s="166">
        <v>522.08413249452406</v>
      </c>
      <c r="Z274" s="177">
        <v>573</v>
      </c>
      <c r="AA274" s="188">
        <v>0.91114159248607995</v>
      </c>
      <c r="AB274" s="171">
        <v>-621.25403693222097</v>
      </c>
      <c r="AC274" s="168"/>
      <c r="AD274" s="168"/>
      <c r="AE274" s="176">
        <v>230</v>
      </c>
      <c r="AF274" s="176">
        <v>746</v>
      </c>
      <c r="AG274" s="167"/>
      <c r="AH274" s="180">
        <v>170.9</v>
      </c>
      <c r="AI274" s="166">
        <v>37.965512905405802</v>
      </c>
      <c r="AJ274" s="181" t="s">
        <v>53</v>
      </c>
      <c r="AK274" s="173">
        <v>0.60262718897469603</v>
      </c>
      <c r="AL274" s="174">
        <v>-155.79750652134399</v>
      </c>
      <c r="AM274" s="168"/>
      <c r="AN274" s="168"/>
      <c r="AO274" s="176">
        <v>113</v>
      </c>
      <c r="AP274" s="176">
        <v>170</v>
      </c>
      <c r="AQ274" s="167"/>
      <c r="AR274" s="180">
        <v>19.3</v>
      </c>
      <c r="AS274" s="166">
        <v>4.2875037979773696</v>
      </c>
      <c r="AT274" s="181" t="s">
        <v>54</v>
      </c>
      <c r="AU274" s="173">
        <v>0.26796898737358599</v>
      </c>
      <c r="AV274" s="174">
        <v>-63.6707953070079</v>
      </c>
      <c r="AW274" s="168"/>
      <c r="AX274" s="168"/>
      <c r="AY274" s="176">
        <v>53</v>
      </c>
      <c r="AZ274" s="176">
        <v>68</v>
      </c>
      <c r="BA274" s="167"/>
      <c r="BB274" s="184">
        <v>127.4</v>
      </c>
      <c r="BC274" s="180">
        <v>28.3019680757677</v>
      </c>
      <c r="BD274" s="181" t="s">
        <v>55</v>
      </c>
      <c r="BE274" s="188">
        <v>0.88443650236774196</v>
      </c>
      <c r="BF274" s="171">
        <v>-38.541590614015803</v>
      </c>
      <c r="BG274" s="168"/>
      <c r="BH274" s="168"/>
      <c r="BI274" s="176">
        <v>17</v>
      </c>
      <c r="BJ274" s="176">
        <v>46</v>
      </c>
      <c r="BK274" s="169"/>
      <c r="BL274" s="185">
        <v>0.8</v>
      </c>
      <c r="BM274" s="182">
        <v>0.85</v>
      </c>
      <c r="BN274" s="186">
        <v>1.8749999999999999E-3</v>
      </c>
      <c r="BO274" s="187">
        <v>0.95</v>
      </c>
      <c r="BP274" s="178">
        <v>1</v>
      </c>
      <c r="BQ274" s="186">
        <v>2.5000000000000001E-3</v>
      </c>
    </row>
    <row r="275" spans="1:69" s="156" customFormat="1" ht="22.35" customHeight="1" x14ac:dyDescent="0.2">
      <c r="A275" s="165" t="s">
        <v>339</v>
      </c>
      <c r="B275" s="165" t="s">
        <v>340</v>
      </c>
      <c r="C275" s="165" t="s">
        <v>346</v>
      </c>
      <c r="D275" s="166">
        <v>8.6759634033333306</v>
      </c>
      <c r="E275" s="167"/>
      <c r="F275" s="168">
        <v>0.03</v>
      </c>
      <c r="G275" s="168">
        <v>0.03</v>
      </c>
      <c r="H275" s="169"/>
      <c r="I275" s="170">
        <v>3</v>
      </c>
      <c r="J275" s="170">
        <v>3</v>
      </c>
      <c r="K275" s="167"/>
      <c r="L275" s="171">
        <v>7071.8955900000001</v>
      </c>
      <c r="M275" s="171">
        <v>3728.4103300000002</v>
      </c>
      <c r="N275" s="171">
        <v>10800.305920000001</v>
      </c>
      <c r="O275" s="166">
        <v>1244.85378947662</v>
      </c>
      <c r="P275" s="172">
        <v>246.08699999999999</v>
      </c>
      <c r="Q275" s="178">
        <v>5.0585922437049504</v>
      </c>
      <c r="R275" s="179">
        <v>8340.7377594464306</v>
      </c>
      <c r="S275" s="168">
        <v>0.01</v>
      </c>
      <c r="T275" s="168">
        <v>0.01</v>
      </c>
      <c r="U275" s="175">
        <v>0</v>
      </c>
      <c r="V275" s="176">
        <v>0</v>
      </c>
      <c r="W275" s="167"/>
      <c r="X275" s="175">
        <v>4197.3262699999996</v>
      </c>
      <c r="Y275" s="166">
        <v>483.78791782217201</v>
      </c>
      <c r="Z275" s="177">
        <v>573</v>
      </c>
      <c r="AA275" s="188">
        <v>0.84430701190605895</v>
      </c>
      <c r="AB275" s="171">
        <v>-1529.6424686867199</v>
      </c>
      <c r="AC275" s="168"/>
      <c r="AD275" s="168"/>
      <c r="AE275" s="176">
        <v>775</v>
      </c>
      <c r="AF275" s="176">
        <v>1769</v>
      </c>
      <c r="AG275" s="167"/>
      <c r="AH275" s="180">
        <v>483.65</v>
      </c>
      <c r="AI275" s="166">
        <v>55.7459705067659</v>
      </c>
      <c r="AJ275" s="181" t="s">
        <v>53</v>
      </c>
      <c r="AK275" s="188">
        <v>0.88485667471056895</v>
      </c>
      <c r="AL275" s="171">
        <v>-146.01671996031999</v>
      </c>
      <c r="AM275" s="168"/>
      <c r="AN275" s="168"/>
      <c r="AO275" s="176">
        <v>63</v>
      </c>
      <c r="AP275" s="176">
        <v>173</v>
      </c>
      <c r="AQ275" s="167"/>
      <c r="AR275" s="180">
        <v>50.7</v>
      </c>
      <c r="AS275" s="166">
        <v>5.84373142705061</v>
      </c>
      <c r="AT275" s="181" t="s">
        <v>54</v>
      </c>
      <c r="AU275" s="173">
        <v>0.36523321419066301</v>
      </c>
      <c r="AV275" s="174">
        <v>-109.21535745024001</v>
      </c>
      <c r="AW275" s="168"/>
      <c r="AX275" s="168"/>
      <c r="AY275" s="176">
        <v>89</v>
      </c>
      <c r="AZ275" s="176">
        <v>116</v>
      </c>
      <c r="BA275" s="167"/>
      <c r="BB275" s="184">
        <v>558.79999999999995</v>
      </c>
      <c r="BC275" s="180">
        <v>64.407832769938494</v>
      </c>
      <c r="BD275" s="181" t="s">
        <v>55</v>
      </c>
      <c r="BE275" s="178">
        <v>2.0127447740605802</v>
      </c>
      <c r="BF275" s="179">
        <v>238.96928509951999</v>
      </c>
      <c r="BG275" s="168">
        <v>0.02</v>
      </c>
      <c r="BH275" s="168">
        <v>0.02</v>
      </c>
      <c r="BI275" s="176">
        <v>0</v>
      </c>
      <c r="BJ275" s="176">
        <v>0</v>
      </c>
      <c r="BK275" s="169"/>
      <c r="BL275" s="185">
        <v>0.8</v>
      </c>
      <c r="BM275" s="188">
        <v>0.74</v>
      </c>
      <c r="BN275" s="186"/>
      <c r="BO275" s="187">
        <v>0.95</v>
      </c>
      <c r="BP275" s="178">
        <v>1</v>
      </c>
      <c r="BQ275" s="186">
        <v>2.5000000000000001E-3</v>
      </c>
    </row>
    <row r="276" spans="1:69" s="156" customFormat="1" ht="22.35" customHeight="1" x14ac:dyDescent="0.2">
      <c r="A276" s="165" t="s">
        <v>339</v>
      </c>
      <c r="B276" s="165" t="s">
        <v>340</v>
      </c>
      <c r="C276" s="165" t="s">
        <v>347</v>
      </c>
      <c r="D276" s="166">
        <v>1.8989247312222199</v>
      </c>
      <c r="E276" s="167"/>
      <c r="F276" s="168">
        <v>0.03</v>
      </c>
      <c r="G276" s="168">
        <v>0.03</v>
      </c>
      <c r="H276" s="169"/>
      <c r="I276" s="170">
        <v>3</v>
      </c>
      <c r="J276" s="170">
        <v>3</v>
      </c>
      <c r="K276" s="167"/>
      <c r="L276" s="171">
        <v>1029.15381</v>
      </c>
      <c r="M276" s="171">
        <v>567.52021999999999</v>
      </c>
      <c r="N276" s="171">
        <v>1596.6740299999999</v>
      </c>
      <c r="O276" s="166">
        <v>840.830604682429</v>
      </c>
      <c r="P276" s="172">
        <v>246.08699999999999</v>
      </c>
      <c r="Q276" s="178">
        <v>3.4168022068716701</v>
      </c>
      <c r="R276" s="179">
        <v>1058.3436347372101</v>
      </c>
      <c r="S276" s="168">
        <v>0.01</v>
      </c>
      <c r="T276" s="168">
        <v>0.01</v>
      </c>
      <c r="U276" s="175">
        <v>0</v>
      </c>
      <c r="V276" s="176">
        <v>0</v>
      </c>
      <c r="W276" s="167"/>
      <c r="X276" s="175">
        <v>967.31460500000003</v>
      </c>
      <c r="Y276" s="166">
        <v>509.401235918076</v>
      </c>
      <c r="Z276" s="177">
        <v>573</v>
      </c>
      <c r="AA276" s="188">
        <v>0.88900739252718297</v>
      </c>
      <c r="AB276" s="171">
        <v>-286.15801438086203</v>
      </c>
      <c r="AC276" s="168"/>
      <c r="AD276" s="168"/>
      <c r="AE276" s="176">
        <v>121</v>
      </c>
      <c r="AF276" s="176">
        <v>339</v>
      </c>
      <c r="AG276" s="167"/>
      <c r="AH276" s="180">
        <v>106.2</v>
      </c>
      <c r="AI276" s="166">
        <v>55.926387314807101</v>
      </c>
      <c r="AJ276" s="181" t="s">
        <v>53</v>
      </c>
      <c r="AK276" s="188">
        <v>0.88772043356836705</v>
      </c>
      <c r="AL276" s="171">
        <v>-31.6163612931838</v>
      </c>
      <c r="AM276" s="168"/>
      <c r="AN276" s="168"/>
      <c r="AO276" s="176">
        <v>14</v>
      </c>
      <c r="AP276" s="176">
        <v>38</v>
      </c>
      <c r="AQ276" s="167"/>
      <c r="AR276" s="180">
        <v>15.8</v>
      </c>
      <c r="AS276" s="166">
        <v>8.320498301073</v>
      </c>
      <c r="AT276" s="181" t="s">
        <v>54</v>
      </c>
      <c r="AU276" s="173">
        <v>0.52003114381706295</v>
      </c>
      <c r="AV276" s="174">
        <v>-19.200980645887999</v>
      </c>
      <c r="AW276" s="168"/>
      <c r="AX276" s="168"/>
      <c r="AY276" s="176">
        <v>15</v>
      </c>
      <c r="AZ276" s="176">
        <v>21</v>
      </c>
      <c r="BA276" s="167"/>
      <c r="BB276" s="184">
        <v>83.4</v>
      </c>
      <c r="BC276" s="180">
        <v>43.919592298068899</v>
      </c>
      <c r="BD276" s="181" t="s">
        <v>55</v>
      </c>
      <c r="BE276" s="178">
        <v>1.37248725931465</v>
      </c>
      <c r="BF276" s="179">
        <v>13.398038708224099</v>
      </c>
      <c r="BG276" s="168">
        <v>0.02</v>
      </c>
      <c r="BH276" s="168">
        <v>0.02</v>
      </c>
      <c r="BI276" s="176">
        <v>0</v>
      </c>
      <c r="BJ276" s="176">
        <v>0</v>
      </c>
      <c r="BK276" s="169"/>
      <c r="BL276" s="185">
        <v>0.8</v>
      </c>
      <c r="BM276" s="188">
        <v>0.78</v>
      </c>
      <c r="BN276" s="186"/>
      <c r="BO276" s="187">
        <v>0.95</v>
      </c>
      <c r="BP276" s="178">
        <v>1</v>
      </c>
      <c r="BQ276" s="186">
        <v>2.5000000000000001E-3</v>
      </c>
    </row>
    <row r="277" spans="1:69" s="156" customFormat="1" ht="22.35" customHeight="1" x14ac:dyDescent="0.2">
      <c r="A277" s="165" t="s">
        <v>339</v>
      </c>
      <c r="B277" s="165" t="s">
        <v>340</v>
      </c>
      <c r="C277" s="165" t="s">
        <v>348</v>
      </c>
      <c r="D277" s="166">
        <v>1.8613756613333301</v>
      </c>
      <c r="E277" s="167"/>
      <c r="F277" s="168">
        <v>0.08</v>
      </c>
      <c r="G277" s="168">
        <v>0.08</v>
      </c>
      <c r="H277" s="169"/>
      <c r="I277" s="170">
        <v>7</v>
      </c>
      <c r="J277" s="170">
        <v>7</v>
      </c>
      <c r="K277" s="167"/>
      <c r="L277" s="171">
        <v>1347.90382</v>
      </c>
      <c r="M277" s="171">
        <v>2921.6687299999999</v>
      </c>
      <c r="N277" s="171">
        <v>4269.5725499999999</v>
      </c>
      <c r="O277" s="166">
        <v>2293.7726320874099</v>
      </c>
      <c r="P277" s="172">
        <v>246.08699999999999</v>
      </c>
      <c r="Q277" s="178">
        <v>9.3209825471780707</v>
      </c>
      <c r="R277" s="179">
        <v>3741.8870240691399</v>
      </c>
      <c r="S277" s="168">
        <v>0.01</v>
      </c>
      <c r="T277" s="168">
        <v>0.01</v>
      </c>
      <c r="U277" s="175">
        <v>0</v>
      </c>
      <c r="V277" s="176">
        <v>0</v>
      </c>
      <c r="W277" s="167"/>
      <c r="X277" s="175">
        <v>1601.1507449999999</v>
      </c>
      <c r="Y277" s="166">
        <v>860.197529311773</v>
      </c>
      <c r="Z277" s="177">
        <v>573</v>
      </c>
      <c r="AA277" s="178">
        <v>1.50121732864184</v>
      </c>
      <c r="AB277" s="179">
        <v>372.46411645651398</v>
      </c>
      <c r="AC277" s="168">
        <v>0.02</v>
      </c>
      <c r="AD277" s="168">
        <v>0.02</v>
      </c>
      <c r="AE277" s="176">
        <v>0</v>
      </c>
      <c r="AF277" s="176">
        <v>0</v>
      </c>
      <c r="AG277" s="167"/>
      <c r="AH277" s="180">
        <v>142.80000000000001</v>
      </c>
      <c r="AI277" s="166">
        <v>76.717453100095895</v>
      </c>
      <c r="AJ277" s="181" t="s">
        <v>53</v>
      </c>
      <c r="AK277" s="178">
        <v>1.2177373507951701</v>
      </c>
      <c r="AL277" s="179">
        <v>7.7088000030722696</v>
      </c>
      <c r="AM277" s="168">
        <v>0.02</v>
      </c>
      <c r="AN277" s="168">
        <v>0.02</v>
      </c>
      <c r="AO277" s="176">
        <v>0</v>
      </c>
      <c r="AP277" s="176">
        <v>0</v>
      </c>
      <c r="AQ277" s="167"/>
      <c r="AR277" s="180">
        <v>48</v>
      </c>
      <c r="AS277" s="166">
        <v>25.787379193309501</v>
      </c>
      <c r="AT277" s="181" t="s">
        <v>54</v>
      </c>
      <c r="AU277" s="178">
        <v>1.6117111995818501</v>
      </c>
      <c r="AV277" s="179">
        <v>13.6911238103041</v>
      </c>
      <c r="AW277" s="168">
        <v>0.01</v>
      </c>
      <c r="AX277" s="168">
        <v>0.01</v>
      </c>
      <c r="AY277" s="176">
        <v>0</v>
      </c>
      <c r="AZ277" s="176">
        <v>0</v>
      </c>
      <c r="BA277" s="167"/>
      <c r="BB277" s="184">
        <v>107.8</v>
      </c>
      <c r="BC277" s="180">
        <v>57.914155771640999</v>
      </c>
      <c r="BD277" s="181" t="s">
        <v>55</v>
      </c>
      <c r="BE277" s="178">
        <v>1.8098173678637799</v>
      </c>
      <c r="BF277" s="179">
        <v>39.182247620608102</v>
      </c>
      <c r="BG277" s="168">
        <v>0.02</v>
      </c>
      <c r="BH277" s="168">
        <v>0.02</v>
      </c>
      <c r="BI277" s="176">
        <v>0</v>
      </c>
      <c r="BJ277" s="176">
        <v>0</v>
      </c>
      <c r="BK277" s="169"/>
      <c r="BL277" s="185">
        <v>0.8</v>
      </c>
      <c r="BM277" s="182">
        <v>0.87</v>
      </c>
      <c r="BN277" s="186">
        <v>2.6250000000000002E-3</v>
      </c>
      <c r="BO277" s="187">
        <v>0.95</v>
      </c>
      <c r="BP277" s="178">
        <v>1</v>
      </c>
      <c r="BQ277" s="186">
        <v>2.5000000000000001E-3</v>
      </c>
    </row>
    <row r="278" spans="1:69" s="156" customFormat="1" ht="22.35" customHeight="1" x14ac:dyDescent="0.2">
      <c r="A278" s="165" t="s">
        <v>339</v>
      </c>
      <c r="B278" s="165" t="s">
        <v>340</v>
      </c>
      <c r="C278" s="165" t="s">
        <v>349</v>
      </c>
      <c r="D278" s="166">
        <v>4.0649831650000001</v>
      </c>
      <c r="E278" s="167"/>
      <c r="F278" s="168">
        <v>2.5999999999999999E-2</v>
      </c>
      <c r="G278" s="168">
        <v>2.1000000000000001E-2</v>
      </c>
      <c r="H278" s="169"/>
      <c r="I278" s="170">
        <v>3</v>
      </c>
      <c r="J278" s="170">
        <v>3</v>
      </c>
      <c r="K278" s="167"/>
      <c r="L278" s="171">
        <v>1050.3257000000001</v>
      </c>
      <c r="M278" s="171">
        <v>646.50264000000004</v>
      </c>
      <c r="N278" s="171">
        <v>1696.82834</v>
      </c>
      <c r="O278" s="166">
        <v>417.425674627609</v>
      </c>
      <c r="P278" s="172">
        <v>212.5</v>
      </c>
      <c r="Q278" s="178">
        <v>1.9643561158946301</v>
      </c>
      <c r="R278" s="179">
        <v>701.72046120799996</v>
      </c>
      <c r="S278" s="168">
        <v>0.01</v>
      </c>
      <c r="T278" s="168">
        <v>0.01</v>
      </c>
      <c r="U278" s="175">
        <v>0</v>
      </c>
      <c r="V278" s="176">
        <v>0</v>
      </c>
      <c r="W278" s="167"/>
      <c r="X278" s="175">
        <v>1494.8112000000001</v>
      </c>
      <c r="Y278" s="166">
        <v>367.728755403099</v>
      </c>
      <c r="Z278" s="177">
        <v>573</v>
      </c>
      <c r="AA278" s="173">
        <v>0.64176048063367996</v>
      </c>
      <c r="AB278" s="174">
        <v>-1188.46792728384</v>
      </c>
      <c r="AC278" s="168"/>
      <c r="AD278" s="168"/>
      <c r="AE278" s="176">
        <v>835</v>
      </c>
      <c r="AF278" s="176">
        <v>1301</v>
      </c>
      <c r="AG278" s="167"/>
      <c r="AH278" s="180">
        <v>155.5</v>
      </c>
      <c r="AI278" s="166">
        <v>38.2535409590066</v>
      </c>
      <c r="AJ278" s="181" t="s">
        <v>53</v>
      </c>
      <c r="AK278" s="173">
        <v>0.60719906284137504</v>
      </c>
      <c r="AL278" s="174">
        <v>-139.52021818303999</v>
      </c>
      <c r="AM278" s="168"/>
      <c r="AN278" s="168"/>
      <c r="AO278" s="176">
        <v>101</v>
      </c>
      <c r="AP278" s="176">
        <v>152</v>
      </c>
      <c r="AQ278" s="167"/>
      <c r="AR278" s="180">
        <v>23.4</v>
      </c>
      <c r="AS278" s="166">
        <v>5.7564814047636998</v>
      </c>
      <c r="AT278" s="181" t="s">
        <v>54</v>
      </c>
      <c r="AU278" s="173">
        <v>0.35978008779773102</v>
      </c>
      <c r="AV278" s="174">
        <v>-51.525769697279998</v>
      </c>
      <c r="AW278" s="168"/>
      <c r="AX278" s="168"/>
      <c r="AY278" s="176">
        <v>42</v>
      </c>
      <c r="AZ278" s="176">
        <v>55</v>
      </c>
      <c r="BA278" s="167"/>
      <c r="BB278" s="184">
        <v>144.4</v>
      </c>
      <c r="BC278" s="180">
        <v>35.522902343926397</v>
      </c>
      <c r="BD278" s="181" t="s">
        <v>55</v>
      </c>
      <c r="BE278" s="182">
        <v>1.1100906982476999</v>
      </c>
      <c r="BF278" s="183">
        <v>-5.4515393945600001</v>
      </c>
      <c r="BG278" s="168">
        <v>1.6E-2</v>
      </c>
      <c r="BH278" s="168">
        <v>1.0999999999999999E-2</v>
      </c>
      <c r="BI278" s="176">
        <v>0</v>
      </c>
      <c r="BJ278" s="176">
        <v>12</v>
      </c>
      <c r="BK278" s="169"/>
      <c r="BL278" s="185">
        <v>0.8</v>
      </c>
      <c r="BM278" s="188">
        <v>0.79</v>
      </c>
      <c r="BN278" s="186"/>
      <c r="BO278" s="187">
        <v>0.95</v>
      </c>
      <c r="BP278" s="178">
        <v>1</v>
      </c>
      <c r="BQ278" s="186">
        <v>2.5000000000000001E-3</v>
      </c>
    </row>
    <row r="279" spans="1:69" s="156" customFormat="1" ht="22.35" customHeight="1" x14ac:dyDescent="0.2">
      <c r="A279" s="165" t="s">
        <v>339</v>
      </c>
      <c r="B279" s="165" t="s">
        <v>340</v>
      </c>
      <c r="C279" s="165" t="s">
        <v>350</v>
      </c>
      <c r="D279" s="166">
        <v>2.7843147968888902</v>
      </c>
      <c r="E279" s="167"/>
      <c r="F279" s="168">
        <v>0.01</v>
      </c>
      <c r="G279" s="168">
        <v>0.01</v>
      </c>
      <c r="H279" s="169"/>
      <c r="I279" s="170">
        <v>3</v>
      </c>
      <c r="J279" s="170">
        <v>3</v>
      </c>
      <c r="K279" s="167"/>
      <c r="L279" s="171">
        <v>1628.7787499999999</v>
      </c>
      <c r="M279" s="171">
        <v>381.83647999999999</v>
      </c>
      <c r="N279" s="171">
        <v>2010.6152300000001</v>
      </c>
      <c r="O279" s="166">
        <v>722.12209346680299</v>
      </c>
      <c r="P279" s="172">
        <v>243.43</v>
      </c>
      <c r="Q279" s="178">
        <v>2.9664465902592201</v>
      </c>
      <c r="R279" s="179">
        <v>1229.8060448403201</v>
      </c>
      <c r="S279" s="168">
        <v>0.01</v>
      </c>
      <c r="T279" s="168">
        <v>0.01</v>
      </c>
      <c r="U279" s="175">
        <v>0</v>
      </c>
      <c r="V279" s="176">
        <v>0</v>
      </c>
      <c r="W279" s="167"/>
      <c r="X279" s="175">
        <v>763.57512499999996</v>
      </c>
      <c r="Y279" s="166">
        <v>274.24166471880102</v>
      </c>
      <c r="Z279" s="177">
        <v>573</v>
      </c>
      <c r="AA279" s="173">
        <v>0.47860674470995002</v>
      </c>
      <c r="AB279" s="174">
        <v>-1074.3399351671701</v>
      </c>
      <c r="AC279" s="168"/>
      <c r="AD279" s="168"/>
      <c r="AE279" s="176">
        <v>832</v>
      </c>
      <c r="AF279" s="176">
        <v>1151</v>
      </c>
      <c r="AG279" s="167"/>
      <c r="AH279" s="180">
        <v>152.19999999999999</v>
      </c>
      <c r="AI279" s="166">
        <v>54.663359247332203</v>
      </c>
      <c r="AJ279" s="181" t="s">
        <v>53</v>
      </c>
      <c r="AK279" s="188">
        <v>0.867672369005272</v>
      </c>
      <c r="AL279" s="171">
        <v>-49.874430699008101</v>
      </c>
      <c r="AM279" s="168"/>
      <c r="AN279" s="168"/>
      <c r="AO279" s="176">
        <v>24</v>
      </c>
      <c r="AP279" s="176">
        <v>59</v>
      </c>
      <c r="AQ279" s="167"/>
      <c r="AR279" s="180">
        <v>8.8000000000000007</v>
      </c>
      <c r="AS279" s="166">
        <v>3.1605621641032999</v>
      </c>
      <c r="AT279" s="181" t="s">
        <v>54</v>
      </c>
      <c r="AU279" s="173">
        <v>0.197535135256456</v>
      </c>
      <c r="AV279" s="174">
        <v>-42.520490336256003</v>
      </c>
      <c r="AW279" s="168"/>
      <c r="AX279" s="168"/>
      <c r="AY279" s="176">
        <v>36</v>
      </c>
      <c r="AZ279" s="176">
        <v>45</v>
      </c>
      <c r="BA279" s="167"/>
      <c r="BB279" s="184">
        <v>84.8</v>
      </c>
      <c r="BC279" s="180">
        <v>30.456326308631802</v>
      </c>
      <c r="BD279" s="181" t="s">
        <v>55</v>
      </c>
      <c r="BE279" s="188">
        <v>0.95176019714474502</v>
      </c>
      <c r="BF279" s="171">
        <v>-17.840980672512</v>
      </c>
      <c r="BG279" s="168"/>
      <c r="BH279" s="168"/>
      <c r="BI279" s="176">
        <v>5</v>
      </c>
      <c r="BJ279" s="176">
        <v>23</v>
      </c>
      <c r="BK279" s="169"/>
      <c r="BL279" s="185">
        <v>0.8</v>
      </c>
      <c r="BM279" s="182">
        <v>0.82</v>
      </c>
      <c r="BN279" s="186">
        <v>7.5000000000000002E-4</v>
      </c>
      <c r="BO279" s="187">
        <v>0.95</v>
      </c>
      <c r="BP279" s="178">
        <v>1</v>
      </c>
      <c r="BQ279" s="186">
        <v>2.5000000000000001E-3</v>
      </c>
    </row>
    <row r="280" spans="1:69" s="156" customFormat="1" ht="22.35" customHeight="1" x14ac:dyDescent="0.2">
      <c r="A280" s="165" t="s">
        <v>339</v>
      </c>
      <c r="B280" s="165" t="s">
        <v>340</v>
      </c>
      <c r="C280" s="165" t="s">
        <v>351</v>
      </c>
      <c r="D280" s="166">
        <v>4.6097894054444399</v>
      </c>
      <c r="E280" s="167"/>
      <c r="F280" s="168">
        <v>0.01</v>
      </c>
      <c r="G280" s="168">
        <v>0.01</v>
      </c>
      <c r="H280" s="169"/>
      <c r="I280" s="170">
        <v>2</v>
      </c>
      <c r="J280" s="170">
        <v>2</v>
      </c>
      <c r="K280" s="167"/>
      <c r="L280" s="171">
        <v>1761.6659</v>
      </c>
      <c r="M280" s="171">
        <v>-198.69099</v>
      </c>
      <c r="N280" s="171">
        <v>1562.9749099999999</v>
      </c>
      <c r="O280" s="166">
        <v>339.05559940634799</v>
      </c>
      <c r="P280" s="172">
        <v>254.44499999999999</v>
      </c>
      <c r="Q280" s="178">
        <v>1.3325300139768801</v>
      </c>
      <c r="R280" s="179">
        <v>211.75048921090601</v>
      </c>
      <c r="S280" s="168">
        <v>0.01</v>
      </c>
      <c r="T280" s="168">
        <v>0.01</v>
      </c>
      <c r="U280" s="175">
        <v>0</v>
      </c>
      <c r="V280" s="176">
        <v>0</v>
      </c>
      <c r="W280" s="167"/>
      <c r="X280" s="175">
        <v>1739.0672</v>
      </c>
      <c r="Y280" s="166">
        <v>377.25523815601099</v>
      </c>
      <c r="Z280" s="177">
        <v>573</v>
      </c>
      <c r="AA280" s="173">
        <v>0.65838610498431205</v>
      </c>
      <c r="AB280" s="174">
        <v>-1303.8363473762499</v>
      </c>
      <c r="AC280" s="168"/>
      <c r="AD280" s="168"/>
      <c r="AE280" s="176">
        <v>903</v>
      </c>
      <c r="AF280" s="176">
        <v>1431</v>
      </c>
      <c r="AG280" s="167"/>
      <c r="AH280" s="180">
        <v>238.7</v>
      </c>
      <c r="AI280" s="166">
        <v>51.781107336070598</v>
      </c>
      <c r="AJ280" s="181" t="s">
        <v>53</v>
      </c>
      <c r="AK280" s="188">
        <v>0.82192233866778797</v>
      </c>
      <c r="AL280" s="171">
        <v>-95.860075889535594</v>
      </c>
      <c r="AM280" s="168"/>
      <c r="AN280" s="168"/>
      <c r="AO280" s="176">
        <v>52</v>
      </c>
      <c r="AP280" s="176">
        <v>110</v>
      </c>
      <c r="AQ280" s="167"/>
      <c r="AR280" s="180">
        <v>13</v>
      </c>
      <c r="AS280" s="166">
        <v>2.8200854435229101</v>
      </c>
      <c r="AT280" s="181" t="s">
        <v>54</v>
      </c>
      <c r="AU280" s="173">
        <v>0.17625534022018199</v>
      </c>
      <c r="AV280" s="174">
        <v>-71.967638321151895</v>
      </c>
      <c r="AW280" s="168"/>
      <c r="AX280" s="168"/>
      <c r="AY280" s="176">
        <v>61</v>
      </c>
      <c r="AZ280" s="176">
        <v>76</v>
      </c>
      <c r="BA280" s="167"/>
      <c r="BB280" s="184">
        <v>141.19999999999999</v>
      </c>
      <c r="BC280" s="180">
        <v>30.630466509648802</v>
      </c>
      <c r="BD280" s="181" t="s">
        <v>55</v>
      </c>
      <c r="BE280" s="188">
        <v>0.95720207842652505</v>
      </c>
      <c r="BF280" s="171">
        <v>-28.735276642303798</v>
      </c>
      <c r="BG280" s="168">
        <v>0</v>
      </c>
      <c r="BH280" s="168"/>
      <c r="BI280" s="176">
        <v>7</v>
      </c>
      <c r="BJ280" s="176">
        <v>36</v>
      </c>
      <c r="BK280" s="169"/>
      <c r="BL280" s="185">
        <v>0.8</v>
      </c>
      <c r="BM280" s="188">
        <v>0.78</v>
      </c>
      <c r="BN280" s="186"/>
      <c r="BO280" s="187">
        <v>0.95</v>
      </c>
      <c r="BP280" s="178">
        <v>1</v>
      </c>
      <c r="BQ280" s="186">
        <v>2.5000000000000001E-3</v>
      </c>
    </row>
    <row r="281" spans="1:69" s="156" customFormat="1" ht="22.35" customHeight="1" x14ac:dyDescent="0.2">
      <c r="A281" s="165" t="s">
        <v>339</v>
      </c>
      <c r="B281" s="165" t="s">
        <v>340</v>
      </c>
      <c r="C281" s="165" t="s">
        <v>352</v>
      </c>
      <c r="D281" s="166">
        <v>4.6161616162222199</v>
      </c>
      <c r="E281" s="167"/>
      <c r="F281" s="168">
        <v>1.7999999999999999E-2</v>
      </c>
      <c r="G281" s="168">
        <v>1.4E-2</v>
      </c>
      <c r="H281" s="169"/>
      <c r="I281" s="170">
        <v>3</v>
      </c>
      <c r="J281" s="170">
        <v>3</v>
      </c>
      <c r="K281" s="167"/>
      <c r="L281" s="171">
        <v>2403.2882</v>
      </c>
      <c r="M281" s="171">
        <v>3213.4582099999998</v>
      </c>
      <c r="N281" s="171">
        <v>5616.7464099999997</v>
      </c>
      <c r="O281" s="166">
        <v>1216.7568809249401</v>
      </c>
      <c r="P281" s="172">
        <v>212.5</v>
      </c>
      <c r="Q281" s="178">
        <v>5.7259147337644203</v>
      </c>
      <c r="R281" s="179">
        <v>4486.7100463487996</v>
      </c>
      <c r="S281" s="168">
        <v>0.01</v>
      </c>
      <c r="T281" s="168">
        <v>0.01</v>
      </c>
      <c r="U281" s="175">
        <v>0</v>
      </c>
      <c r="V281" s="176">
        <v>0</v>
      </c>
      <c r="W281" s="167"/>
      <c r="X281" s="175">
        <v>2503.9270550000001</v>
      </c>
      <c r="Y281" s="166">
        <v>542.426211032266</v>
      </c>
      <c r="Z281" s="177">
        <v>573</v>
      </c>
      <c r="AA281" s="188">
        <v>0.94664260215055096</v>
      </c>
      <c r="AB281" s="171">
        <v>-543.18276322182203</v>
      </c>
      <c r="AC281" s="168"/>
      <c r="AD281" s="168"/>
      <c r="AE281" s="176">
        <v>142</v>
      </c>
      <c r="AF281" s="176">
        <v>671</v>
      </c>
      <c r="AG281" s="167"/>
      <c r="AH281" s="180">
        <v>170.95</v>
      </c>
      <c r="AI281" s="166">
        <v>37.032932165815801</v>
      </c>
      <c r="AJ281" s="181" t="s">
        <v>53</v>
      </c>
      <c r="AK281" s="173">
        <v>0.587824320092314</v>
      </c>
      <c r="AL281" s="174">
        <v>-164.07254545894401</v>
      </c>
      <c r="AM281" s="168"/>
      <c r="AN281" s="168"/>
      <c r="AO281" s="176">
        <v>120</v>
      </c>
      <c r="AP281" s="176">
        <v>179</v>
      </c>
      <c r="AQ281" s="167"/>
      <c r="AR281" s="180">
        <v>38.799999999999997</v>
      </c>
      <c r="AS281" s="166">
        <v>8.4052516410274993</v>
      </c>
      <c r="AT281" s="181" t="s">
        <v>54</v>
      </c>
      <c r="AU281" s="173">
        <v>0.52532822756421904</v>
      </c>
      <c r="AV281" s="174">
        <v>-46.285090910207998</v>
      </c>
      <c r="AW281" s="168"/>
      <c r="AX281" s="168"/>
      <c r="AY281" s="176">
        <v>36</v>
      </c>
      <c r="AZ281" s="176">
        <v>50</v>
      </c>
      <c r="BA281" s="167"/>
      <c r="BB281" s="184">
        <v>153.19999999999999</v>
      </c>
      <c r="BC281" s="180">
        <v>33.187746170242598</v>
      </c>
      <c r="BD281" s="181" t="s">
        <v>55</v>
      </c>
      <c r="BE281" s="182">
        <v>1.0371170678200801</v>
      </c>
      <c r="BF281" s="183">
        <v>-16.970181820415899</v>
      </c>
      <c r="BG281" s="168">
        <v>8.0000000000000002E-3</v>
      </c>
      <c r="BH281" s="168">
        <v>4.0000000000000001E-3</v>
      </c>
      <c r="BI281" s="176">
        <v>0</v>
      </c>
      <c r="BJ281" s="176">
        <v>25</v>
      </c>
      <c r="BK281" s="169"/>
      <c r="BL281" s="185">
        <v>0.8</v>
      </c>
      <c r="BM281" s="188">
        <v>0.76</v>
      </c>
      <c r="BN281" s="186"/>
      <c r="BO281" s="187">
        <v>0.95</v>
      </c>
      <c r="BP281" s="178">
        <v>1</v>
      </c>
      <c r="BQ281" s="186">
        <v>2.5000000000000001E-3</v>
      </c>
    </row>
    <row r="282" spans="1:69" s="156" customFormat="1" ht="22.35" customHeight="1" x14ac:dyDescent="0.2">
      <c r="A282" s="165" t="s">
        <v>339</v>
      </c>
      <c r="B282" s="165" t="s">
        <v>340</v>
      </c>
      <c r="C282" s="165" t="s">
        <v>353</v>
      </c>
      <c r="D282" s="166">
        <v>6.3981030344444401</v>
      </c>
      <c r="E282" s="167"/>
      <c r="F282" s="168">
        <v>0.03</v>
      </c>
      <c r="G282" s="168">
        <v>2.9000000000000001E-2</v>
      </c>
      <c r="H282" s="169"/>
      <c r="I282" s="170">
        <v>3</v>
      </c>
      <c r="J282" s="170">
        <v>3</v>
      </c>
      <c r="K282" s="167"/>
      <c r="L282" s="171">
        <v>3013.06979</v>
      </c>
      <c r="M282" s="171">
        <v>3462.37808</v>
      </c>
      <c r="N282" s="171">
        <v>6475.44787</v>
      </c>
      <c r="O282" s="166">
        <v>1012.0887136607799</v>
      </c>
      <c r="P282" s="172">
        <v>250.489</v>
      </c>
      <c r="Q282" s="178">
        <v>4.0404517310571704</v>
      </c>
      <c r="R282" s="179">
        <v>4629.1899654938097</v>
      </c>
      <c r="S282" s="168">
        <v>0.01</v>
      </c>
      <c r="T282" s="168">
        <v>0.01</v>
      </c>
      <c r="U282" s="175">
        <v>0</v>
      </c>
      <c r="V282" s="176">
        <v>0</v>
      </c>
      <c r="W282" s="167"/>
      <c r="X282" s="175">
        <v>2572.19038</v>
      </c>
      <c r="Y282" s="166">
        <v>402.02390711004699</v>
      </c>
      <c r="Z282" s="177">
        <v>573</v>
      </c>
      <c r="AA282" s="173">
        <v>0.70161240333341501</v>
      </c>
      <c r="AB282" s="174">
        <v>-1651.17184062464</v>
      </c>
      <c r="AC282" s="168"/>
      <c r="AD282" s="168"/>
      <c r="AE282" s="176">
        <v>1094</v>
      </c>
      <c r="AF282" s="176">
        <v>1828</v>
      </c>
      <c r="AG282" s="167"/>
      <c r="AH282" s="180">
        <v>247.9</v>
      </c>
      <c r="AI282" s="166">
        <v>38.745859306331901</v>
      </c>
      <c r="AJ282" s="181" t="s">
        <v>53</v>
      </c>
      <c r="AK282" s="173">
        <v>0.61501363978304702</v>
      </c>
      <c r="AL282" s="174">
        <v>-216.44872582784001</v>
      </c>
      <c r="AM282" s="168"/>
      <c r="AN282" s="168"/>
      <c r="AO282" s="176">
        <v>156</v>
      </c>
      <c r="AP282" s="176">
        <v>236</v>
      </c>
      <c r="AQ282" s="167"/>
      <c r="AR282" s="180">
        <v>49.4</v>
      </c>
      <c r="AS282" s="166">
        <v>7.7210385225203702</v>
      </c>
      <c r="AT282" s="181" t="s">
        <v>54</v>
      </c>
      <c r="AU282" s="173">
        <v>0.48256490765752302</v>
      </c>
      <c r="AV282" s="174">
        <v>-68.529835130879903</v>
      </c>
      <c r="AW282" s="168"/>
      <c r="AX282" s="168"/>
      <c r="AY282" s="176">
        <v>53</v>
      </c>
      <c r="AZ282" s="176">
        <v>74</v>
      </c>
      <c r="BA282" s="167"/>
      <c r="BB282" s="184">
        <v>242.8</v>
      </c>
      <c r="BC282" s="180">
        <v>37.948748041861201</v>
      </c>
      <c r="BD282" s="181" t="s">
        <v>55</v>
      </c>
      <c r="BE282" s="178">
        <v>1.1858983763081601</v>
      </c>
      <c r="BF282" s="179">
        <v>6.9403297382401901</v>
      </c>
      <c r="BG282" s="168">
        <v>0.02</v>
      </c>
      <c r="BH282" s="168">
        <v>1.9E-2</v>
      </c>
      <c r="BI282" s="176">
        <v>0</v>
      </c>
      <c r="BJ282" s="176">
        <v>3</v>
      </c>
      <c r="BK282" s="169"/>
      <c r="BL282" s="185">
        <v>0.8</v>
      </c>
      <c r="BM282" s="188">
        <v>0.77</v>
      </c>
      <c r="BN282" s="186"/>
      <c r="BO282" s="187">
        <v>0.95</v>
      </c>
      <c r="BP282" s="178">
        <v>1</v>
      </c>
      <c r="BQ282" s="186">
        <v>2.5000000000000001E-3</v>
      </c>
    </row>
    <row r="283" spans="1:69" s="156" customFormat="1" ht="22.35" customHeight="1" x14ac:dyDescent="0.2">
      <c r="A283" s="165" t="s">
        <v>339</v>
      </c>
      <c r="B283" s="165" t="s">
        <v>340</v>
      </c>
      <c r="C283" s="165" t="s">
        <v>354</v>
      </c>
      <c r="D283" s="166">
        <v>5.0444772765555603</v>
      </c>
      <c r="E283" s="167"/>
      <c r="F283" s="168">
        <v>4.2000000000000003E-2</v>
      </c>
      <c r="G283" s="168">
        <v>3.5000000000000003E-2</v>
      </c>
      <c r="H283" s="169"/>
      <c r="I283" s="170">
        <v>4</v>
      </c>
      <c r="J283" s="170">
        <v>4</v>
      </c>
      <c r="K283" s="167"/>
      <c r="L283" s="171">
        <v>2003.68759</v>
      </c>
      <c r="M283" s="171">
        <v>1351.5827300000001</v>
      </c>
      <c r="N283" s="171">
        <v>3355.2703200000001</v>
      </c>
      <c r="O283" s="166">
        <v>665.13736430011795</v>
      </c>
      <c r="P283" s="172">
        <v>216.363</v>
      </c>
      <c r="Q283" s="178">
        <v>3.0741733304683199</v>
      </c>
      <c r="R283" s="179">
        <v>2097.9334709905302</v>
      </c>
      <c r="S283" s="168">
        <v>0.01</v>
      </c>
      <c r="T283" s="168">
        <v>0.01</v>
      </c>
      <c r="U283" s="175">
        <v>0</v>
      </c>
      <c r="V283" s="176">
        <v>0</v>
      </c>
      <c r="W283" s="167"/>
      <c r="X283" s="175">
        <v>3109.9827300000002</v>
      </c>
      <c r="Y283" s="166">
        <v>616.51238760729302</v>
      </c>
      <c r="Z283" s="177">
        <v>573</v>
      </c>
      <c r="AA283" s="182">
        <v>1.0759378492273901</v>
      </c>
      <c r="AB283" s="183">
        <v>-219.856542345218</v>
      </c>
      <c r="AC283" s="168">
        <v>1.2E-2</v>
      </c>
      <c r="AD283" s="168">
        <v>8.0000000000000002E-3</v>
      </c>
      <c r="AE283" s="176">
        <v>0</v>
      </c>
      <c r="AF283" s="176">
        <v>359</v>
      </c>
      <c r="AG283" s="167"/>
      <c r="AH283" s="180">
        <v>204.1</v>
      </c>
      <c r="AI283" s="166">
        <v>40.460089085655</v>
      </c>
      <c r="AJ283" s="181" t="s">
        <v>53</v>
      </c>
      <c r="AK283" s="173">
        <v>0.64222363628023804</v>
      </c>
      <c r="AL283" s="174">
        <v>-162.007982823296</v>
      </c>
      <c r="AM283" s="168"/>
      <c r="AN283" s="168"/>
      <c r="AO283" s="176">
        <v>114</v>
      </c>
      <c r="AP283" s="176">
        <v>178</v>
      </c>
      <c r="AQ283" s="167"/>
      <c r="AR283" s="180">
        <v>28.8</v>
      </c>
      <c r="AS283" s="166">
        <v>5.7092139425128003</v>
      </c>
      <c r="AT283" s="181" t="s">
        <v>54</v>
      </c>
      <c r="AU283" s="173">
        <v>0.35682587140705002</v>
      </c>
      <c r="AV283" s="174">
        <v>-64.179805161472103</v>
      </c>
      <c r="AW283" s="168"/>
      <c r="AX283" s="168"/>
      <c r="AY283" s="176">
        <v>52</v>
      </c>
      <c r="AZ283" s="176">
        <v>69</v>
      </c>
      <c r="BA283" s="167"/>
      <c r="BB283" s="184">
        <v>189.2</v>
      </c>
      <c r="BC283" s="180">
        <v>37.506363816785502</v>
      </c>
      <c r="BD283" s="181" t="s">
        <v>55</v>
      </c>
      <c r="BE283" s="178">
        <v>1.17207386927455</v>
      </c>
      <c r="BF283" s="179">
        <v>3.2403896770559002</v>
      </c>
      <c r="BG283" s="168">
        <v>0.02</v>
      </c>
      <c r="BH283" s="168">
        <v>1.7000000000000001E-2</v>
      </c>
      <c r="BI283" s="176">
        <v>0</v>
      </c>
      <c r="BJ283" s="176">
        <v>5</v>
      </c>
      <c r="BK283" s="169"/>
      <c r="BL283" s="185">
        <v>0.8</v>
      </c>
      <c r="BM283" s="188">
        <v>0.79</v>
      </c>
      <c r="BN283" s="186"/>
      <c r="BO283" s="187">
        <v>0.95</v>
      </c>
      <c r="BP283" s="178">
        <v>1</v>
      </c>
      <c r="BQ283" s="186">
        <v>2.5000000000000001E-3</v>
      </c>
    </row>
    <row r="284" spans="1:69" s="156" customFormat="1" ht="22.35" customHeight="1" x14ac:dyDescent="0.2">
      <c r="A284" s="165" t="s">
        <v>339</v>
      </c>
      <c r="B284" s="165" t="s">
        <v>340</v>
      </c>
      <c r="C284" s="165" t="s">
        <v>355</v>
      </c>
      <c r="D284" s="166">
        <v>3.2630691803333298</v>
      </c>
      <c r="E284" s="167"/>
      <c r="F284" s="168">
        <v>3.4000000000000002E-2</v>
      </c>
      <c r="G284" s="168">
        <v>2.9000000000000001E-2</v>
      </c>
      <c r="H284" s="169"/>
      <c r="I284" s="170">
        <v>5</v>
      </c>
      <c r="J284" s="170">
        <v>4</v>
      </c>
      <c r="K284" s="167"/>
      <c r="L284" s="171">
        <v>2398.0965000000001</v>
      </c>
      <c r="M284" s="171">
        <v>895.19471999999996</v>
      </c>
      <c r="N284" s="171">
        <v>3293.2912200000001</v>
      </c>
      <c r="O284" s="166">
        <v>1009.26184459981</v>
      </c>
      <c r="P284" s="172">
        <v>249.714</v>
      </c>
      <c r="Q284" s="178">
        <v>4.04167105008053</v>
      </c>
      <c r="R284" s="179">
        <v>2354.6023859929801</v>
      </c>
      <c r="S284" s="168">
        <v>0.01</v>
      </c>
      <c r="T284" s="168">
        <v>0.01</v>
      </c>
      <c r="U284" s="175">
        <v>0</v>
      </c>
      <c r="V284" s="176">
        <v>0</v>
      </c>
      <c r="W284" s="167"/>
      <c r="X284" s="175">
        <v>1788.1067599999999</v>
      </c>
      <c r="Y284" s="166">
        <v>547.98309848194504</v>
      </c>
      <c r="Z284" s="177">
        <v>573</v>
      </c>
      <c r="AA284" s="188">
        <v>0.95634048600688404</v>
      </c>
      <c r="AB284" s="171">
        <v>-365.83215366130901</v>
      </c>
      <c r="AC284" s="168">
        <v>0</v>
      </c>
      <c r="AD284" s="168"/>
      <c r="AE284" s="176">
        <v>82</v>
      </c>
      <c r="AF284" s="176">
        <v>456</v>
      </c>
      <c r="AG284" s="167"/>
      <c r="AH284" s="180">
        <v>204.8</v>
      </c>
      <c r="AI284" s="166">
        <v>62.762996639586703</v>
      </c>
      <c r="AJ284" s="181" t="s">
        <v>53</v>
      </c>
      <c r="AK284" s="182">
        <v>0.99623804189820198</v>
      </c>
      <c r="AL284" s="183">
        <v>-32.020508831871702</v>
      </c>
      <c r="AM284" s="168">
        <v>4.0000000000000001E-3</v>
      </c>
      <c r="AN284" s="168">
        <v>0</v>
      </c>
      <c r="AO284" s="176">
        <v>1</v>
      </c>
      <c r="AP284" s="176">
        <v>42</v>
      </c>
      <c r="AQ284" s="167"/>
      <c r="AR284" s="180">
        <v>14.3</v>
      </c>
      <c r="AS284" s="166">
        <v>4.3823772067680196</v>
      </c>
      <c r="AT284" s="181" t="s">
        <v>54</v>
      </c>
      <c r="AU284" s="173">
        <v>0.273898575423001</v>
      </c>
      <c r="AV284" s="174">
        <v>-45.8448911319039</v>
      </c>
      <c r="AW284" s="168"/>
      <c r="AX284" s="168"/>
      <c r="AY284" s="176">
        <v>38</v>
      </c>
      <c r="AZ284" s="176">
        <v>49</v>
      </c>
      <c r="BA284" s="167"/>
      <c r="BB284" s="184">
        <v>124.2</v>
      </c>
      <c r="BC284" s="180">
        <v>38.062325110530601</v>
      </c>
      <c r="BD284" s="181" t="s">
        <v>55</v>
      </c>
      <c r="BE284" s="178">
        <v>1.18944765970408</v>
      </c>
      <c r="BF284" s="179">
        <v>3.91021773619214</v>
      </c>
      <c r="BG284" s="168">
        <v>0.02</v>
      </c>
      <c r="BH284" s="168">
        <v>1.9E-2</v>
      </c>
      <c r="BI284" s="176">
        <v>0</v>
      </c>
      <c r="BJ284" s="176">
        <v>2</v>
      </c>
      <c r="BK284" s="169"/>
      <c r="BL284" s="185">
        <v>0.8</v>
      </c>
      <c r="BM284" s="182">
        <v>0.84</v>
      </c>
      <c r="BN284" s="186">
        <v>1.5E-3</v>
      </c>
      <c r="BO284" s="187">
        <v>0.95</v>
      </c>
      <c r="BP284" s="178">
        <v>1</v>
      </c>
      <c r="BQ284" s="186">
        <v>2.5000000000000001E-3</v>
      </c>
    </row>
    <row r="285" spans="1:69" s="156" customFormat="1" ht="22.35" customHeight="1" x14ac:dyDescent="0.2">
      <c r="A285" s="165" t="s">
        <v>339</v>
      </c>
      <c r="B285" s="165" t="s">
        <v>340</v>
      </c>
      <c r="C285" s="165" t="s">
        <v>356</v>
      </c>
      <c r="D285" s="166">
        <v>2.6091871092222201</v>
      </c>
      <c r="E285" s="167"/>
      <c r="F285" s="168">
        <v>6.0999999999999999E-2</v>
      </c>
      <c r="G285" s="168">
        <v>5.7000000000000002E-2</v>
      </c>
      <c r="H285" s="169"/>
      <c r="I285" s="170">
        <v>6</v>
      </c>
      <c r="J285" s="170">
        <v>6</v>
      </c>
      <c r="K285" s="167"/>
      <c r="L285" s="171">
        <v>1096.4637499999999</v>
      </c>
      <c r="M285" s="171">
        <v>301.16286000000002</v>
      </c>
      <c r="N285" s="171">
        <v>1397.62661</v>
      </c>
      <c r="O285" s="166">
        <v>535.65595394062098</v>
      </c>
      <c r="P285" s="172">
        <v>212.5</v>
      </c>
      <c r="Q285" s="178">
        <v>2.52073390089704</v>
      </c>
      <c r="R285" s="179">
        <v>758.89760566240102</v>
      </c>
      <c r="S285" s="168">
        <v>0.01</v>
      </c>
      <c r="T285" s="168">
        <v>0.01</v>
      </c>
      <c r="U285" s="175">
        <v>0</v>
      </c>
      <c r="V285" s="176">
        <v>0</v>
      </c>
      <c r="W285" s="167"/>
      <c r="X285" s="175">
        <v>1870.4515550000001</v>
      </c>
      <c r="Y285" s="166">
        <v>716.87137667852699</v>
      </c>
      <c r="Z285" s="177">
        <v>573</v>
      </c>
      <c r="AA285" s="178">
        <v>1.25108442701314</v>
      </c>
      <c r="AB285" s="179">
        <v>148.13758095084901</v>
      </c>
      <c r="AC285" s="168">
        <v>0.02</v>
      </c>
      <c r="AD285" s="168">
        <v>0.02</v>
      </c>
      <c r="AE285" s="176">
        <v>0</v>
      </c>
      <c r="AF285" s="176">
        <v>0</v>
      </c>
      <c r="AG285" s="167"/>
      <c r="AH285" s="180">
        <v>175.4</v>
      </c>
      <c r="AI285" s="166">
        <v>67.224002211280805</v>
      </c>
      <c r="AJ285" s="181" t="s">
        <v>53</v>
      </c>
      <c r="AK285" s="182">
        <v>1.06704765414731</v>
      </c>
      <c r="AL285" s="183">
        <v>-13.9643636389118</v>
      </c>
      <c r="AM285" s="168">
        <v>1.0999999999999999E-2</v>
      </c>
      <c r="AN285" s="168">
        <v>7.0000000000000001E-3</v>
      </c>
      <c r="AO285" s="176">
        <v>0</v>
      </c>
      <c r="AP285" s="176">
        <v>22</v>
      </c>
      <c r="AQ285" s="167"/>
      <c r="AR285" s="180">
        <v>12.2</v>
      </c>
      <c r="AS285" s="166">
        <v>4.6757857866455304</v>
      </c>
      <c r="AT285" s="181" t="s">
        <v>54</v>
      </c>
      <c r="AU285" s="173">
        <v>0.29223661166534598</v>
      </c>
      <c r="AV285" s="174">
        <v>-35.892536797183901</v>
      </c>
      <c r="AW285" s="168"/>
      <c r="AX285" s="168"/>
      <c r="AY285" s="176">
        <v>30</v>
      </c>
      <c r="AZ285" s="176">
        <v>38</v>
      </c>
      <c r="BA285" s="167"/>
      <c r="BB285" s="184">
        <v>119</v>
      </c>
      <c r="BC285" s="180">
        <v>45.608074476296501</v>
      </c>
      <c r="BD285" s="181" t="s">
        <v>55</v>
      </c>
      <c r="BE285" s="178">
        <v>1.4252523273842701</v>
      </c>
      <c r="BF285" s="179">
        <v>22.8149264056321</v>
      </c>
      <c r="BG285" s="168">
        <v>0.02</v>
      </c>
      <c r="BH285" s="168">
        <v>0.02</v>
      </c>
      <c r="BI285" s="176">
        <v>0</v>
      </c>
      <c r="BJ285" s="176">
        <v>0</v>
      </c>
      <c r="BK285" s="169"/>
      <c r="BL285" s="185">
        <v>0.8</v>
      </c>
      <c r="BM285" s="182">
        <v>0.85</v>
      </c>
      <c r="BN285" s="186">
        <v>1.8749999999999999E-3</v>
      </c>
      <c r="BO285" s="187">
        <v>0.95</v>
      </c>
      <c r="BP285" s="178">
        <v>1</v>
      </c>
      <c r="BQ285" s="186">
        <v>2.5000000000000001E-3</v>
      </c>
    </row>
    <row r="286" spans="1:69" s="156" customFormat="1" ht="22.35" customHeight="1" x14ac:dyDescent="0.2">
      <c r="A286" s="165" t="s">
        <v>339</v>
      </c>
      <c r="B286" s="165" t="s">
        <v>357</v>
      </c>
      <c r="C286" s="165" t="s">
        <v>358</v>
      </c>
      <c r="D286" s="166">
        <v>2.5673660413333299</v>
      </c>
      <c r="E286" s="167"/>
      <c r="F286" s="168">
        <v>7.0000000000000007E-2</v>
      </c>
      <c r="G286" s="168">
        <v>7.0000000000000007E-2</v>
      </c>
      <c r="H286" s="169"/>
      <c r="I286" s="170">
        <v>6</v>
      </c>
      <c r="J286" s="170">
        <v>6</v>
      </c>
      <c r="K286" s="167"/>
      <c r="L286" s="171">
        <v>5591.2634900000003</v>
      </c>
      <c r="M286" s="171">
        <v>1550.3539800000001</v>
      </c>
      <c r="N286" s="171">
        <v>7141.6174700000001</v>
      </c>
      <c r="O286" s="166">
        <v>2781.6903998196799</v>
      </c>
      <c r="P286" s="172">
        <v>212.5</v>
      </c>
      <c r="Q286" s="178">
        <v>13.0903077638573</v>
      </c>
      <c r="R286" s="179">
        <v>6513.1262630816</v>
      </c>
      <c r="S286" s="168">
        <v>0.01</v>
      </c>
      <c r="T286" s="168">
        <v>0.01</v>
      </c>
      <c r="U286" s="175">
        <v>0</v>
      </c>
      <c r="V286" s="176">
        <v>0</v>
      </c>
      <c r="W286" s="167"/>
      <c r="X286" s="175">
        <v>2221.8721500000001</v>
      </c>
      <c r="Y286" s="166">
        <v>865.42865887798996</v>
      </c>
      <c r="Z286" s="177">
        <v>573</v>
      </c>
      <c r="AA286" s="178">
        <v>1.5103466996125501</v>
      </c>
      <c r="AB286" s="179">
        <v>527.16409558003397</v>
      </c>
      <c r="AC286" s="168">
        <v>0.02</v>
      </c>
      <c r="AD286" s="168">
        <v>0.02</v>
      </c>
      <c r="AE286" s="176">
        <v>0</v>
      </c>
      <c r="AF286" s="176">
        <v>0</v>
      </c>
      <c r="AG286" s="167"/>
      <c r="AH286" s="180">
        <v>217.3</v>
      </c>
      <c r="AI286" s="166">
        <v>84.639274844948702</v>
      </c>
      <c r="AJ286" s="181" t="s">
        <v>53</v>
      </c>
      <c r="AK286" s="178">
        <v>1.34348055309442</v>
      </c>
      <c r="AL286" s="179">
        <v>30.9708421841923</v>
      </c>
      <c r="AM286" s="168">
        <v>0.02</v>
      </c>
      <c r="AN286" s="168">
        <v>0.02</v>
      </c>
      <c r="AO286" s="176">
        <v>0</v>
      </c>
      <c r="AP286" s="176">
        <v>0</v>
      </c>
      <c r="AQ286" s="167"/>
      <c r="AR286" s="180">
        <v>23.4</v>
      </c>
      <c r="AS286" s="166">
        <v>9.1143995921389802</v>
      </c>
      <c r="AT286" s="181" t="s">
        <v>54</v>
      </c>
      <c r="AU286" s="173">
        <v>0.56964997450868604</v>
      </c>
      <c r="AV286" s="174">
        <v>-23.921690873855901</v>
      </c>
      <c r="AW286" s="168"/>
      <c r="AX286" s="168"/>
      <c r="AY286" s="176">
        <v>18</v>
      </c>
      <c r="AZ286" s="176">
        <v>26</v>
      </c>
      <c r="BA286" s="167"/>
      <c r="BB286" s="184">
        <v>135.4</v>
      </c>
      <c r="BC286" s="180">
        <v>52.738876272462299</v>
      </c>
      <c r="BD286" s="181" t="s">
        <v>55</v>
      </c>
      <c r="BE286" s="178">
        <v>1.64808988351445</v>
      </c>
      <c r="BF286" s="179">
        <v>40.756618252288099</v>
      </c>
      <c r="BG286" s="168">
        <v>0.02</v>
      </c>
      <c r="BH286" s="168">
        <v>0.02</v>
      </c>
      <c r="BI286" s="176">
        <v>0</v>
      </c>
      <c r="BJ286" s="176">
        <v>0</v>
      </c>
      <c r="BK286" s="169"/>
      <c r="BL286" s="185">
        <v>0.8</v>
      </c>
      <c r="BM286" s="182">
        <v>0.81</v>
      </c>
      <c r="BN286" s="186">
        <v>3.7500000000000001E-4</v>
      </c>
      <c r="BO286" s="187">
        <v>0.95</v>
      </c>
      <c r="BP286" s="178">
        <v>1</v>
      </c>
      <c r="BQ286" s="186">
        <v>2.5000000000000001E-3</v>
      </c>
    </row>
    <row r="287" spans="1:69" s="156" customFormat="1" ht="22.35" customHeight="1" x14ac:dyDescent="0.2">
      <c r="A287" s="165" t="s">
        <v>339</v>
      </c>
      <c r="B287" s="165" t="s">
        <v>357</v>
      </c>
      <c r="C287" s="165" t="s">
        <v>359</v>
      </c>
      <c r="D287" s="166">
        <v>2.9278143756666699</v>
      </c>
      <c r="E287" s="167"/>
      <c r="F287" s="168">
        <v>6.3E-2</v>
      </c>
      <c r="G287" s="168">
        <v>5.8000000000000003E-2</v>
      </c>
      <c r="H287" s="169"/>
      <c r="I287" s="170">
        <v>6</v>
      </c>
      <c r="J287" s="170">
        <v>6</v>
      </c>
      <c r="K287" s="167"/>
      <c r="L287" s="171">
        <v>1462.04519</v>
      </c>
      <c r="M287" s="171">
        <v>1094.30826</v>
      </c>
      <c r="N287" s="171">
        <v>2556.3534500000001</v>
      </c>
      <c r="O287" s="166">
        <v>873.12688647411801</v>
      </c>
      <c r="P287" s="172">
        <v>220.75700000000001</v>
      </c>
      <c r="Q287" s="178">
        <v>3.9551492658176999</v>
      </c>
      <c r="R287" s="179">
        <v>1811.77493311534</v>
      </c>
      <c r="S287" s="168">
        <v>0.01</v>
      </c>
      <c r="T287" s="168">
        <v>0.01</v>
      </c>
      <c r="U287" s="175">
        <v>0</v>
      </c>
      <c r="V287" s="176">
        <v>0</v>
      </c>
      <c r="W287" s="167"/>
      <c r="X287" s="175">
        <v>1997.254725</v>
      </c>
      <c r="Y287" s="166">
        <v>682.16576214645499</v>
      </c>
      <c r="Z287" s="177">
        <v>573</v>
      </c>
      <c r="AA287" s="178">
        <v>1.1905161643044599</v>
      </c>
      <c r="AB287" s="179">
        <v>64.6161668799339</v>
      </c>
      <c r="AC287" s="168">
        <v>0.02</v>
      </c>
      <c r="AD287" s="168">
        <v>1.9E-2</v>
      </c>
      <c r="AE287" s="176">
        <v>0</v>
      </c>
      <c r="AF287" s="176">
        <v>16</v>
      </c>
      <c r="AG287" s="167"/>
      <c r="AH287" s="180">
        <v>200.4</v>
      </c>
      <c r="AI287" s="166">
        <v>68.446962234198594</v>
      </c>
      <c r="AJ287" s="181" t="s">
        <v>53</v>
      </c>
      <c r="AK287" s="182">
        <v>1.0864597180031501</v>
      </c>
      <c r="AL287" s="183">
        <v>-12.0890561283842</v>
      </c>
      <c r="AM287" s="168">
        <v>1.2999999999999999E-2</v>
      </c>
      <c r="AN287" s="168">
        <v>8.9999999999999993E-3</v>
      </c>
      <c r="AO287" s="176">
        <v>0</v>
      </c>
      <c r="AP287" s="176">
        <v>21</v>
      </c>
      <c r="AQ287" s="167"/>
      <c r="AR287" s="180">
        <v>13</v>
      </c>
      <c r="AS287" s="166">
        <v>4.4401722008212596</v>
      </c>
      <c r="AT287" s="181" t="s">
        <v>54</v>
      </c>
      <c r="AU287" s="173">
        <v>0.277510762551329</v>
      </c>
      <c r="AV287" s="174">
        <v>-40.965474572288102</v>
      </c>
      <c r="AW287" s="168"/>
      <c r="AX287" s="168"/>
      <c r="AY287" s="176">
        <v>34</v>
      </c>
      <c r="AZ287" s="176">
        <v>44</v>
      </c>
      <c r="BA287" s="167"/>
      <c r="BB287" s="184">
        <v>122.8</v>
      </c>
      <c r="BC287" s="180">
        <v>41.9425497123732</v>
      </c>
      <c r="BD287" s="181" t="s">
        <v>55</v>
      </c>
      <c r="BE287" s="178">
        <v>1.3107046785116601</v>
      </c>
      <c r="BF287" s="179">
        <v>14.8690508554239</v>
      </c>
      <c r="BG287" s="168">
        <v>0.02</v>
      </c>
      <c r="BH287" s="168">
        <v>0.02</v>
      </c>
      <c r="BI287" s="176">
        <v>0</v>
      </c>
      <c r="BJ287" s="176">
        <v>0</v>
      </c>
      <c r="BK287" s="169"/>
      <c r="BL287" s="185">
        <v>0.8</v>
      </c>
      <c r="BM287" s="182">
        <v>0.87</v>
      </c>
      <c r="BN287" s="186">
        <v>2.6250000000000002E-3</v>
      </c>
      <c r="BO287" s="187">
        <v>0.95</v>
      </c>
      <c r="BP287" s="178">
        <v>1</v>
      </c>
      <c r="BQ287" s="186">
        <v>2.5000000000000001E-3</v>
      </c>
    </row>
    <row r="288" spans="1:69" s="156" customFormat="1" ht="22.35" customHeight="1" x14ac:dyDescent="0.2">
      <c r="A288" s="165" t="s">
        <v>339</v>
      </c>
      <c r="B288" s="165" t="s">
        <v>357</v>
      </c>
      <c r="C288" s="165" t="s">
        <v>360</v>
      </c>
      <c r="D288" s="166">
        <v>3.9837235643333302</v>
      </c>
      <c r="E288" s="167"/>
      <c r="F288" s="168">
        <v>2.1999999999999999E-2</v>
      </c>
      <c r="G288" s="168">
        <v>1.4999999999999999E-2</v>
      </c>
      <c r="H288" s="169"/>
      <c r="I288" s="170">
        <v>5</v>
      </c>
      <c r="J288" s="170">
        <v>4</v>
      </c>
      <c r="K288" s="167"/>
      <c r="L288" s="171">
        <v>1659.39426</v>
      </c>
      <c r="M288" s="171">
        <v>421.91061999999999</v>
      </c>
      <c r="N288" s="171">
        <v>2081.3048800000001</v>
      </c>
      <c r="O288" s="166">
        <v>522.45213463959305</v>
      </c>
      <c r="P288" s="172">
        <v>222.58099999999999</v>
      </c>
      <c r="Q288" s="178">
        <v>2.3472449788598002</v>
      </c>
      <c r="R288" s="179">
        <v>1059.8251267768501</v>
      </c>
      <c r="S288" s="168">
        <v>0.01</v>
      </c>
      <c r="T288" s="168">
        <v>0.01</v>
      </c>
      <c r="U288" s="175">
        <v>0</v>
      </c>
      <c r="V288" s="176">
        <v>0</v>
      </c>
      <c r="W288" s="167"/>
      <c r="X288" s="175">
        <v>2266.4230400000001</v>
      </c>
      <c r="Y288" s="166">
        <v>568.92076053958795</v>
      </c>
      <c r="Z288" s="177">
        <v>573</v>
      </c>
      <c r="AA288" s="182">
        <v>0.99288090844605303</v>
      </c>
      <c r="AB288" s="183">
        <v>-363.21694992217402</v>
      </c>
      <c r="AC288" s="168">
        <v>3.0000000000000001E-3</v>
      </c>
      <c r="AD288" s="168"/>
      <c r="AE288" s="176">
        <v>17</v>
      </c>
      <c r="AF288" s="176">
        <v>473</v>
      </c>
      <c r="AG288" s="167"/>
      <c r="AH288" s="180">
        <v>191.45</v>
      </c>
      <c r="AI288" s="166">
        <v>48.058053453826602</v>
      </c>
      <c r="AJ288" s="181" t="s">
        <v>53</v>
      </c>
      <c r="AK288" s="173">
        <v>0.76282624529883503</v>
      </c>
      <c r="AL288" s="174">
        <v>-97.672721405055697</v>
      </c>
      <c r="AM288" s="168"/>
      <c r="AN288" s="168"/>
      <c r="AO288" s="176">
        <v>60</v>
      </c>
      <c r="AP288" s="176">
        <v>110</v>
      </c>
      <c r="AQ288" s="167"/>
      <c r="AR288" s="180">
        <v>12.8</v>
      </c>
      <c r="AS288" s="166">
        <v>3.2130743494853999</v>
      </c>
      <c r="AT288" s="181" t="s">
        <v>54</v>
      </c>
      <c r="AU288" s="173">
        <v>0.200817146842837</v>
      </c>
      <c r="AV288" s="174">
        <v>-60.627992737791899</v>
      </c>
      <c r="AW288" s="168"/>
      <c r="AX288" s="168"/>
      <c r="AY288" s="176">
        <v>51</v>
      </c>
      <c r="AZ288" s="176">
        <v>64</v>
      </c>
      <c r="BA288" s="167"/>
      <c r="BB288" s="184">
        <v>133.6</v>
      </c>
      <c r="BC288" s="180">
        <v>33.536463522753898</v>
      </c>
      <c r="BD288" s="181" t="s">
        <v>55</v>
      </c>
      <c r="BE288" s="182">
        <v>1.04801448508606</v>
      </c>
      <c r="BF288" s="183">
        <v>-13.2559854755839</v>
      </c>
      <c r="BG288" s="168">
        <v>8.9999999999999993E-3</v>
      </c>
      <c r="BH288" s="168">
        <v>5.0000000000000001E-3</v>
      </c>
      <c r="BI288" s="176">
        <v>0</v>
      </c>
      <c r="BJ288" s="176">
        <v>20</v>
      </c>
      <c r="BK288" s="169"/>
      <c r="BL288" s="185">
        <v>0.8</v>
      </c>
      <c r="BM288" s="182">
        <v>0.82</v>
      </c>
      <c r="BN288" s="186">
        <v>7.5000000000000002E-4</v>
      </c>
      <c r="BO288" s="187">
        <v>0.95</v>
      </c>
      <c r="BP288" s="178">
        <v>1</v>
      </c>
      <c r="BQ288" s="186">
        <v>2.5000000000000001E-3</v>
      </c>
    </row>
    <row r="289" spans="1:69" s="156" customFormat="1" ht="22.35" customHeight="1" x14ac:dyDescent="0.2">
      <c r="A289" s="165" t="s">
        <v>339</v>
      </c>
      <c r="B289" s="165" t="s">
        <v>357</v>
      </c>
      <c r="C289" s="165" t="s">
        <v>361</v>
      </c>
      <c r="D289" s="166">
        <v>5.0138817773333297</v>
      </c>
      <c r="E289" s="167"/>
      <c r="F289" s="168">
        <v>4.7E-2</v>
      </c>
      <c r="G289" s="168">
        <v>3.7999999999999999E-2</v>
      </c>
      <c r="H289" s="169"/>
      <c r="I289" s="170">
        <v>6</v>
      </c>
      <c r="J289" s="170">
        <v>5</v>
      </c>
      <c r="K289" s="167"/>
      <c r="L289" s="171">
        <v>4143.0157600000002</v>
      </c>
      <c r="M289" s="171">
        <v>3797.39759</v>
      </c>
      <c r="N289" s="171">
        <v>7940.4133499999998</v>
      </c>
      <c r="O289" s="166">
        <v>1583.6857952847799</v>
      </c>
      <c r="P289" s="172">
        <v>268.01799999999997</v>
      </c>
      <c r="Q289" s="178">
        <v>5.9088784905669796</v>
      </c>
      <c r="R289" s="179">
        <v>6392.3435777406803</v>
      </c>
      <c r="S289" s="168">
        <v>0.01</v>
      </c>
      <c r="T289" s="168">
        <v>0.01</v>
      </c>
      <c r="U289" s="175">
        <v>0</v>
      </c>
      <c r="V289" s="176">
        <v>0</v>
      </c>
      <c r="W289" s="167"/>
      <c r="X289" s="175">
        <v>3174.6121950000002</v>
      </c>
      <c r="Y289" s="166">
        <v>633.16454914268797</v>
      </c>
      <c r="Z289" s="177">
        <v>573</v>
      </c>
      <c r="AA289" s="182">
        <v>1.1049992131635</v>
      </c>
      <c r="AB289" s="183">
        <v>-135.031110690622</v>
      </c>
      <c r="AC289" s="168">
        <v>1.4999999999999999E-2</v>
      </c>
      <c r="AD289" s="168">
        <v>0.01</v>
      </c>
      <c r="AE289" s="176">
        <v>0</v>
      </c>
      <c r="AF289" s="176">
        <v>273</v>
      </c>
      <c r="AG289" s="167"/>
      <c r="AH289" s="180">
        <v>308.14999999999998</v>
      </c>
      <c r="AI289" s="166">
        <v>61.459366950588802</v>
      </c>
      <c r="AJ289" s="181" t="s">
        <v>53</v>
      </c>
      <c r="AK289" s="182">
        <v>0.97554550715220401</v>
      </c>
      <c r="AL289" s="183">
        <v>-55.737483871743699</v>
      </c>
      <c r="AM289" s="168">
        <v>2E-3</v>
      </c>
      <c r="AN289" s="168"/>
      <c r="AO289" s="176">
        <v>8</v>
      </c>
      <c r="AP289" s="176">
        <v>71</v>
      </c>
      <c r="AQ289" s="167"/>
      <c r="AR289" s="180">
        <v>57.5</v>
      </c>
      <c r="AS289" s="166">
        <v>11.4681603104295</v>
      </c>
      <c r="AT289" s="181" t="s">
        <v>54</v>
      </c>
      <c r="AU289" s="173">
        <v>0.71676001940184497</v>
      </c>
      <c r="AV289" s="174">
        <v>-34.915868919807899</v>
      </c>
      <c r="AW289" s="168"/>
      <c r="AX289" s="168"/>
      <c r="AY289" s="176">
        <v>23</v>
      </c>
      <c r="AZ289" s="176">
        <v>39</v>
      </c>
      <c r="BA289" s="167"/>
      <c r="BB289" s="184">
        <v>189.2</v>
      </c>
      <c r="BC289" s="180">
        <v>37.7352335779699</v>
      </c>
      <c r="BD289" s="181" t="s">
        <v>55</v>
      </c>
      <c r="BE289" s="178">
        <v>1.1792260493115601</v>
      </c>
      <c r="BF289" s="179">
        <v>4.3682621603841802</v>
      </c>
      <c r="BG289" s="168">
        <v>0.02</v>
      </c>
      <c r="BH289" s="168">
        <v>1.7999999999999999E-2</v>
      </c>
      <c r="BI289" s="176">
        <v>0</v>
      </c>
      <c r="BJ289" s="176">
        <v>4</v>
      </c>
      <c r="BK289" s="169"/>
      <c r="BL289" s="185">
        <v>0.8</v>
      </c>
      <c r="BM289" s="182">
        <v>0.82</v>
      </c>
      <c r="BN289" s="186">
        <v>7.5000000000000002E-4</v>
      </c>
      <c r="BO289" s="187">
        <v>0.95</v>
      </c>
      <c r="BP289" s="178">
        <v>1</v>
      </c>
      <c r="BQ289" s="186">
        <v>2.5000000000000001E-3</v>
      </c>
    </row>
    <row r="290" spans="1:69" s="156" customFormat="1" ht="22.35" customHeight="1" x14ac:dyDescent="0.2">
      <c r="A290" s="165" t="s">
        <v>339</v>
      </c>
      <c r="B290" s="165" t="s">
        <v>357</v>
      </c>
      <c r="C290" s="165" t="s">
        <v>362</v>
      </c>
      <c r="D290" s="166">
        <v>1.8723945526666701</v>
      </c>
      <c r="E290" s="167"/>
      <c r="F290" s="168">
        <v>0.06</v>
      </c>
      <c r="G290" s="168">
        <v>0.06</v>
      </c>
      <c r="H290" s="169"/>
      <c r="I290" s="170">
        <v>5</v>
      </c>
      <c r="J290" s="170">
        <v>5</v>
      </c>
      <c r="K290" s="167"/>
      <c r="L290" s="171">
        <v>-3222.7905500000002</v>
      </c>
      <c r="M290" s="171">
        <v>216.99044000000001</v>
      </c>
      <c r="N290" s="171">
        <v>-3005.8001100000001</v>
      </c>
      <c r="O290" s="166">
        <v>-1605.3241052849301</v>
      </c>
      <c r="P290" s="172">
        <v>218.47</v>
      </c>
      <c r="Q290" s="173">
        <v>-7.3480299596508898</v>
      </c>
      <c r="R290" s="174">
        <v>-3477.0395776850901</v>
      </c>
      <c r="S290" s="168"/>
      <c r="T290" s="168"/>
      <c r="U290" s="175">
        <v>3415</v>
      </c>
      <c r="V290" s="176">
        <v>3497</v>
      </c>
      <c r="W290" s="167"/>
      <c r="X290" s="175">
        <v>1861.2276099999999</v>
      </c>
      <c r="Y290" s="166">
        <v>994.03600985125502</v>
      </c>
      <c r="Z290" s="177">
        <v>573</v>
      </c>
      <c r="AA290" s="178">
        <v>1.73479233830935</v>
      </c>
      <c r="AB290" s="179">
        <v>625.26745536294197</v>
      </c>
      <c r="AC290" s="168">
        <v>0.02</v>
      </c>
      <c r="AD290" s="168">
        <v>0.02</v>
      </c>
      <c r="AE290" s="176">
        <v>0</v>
      </c>
      <c r="AF290" s="176">
        <v>0</v>
      </c>
      <c r="AG290" s="167"/>
      <c r="AH290" s="180">
        <v>173</v>
      </c>
      <c r="AI290" s="166">
        <v>92.395056241545404</v>
      </c>
      <c r="AJ290" s="181" t="s">
        <v>53</v>
      </c>
      <c r="AK290" s="178">
        <v>1.4665881943102499</v>
      </c>
      <c r="AL290" s="179">
        <v>37.109092945663797</v>
      </c>
      <c r="AM290" s="168">
        <v>0.02</v>
      </c>
      <c r="AN290" s="168">
        <v>0.02</v>
      </c>
      <c r="AO290" s="176">
        <v>0</v>
      </c>
      <c r="AP290" s="176">
        <v>0</v>
      </c>
      <c r="AQ290" s="167"/>
      <c r="AR290" s="180">
        <v>8</v>
      </c>
      <c r="AS290" s="166">
        <v>4.2726037568344699</v>
      </c>
      <c r="AT290" s="181" t="s">
        <v>54</v>
      </c>
      <c r="AU290" s="173">
        <v>0.26703773480215398</v>
      </c>
      <c r="AV290" s="174">
        <v>-26.5119763947521</v>
      </c>
      <c r="AW290" s="168"/>
      <c r="AX290" s="168"/>
      <c r="AY290" s="176">
        <v>22</v>
      </c>
      <c r="AZ290" s="176">
        <v>28</v>
      </c>
      <c r="BA290" s="167"/>
      <c r="BB290" s="184">
        <v>85.4</v>
      </c>
      <c r="BC290" s="180">
        <v>45.610045104207998</v>
      </c>
      <c r="BD290" s="181" t="s">
        <v>55</v>
      </c>
      <c r="BE290" s="178">
        <v>1.4253139095064999</v>
      </c>
      <c r="BF290" s="179">
        <v>16.376047210495901</v>
      </c>
      <c r="BG290" s="168">
        <v>0.02</v>
      </c>
      <c r="BH290" s="168">
        <v>0.02</v>
      </c>
      <c r="BI290" s="176">
        <v>0</v>
      </c>
      <c r="BJ290" s="176">
        <v>0</v>
      </c>
      <c r="BK290" s="169"/>
      <c r="BL290" s="185">
        <v>0.8</v>
      </c>
      <c r="BM290" s="182">
        <v>0.84</v>
      </c>
      <c r="BN290" s="186">
        <v>1.5E-3</v>
      </c>
      <c r="BO290" s="187">
        <v>0.95</v>
      </c>
      <c r="BP290" s="178">
        <v>1</v>
      </c>
      <c r="BQ290" s="186">
        <v>2.5000000000000001E-3</v>
      </c>
    </row>
    <row r="291" spans="1:69" s="156" customFormat="1" ht="22.35" customHeight="1" x14ac:dyDescent="0.2">
      <c r="A291" s="165" t="s">
        <v>339</v>
      </c>
      <c r="B291" s="165" t="s">
        <v>357</v>
      </c>
      <c r="C291" s="165" t="s">
        <v>363</v>
      </c>
      <c r="D291" s="166">
        <v>2.0195966231111102</v>
      </c>
      <c r="E291" s="167"/>
      <c r="F291" s="168">
        <v>0.01</v>
      </c>
      <c r="G291" s="168">
        <v>0.01</v>
      </c>
      <c r="H291" s="169"/>
      <c r="I291" s="170">
        <v>2</v>
      </c>
      <c r="J291" s="170">
        <v>2</v>
      </c>
      <c r="K291" s="167"/>
      <c r="L291" s="171">
        <v>1083.05331</v>
      </c>
      <c r="M291" s="171">
        <v>-115.44275</v>
      </c>
      <c r="N291" s="171">
        <v>967.61055999999996</v>
      </c>
      <c r="O291" s="166">
        <v>479.11080308177202</v>
      </c>
      <c r="P291" s="172">
        <v>212.5</v>
      </c>
      <c r="Q291" s="178">
        <v>2.2546390733259898</v>
      </c>
      <c r="R291" s="179">
        <v>473.21330666239999</v>
      </c>
      <c r="S291" s="168">
        <v>0.01</v>
      </c>
      <c r="T291" s="168">
        <v>0.01</v>
      </c>
      <c r="U291" s="175">
        <v>0</v>
      </c>
      <c r="V291" s="176">
        <v>0</v>
      </c>
      <c r="W291" s="167"/>
      <c r="X291" s="175">
        <v>943.61001499999998</v>
      </c>
      <c r="Y291" s="166">
        <v>467.22697206059098</v>
      </c>
      <c r="Z291" s="177">
        <v>573</v>
      </c>
      <c r="AA291" s="188">
        <v>0.81540483780207895</v>
      </c>
      <c r="AB291" s="171">
        <v>-389.51763752915099</v>
      </c>
      <c r="AC291" s="168"/>
      <c r="AD291" s="168"/>
      <c r="AE291" s="176">
        <v>214</v>
      </c>
      <c r="AF291" s="176">
        <v>446</v>
      </c>
      <c r="AG291" s="167"/>
      <c r="AH291" s="180">
        <v>78.7</v>
      </c>
      <c r="AI291" s="166">
        <v>38.968177654588096</v>
      </c>
      <c r="AJ291" s="181" t="s">
        <v>53</v>
      </c>
      <c r="AK291" s="173">
        <v>0.61854250245377895</v>
      </c>
      <c r="AL291" s="174">
        <v>-67.874244518911894</v>
      </c>
      <c r="AM291" s="168"/>
      <c r="AN291" s="168"/>
      <c r="AO291" s="176">
        <v>49</v>
      </c>
      <c r="AP291" s="176">
        <v>74</v>
      </c>
      <c r="AQ291" s="167"/>
      <c r="AR291" s="180">
        <v>6</v>
      </c>
      <c r="AS291" s="166">
        <v>2.9708902913281898</v>
      </c>
      <c r="AT291" s="181" t="s">
        <v>54</v>
      </c>
      <c r="AU291" s="173">
        <v>0.185680643208012</v>
      </c>
      <c r="AV291" s="174">
        <v>-31.225204957184001</v>
      </c>
      <c r="AW291" s="168"/>
      <c r="AX291" s="168"/>
      <c r="AY291" s="176">
        <v>27</v>
      </c>
      <c r="AZ291" s="176">
        <v>33</v>
      </c>
      <c r="BA291" s="167"/>
      <c r="BB291" s="184">
        <v>59</v>
      </c>
      <c r="BC291" s="180">
        <v>29.213754531393899</v>
      </c>
      <c r="BD291" s="181" t="s">
        <v>55</v>
      </c>
      <c r="BE291" s="188">
        <v>0.91292982910605802</v>
      </c>
      <c r="BF291" s="171">
        <v>-15.450409914367899</v>
      </c>
      <c r="BG291" s="168"/>
      <c r="BH291" s="168"/>
      <c r="BI291" s="176">
        <v>6</v>
      </c>
      <c r="BJ291" s="176">
        <v>19</v>
      </c>
      <c r="BK291" s="169"/>
      <c r="BL291" s="185">
        <v>0.8</v>
      </c>
      <c r="BM291" s="188">
        <v>0.75</v>
      </c>
      <c r="BN291" s="186"/>
      <c r="BO291" s="187">
        <v>0.95</v>
      </c>
      <c r="BP291" s="178">
        <v>1</v>
      </c>
      <c r="BQ291" s="186">
        <v>2.5000000000000001E-3</v>
      </c>
    </row>
    <row r="292" spans="1:69" s="156" customFormat="1" ht="22.35" customHeight="1" x14ac:dyDescent="0.2">
      <c r="A292" s="165" t="s">
        <v>339</v>
      </c>
      <c r="B292" s="165" t="s">
        <v>357</v>
      </c>
      <c r="C292" s="165" t="s">
        <v>364</v>
      </c>
      <c r="D292" s="166">
        <v>2.89402288477778</v>
      </c>
      <c r="E292" s="167"/>
      <c r="F292" s="168">
        <v>0.01</v>
      </c>
      <c r="G292" s="168">
        <v>0.01</v>
      </c>
      <c r="H292" s="169"/>
      <c r="I292" s="170">
        <v>3</v>
      </c>
      <c r="J292" s="170">
        <v>3</v>
      </c>
      <c r="K292" s="167"/>
      <c r="L292" s="171">
        <v>1129.3476000000001</v>
      </c>
      <c r="M292" s="171">
        <v>601.28752999999995</v>
      </c>
      <c r="N292" s="171">
        <v>1730.6351299999999</v>
      </c>
      <c r="O292" s="166">
        <v>598.00326358956499</v>
      </c>
      <c r="P292" s="172">
        <v>212.5</v>
      </c>
      <c r="Q292" s="178">
        <v>2.8141330051273701</v>
      </c>
      <c r="R292" s="179">
        <v>1022.1783278064</v>
      </c>
      <c r="S292" s="168">
        <v>0.01</v>
      </c>
      <c r="T292" s="168">
        <v>0.01</v>
      </c>
      <c r="U292" s="175">
        <v>0</v>
      </c>
      <c r="V292" s="176">
        <v>0</v>
      </c>
      <c r="W292" s="167"/>
      <c r="X292" s="175">
        <v>1389.5570150000001</v>
      </c>
      <c r="Y292" s="166">
        <v>480.14721041388702</v>
      </c>
      <c r="Z292" s="177">
        <v>573</v>
      </c>
      <c r="AA292" s="188">
        <v>0.837953246795614</v>
      </c>
      <c r="AB292" s="171">
        <v>-520.77591515027405</v>
      </c>
      <c r="AC292" s="168"/>
      <c r="AD292" s="168"/>
      <c r="AE292" s="176">
        <v>269</v>
      </c>
      <c r="AF292" s="176">
        <v>601</v>
      </c>
      <c r="AG292" s="167"/>
      <c r="AH292" s="180">
        <v>95.4</v>
      </c>
      <c r="AI292" s="166">
        <v>32.964493992702302</v>
      </c>
      <c r="AJ292" s="181" t="s">
        <v>53</v>
      </c>
      <c r="AK292" s="173">
        <v>0.52324593639210004</v>
      </c>
      <c r="AL292" s="174">
        <v>-114.636604885632</v>
      </c>
      <c r="AM292" s="168"/>
      <c r="AN292" s="168"/>
      <c r="AO292" s="176">
        <v>87</v>
      </c>
      <c r="AP292" s="176">
        <v>124</v>
      </c>
      <c r="AQ292" s="167"/>
      <c r="AR292" s="180">
        <v>1</v>
      </c>
      <c r="AS292" s="166">
        <v>0.34553976931553798</v>
      </c>
      <c r="AT292" s="181" t="s">
        <v>54</v>
      </c>
      <c r="AU292" s="173">
        <v>2.15962355822211E-2</v>
      </c>
      <c r="AV292" s="174">
        <v>-52.342629812223997</v>
      </c>
      <c r="AW292" s="168"/>
      <c r="AX292" s="168"/>
      <c r="AY292" s="176">
        <v>46</v>
      </c>
      <c r="AZ292" s="176">
        <v>55</v>
      </c>
      <c r="BA292" s="167"/>
      <c r="BB292" s="184">
        <v>63.2</v>
      </c>
      <c r="BC292" s="180">
        <v>21.838113420742001</v>
      </c>
      <c r="BD292" s="181" t="s">
        <v>55</v>
      </c>
      <c r="BE292" s="173">
        <v>0.68244104439818698</v>
      </c>
      <c r="BF292" s="174">
        <v>-43.485259624448098</v>
      </c>
      <c r="BG292" s="168"/>
      <c r="BH292" s="168"/>
      <c r="BI292" s="176">
        <v>30</v>
      </c>
      <c r="BJ292" s="176">
        <v>48</v>
      </c>
      <c r="BK292" s="169"/>
      <c r="BL292" s="185">
        <v>0.8</v>
      </c>
      <c r="BM292" s="182">
        <v>0.85</v>
      </c>
      <c r="BN292" s="186">
        <v>1.8749999999999999E-3</v>
      </c>
      <c r="BO292" s="187">
        <v>0.95</v>
      </c>
      <c r="BP292" s="178">
        <v>1</v>
      </c>
      <c r="BQ292" s="186">
        <v>2.5000000000000001E-3</v>
      </c>
    </row>
    <row r="293" spans="1:69" s="156" customFormat="1" ht="22.35" customHeight="1" x14ac:dyDescent="0.2">
      <c r="A293" s="165" t="s">
        <v>339</v>
      </c>
      <c r="B293" s="165" t="s">
        <v>357</v>
      </c>
      <c r="C293" s="165" t="s">
        <v>365</v>
      </c>
      <c r="D293" s="166">
        <v>3.7017378756666699</v>
      </c>
      <c r="E293" s="167"/>
      <c r="F293" s="168">
        <v>3.7999999999999999E-2</v>
      </c>
      <c r="G293" s="168">
        <v>2.9000000000000001E-2</v>
      </c>
      <c r="H293" s="169"/>
      <c r="I293" s="170">
        <v>4</v>
      </c>
      <c r="J293" s="170">
        <v>4</v>
      </c>
      <c r="K293" s="167"/>
      <c r="L293" s="171">
        <v>2422.6076600000001</v>
      </c>
      <c r="M293" s="171">
        <v>-308.45769000000001</v>
      </c>
      <c r="N293" s="171">
        <v>2114.1499699999999</v>
      </c>
      <c r="O293" s="166">
        <v>571.12362922759598</v>
      </c>
      <c r="P293" s="172">
        <v>229.78899999999999</v>
      </c>
      <c r="Q293" s="178">
        <v>2.4854263225289102</v>
      </c>
      <c r="R293" s="179">
        <v>1134.2372912922699</v>
      </c>
      <c r="S293" s="168">
        <v>0.01</v>
      </c>
      <c r="T293" s="168">
        <v>0.01</v>
      </c>
      <c r="U293" s="175">
        <v>0</v>
      </c>
      <c r="V293" s="176">
        <v>0</v>
      </c>
      <c r="W293" s="167"/>
      <c r="X293" s="175">
        <v>2220.2256600000001</v>
      </c>
      <c r="Y293" s="166">
        <v>599.77927518710305</v>
      </c>
      <c r="Z293" s="177">
        <v>573</v>
      </c>
      <c r="AA293" s="182">
        <v>1.04673520975062</v>
      </c>
      <c r="AB293" s="183">
        <v>-223.276704776066</v>
      </c>
      <c r="AC293" s="168">
        <v>8.9999999999999993E-3</v>
      </c>
      <c r="AD293" s="168">
        <v>5.0000000000000001E-3</v>
      </c>
      <c r="AE293" s="176">
        <v>0</v>
      </c>
      <c r="AF293" s="176">
        <v>326</v>
      </c>
      <c r="AG293" s="167"/>
      <c r="AH293" s="180">
        <v>164.7</v>
      </c>
      <c r="AI293" s="166">
        <v>44.492615504369901</v>
      </c>
      <c r="AJ293" s="181" t="s">
        <v>53</v>
      </c>
      <c r="AK293" s="173">
        <v>0.70623199213285603</v>
      </c>
      <c r="AL293" s="174">
        <v>-103.957328064384</v>
      </c>
      <c r="AM293" s="168"/>
      <c r="AN293" s="168"/>
      <c r="AO293" s="176">
        <v>69</v>
      </c>
      <c r="AP293" s="176">
        <v>116</v>
      </c>
      <c r="AQ293" s="167"/>
      <c r="AR293" s="180">
        <v>18</v>
      </c>
      <c r="AS293" s="166">
        <v>4.8625809294393303</v>
      </c>
      <c r="AT293" s="181" t="s">
        <v>54</v>
      </c>
      <c r="AU293" s="173">
        <v>0.30391130808995798</v>
      </c>
      <c r="AV293" s="174">
        <v>-50.230432524287998</v>
      </c>
      <c r="AW293" s="168"/>
      <c r="AX293" s="168"/>
      <c r="AY293" s="176">
        <v>42</v>
      </c>
      <c r="AZ293" s="176">
        <v>54</v>
      </c>
      <c r="BA293" s="167"/>
      <c r="BB293" s="184">
        <v>134.80000000000001</v>
      </c>
      <c r="BC293" s="180">
        <v>36.415328293801203</v>
      </c>
      <c r="BD293" s="181" t="s">
        <v>55</v>
      </c>
      <c r="BE293" s="182">
        <v>1.13797900918129</v>
      </c>
      <c r="BF293" s="183">
        <v>-1.6608650485760801</v>
      </c>
      <c r="BG293" s="168">
        <v>1.9E-2</v>
      </c>
      <c r="BH293" s="168">
        <v>1.4E-2</v>
      </c>
      <c r="BI293" s="176">
        <v>0</v>
      </c>
      <c r="BJ293" s="176">
        <v>8</v>
      </c>
      <c r="BK293" s="169"/>
      <c r="BL293" s="185">
        <v>0.8</v>
      </c>
      <c r="BM293" s="188">
        <v>0.76</v>
      </c>
      <c r="BN293" s="186"/>
      <c r="BO293" s="187">
        <v>0.95</v>
      </c>
      <c r="BP293" s="178">
        <v>1</v>
      </c>
      <c r="BQ293" s="186">
        <v>2.5000000000000001E-3</v>
      </c>
    </row>
    <row r="294" spans="1:69" s="156" customFormat="1" ht="22.35" customHeight="1" x14ac:dyDescent="0.2">
      <c r="A294" s="165" t="s">
        <v>339</v>
      </c>
      <c r="B294" s="165" t="s">
        <v>357</v>
      </c>
      <c r="C294" s="165" t="s">
        <v>366</v>
      </c>
      <c r="D294" s="166">
        <v>3.4620816407777801</v>
      </c>
      <c r="E294" s="167"/>
      <c r="F294" s="168">
        <v>0.05</v>
      </c>
      <c r="G294" s="168">
        <v>4.8000000000000001E-2</v>
      </c>
      <c r="H294" s="169"/>
      <c r="I294" s="170">
        <v>5</v>
      </c>
      <c r="J294" s="170">
        <v>5</v>
      </c>
      <c r="K294" s="167"/>
      <c r="L294" s="171">
        <v>1409.4838400000001</v>
      </c>
      <c r="M294" s="171">
        <v>413.95717999999999</v>
      </c>
      <c r="N294" s="171">
        <v>1823.44102</v>
      </c>
      <c r="O294" s="166">
        <v>526.68920297048601</v>
      </c>
      <c r="P294" s="172">
        <v>212.5</v>
      </c>
      <c r="Q294" s="178">
        <v>2.4785374257434598</v>
      </c>
      <c r="R294" s="179">
        <v>975.92343433760004</v>
      </c>
      <c r="S294" s="168">
        <v>0.01</v>
      </c>
      <c r="T294" s="168">
        <v>0.01</v>
      </c>
      <c r="U294" s="175">
        <v>0</v>
      </c>
      <c r="V294" s="176">
        <v>0</v>
      </c>
      <c r="W294" s="167"/>
      <c r="X294" s="175">
        <v>2350.4439849999999</v>
      </c>
      <c r="Y294" s="166">
        <v>678.91061762251195</v>
      </c>
      <c r="Z294" s="177">
        <v>573</v>
      </c>
      <c r="AA294" s="178">
        <v>1.18483528380892</v>
      </c>
      <c r="AB294" s="179">
        <v>65.137742249150506</v>
      </c>
      <c r="AC294" s="168">
        <v>0.02</v>
      </c>
      <c r="AD294" s="168">
        <v>1.7999999999999999E-2</v>
      </c>
      <c r="AE294" s="176">
        <v>0</v>
      </c>
      <c r="AF294" s="176">
        <v>31</v>
      </c>
      <c r="AG294" s="167"/>
      <c r="AH294" s="180">
        <v>187.8</v>
      </c>
      <c r="AI294" s="166">
        <v>54.244821320218598</v>
      </c>
      <c r="AJ294" s="181" t="s">
        <v>53</v>
      </c>
      <c r="AK294" s="188">
        <v>0.86102890984474001</v>
      </c>
      <c r="AL294" s="171">
        <v>-63.4640371610881</v>
      </c>
      <c r="AM294" s="168"/>
      <c r="AN294" s="168"/>
      <c r="AO294" s="176">
        <v>31</v>
      </c>
      <c r="AP294" s="176">
        <v>74</v>
      </c>
      <c r="AQ294" s="167"/>
      <c r="AR294" s="180">
        <v>39.9</v>
      </c>
      <c r="AS294" s="166">
        <v>11.5248582038164</v>
      </c>
      <c r="AT294" s="181" t="s">
        <v>54</v>
      </c>
      <c r="AU294" s="173">
        <v>0.72030363773852601</v>
      </c>
      <c r="AV294" s="174">
        <v>-23.913088802815999</v>
      </c>
      <c r="AW294" s="168"/>
      <c r="AX294" s="168"/>
      <c r="AY294" s="176">
        <v>16</v>
      </c>
      <c r="AZ294" s="176">
        <v>27</v>
      </c>
      <c r="BA294" s="167"/>
      <c r="BB294" s="184">
        <v>139.80000000000001</v>
      </c>
      <c r="BC294" s="180">
        <v>40.380330247958298</v>
      </c>
      <c r="BD294" s="181" t="s">
        <v>55</v>
      </c>
      <c r="BE294" s="178">
        <v>1.2618853202486999</v>
      </c>
      <c r="BF294" s="179">
        <v>12.1738223943679</v>
      </c>
      <c r="BG294" s="168">
        <v>0.02</v>
      </c>
      <c r="BH294" s="168">
        <v>0.02</v>
      </c>
      <c r="BI294" s="176">
        <v>0</v>
      </c>
      <c r="BJ294" s="176">
        <v>0</v>
      </c>
      <c r="BK294" s="169"/>
      <c r="BL294" s="185">
        <v>0.8</v>
      </c>
      <c r="BM294" s="182">
        <v>0.81</v>
      </c>
      <c r="BN294" s="186">
        <v>3.7500000000000001E-4</v>
      </c>
      <c r="BO294" s="187">
        <v>0.95</v>
      </c>
      <c r="BP294" s="178">
        <v>1</v>
      </c>
      <c r="BQ294" s="186">
        <v>2.5000000000000001E-3</v>
      </c>
    </row>
    <row r="295" spans="1:69" s="156" customFormat="1" ht="22.35" customHeight="1" x14ac:dyDescent="0.2">
      <c r="A295" s="165" t="s">
        <v>339</v>
      </c>
      <c r="B295" s="165" t="s">
        <v>357</v>
      </c>
      <c r="C295" s="165" t="s">
        <v>357</v>
      </c>
      <c r="D295" s="166">
        <v>10.277247066999999</v>
      </c>
      <c r="E295" s="167"/>
      <c r="F295" s="168">
        <v>0.03</v>
      </c>
      <c r="G295" s="168">
        <v>2.7E-2</v>
      </c>
      <c r="H295" s="169"/>
      <c r="I295" s="170">
        <v>3</v>
      </c>
      <c r="J295" s="170">
        <v>3</v>
      </c>
      <c r="K295" s="167"/>
      <c r="L295" s="171">
        <v>6581.5316700000003</v>
      </c>
      <c r="M295" s="171">
        <v>4268.44229</v>
      </c>
      <c r="N295" s="171">
        <v>10849.973959999999</v>
      </c>
      <c r="O295" s="166">
        <v>1055.72765637201</v>
      </c>
      <c r="P295" s="172">
        <v>263.10899999999998</v>
      </c>
      <c r="Q295" s="178">
        <v>4.0125106186865898</v>
      </c>
      <c r="R295" s="179">
        <v>7734.9242592688997</v>
      </c>
      <c r="S295" s="168">
        <v>0.01</v>
      </c>
      <c r="T295" s="168">
        <v>0.01</v>
      </c>
      <c r="U295" s="175">
        <v>0</v>
      </c>
      <c r="V295" s="176">
        <v>0</v>
      </c>
      <c r="W295" s="167"/>
      <c r="X295" s="175">
        <v>4812.7903699999997</v>
      </c>
      <c r="Y295" s="166">
        <v>468.29567671422001</v>
      </c>
      <c r="Z295" s="177">
        <v>573</v>
      </c>
      <c r="AA295" s="188">
        <v>0.81726994190963398</v>
      </c>
      <c r="AB295" s="171">
        <v>-1971.1793099384299</v>
      </c>
      <c r="AC295" s="168"/>
      <c r="AD295" s="168"/>
      <c r="AE295" s="176">
        <v>1077</v>
      </c>
      <c r="AF295" s="176">
        <v>2254</v>
      </c>
      <c r="AG295" s="167"/>
      <c r="AH295" s="180">
        <v>445.45</v>
      </c>
      <c r="AI295" s="166">
        <v>43.343319188105298</v>
      </c>
      <c r="AJ295" s="181" t="s">
        <v>53</v>
      </c>
      <c r="AK295" s="173">
        <v>0.68798919346198895</v>
      </c>
      <c r="AL295" s="174">
        <v>-300.43148313459199</v>
      </c>
      <c r="AM295" s="168"/>
      <c r="AN295" s="168"/>
      <c r="AO295" s="176">
        <v>203</v>
      </c>
      <c r="AP295" s="176">
        <v>332</v>
      </c>
      <c r="AQ295" s="167"/>
      <c r="AR295" s="180">
        <v>50.1</v>
      </c>
      <c r="AS295" s="166">
        <v>4.8748463156899202</v>
      </c>
      <c r="AT295" s="181" t="s">
        <v>54</v>
      </c>
      <c r="AU295" s="173">
        <v>0.30467789473062001</v>
      </c>
      <c r="AV295" s="174">
        <v>-139.330217938944</v>
      </c>
      <c r="AW295" s="168"/>
      <c r="AX295" s="168"/>
      <c r="AY295" s="176">
        <v>115</v>
      </c>
      <c r="AZ295" s="176">
        <v>148</v>
      </c>
      <c r="BA295" s="167"/>
      <c r="BB295" s="184">
        <v>386.2</v>
      </c>
      <c r="BC295" s="180">
        <v>37.578156629130703</v>
      </c>
      <c r="BD295" s="181" t="s">
        <v>55</v>
      </c>
      <c r="BE295" s="178">
        <v>1.17431739466033</v>
      </c>
      <c r="BF295" s="179">
        <v>7.3395641221120496</v>
      </c>
      <c r="BG295" s="168">
        <v>0.02</v>
      </c>
      <c r="BH295" s="168">
        <v>1.7000000000000001E-2</v>
      </c>
      <c r="BI295" s="176">
        <v>0</v>
      </c>
      <c r="BJ295" s="176">
        <v>9</v>
      </c>
      <c r="BK295" s="169"/>
      <c r="BL295" s="185">
        <v>0.8</v>
      </c>
      <c r="BM295" s="188">
        <v>0.79</v>
      </c>
      <c r="BN295" s="186"/>
      <c r="BO295" s="187">
        <v>0.95</v>
      </c>
      <c r="BP295" s="178">
        <v>1</v>
      </c>
      <c r="BQ295" s="186">
        <v>2.5000000000000001E-3</v>
      </c>
    </row>
    <row r="296" spans="1:69" s="156" customFormat="1" ht="22.35" customHeight="1" x14ac:dyDescent="0.2">
      <c r="A296" s="165" t="s">
        <v>339</v>
      </c>
      <c r="B296" s="165" t="s">
        <v>357</v>
      </c>
      <c r="C296" s="165" t="s">
        <v>367</v>
      </c>
      <c r="D296" s="166">
        <v>3.9912457913333301</v>
      </c>
      <c r="E296" s="167"/>
      <c r="F296" s="168">
        <v>2.1999999999999999E-2</v>
      </c>
      <c r="G296" s="168">
        <v>1.7000000000000001E-2</v>
      </c>
      <c r="H296" s="169"/>
      <c r="I296" s="170">
        <v>4</v>
      </c>
      <c r="J296" s="170">
        <v>4</v>
      </c>
      <c r="K296" s="167"/>
      <c r="L296" s="171">
        <v>1537.3201300000001</v>
      </c>
      <c r="M296" s="171">
        <v>577.36892999999998</v>
      </c>
      <c r="N296" s="171">
        <v>2114.6890600000002</v>
      </c>
      <c r="O296" s="166">
        <v>529.831829598637</v>
      </c>
      <c r="P296" s="172">
        <v>212.5</v>
      </c>
      <c r="Q296" s="178">
        <v>2.4933262569347598</v>
      </c>
      <c r="R296" s="179">
        <v>1137.6320902816001</v>
      </c>
      <c r="S296" s="168">
        <v>0.01</v>
      </c>
      <c r="T296" s="168">
        <v>0.01</v>
      </c>
      <c r="U296" s="175">
        <v>0</v>
      </c>
      <c r="V296" s="176">
        <v>0</v>
      </c>
      <c r="W296" s="167"/>
      <c r="X296" s="175">
        <v>2452.7350750000001</v>
      </c>
      <c r="Y296" s="166">
        <v>614.52869686099405</v>
      </c>
      <c r="Z296" s="177">
        <v>573</v>
      </c>
      <c r="AA296" s="182">
        <v>1.07247591075217</v>
      </c>
      <c r="AB296" s="183">
        <v>-181.87030687596601</v>
      </c>
      <c r="AC296" s="168">
        <v>1.2E-2</v>
      </c>
      <c r="AD296" s="168">
        <v>7.0000000000000001E-3</v>
      </c>
      <c r="AE296" s="176">
        <v>0</v>
      </c>
      <c r="AF296" s="176">
        <v>292</v>
      </c>
      <c r="AG296" s="167"/>
      <c r="AH296" s="180">
        <v>213.55</v>
      </c>
      <c r="AI296" s="166">
        <v>53.504597603010701</v>
      </c>
      <c r="AJ296" s="181" t="s">
        <v>53</v>
      </c>
      <c r="AK296" s="188">
        <v>0.849279327031916</v>
      </c>
      <c r="AL296" s="171">
        <v>-76.118654551807694</v>
      </c>
      <c r="AM296" s="168"/>
      <c r="AN296" s="168"/>
      <c r="AO296" s="176">
        <v>38</v>
      </c>
      <c r="AP296" s="176">
        <v>89</v>
      </c>
      <c r="AQ296" s="167"/>
      <c r="AR296" s="180">
        <v>16.8</v>
      </c>
      <c r="AS296" s="166">
        <v>4.2092120802181201</v>
      </c>
      <c r="AT296" s="181" t="s">
        <v>54</v>
      </c>
      <c r="AU296" s="173">
        <v>0.26307575501363301</v>
      </c>
      <c r="AV296" s="174">
        <v>-56.766642425855899</v>
      </c>
      <c r="AW296" s="168"/>
      <c r="AX296" s="168"/>
      <c r="AY296" s="176">
        <v>48</v>
      </c>
      <c r="AZ296" s="176">
        <v>60</v>
      </c>
      <c r="BA296" s="167"/>
      <c r="BB296" s="184">
        <v>98.6</v>
      </c>
      <c r="BC296" s="180">
        <v>24.704066137470601</v>
      </c>
      <c r="BD296" s="181" t="s">
        <v>55</v>
      </c>
      <c r="BE296" s="188">
        <v>0.77200206679595695</v>
      </c>
      <c r="BF296" s="171">
        <v>-48.533284851711898</v>
      </c>
      <c r="BG296" s="168"/>
      <c r="BH296" s="168"/>
      <c r="BI296" s="176">
        <v>30</v>
      </c>
      <c r="BJ296" s="176">
        <v>55</v>
      </c>
      <c r="BK296" s="169"/>
      <c r="BL296" s="185">
        <v>0.8</v>
      </c>
      <c r="BM296" s="182">
        <v>0.82</v>
      </c>
      <c r="BN296" s="186">
        <v>7.5000000000000002E-4</v>
      </c>
      <c r="BO296" s="187">
        <v>0.95</v>
      </c>
      <c r="BP296" s="178">
        <v>1</v>
      </c>
      <c r="BQ296" s="186">
        <v>2.5000000000000001E-3</v>
      </c>
    </row>
    <row r="297" spans="1:69" s="156" customFormat="1" ht="22.35" customHeight="1" x14ac:dyDescent="0.2">
      <c r="A297" s="165" t="s">
        <v>339</v>
      </c>
      <c r="B297" s="165" t="s">
        <v>357</v>
      </c>
      <c r="C297" s="165" t="s">
        <v>368</v>
      </c>
      <c r="D297" s="166">
        <v>1.8887926887777799</v>
      </c>
      <c r="E297" s="167"/>
      <c r="F297" s="168">
        <v>5.6000000000000001E-2</v>
      </c>
      <c r="G297" s="168">
        <v>5.1999999999999998E-2</v>
      </c>
      <c r="H297" s="169"/>
      <c r="I297" s="170">
        <v>4</v>
      </c>
      <c r="J297" s="170">
        <v>4</v>
      </c>
      <c r="K297" s="167"/>
      <c r="L297" s="171">
        <v>231.08972</v>
      </c>
      <c r="M297" s="171">
        <v>57.978630000000003</v>
      </c>
      <c r="N297" s="171">
        <v>289.06835000000001</v>
      </c>
      <c r="O297" s="166">
        <v>153.043979742983</v>
      </c>
      <c r="P297" s="172">
        <v>212.5</v>
      </c>
      <c r="Q297" s="173">
        <v>0.72020696349638902</v>
      </c>
      <c r="R297" s="174">
        <v>-173.30810021280001</v>
      </c>
      <c r="S297" s="168"/>
      <c r="T297" s="168"/>
      <c r="U297" s="175">
        <v>113</v>
      </c>
      <c r="V297" s="176">
        <v>193</v>
      </c>
      <c r="W297" s="167"/>
      <c r="X297" s="175">
        <v>1459.7343800000001</v>
      </c>
      <c r="Y297" s="166">
        <v>772.83991444533899</v>
      </c>
      <c r="Z297" s="177">
        <v>573</v>
      </c>
      <c r="AA297" s="178">
        <v>1.34876075819431</v>
      </c>
      <c r="AB297" s="179">
        <v>212.94988130854301</v>
      </c>
      <c r="AC297" s="168">
        <v>0.02</v>
      </c>
      <c r="AD297" s="168">
        <v>0.02</v>
      </c>
      <c r="AE297" s="176">
        <v>0</v>
      </c>
      <c r="AF297" s="176">
        <v>0</v>
      </c>
      <c r="AG297" s="167"/>
      <c r="AH297" s="180">
        <v>178.75</v>
      </c>
      <c r="AI297" s="166">
        <v>94.6371727622832</v>
      </c>
      <c r="AJ297" s="181" t="s">
        <v>53</v>
      </c>
      <c r="AK297" s="178">
        <v>1.50217734543307</v>
      </c>
      <c r="AL297" s="179">
        <v>41.668981819263898</v>
      </c>
      <c r="AM297" s="168">
        <v>0.02</v>
      </c>
      <c r="AN297" s="168">
        <v>0.02</v>
      </c>
      <c r="AO297" s="176">
        <v>0</v>
      </c>
      <c r="AP297" s="176">
        <v>0</v>
      </c>
      <c r="AQ297" s="167"/>
      <c r="AR297" s="180">
        <v>14.6</v>
      </c>
      <c r="AS297" s="166">
        <v>7.7298054396046698</v>
      </c>
      <c r="AT297" s="181" t="s">
        <v>54</v>
      </c>
      <c r="AU297" s="173">
        <v>0.48311283997529197</v>
      </c>
      <c r="AV297" s="174">
        <v>-20.214226839552001</v>
      </c>
      <c r="AW297" s="168"/>
      <c r="AX297" s="168"/>
      <c r="AY297" s="176">
        <v>16</v>
      </c>
      <c r="AZ297" s="176">
        <v>22</v>
      </c>
      <c r="BA297" s="167"/>
      <c r="BB297" s="184">
        <v>67.400000000000006</v>
      </c>
      <c r="BC297" s="180">
        <v>35.684170317079101</v>
      </c>
      <c r="BD297" s="181" t="s">
        <v>55</v>
      </c>
      <c r="BE297" s="182">
        <v>1.1151303224087199</v>
      </c>
      <c r="BF297" s="183">
        <v>-2.2284536791040601</v>
      </c>
      <c r="BG297" s="168">
        <v>1.6E-2</v>
      </c>
      <c r="BH297" s="168">
        <v>1.2E-2</v>
      </c>
      <c r="BI297" s="176">
        <v>0</v>
      </c>
      <c r="BJ297" s="176">
        <v>6</v>
      </c>
      <c r="BK297" s="169"/>
      <c r="BL297" s="185">
        <v>0.8</v>
      </c>
      <c r="BM297" s="188">
        <v>0.78</v>
      </c>
      <c r="BN297" s="186"/>
      <c r="BO297" s="187">
        <v>0.95</v>
      </c>
      <c r="BP297" s="178">
        <v>1</v>
      </c>
      <c r="BQ297" s="186">
        <v>2.5000000000000001E-3</v>
      </c>
    </row>
    <row r="298" spans="1:69" s="156" customFormat="1" ht="22.35" customHeight="1" x14ac:dyDescent="0.2">
      <c r="A298" s="165" t="s">
        <v>339</v>
      </c>
      <c r="B298" s="165" t="s">
        <v>357</v>
      </c>
      <c r="C298" s="165" t="s">
        <v>369</v>
      </c>
      <c r="D298" s="166">
        <v>3.20739114933333</v>
      </c>
      <c r="E298" s="167"/>
      <c r="F298" s="168">
        <v>2.8000000000000001E-2</v>
      </c>
      <c r="G298" s="168">
        <v>2.1999999999999999E-2</v>
      </c>
      <c r="H298" s="169"/>
      <c r="I298" s="170">
        <v>5</v>
      </c>
      <c r="J298" s="170">
        <v>4</v>
      </c>
      <c r="K298" s="167"/>
      <c r="L298" s="171">
        <v>2119.7171600000001</v>
      </c>
      <c r="M298" s="171">
        <v>670.91150000000005</v>
      </c>
      <c r="N298" s="171">
        <v>2790.6286599999999</v>
      </c>
      <c r="O298" s="166">
        <v>870.061844680229</v>
      </c>
      <c r="P298" s="172">
        <v>236.798</v>
      </c>
      <c r="Q298" s="178">
        <v>3.6742786876587998</v>
      </c>
      <c r="R298" s="179">
        <v>1915.68027159443</v>
      </c>
      <c r="S298" s="168">
        <v>0.01</v>
      </c>
      <c r="T298" s="168">
        <v>0.01</v>
      </c>
      <c r="U298" s="175">
        <v>0</v>
      </c>
      <c r="V298" s="176">
        <v>0</v>
      </c>
      <c r="W298" s="167"/>
      <c r="X298" s="175">
        <v>1784.28234</v>
      </c>
      <c r="Y298" s="166">
        <v>556.30331846830404</v>
      </c>
      <c r="Z298" s="177">
        <v>573</v>
      </c>
      <c r="AA298" s="182">
        <v>0.97086093973526</v>
      </c>
      <c r="AB298" s="183">
        <v>-332.90372811033399</v>
      </c>
      <c r="AC298" s="168">
        <v>1E-3</v>
      </c>
      <c r="AD298" s="168"/>
      <c r="AE298" s="176">
        <v>54</v>
      </c>
      <c r="AF298" s="176">
        <v>422</v>
      </c>
      <c r="AG298" s="167"/>
      <c r="AH298" s="180">
        <v>118.25</v>
      </c>
      <c r="AI298" s="166">
        <v>36.867969790519197</v>
      </c>
      <c r="AJ298" s="181" t="s">
        <v>53</v>
      </c>
      <c r="AK298" s="173">
        <v>0.58520586969078103</v>
      </c>
      <c r="AL298" s="174">
        <v>-114.52962005401599</v>
      </c>
      <c r="AM298" s="168"/>
      <c r="AN298" s="168"/>
      <c r="AO298" s="176">
        <v>84</v>
      </c>
      <c r="AP298" s="176">
        <v>125</v>
      </c>
      <c r="AQ298" s="167"/>
      <c r="AR298" s="180">
        <v>12</v>
      </c>
      <c r="AS298" s="166">
        <v>3.7413584565431699</v>
      </c>
      <c r="AT298" s="181" t="s">
        <v>54</v>
      </c>
      <c r="AU298" s="173">
        <v>0.23383490353394801</v>
      </c>
      <c r="AV298" s="174">
        <v>-47.118633664511897</v>
      </c>
      <c r="AW298" s="168"/>
      <c r="AX298" s="168"/>
      <c r="AY298" s="176">
        <v>40</v>
      </c>
      <c r="AZ298" s="176">
        <v>50</v>
      </c>
      <c r="BA298" s="167"/>
      <c r="BB298" s="184">
        <v>115.2</v>
      </c>
      <c r="BC298" s="180">
        <v>35.917041182814501</v>
      </c>
      <c r="BD298" s="181" t="s">
        <v>55</v>
      </c>
      <c r="BE298" s="182">
        <v>1.12240753696295</v>
      </c>
      <c r="BF298" s="183">
        <v>-3.0372673290238601</v>
      </c>
      <c r="BG298" s="168">
        <v>1.7000000000000001E-2</v>
      </c>
      <c r="BH298" s="168">
        <v>1.2E-2</v>
      </c>
      <c r="BI298" s="176">
        <v>0</v>
      </c>
      <c r="BJ298" s="176">
        <v>8</v>
      </c>
      <c r="BK298" s="169"/>
      <c r="BL298" s="185">
        <v>0.8</v>
      </c>
      <c r="BM298" s="182">
        <v>0.85</v>
      </c>
      <c r="BN298" s="186">
        <v>1.8749999999999999E-3</v>
      </c>
      <c r="BO298" s="187">
        <v>0.95</v>
      </c>
      <c r="BP298" s="178">
        <v>1</v>
      </c>
      <c r="BQ298" s="186">
        <v>2.5000000000000001E-3</v>
      </c>
    </row>
    <row r="299" spans="1:69" s="156" customFormat="1" ht="21.95" customHeight="1" x14ac:dyDescent="0.2">
      <c r="A299" s="189"/>
      <c r="B299" s="189"/>
      <c r="C299" s="190" t="s">
        <v>370</v>
      </c>
      <c r="D299" s="191">
        <v>1158.2086281173299</v>
      </c>
      <c r="E299" s="192"/>
      <c r="F299" s="189"/>
      <c r="G299" s="189"/>
      <c r="H299" s="193"/>
      <c r="I299" s="189"/>
      <c r="J299" s="189"/>
      <c r="K299" s="192"/>
      <c r="L299" s="194">
        <v>685000.53384000005</v>
      </c>
      <c r="M299" s="194">
        <v>376507.20486</v>
      </c>
      <c r="N299" s="194">
        <v>1061507.7387000001</v>
      </c>
      <c r="O299" s="191">
        <v>916.50822911367902</v>
      </c>
      <c r="P299" s="195"/>
      <c r="Q299" s="189"/>
      <c r="R299" s="189"/>
      <c r="S299" s="189"/>
      <c r="T299" s="189"/>
      <c r="U299" s="196">
        <v>37508</v>
      </c>
      <c r="V299" s="196">
        <v>41755</v>
      </c>
      <c r="W299" s="192"/>
      <c r="X299" s="197">
        <v>653889.33573000005</v>
      </c>
      <c r="Y299" s="198">
        <v>564.56956014297396</v>
      </c>
      <c r="Z299" s="199"/>
      <c r="AA299" s="200"/>
      <c r="AB299" s="200"/>
      <c r="AC299" s="200"/>
      <c r="AD299" s="200"/>
      <c r="AE299" s="201">
        <v>69387</v>
      </c>
      <c r="AF299" s="201">
        <v>165264</v>
      </c>
      <c r="AG299" s="192"/>
      <c r="AH299" s="198">
        <v>61167.6</v>
      </c>
      <c r="AI299" s="202">
        <v>52.812246874233701</v>
      </c>
      <c r="AJ299" s="199"/>
      <c r="AK299" s="200"/>
      <c r="AL299" s="200"/>
      <c r="AM299" s="200"/>
      <c r="AN299" s="200"/>
      <c r="AO299" s="201">
        <v>15573</v>
      </c>
      <c r="AP299" s="201">
        <v>28551</v>
      </c>
      <c r="AQ299" s="192"/>
      <c r="AR299" s="198">
        <v>11899.4</v>
      </c>
      <c r="AS299" s="202">
        <v>10.2739693964657</v>
      </c>
      <c r="AT299" s="199"/>
      <c r="AU299" s="200"/>
      <c r="AV299" s="200"/>
      <c r="AW299" s="200"/>
      <c r="AX299" s="203"/>
      <c r="AY299" s="201">
        <v>8446</v>
      </c>
      <c r="AZ299" s="201">
        <v>11655</v>
      </c>
      <c r="BA299" s="192"/>
      <c r="BB299" s="200">
        <v>45547.6</v>
      </c>
      <c r="BC299" s="202">
        <v>39.325902859174498</v>
      </c>
      <c r="BD299" s="199"/>
      <c r="BE299" s="200"/>
      <c r="BF299" s="200"/>
      <c r="BG299" s="200"/>
      <c r="BH299" s="200"/>
      <c r="BI299" s="201">
        <v>1394</v>
      </c>
      <c r="BJ299" s="201">
        <v>4433</v>
      </c>
      <c r="BK299" s="200"/>
      <c r="BL299" s="200"/>
      <c r="BM299" s="200"/>
      <c r="BN299" s="200"/>
      <c r="BO299" s="200"/>
      <c r="BP299" s="200"/>
      <c r="BQ299" s="200"/>
    </row>
    <row r="300" spans="1:69" s="156" customFormat="1" ht="28.7" customHeight="1" x14ac:dyDescent="0.2"/>
  </sheetData>
  <mergeCells count="73">
    <mergeCell ref="BQ4:BQ5"/>
    <mergeCell ref="BJ4:BJ5"/>
    <mergeCell ref="BL4:BL5"/>
    <mergeCell ref="BM4:BM5"/>
    <mergeCell ref="BN4:BN5"/>
    <mergeCell ref="BO4:BO5"/>
    <mergeCell ref="BP4:BP5"/>
    <mergeCell ref="BI4:BI5"/>
    <mergeCell ref="AW4:AW5"/>
    <mergeCell ref="AX4:AX5"/>
    <mergeCell ref="AY4:AY5"/>
    <mergeCell ref="AZ4:AZ5"/>
    <mergeCell ref="BB4:BB5"/>
    <mergeCell ref="BC4:BC5"/>
    <mergeCell ref="BD4:BD5"/>
    <mergeCell ref="BE4:BE5"/>
    <mergeCell ref="BF4:BF5"/>
    <mergeCell ref="BG4:BG5"/>
    <mergeCell ref="BH4:BH5"/>
    <mergeCell ref="AH4:AH5"/>
    <mergeCell ref="AV4:AV5"/>
    <mergeCell ref="AJ4:AJ5"/>
    <mergeCell ref="AK4:AK5"/>
    <mergeCell ref="AL4:AL5"/>
    <mergeCell ref="AM4:AM5"/>
    <mergeCell ref="AN4:AN5"/>
    <mergeCell ref="AO4:AO5"/>
    <mergeCell ref="AP4:AP5"/>
    <mergeCell ref="AR4:AR5"/>
    <mergeCell ref="AS4:AS5"/>
    <mergeCell ref="AT4:AT5"/>
    <mergeCell ref="AU4:AU5"/>
    <mergeCell ref="AB4:AB5"/>
    <mergeCell ref="AC4:AC5"/>
    <mergeCell ref="AD4:AD5"/>
    <mergeCell ref="AE4:AE5"/>
    <mergeCell ref="AF4:AF5"/>
    <mergeCell ref="V4:V5"/>
    <mergeCell ref="X4:X5"/>
    <mergeCell ref="Y4:Y5"/>
    <mergeCell ref="Z4:Z5"/>
    <mergeCell ref="AA4:AA5"/>
    <mergeCell ref="BB2:BJ2"/>
    <mergeCell ref="BL2:BQ2"/>
    <mergeCell ref="L3:V3"/>
    <mergeCell ref="X3:AF3"/>
    <mergeCell ref="AH3:AP3"/>
    <mergeCell ref="AR3:AZ3"/>
    <mergeCell ref="BB3:BJ3"/>
    <mergeCell ref="BL3:BQ3"/>
    <mergeCell ref="AR2:AZ2"/>
    <mergeCell ref="I2:I4"/>
    <mergeCell ref="J2:J4"/>
    <mergeCell ref="L2:V2"/>
    <mergeCell ref="X2:AF2"/>
    <mergeCell ref="AH2:AP2"/>
    <mergeCell ref="L4:L5"/>
    <mergeCell ref="M4:M5"/>
    <mergeCell ref="N4:N5"/>
    <mergeCell ref="O4:O5"/>
    <mergeCell ref="U4:U5"/>
    <mergeCell ref="P4:P5"/>
    <mergeCell ref="Q4:Q5"/>
    <mergeCell ref="R4:R5"/>
    <mergeCell ref="S4:S5"/>
    <mergeCell ref="T4:T5"/>
    <mergeCell ref="AI4:AI5"/>
    <mergeCell ref="G2:G4"/>
    <mergeCell ref="A2:A5"/>
    <mergeCell ref="B2:B5"/>
    <mergeCell ref="C2:C5"/>
    <mergeCell ref="D2:D4"/>
    <mergeCell ref="F2:F4"/>
  </mergeCells>
  <hyperlinks>
    <hyperlink ref="F5" r:id="rId1"/>
    <hyperlink ref="G5" r:id="rId2"/>
    <hyperlink ref="I5" r:id="rId3"/>
    <hyperlink ref="J5" r:id="rId4"/>
  </hyperlinks>
  <pageMargins left="0.7" right="0.7" top="0.75" bottom="0.75" header="0.3" footer="0.3"/>
  <pageSetup paperSize="9" orientation="portrait" r:id="rId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BQ300"/>
  <sheetViews>
    <sheetView workbookViewId="0">
      <selection activeCell="M15" sqref="M15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9.28515625" customWidth="1"/>
    <col min="7" max="7" width="8.28515625" customWidth="1"/>
    <col min="8" max="8" width="0.28515625" customWidth="1"/>
    <col min="9" max="10" width="9.7109375" customWidth="1"/>
    <col min="11" max="11" width="0.28515625" customWidth="1"/>
    <col min="12" max="12" width="10.7109375" customWidth="1"/>
    <col min="13" max="14" width="9.5703125" customWidth="1"/>
    <col min="15" max="17" width="7.85546875" customWidth="1"/>
    <col min="18" max="18" width="10" customWidth="1"/>
    <col min="19" max="20" width="7.85546875" customWidth="1"/>
    <col min="21" max="22" width="9.5703125" customWidth="1"/>
    <col min="23" max="23" width="0.28515625" customWidth="1"/>
    <col min="24" max="25" width="9.5703125" customWidth="1"/>
    <col min="26" max="27" width="7.85546875" customWidth="1"/>
    <col min="28" max="28" width="10" customWidth="1"/>
    <col min="29" max="30" width="7.85546875" customWidth="1"/>
    <col min="31" max="32" width="9.5703125" customWidth="1"/>
    <col min="33" max="33" width="0.28515625" customWidth="1"/>
    <col min="34" max="34" width="9" customWidth="1"/>
    <col min="35" max="37" width="7.85546875" customWidth="1"/>
    <col min="38" max="38" width="10" customWidth="1"/>
    <col min="39" max="40" width="7.85546875" customWidth="1"/>
    <col min="41" max="41" width="8.85546875" customWidth="1"/>
    <col min="42" max="42" width="7.85546875" customWidth="1"/>
    <col min="43" max="43" width="0.28515625" customWidth="1"/>
    <col min="44" max="44" width="7.5703125" customWidth="1"/>
    <col min="45" max="47" width="7.85546875" customWidth="1"/>
    <col min="48" max="48" width="10" customWidth="1"/>
    <col min="49" max="49" width="7.42578125" customWidth="1"/>
    <col min="50" max="50" width="7.85546875" customWidth="1"/>
    <col min="51" max="51" width="8.85546875" customWidth="1"/>
    <col min="52" max="52" width="7.85546875" customWidth="1"/>
    <col min="53" max="53" width="0.28515625" customWidth="1"/>
    <col min="54" max="54" width="9.42578125" customWidth="1"/>
    <col min="55" max="55" width="9" customWidth="1"/>
    <col min="56" max="57" width="7.85546875" customWidth="1"/>
    <col min="58" max="58" width="10" customWidth="1"/>
    <col min="59" max="59" width="8.85546875" customWidth="1"/>
    <col min="60" max="60" width="7.85546875" customWidth="1"/>
    <col min="61" max="61" width="8.85546875" customWidth="1"/>
    <col min="62" max="62" width="7.85546875" customWidth="1"/>
    <col min="63" max="63" width="0.28515625" customWidth="1"/>
    <col min="64" max="64" width="8.140625" customWidth="1"/>
    <col min="65" max="65" width="9.140625" customWidth="1"/>
    <col min="66" max="66" width="10.7109375" customWidth="1"/>
    <col min="67" max="67" width="8.140625" customWidth="1"/>
    <col min="68" max="68" width="9.140625" customWidth="1"/>
    <col min="69" max="69" width="10.140625" customWidth="1"/>
    <col min="70" max="70" width="4.7109375" customWidth="1"/>
  </cols>
  <sheetData>
    <row r="1" spans="1:69" s="156" customFormat="1" ht="3.75" customHeight="1" x14ac:dyDescent="0.2"/>
    <row r="2" spans="1:69" s="156" customFormat="1" ht="24" customHeight="1" x14ac:dyDescent="0.2">
      <c r="A2" s="282" t="s">
        <v>19</v>
      </c>
      <c r="B2" s="283" t="s">
        <v>20</v>
      </c>
      <c r="C2" s="283" t="s">
        <v>21</v>
      </c>
      <c r="D2" s="284" t="s">
        <v>22</v>
      </c>
      <c r="E2" s="157"/>
      <c r="F2" s="281" t="s">
        <v>23</v>
      </c>
      <c r="G2" s="280" t="s">
        <v>24</v>
      </c>
      <c r="H2" s="158"/>
      <c r="I2" s="280" t="s">
        <v>25</v>
      </c>
      <c r="J2" s="281" t="s">
        <v>26</v>
      </c>
      <c r="K2" s="158"/>
      <c r="L2" s="276" t="s">
        <v>27</v>
      </c>
      <c r="M2" s="276"/>
      <c r="N2" s="276"/>
      <c r="O2" s="276"/>
      <c r="P2" s="276"/>
      <c r="Q2" s="276"/>
      <c r="R2" s="276"/>
      <c r="S2" s="276"/>
      <c r="T2" s="276"/>
      <c r="U2" s="276"/>
      <c r="V2" s="276"/>
      <c r="W2" s="159"/>
      <c r="X2" s="277" t="s">
        <v>28</v>
      </c>
      <c r="Y2" s="277"/>
      <c r="Z2" s="277"/>
      <c r="AA2" s="277"/>
      <c r="AB2" s="277"/>
      <c r="AC2" s="277"/>
      <c r="AD2" s="277"/>
      <c r="AE2" s="277"/>
      <c r="AF2" s="277"/>
      <c r="AG2" s="160"/>
      <c r="AH2" s="278" t="s">
        <v>29</v>
      </c>
      <c r="AI2" s="278"/>
      <c r="AJ2" s="278"/>
      <c r="AK2" s="278"/>
      <c r="AL2" s="278"/>
      <c r="AM2" s="278"/>
      <c r="AN2" s="278"/>
      <c r="AO2" s="278"/>
      <c r="AP2" s="278"/>
      <c r="AQ2" s="161"/>
      <c r="AR2" s="279" t="s">
        <v>30</v>
      </c>
      <c r="AS2" s="279"/>
      <c r="AT2" s="279"/>
      <c r="AU2" s="279"/>
      <c r="AV2" s="279"/>
      <c r="AW2" s="279"/>
      <c r="AX2" s="279"/>
      <c r="AY2" s="279"/>
      <c r="AZ2" s="279"/>
      <c r="BA2" s="161"/>
      <c r="BB2" s="274" t="s">
        <v>31</v>
      </c>
      <c r="BC2" s="274"/>
      <c r="BD2" s="274"/>
      <c r="BE2" s="274"/>
      <c r="BF2" s="274"/>
      <c r="BG2" s="274"/>
      <c r="BH2" s="274"/>
      <c r="BI2" s="274"/>
      <c r="BJ2" s="274"/>
      <c r="BK2" s="162"/>
      <c r="BL2" s="275" t="s">
        <v>32</v>
      </c>
      <c r="BM2" s="275"/>
      <c r="BN2" s="275"/>
      <c r="BO2" s="275"/>
      <c r="BP2" s="275"/>
      <c r="BQ2" s="275"/>
    </row>
    <row r="3" spans="1:69" s="156" customFormat="1" ht="20.25" customHeight="1" x14ac:dyDescent="0.2">
      <c r="A3" s="282"/>
      <c r="B3" s="283"/>
      <c r="C3" s="283"/>
      <c r="D3" s="284"/>
      <c r="E3" s="157"/>
      <c r="F3" s="281"/>
      <c r="G3" s="280"/>
      <c r="H3" s="158"/>
      <c r="I3" s="280"/>
      <c r="J3" s="281"/>
      <c r="K3" s="158"/>
      <c r="L3" s="276" t="s">
        <v>701</v>
      </c>
      <c r="M3" s="276"/>
      <c r="N3" s="276"/>
      <c r="O3" s="276"/>
      <c r="P3" s="276"/>
      <c r="Q3" s="276"/>
      <c r="R3" s="276"/>
      <c r="S3" s="276"/>
      <c r="T3" s="276"/>
      <c r="U3" s="276"/>
      <c r="V3" s="276"/>
      <c r="W3" s="159"/>
      <c r="X3" s="277" t="s">
        <v>702</v>
      </c>
      <c r="Y3" s="277"/>
      <c r="Z3" s="277"/>
      <c r="AA3" s="277"/>
      <c r="AB3" s="277"/>
      <c r="AC3" s="277"/>
      <c r="AD3" s="277"/>
      <c r="AE3" s="277"/>
      <c r="AF3" s="277"/>
      <c r="AG3" s="159"/>
      <c r="AH3" s="278" t="s">
        <v>699</v>
      </c>
      <c r="AI3" s="278"/>
      <c r="AJ3" s="278"/>
      <c r="AK3" s="278"/>
      <c r="AL3" s="278"/>
      <c r="AM3" s="278"/>
      <c r="AN3" s="278"/>
      <c r="AO3" s="278"/>
      <c r="AP3" s="278"/>
      <c r="AQ3" s="159"/>
      <c r="AR3" s="279" t="s">
        <v>698</v>
      </c>
      <c r="AS3" s="279"/>
      <c r="AT3" s="279"/>
      <c r="AU3" s="279"/>
      <c r="AV3" s="279"/>
      <c r="AW3" s="279"/>
      <c r="AX3" s="279"/>
      <c r="AY3" s="279"/>
      <c r="AZ3" s="279"/>
      <c r="BA3" s="159"/>
      <c r="BB3" s="274" t="s">
        <v>703</v>
      </c>
      <c r="BC3" s="274"/>
      <c r="BD3" s="274"/>
      <c r="BE3" s="274"/>
      <c r="BF3" s="274"/>
      <c r="BG3" s="274"/>
      <c r="BH3" s="274"/>
      <c r="BI3" s="274"/>
      <c r="BJ3" s="274"/>
      <c r="BK3" s="162"/>
      <c r="BL3" s="275" t="s">
        <v>700</v>
      </c>
      <c r="BM3" s="275"/>
      <c r="BN3" s="275"/>
      <c r="BO3" s="275"/>
      <c r="BP3" s="275"/>
      <c r="BQ3" s="275"/>
    </row>
    <row r="4" spans="1:69" s="156" customFormat="1" ht="20.25" customHeight="1" x14ac:dyDescent="0.2">
      <c r="A4" s="282"/>
      <c r="B4" s="283"/>
      <c r="C4" s="283"/>
      <c r="D4" s="284"/>
      <c r="E4" s="157"/>
      <c r="F4" s="281"/>
      <c r="G4" s="280"/>
      <c r="H4" s="158"/>
      <c r="I4" s="280"/>
      <c r="J4" s="281"/>
      <c r="K4" s="158"/>
      <c r="L4" s="273" t="s">
        <v>33</v>
      </c>
      <c r="M4" s="273" t="s">
        <v>34</v>
      </c>
      <c r="N4" s="273" t="s">
        <v>35</v>
      </c>
      <c r="O4" s="273" t="s">
        <v>36</v>
      </c>
      <c r="P4" s="273" t="s">
        <v>37</v>
      </c>
      <c r="Q4" s="273" t="s">
        <v>38</v>
      </c>
      <c r="R4" s="273" t="s">
        <v>39</v>
      </c>
      <c r="S4" s="273" t="s">
        <v>40</v>
      </c>
      <c r="T4" s="273" t="s">
        <v>41</v>
      </c>
      <c r="U4" s="273" t="s">
        <v>42</v>
      </c>
      <c r="V4" s="273" t="s">
        <v>43</v>
      </c>
      <c r="W4" s="159"/>
      <c r="X4" s="272" t="s">
        <v>44</v>
      </c>
      <c r="Y4" s="272" t="s">
        <v>36</v>
      </c>
      <c r="Z4" s="272" t="s">
        <v>37</v>
      </c>
      <c r="AA4" s="272" t="s">
        <v>38</v>
      </c>
      <c r="AB4" s="272" t="s">
        <v>39</v>
      </c>
      <c r="AC4" s="272" t="s">
        <v>40</v>
      </c>
      <c r="AD4" s="272" t="s">
        <v>41</v>
      </c>
      <c r="AE4" s="272" t="s">
        <v>42</v>
      </c>
      <c r="AF4" s="272" t="s">
        <v>43</v>
      </c>
      <c r="AG4" s="159"/>
      <c r="AH4" s="271" t="s">
        <v>45</v>
      </c>
      <c r="AI4" s="271" t="s">
        <v>36</v>
      </c>
      <c r="AJ4" s="271" t="s">
        <v>37</v>
      </c>
      <c r="AK4" s="271" t="s">
        <v>38</v>
      </c>
      <c r="AL4" s="271" t="s">
        <v>39</v>
      </c>
      <c r="AM4" s="271" t="s">
        <v>40</v>
      </c>
      <c r="AN4" s="271" t="s">
        <v>41</v>
      </c>
      <c r="AO4" s="271" t="s">
        <v>42</v>
      </c>
      <c r="AP4" s="271" t="s">
        <v>43</v>
      </c>
      <c r="AQ4" s="159"/>
      <c r="AR4" s="270" t="s">
        <v>46</v>
      </c>
      <c r="AS4" s="270" t="s">
        <v>36</v>
      </c>
      <c r="AT4" s="270" t="s">
        <v>37</v>
      </c>
      <c r="AU4" s="270" t="s">
        <v>38</v>
      </c>
      <c r="AV4" s="270" t="s">
        <v>39</v>
      </c>
      <c r="AW4" s="270" t="s">
        <v>40</v>
      </c>
      <c r="AX4" s="270" t="s">
        <v>41</v>
      </c>
      <c r="AY4" s="270" t="s">
        <v>42</v>
      </c>
      <c r="AZ4" s="270" t="s">
        <v>43</v>
      </c>
      <c r="BA4" s="159"/>
      <c r="BB4" s="269" t="s">
        <v>47</v>
      </c>
      <c r="BC4" s="269" t="s">
        <v>36</v>
      </c>
      <c r="BD4" s="269" t="s">
        <v>37</v>
      </c>
      <c r="BE4" s="269" t="s">
        <v>38</v>
      </c>
      <c r="BF4" s="269" t="s">
        <v>39</v>
      </c>
      <c r="BG4" s="269" t="s">
        <v>40</v>
      </c>
      <c r="BH4" s="269" t="s">
        <v>41</v>
      </c>
      <c r="BI4" s="269" t="s">
        <v>42</v>
      </c>
      <c r="BJ4" s="269" t="s">
        <v>43</v>
      </c>
      <c r="BK4" s="162"/>
      <c r="BL4" s="268" t="s">
        <v>48</v>
      </c>
      <c r="BM4" s="268" t="s">
        <v>49</v>
      </c>
      <c r="BN4" s="268" t="s">
        <v>41</v>
      </c>
      <c r="BO4" s="268" t="s">
        <v>50</v>
      </c>
      <c r="BP4" s="268" t="s">
        <v>51</v>
      </c>
      <c r="BQ4" s="268" t="s">
        <v>41</v>
      </c>
    </row>
    <row r="5" spans="1:69" s="156" customFormat="1" ht="20.25" customHeight="1" x14ac:dyDescent="0.2">
      <c r="A5" s="282"/>
      <c r="B5" s="283"/>
      <c r="C5" s="283"/>
      <c r="D5" s="211" t="s">
        <v>376</v>
      </c>
      <c r="E5" s="157"/>
      <c r="F5" s="163" t="s">
        <v>52</v>
      </c>
      <c r="G5" s="164" t="s">
        <v>52</v>
      </c>
      <c r="H5" s="158"/>
      <c r="I5" s="163" t="s">
        <v>52</v>
      </c>
      <c r="J5" s="163" t="s">
        <v>52</v>
      </c>
      <c r="K5" s="158"/>
      <c r="L5" s="273"/>
      <c r="M5" s="273"/>
      <c r="N5" s="273"/>
      <c r="O5" s="273"/>
      <c r="P5" s="273"/>
      <c r="Q5" s="273"/>
      <c r="R5" s="273"/>
      <c r="S5" s="273"/>
      <c r="T5" s="273"/>
      <c r="U5" s="273"/>
      <c r="V5" s="273"/>
      <c r="W5" s="159"/>
      <c r="X5" s="272"/>
      <c r="Y5" s="272"/>
      <c r="Z5" s="272"/>
      <c r="AA5" s="272"/>
      <c r="AB5" s="272"/>
      <c r="AC5" s="272"/>
      <c r="AD5" s="272"/>
      <c r="AE5" s="272"/>
      <c r="AF5" s="272"/>
      <c r="AG5" s="159"/>
      <c r="AH5" s="271"/>
      <c r="AI5" s="271"/>
      <c r="AJ5" s="271"/>
      <c r="AK5" s="271"/>
      <c r="AL5" s="271"/>
      <c r="AM5" s="271"/>
      <c r="AN5" s="271"/>
      <c r="AO5" s="271"/>
      <c r="AP5" s="271"/>
      <c r="AQ5" s="159"/>
      <c r="AR5" s="270"/>
      <c r="AS5" s="270"/>
      <c r="AT5" s="270"/>
      <c r="AU5" s="270"/>
      <c r="AV5" s="270"/>
      <c r="AW5" s="270"/>
      <c r="AX5" s="270"/>
      <c r="AY5" s="270"/>
      <c r="AZ5" s="270"/>
      <c r="BA5" s="159"/>
      <c r="BB5" s="269"/>
      <c r="BC5" s="269"/>
      <c r="BD5" s="269"/>
      <c r="BE5" s="269"/>
      <c r="BF5" s="269"/>
      <c r="BG5" s="269"/>
      <c r="BH5" s="269"/>
      <c r="BI5" s="269"/>
      <c r="BJ5" s="269"/>
      <c r="BK5" s="162"/>
      <c r="BL5" s="268"/>
      <c r="BM5" s="268"/>
      <c r="BN5" s="268"/>
      <c r="BO5" s="268"/>
      <c r="BP5" s="268"/>
      <c r="BQ5" s="268"/>
    </row>
    <row r="6" spans="1:69" s="156" customFormat="1" ht="22.35" customHeight="1" x14ac:dyDescent="0.2">
      <c r="A6" s="165" t="s">
        <v>4</v>
      </c>
      <c r="B6" s="165" t="s">
        <v>0</v>
      </c>
      <c r="C6" s="165" t="s">
        <v>5</v>
      </c>
      <c r="D6" s="166">
        <v>1.89995189988889</v>
      </c>
      <c r="E6" s="167"/>
      <c r="F6" s="168">
        <v>4.65E-2</v>
      </c>
      <c r="G6" s="168">
        <v>4.1500000000000002E-2</v>
      </c>
      <c r="H6" s="169"/>
      <c r="I6" s="170">
        <v>6</v>
      </c>
      <c r="J6" s="170">
        <v>6</v>
      </c>
      <c r="K6" s="167"/>
      <c r="L6" s="171">
        <v>265.52704</v>
      </c>
      <c r="M6" s="171">
        <v>219.12684999999999</v>
      </c>
      <c r="N6" s="171">
        <v>484.65388999999999</v>
      </c>
      <c r="O6" s="166">
        <v>255.08745249200399</v>
      </c>
      <c r="P6" s="172">
        <v>234.65600000000001</v>
      </c>
      <c r="Q6" s="182">
        <v>1.08706980640599</v>
      </c>
      <c r="R6" s="183">
        <v>-39.648202911905003</v>
      </c>
      <c r="S6" s="168">
        <v>5.4999999999999997E-3</v>
      </c>
      <c r="T6" s="168">
        <v>4.4999999999999997E-3</v>
      </c>
      <c r="U6" s="175">
        <v>0</v>
      </c>
      <c r="V6" s="176">
        <v>51</v>
      </c>
      <c r="W6" s="167"/>
      <c r="X6" s="175">
        <v>1551.5223149999999</v>
      </c>
      <c r="Y6" s="166">
        <v>816.61136531442401</v>
      </c>
      <c r="Z6" s="177">
        <v>573</v>
      </c>
      <c r="AA6" s="178">
        <v>1.4251507248070201</v>
      </c>
      <c r="AB6" s="179">
        <v>271.24352716367099</v>
      </c>
      <c r="AC6" s="168">
        <v>0.02</v>
      </c>
      <c r="AD6" s="168">
        <v>0.02</v>
      </c>
      <c r="AE6" s="176">
        <v>0</v>
      </c>
      <c r="AF6" s="176">
        <v>0</v>
      </c>
      <c r="AG6" s="167"/>
      <c r="AH6" s="180">
        <v>127.1</v>
      </c>
      <c r="AI6" s="166">
        <v>66.896430381965402</v>
      </c>
      <c r="AJ6" s="181" t="s">
        <v>53</v>
      </c>
      <c r="AK6" s="182">
        <v>1.0618481013010399</v>
      </c>
      <c r="AL6" s="183">
        <v>-13.6636363589681</v>
      </c>
      <c r="AM6" s="168">
        <v>8.0000000000000002E-3</v>
      </c>
      <c r="AN6" s="168">
        <v>6.0000000000000001E-3</v>
      </c>
      <c r="AO6" s="176">
        <v>0</v>
      </c>
      <c r="AP6" s="176">
        <v>17</v>
      </c>
      <c r="AQ6" s="167"/>
      <c r="AR6" s="180">
        <v>20.2</v>
      </c>
      <c r="AS6" s="166">
        <v>10.631848101618401</v>
      </c>
      <c r="AT6" s="181" t="s">
        <v>54</v>
      </c>
      <c r="AU6" s="173">
        <v>0.66449050635115103</v>
      </c>
      <c r="AV6" s="174">
        <v>-15.5494949483094</v>
      </c>
      <c r="AW6" s="168"/>
      <c r="AX6" s="168"/>
      <c r="AY6" s="176">
        <v>11</v>
      </c>
      <c r="AZ6" s="176">
        <v>17</v>
      </c>
      <c r="BA6" s="167"/>
      <c r="BB6" s="184">
        <v>67.400000000000006</v>
      </c>
      <c r="BC6" s="180">
        <v>35.474582279657497</v>
      </c>
      <c r="BD6" s="181" t="s">
        <v>55</v>
      </c>
      <c r="BE6" s="182">
        <v>1.1085806962392999</v>
      </c>
      <c r="BF6" s="183">
        <v>-4.0989898966186997</v>
      </c>
      <c r="BG6" s="168">
        <v>1.2999999999999999E-2</v>
      </c>
      <c r="BH6" s="168">
        <v>1.0999999999999999E-2</v>
      </c>
      <c r="BI6" s="176">
        <v>0</v>
      </c>
      <c r="BJ6" s="176">
        <v>6</v>
      </c>
      <c r="BK6" s="169"/>
      <c r="BL6" s="185">
        <v>0.8</v>
      </c>
      <c r="BM6" s="182">
        <v>0.84</v>
      </c>
      <c r="BN6" s="186">
        <v>1.5E-3</v>
      </c>
      <c r="BO6" s="187">
        <v>0.95</v>
      </c>
      <c r="BP6" s="178">
        <v>1</v>
      </c>
      <c r="BQ6" s="186">
        <v>2.5000000000000001E-3</v>
      </c>
    </row>
    <row r="7" spans="1:69" s="156" customFormat="1" ht="22.35" customHeight="1" x14ac:dyDescent="0.2">
      <c r="A7" s="165" t="s">
        <v>4</v>
      </c>
      <c r="B7" s="165" t="s">
        <v>0</v>
      </c>
      <c r="C7" s="165" t="s">
        <v>56</v>
      </c>
      <c r="D7" s="166">
        <v>9.1914924981111099</v>
      </c>
      <c r="E7" s="167"/>
      <c r="F7" s="168">
        <v>4.8000000000000001E-2</v>
      </c>
      <c r="G7" s="168">
        <v>4.4999999999999998E-2</v>
      </c>
      <c r="H7" s="169"/>
      <c r="I7" s="170">
        <v>5</v>
      </c>
      <c r="J7" s="170">
        <v>5</v>
      </c>
      <c r="K7" s="167"/>
      <c r="L7" s="171">
        <v>3150.5862900000002</v>
      </c>
      <c r="M7" s="171">
        <v>6346.8770500000001</v>
      </c>
      <c r="N7" s="171">
        <v>9497.4633400000002</v>
      </c>
      <c r="O7" s="166">
        <v>1033.28848301315</v>
      </c>
      <c r="P7" s="172">
        <v>244.07400000000001</v>
      </c>
      <c r="Q7" s="178">
        <v>4.23350493298405</v>
      </c>
      <c r="R7" s="179">
        <v>6859.2198361788496</v>
      </c>
      <c r="S7" s="168">
        <v>0.01</v>
      </c>
      <c r="T7" s="168">
        <v>0.01</v>
      </c>
      <c r="U7" s="175">
        <v>0</v>
      </c>
      <c r="V7" s="176">
        <v>0</v>
      </c>
      <c r="W7" s="167"/>
      <c r="X7" s="175">
        <v>6079.8051349999996</v>
      </c>
      <c r="Y7" s="166">
        <v>661.46005518139998</v>
      </c>
      <c r="Z7" s="177">
        <v>573</v>
      </c>
      <c r="AA7" s="182">
        <v>1.1543805500547999</v>
      </c>
      <c r="AB7" s="183">
        <v>-113.863701867175</v>
      </c>
      <c r="AC7" s="168">
        <v>1.7999999999999999E-2</v>
      </c>
      <c r="AD7" s="168">
        <v>1.4999999999999999E-2</v>
      </c>
      <c r="AE7" s="176">
        <v>0</v>
      </c>
      <c r="AF7" s="176">
        <v>241</v>
      </c>
      <c r="AG7" s="167"/>
      <c r="AH7" s="180">
        <v>488.35</v>
      </c>
      <c r="AI7" s="166">
        <v>53.130653166540498</v>
      </c>
      <c r="AJ7" s="181" t="s">
        <v>53</v>
      </c>
      <c r="AK7" s="188">
        <v>0.84334370105619805</v>
      </c>
      <c r="AL7" s="171">
        <v>-192.62929620005599</v>
      </c>
      <c r="AM7" s="168"/>
      <c r="AN7" s="168"/>
      <c r="AO7" s="176">
        <v>91</v>
      </c>
      <c r="AP7" s="176">
        <v>207</v>
      </c>
      <c r="AQ7" s="167"/>
      <c r="AR7" s="180">
        <v>77.7</v>
      </c>
      <c r="AS7" s="166">
        <v>8.4534693376475794</v>
      </c>
      <c r="AT7" s="181" t="s">
        <v>54</v>
      </c>
      <c r="AU7" s="173">
        <v>0.52834183360297404</v>
      </c>
      <c r="AV7" s="174">
        <v>-95.247122844458602</v>
      </c>
      <c r="AW7" s="168"/>
      <c r="AX7" s="168"/>
      <c r="AY7" s="176">
        <v>70</v>
      </c>
      <c r="AZ7" s="176">
        <v>99</v>
      </c>
      <c r="BA7" s="167"/>
      <c r="BB7" s="184">
        <v>389</v>
      </c>
      <c r="BC7" s="180">
        <v>42.321744817823799</v>
      </c>
      <c r="BD7" s="181" t="s">
        <v>55</v>
      </c>
      <c r="BE7" s="178">
        <v>1.3225545255569899</v>
      </c>
      <c r="BF7" s="179">
        <v>43.105754311082698</v>
      </c>
      <c r="BG7" s="168">
        <v>0.02</v>
      </c>
      <c r="BH7" s="168">
        <v>0.02</v>
      </c>
      <c r="BI7" s="176">
        <v>0</v>
      </c>
      <c r="BJ7" s="176">
        <v>0</v>
      </c>
      <c r="BK7" s="169"/>
      <c r="BL7" s="185">
        <v>0.8</v>
      </c>
      <c r="BM7" s="182">
        <v>0.82</v>
      </c>
      <c r="BN7" s="186">
        <v>7.5000000000000002E-4</v>
      </c>
      <c r="BO7" s="187">
        <v>0.95</v>
      </c>
      <c r="BP7" s="178">
        <v>1</v>
      </c>
      <c r="BQ7" s="186">
        <v>2.5000000000000001E-3</v>
      </c>
    </row>
    <row r="8" spans="1:69" s="156" customFormat="1" ht="22.35" customHeight="1" x14ac:dyDescent="0.2">
      <c r="A8" s="165" t="s">
        <v>4</v>
      </c>
      <c r="B8" s="165" t="s">
        <v>0</v>
      </c>
      <c r="C8" s="165" t="s">
        <v>57</v>
      </c>
      <c r="D8" s="166">
        <v>2.4137029143333302</v>
      </c>
      <c r="E8" s="167"/>
      <c r="F8" s="168">
        <v>5.5500000000000001E-2</v>
      </c>
      <c r="G8" s="168">
        <v>5.45E-2</v>
      </c>
      <c r="H8" s="169"/>
      <c r="I8" s="170">
        <v>6</v>
      </c>
      <c r="J8" s="170">
        <v>6</v>
      </c>
      <c r="K8" s="167"/>
      <c r="L8" s="171">
        <v>1159.26242</v>
      </c>
      <c r="M8" s="171">
        <v>733.07960000000003</v>
      </c>
      <c r="N8" s="171">
        <v>1892.34202</v>
      </c>
      <c r="O8" s="166">
        <v>783.99955883662096</v>
      </c>
      <c r="P8" s="172">
        <v>214.66499999999999</v>
      </c>
      <c r="Q8" s="178">
        <v>3.6522002135262901</v>
      </c>
      <c r="R8" s="179">
        <v>1283.0122775400901</v>
      </c>
      <c r="S8" s="168">
        <v>0.01</v>
      </c>
      <c r="T8" s="168">
        <v>0.01</v>
      </c>
      <c r="U8" s="175">
        <v>0</v>
      </c>
      <c r="V8" s="176">
        <v>0</v>
      </c>
      <c r="W8" s="167"/>
      <c r="X8" s="175">
        <v>2262.6126450000002</v>
      </c>
      <c r="Y8" s="166">
        <v>937.40312097395599</v>
      </c>
      <c r="Z8" s="177">
        <v>573</v>
      </c>
      <c r="AA8" s="178">
        <v>1.6359565811063801</v>
      </c>
      <c r="AB8" s="179">
        <v>636.14376358231505</v>
      </c>
      <c r="AC8" s="168">
        <v>0.02</v>
      </c>
      <c r="AD8" s="168">
        <v>0.02</v>
      </c>
      <c r="AE8" s="176">
        <v>0</v>
      </c>
      <c r="AF8" s="176">
        <v>0</v>
      </c>
      <c r="AG8" s="167"/>
      <c r="AH8" s="180">
        <v>114.85</v>
      </c>
      <c r="AI8" s="166">
        <v>47.582492160896997</v>
      </c>
      <c r="AJ8" s="181" t="s">
        <v>53</v>
      </c>
      <c r="AK8" s="173">
        <v>0.75527765334757102</v>
      </c>
      <c r="AL8" s="174">
        <v>-63.976421517127697</v>
      </c>
      <c r="AM8" s="168"/>
      <c r="AN8" s="168"/>
      <c r="AO8" s="176">
        <v>38</v>
      </c>
      <c r="AP8" s="176">
        <v>68</v>
      </c>
      <c r="AQ8" s="167"/>
      <c r="AR8" s="180">
        <v>42.1</v>
      </c>
      <c r="AS8" s="166">
        <v>17.4420802783958</v>
      </c>
      <c r="AT8" s="181" t="s">
        <v>54</v>
      </c>
      <c r="AU8" s="182">
        <v>1.0901300173997399</v>
      </c>
      <c r="AV8" s="183">
        <v>-3.3162340360959299</v>
      </c>
      <c r="AW8" s="168">
        <v>5.4999999999999997E-3</v>
      </c>
      <c r="AX8" s="168">
        <v>4.4999999999999997E-3</v>
      </c>
      <c r="AY8" s="176">
        <v>0</v>
      </c>
      <c r="AZ8" s="176">
        <v>5</v>
      </c>
      <c r="BA8" s="167"/>
      <c r="BB8" s="184">
        <v>117.8</v>
      </c>
      <c r="BC8" s="180">
        <v>48.804680683967497</v>
      </c>
      <c r="BD8" s="181" t="s">
        <v>55</v>
      </c>
      <c r="BE8" s="178">
        <v>1.5251462713739801</v>
      </c>
      <c r="BF8" s="179">
        <v>26.9675319278081</v>
      </c>
      <c r="BG8" s="168">
        <v>0.02</v>
      </c>
      <c r="BH8" s="168">
        <v>0.02</v>
      </c>
      <c r="BI8" s="176">
        <v>0</v>
      </c>
      <c r="BJ8" s="176">
        <v>0</v>
      </c>
      <c r="BK8" s="169"/>
      <c r="BL8" s="185">
        <v>0.8</v>
      </c>
      <c r="BM8" s="182">
        <v>0.89</v>
      </c>
      <c r="BN8" s="186">
        <v>3.375E-3</v>
      </c>
      <c r="BO8" s="187">
        <v>0.95</v>
      </c>
      <c r="BP8" s="178">
        <v>1</v>
      </c>
      <c r="BQ8" s="186">
        <v>2.5000000000000001E-3</v>
      </c>
    </row>
    <row r="9" spans="1:69" s="156" customFormat="1" ht="22.35" customHeight="1" x14ac:dyDescent="0.2">
      <c r="A9" s="165" t="s">
        <v>4</v>
      </c>
      <c r="B9" s="165" t="s">
        <v>0</v>
      </c>
      <c r="C9" s="165" t="s">
        <v>58</v>
      </c>
      <c r="D9" s="166">
        <v>2.8152337733333299</v>
      </c>
      <c r="E9" s="167"/>
      <c r="F9" s="168"/>
      <c r="G9" s="168"/>
      <c r="H9" s="169"/>
      <c r="I9" s="170">
        <v>2</v>
      </c>
      <c r="J9" s="170">
        <v>2</v>
      </c>
      <c r="K9" s="167"/>
      <c r="L9" s="171">
        <v>997.77229999999997</v>
      </c>
      <c r="M9" s="171">
        <v>-673.81940999999995</v>
      </c>
      <c r="N9" s="171">
        <v>323.95289000000002</v>
      </c>
      <c r="O9" s="166">
        <v>115.07139942287201</v>
      </c>
      <c r="P9" s="172">
        <v>212.5</v>
      </c>
      <c r="Q9" s="173">
        <v>0.54151246787233998</v>
      </c>
      <c r="R9" s="174">
        <v>-379.57402995599898</v>
      </c>
      <c r="S9" s="168"/>
      <c r="T9" s="168"/>
      <c r="U9" s="175">
        <v>275</v>
      </c>
      <c r="V9" s="176">
        <v>394</v>
      </c>
      <c r="W9" s="167"/>
      <c r="X9" s="175">
        <v>1542.0214900000001</v>
      </c>
      <c r="Y9" s="166">
        <v>547.741897886581</v>
      </c>
      <c r="Z9" s="177">
        <v>573</v>
      </c>
      <c r="AA9" s="188">
        <v>0.95591954255947797</v>
      </c>
      <c r="AB9" s="171">
        <v>-355.01815769311702</v>
      </c>
      <c r="AC9" s="168"/>
      <c r="AD9" s="168"/>
      <c r="AE9" s="176">
        <v>72</v>
      </c>
      <c r="AF9" s="176">
        <v>394</v>
      </c>
      <c r="AG9" s="167"/>
      <c r="AH9" s="180">
        <v>102</v>
      </c>
      <c r="AI9" s="166">
        <v>36.231449397265699</v>
      </c>
      <c r="AJ9" s="181" t="s">
        <v>53</v>
      </c>
      <c r="AK9" s="173">
        <v>0.57510237138516895</v>
      </c>
      <c r="AL9" s="174">
        <v>-106.57503979872</v>
      </c>
      <c r="AM9" s="168"/>
      <c r="AN9" s="168"/>
      <c r="AO9" s="176">
        <v>76</v>
      </c>
      <c r="AP9" s="176">
        <v>111</v>
      </c>
      <c r="AQ9" s="167"/>
      <c r="AR9" s="180">
        <v>7</v>
      </c>
      <c r="AS9" s="166">
        <v>2.4864720174594099</v>
      </c>
      <c r="AT9" s="181" t="s">
        <v>54</v>
      </c>
      <c r="AU9" s="173">
        <v>0.15540450109121301</v>
      </c>
      <c r="AV9" s="174">
        <v>-45.971438679039899</v>
      </c>
      <c r="AW9" s="168"/>
      <c r="AX9" s="168"/>
      <c r="AY9" s="176">
        <v>39</v>
      </c>
      <c r="AZ9" s="176">
        <v>48</v>
      </c>
      <c r="BA9" s="167"/>
      <c r="BB9" s="184">
        <v>84</v>
      </c>
      <c r="BC9" s="180">
        <v>29.837664209512901</v>
      </c>
      <c r="BD9" s="181" t="s">
        <v>55</v>
      </c>
      <c r="BE9" s="188">
        <v>0.93242700654727795</v>
      </c>
      <c r="BF9" s="171">
        <v>-21.942877358079901</v>
      </c>
      <c r="BG9" s="168"/>
      <c r="BH9" s="168"/>
      <c r="BI9" s="176">
        <v>7</v>
      </c>
      <c r="BJ9" s="176">
        <v>25</v>
      </c>
      <c r="BK9" s="169"/>
      <c r="BL9" s="185">
        <v>0.8</v>
      </c>
      <c r="BM9" s="182">
        <v>0.82</v>
      </c>
      <c r="BN9" s="186">
        <v>7.5000000000000002E-4</v>
      </c>
      <c r="BO9" s="187">
        <v>0.95</v>
      </c>
      <c r="BP9" s="178">
        <v>1</v>
      </c>
      <c r="BQ9" s="186">
        <v>2.5000000000000001E-3</v>
      </c>
    </row>
    <row r="10" spans="1:69" s="156" customFormat="1" ht="22.35" customHeight="1" x14ac:dyDescent="0.2">
      <c r="A10" s="165" t="s">
        <v>4</v>
      </c>
      <c r="B10" s="165" t="s">
        <v>0</v>
      </c>
      <c r="C10" s="165" t="s">
        <v>59</v>
      </c>
      <c r="D10" s="166">
        <v>6.67734879333333</v>
      </c>
      <c r="E10" s="167"/>
      <c r="F10" s="168">
        <v>5.7000000000000002E-2</v>
      </c>
      <c r="G10" s="168">
        <v>5.2999999999999999E-2</v>
      </c>
      <c r="H10" s="169"/>
      <c r="I10" s="170">
        <v>6</v>
      </c>
      <c r="J10" s="170">
        <v>6</v>
      </c>
      <c r="K10" s="167"/>
      <c r="L10" s="171">
        <v>2751.9059999999999</v>
      </c>
      <c r="M10" s="171">
        <v>3131.2479199999998</v>
      </c>
      <c r="N10" s="171">
        <v>5883.1539199999997</v>
      </c>
      <c r="O10" s="166">
        <v>881.06134666407399</v>
      </c>
      <c r="P10" s="172">
        <v>234.65600000000001</v>
      </c>
      <c r="Q10" s="178">
        <v>3.75469345196404</v>
      </c>
      <c r="R10" s="179">
        <v>4040.5030888646502</v>
      </c>
      <c r="S10" s="168">
        <v>0.01</v>
      </c>
      <c r="T10" s="168">
        <v>0.01</v>
      </c>
      <c r="U10" s="175">
        <v>0</v>
      </c>
      <c r="V10" s="176">
        <v>0</v>
      </c>
      <c r="W10" s="167"/>
      <c r="X10" s="175">
        <v>4972.1401400000004</v>
      </c>
      <c r="Y10" s="166">
        <v>744.62788958458896</v>
      </c>
      <c r="Z10" s="177">
        <v>573</v>
      </c>
      <c r="AA10" s="178">
        <v>1.29952511271307</v>
      </c>
      <c r="AB10" s="179">
        <v>472.62201030992298</v>
      </c>
      <c r="AC10" s="168">
        <v>0.02</v>
      </c>
      <c r="AD10" s="168">
        <v>0.02</v>
      </c>
      <c r="AE10" s="176">
        <v>0</v>
      </c>
      <c r="AF10" s="176">
        <v>0</v>
      </c>
      <c r="AG10" s="167"/>
      <c r="AH10" s="180">
        <v>448.1</v>
      </c>
      <c r="AI10" s="166">
        <v>67.107472421896404</v>
      </c>
      <c r="AJ10" s="181" t="s">
        <v>53</v>
      </c>
      <c r="AK10" s="182">
        <v>1.0651979749507401</v>
      </c>
      <c r="AL10" s="183">
        <v>-46.611417400479603</v>
      </c>
      <c r="AM10" s="168">
        <v>8.9999999999999993E-3</v>
      </c>
      <c r="AN10" s="168">
        <v>7.0000000000000001E-3</v>
      </c>
      <c r="AO10" s="176">
        <v>0</v>
      </c>
      <c r="AP10" s="176">
        <v>57</v>
      </c>
      <c r="AQ10" s="167"/>
      <c r="AR10" s="180">
        <v>56.7</v>
      </c>
      <c r="AS10" s="166">
        <v>8.4913940779324406</v>
      </c>
      <c r="AT10" s="181" t="s">
        <v>54</v>
      </c>
      <c r="AU10" s="173">
        <v>0.53071212987077698</v>
      </c>
      <c r="AV10" s="174">
        <v>-68.940994895359907</v>
      </c>
      <c r="AW10" s="168"/>
      <c r="AX10" s="168"/>
      <c r="AY10" s="176">
        <v>51</v>
      </c>
      <c r="AZ10" s="176">
        <v>72</v>
      </c>
      <c r="BA10" s="167"/>
      <c r="BB10" s="184">
        <v>246.8</v>
      </c>
      <c r="BC10" s="180">
        <v>36.960777044686502</v>
      </c>
      <c r="BD10" s="181" t="s">
        <v>55</v>
      </c>
      <c r="BE10" s="182">
        <v>1.1550242826464501</v>
      </c>
      <c r="BF10" s="183">
        <v>-4.4819897907198101</v>
      </c>
      <c r="BG10" s="168">
        <v>1.7999999999999999E-2</v>
      </c>
      <c r="BH10" s="168">
        <v>1.6E-2</v>
      </c>
      <c r="BI10" s="176">
        <v>0</v>
      </c>
      <c r="BJ10" s="176">
        <v>10</v>
      </c>
      <c r="BK10" s="169"/>
      <c r="BL10" s="185">
        <v>0.8</v>
      </c>
      <c r="BM10" s="182">
        <v>0.85</v>
      </c>
      <c r="BN10" s="186">
        <v>1.8749999999999999E-3</v>
      </c>
      <c r="BO10" s="187">
        <v>0.95</v>
      </c>
      <c r="BP10" s="178">
        <v>1</v>
      </c>
      <c r="BQ10" s="186">
        <v>2.5000000000000001E-3</v>
      </c>
    </row>
    <row r="11" spans="1:69" s="156" customFormat="1" ht="22.35" customHeight="1" x14ac:dyDescent="0.2">
      <c r="A11" s="165" t="s">
        <v>4</v>
      </c>
      <c r="B11" s="165" t="s">
        <v>0</v>
      </c>
      <c r="C11" s="165" t="s">
        <v>60</v>
      </c>
      <c r="D11" s="166">
        <v>2.0789473684444402</v>
      </c>
      <c r="E11" s="167"/>
      <c r="F11" s="168">
        <v>4.2999999999999997E-2</v>
      </c>
      <c r="G11" s="168">
        <v>3.9E-2</v>
      </c>
      <c r="H11" s="169"/>
      <c r="I11" s="170">
        <v>6</v>
      </c>
      <c r="J11" s="170">
        <v>6</v>
      </c>
      <c r="K11" s="167"/>
      <c r="L11" s="171">
        <v>483.38405999999998</v>
      </c>
      <c r="M11" s="171">
        <v>332.47917999999999</v>
      </c>
      <c r="N11" s="171">
        <v>815.86324000000002</v>
      </c>
      <c r="O11" s="166">
        <v>392.440545818369</v>
      </c>
      <c r="P11" s="172">
        <v>214.66499999999999</v>
      </c>
      <c r="Q11" s="178">
        <v>1.8281533823323299</v>
      </c>
      <c r="R11" s="179">
        <v>291.04120946777999</v>
      </c>
      <c r="S11" s="168">
        <v>0.01</v>
      </c>
      <c r="T11" s="168">
        <v>0.01</v>
      </c>
      <c r="U11" s="175">
        <v>0</v>
      </c>
      <c r="V11" s="176">
        <v>0</v>
      </c>
      <c r="W11" s="167"/>
      <c r="X11" s="175">
        <v>1277.92544</v>
      </c>
      <c r="Y11" s="166">
        <v>614.69831290447598</v>
      </c>
      <c r="Z11" s="177">
        <v>573</v>
      </c>
      <c r="AA11" s="182">
        <v>1.0727719247896601</v>
      </c>
      <c r="AB11" s="183">
        <v>-122.96908633154899</v>
      </c>
      <c r="AC11" s="168">
        <v>8.9999999999999993E-3</v>
      </c>
      <c r="AD11" s="168">
        <v>7.0000000000000001E-3</v>
      </c>
      <c r="AE11" s="176">
        <v>0</v>
      </c>
      <c r="AF11" s="176">
        <v>152</v>
      </c>
      <c r="AG11" s="167"/>
      <c r="AH11" s="180">
        <v>134</v>
      </c>
      <c r="AI11" s="166">
        <v>64.455696201806404</v>
      </c>
      <c r="AJ11" s="181" t="s">
        <v>53</v>
      </c>
      <c r="AK11" s="182">
        <v>1.0231062889175599</v>
      </c>
      <c r="AL11" s="183">
        <v>-20.025052633311599</v>
      </c>
      <c r="AM11" s="168">
        <v>4.0000000000000001E-3</v>
      </c>
      <c r="AN11" s="168">
        <v>2E-3</v>
      </c>
      <c r="AO11" s="176">
        <v>0</v>
      </c>
      <c r="AP11" s="176">
        <v>24</v>
      </c>
      <c r="AQ11" s="167"/>
      <c r="AR11" s="180">
        <v>25.4</v>
      </c>
      <c r="AS11" s="166">
        <v>12.217721518849901</v>
      </c>
      <c r="AT11" s="181" t="s">
        <v>54</v>
      </c>
      <c r="AU11" s="173">
        <v>0.76360759492811703</v>
      </c>
      <c r="AV11" s="174">
        <v>-13.717473684650599</v>
      </c>
      <c r="AW11" s="168"/>
      <c r="AX11" s="168"/>
      <c r="AY11" s="176">
        <v>8</v>
      </c>
      <c r="AZ11" s="176">
        <v>15</v>
      </c>
      <c r="BA11" s="167"/>
      <c r="BB11" s="184">
        <v>81.8</v>
      </c>
      <c r="BC11" s="180">
        <v>39.3468354425952</v>
      </c>
      <c r="BD11" s="181" t="s">
        <v>55</v>
      </c>
      <c r="BE11" s="178">
        <v>1.2295886075811</v>
      </c>
      <c r="BF11" s="179">
        <v>3.5650526306988399</v>
      </c>
      <c r="BG11" s="168">
        <v>0.02</v>
      </c>
      <c r="BH11" s="168">
        <v>0.02</v>
      </c>
      <c r="BI11" s="176">
        <v>0</v>
      </c>
      <c r="BJ11" s="176">
        <v>0</v>
      </c>
      <c r="BK11" s="169"/>
      <c r="BL11" s="185">
        <v>0.8</v>
      </c>
      <c r="BM11" s="182">
        <v>0.85</v>
      </c>
      <c r="BN11" s="186">
        <v>1.8749999999999999E-3</v>
      </c>
      <c r="BO11" s="187">
        <v>0.95</v>
      </c>
      <c r="BP11" s="178">
        <v>1</v>
      </c>
      <c r="BQ11" s="186">
        <v>2.5000000000000001E-3</v>
      </c>
    </row>
    <row r="12" spans="1:69" s="156" customFormat="1" ht="22.35" customHeight="1" x14ac:dyDescent="0.2">
      <c r="A12" s="165" t="s">
        <v>4</v>
      </c>
      <c r="B12" s="165" t="s">
        <v>0</v>
      </c>
      <c r="C12" s="165" t="s">
        <v>61</v>
      </c>
      <c r="D12" s="166">
        <v>5.4163613696666699</v>
      </c>
      <c r="E12" s="167"/>
      <c r="F12" s="168">
        <v>3.6999999999999998E-2</v>
      </c>
      <c r="G12" s="168">
        <v>3.5000000000000003E-2</v>
      </c>
      <c r="H12" s="169"/>
      <c r="I12" s="170">
        <v>4</v>
      </c>
      <c r="J12" s="170">
        <v>4</v>
      </c>
      <c r="K12" s="167"/>
      <c r="L12" s="171">
        <v>2239.0366100000001</v>
      </c>
      <c r="M12" s="171">
        <v>2129.46144</v>
      </c>
      <c r="N12" s="171">
        <v>4368.4980500000001</v>
      </c>
      <c r="O12" s="166">
        <v>806.53740617547601</v>
      </c>
      <c r="P12" s="172">
        <v>216.447</v>
      </c>
      <c r="Q12" s="178">
        <v>3.72625818872738</v>
      </c>
      <c r="R12" s="179">
        <v>2989.8083708088402</v>
      </c>
      <c r="S12" s="168">
        <v>0.01</v>
      </c>
      <c r="T12" s="168">
        <v>0.01</v>
      </c>
      <c r="U12" s="175">
        <v>0</v>
      </c>
      <c r="V12" s="176">
        <v>0</v>
      </c>
      <c r="W12" s="167"/>
      <c r="X12" s="175">
        <v>3256.31673</v>
      </c>
      <c r="Y12" s="166">
        <v>601.20005069019203</v>
      </c>
      <c r="Z12" s="177">
        <v>573</v>
      </c>
      <c r="AA12" s="182">
        <v>1.0492147481504199</v>
      </c>
      <c r="AB12" s="183">
        <v>-393.487546227145</v>
      </c>
      <c r="AC12" s="168">
        <v>7.0000000000000001E-3</v>
      </c>
      <c r="AD12" s="168">
        <v>5.0000000000000001E-3</v>
      </c>
      <c r="AE12" s="176">
        <v>0</v>
      </c>
      <c r="AF12" s="176">
        <v>468</v>
      </c>
      <c r="AG12" s="167"/>
      <c r="AH12" s="180">
        <v>332.6</v>
      </c>
      <c r="AI12" s="166">
        <v>61.406537950489202</v>
      </c>
      <c r="AJ12" s="181" t="s">
        <v>53</v>
      </c>
      <c r="AK12" s="188">
        <v>0.97470695159506704</v>
      </c>
      <c r="AL12" s="171">
        <v>-68.687381155864102</v>
      </c>
      <c r="AM12" s="168"/>
      <c r="AN12" s="168"/>
      <c r="AO12" s="176">
        <v>9</v>
      </c>
      <c r="AP12" s="176">
        <v>77</v>
      </c>
      <c r="AQ12" s="167"/>
      <c r="AR12" s="180">
        <v>51.2</v>
      </c>
      <c r="AS12" s="166">
        <v>9.4528404782472908</v>
      </c>
      <c r="AT12" s="181" t="s">
        <v>54</v>
      </c>
      <c r="AU12" s="173">
        <v>0.59080252989045601</v>
      </c>
      <c r="AV12" s="174">
        <v>-50.714255531648</v>
      </c>
      <c r="AW12" s="168"/>
      <c r="AX12" s="168"/>
      <c r="AY12" s="176">
        <v>36</v>
      </c>
      <c r="AZ12" s="176">
        <v>53</v>
      </c>
      <c r="BA12" s="167"/>
      <c r="BB12" s="184">
        <v>213.2</v>
      </c>
      <c r="BC12" s="180">
        <v>39.3622185539516</v>
      </c>
      <c r="BD12" s="181" t="s">
        <v>55</v>
      </c>
      <c r="BE12" s="178">
        <v>1.2300693298109899</v>
      </c>
      <c r="BF12" s="179">
        <v>9.3714889367039405</v>
      </c>
      <c r="BG12" s="168">
        <v>0.02</v>
      </c>
      <c r="BH12" s="168">
        <v>0.02</v>
      </c>
      <c r="BI12" s="176">
        <v>0</v>
      </c>
      <c r="BJ12" s="176">
        <v>0</v>
      </c>
      <c r="BK12" s="169"/>
      <c r="BL12" s="185">
        <v>0.8</v>
      </c>
      <c r="BM12" s="188">
        <v>0.78</v>
      </c>
      <c r="BN12" s="186"/>
      <c r="BO12" s="187">
        <v>0.95</v>
      </c>
      <c r="BP12" s="178">
        <v>1</v>
      </c>
      <c r="BQ12" s="186">
        <v>2.5000000000000001E-3</v>
      </c>
    </row>
    <row r="13" spans="1:69" s="156" customFormat="1" ht="22.35" customHeight="1" x14ac:dyDescent="0.2">
      <c r="A13" s="165" t="s">
        <v>4</v>
      </c>
      <c r="B13" s="165" t="s">
        <v>0</v>
      </c>
      <c r="C13" s="165" t="s">
        <v>62</v>
      </c>
      <c r="D13" s="166">
        <v>2.5347178251111102</v>
      </c>
      <c r="E13" s="167"/>
      <c r="F13" s="168">
        <v>6.7000000000000004E-2</v>
      </c>
      <c r="G13" s="168">
        <v>6.4000000000000001E-2</v>
      </c>
      <c r="H13" s="169"/>
      <c r="I13" s="170">
        <v>6</v>
      </c>
      <c r="J13" s="170">
        <v>6</v>
      </c>
      <c r="K13" s="167"/>
      <c r="L13" s="171">
        <v>1992.38537</v>
      </c>
      <c r="M13" s="171">
        <v>1472.79242</v>
      </c>
      <c r="N13" s="171">
        <v>3465.1777900000002</v>
      </c>
      <c r="O13" s="166">
        <v>1367.0862119921001</v>
      </c>
      <c r="P13" s="172">
        <v>223.197</v>
      </c>
      <c r="Q13" s="178">
        <v>6.1250205513160996</v>
      </c>
      <c r="R13" s="179">
        <v>2799.8658866522801</v>
      </c>
      <c r="S13" s="168">
        <v>0.01</v>
      </c>
      <c r="T13" s="168">
        <v>0.01</v>
      </c>
      <c r="U13" s="175">
        <v>0</v>
      </c>
      <c r="V13" s="176">
        <v>0</v>
      </c>
      <c r="W13" s="167"/>
      <c r="X13" s="175">
        <v>2294.2151699999999</v>
      </c>
      <c r="Y13" s="166">
        <v>905.11659612423796</v>
      </c>
      <c r="Z13" s="177">
        <v>573</v>
      </c>
      <c r="AA13" s="178">
        <v>1.5796101154000699</v>
      </c>
      <c r="AB13" s="179">
        <v>586.20063298452897</v>
      </c>
      <c r="AC13" s="168">
        <v>0.02</v>
      </c>
      <c r="AD13" s="168">
        <v>0.02</v>
      </c>
      <c r="AE13" s="176">
        <v>0</v>
      </c>
      <c r="AF13" s="176">
        <v>0</v>
      </c>
      <c r="AG13" s="167"/>
      <c r="AH13" s="180">
        <v>182.45</v>
      </c>
      <c r="AI13" s="166">
        <v>71.980398840648903</v>
      </c>
      <c r="AJ13" s="181" t="s">
        <v>53</v>
      </c>
      <c r="AK13" s="182">
        <v>1.14254601334363</v>
      </c>
      <c r="AL13" s="183">
        <v>-5.3421742268318697</v>
      </c>
      <c r="AM13" s="168">
        <v>1.7000000000000001E-2</v>
      </c>
      <c r="AN13" s="168">
        <v>1.4E-2</v>
      </c>
      <c r="AO13" s="176">
        <v>0</v>
      </c>
      <c r="AP13" s="176">
        <v>10</v>
      </c>
      <c r="AQ13" s="167"/>
      <c r="AR13" s="180">
        <v>38.4</v>
      </c>
      <c r="AS13" s="166">
        <v>15.1496153219014</v>
      </c>
      <c r="AT13" s="181" t="s">
        <v>54</v>
      </c>
      <c r="AU13" s="188">
        <v>0.94685095761883997</v>
      </c>
      <c r="AV13" s="171">
        <v>-9.2932505972906405</v>
      </c>
      <c r="AW13" s="168"/>
      <c r="AX13" s="168"/>
      <c r="AY13" s="176">
        <v>3</v>
      </c>
      <c r="AZ13" s="176">
        <v>11</v>
      </c>
      <c r="BA13" s="167"/>
      <c r="BB13" s="184">
        <v>149.80000000000001</v>
      </c>
      <c r="BC13" s="180">
        <v>59.0992806047093</v>
      </c>
      <c r="BD13" s="181" t="s">
        <v>55</v>
      </c>
      <c r="BE13" s="178">
        <v>1.8468525188971601</v>
      </c>
      <c r="BF13" s="179">
        <v>54.413498805418698</v>
      </c>
      <c r="BG13" s="168">
        <v>0.02</v>
      </c>
      <c r="BH13" s="168">
        <v>0.02</v>
      </c>
      <c r="BI13" s="176">
        <v>0</v>
      </c>
      <c r="BJ13" s="176">
        <v>0</v>
      </c>
      <c r="BK13" s="169"/>
      <c r="BL13" s="185">
        <v>0.8</v>
      </c>
      <c r="BM13" s="182">
        <v>0.82</v>
      </c>
      <c r="BN13" s="186">
        <v>7.5000000000000002E-4</v>
      </c>
      <c r="BO13" s="187">
        <v>0.95</v>
      </c>
      <c r="BP13" s="178">
        <v>1</v>
      </c>
      <c r="BQ13" s="186">
        <v>2.5000000000000001E-3</v>
      </c>
    </row>
    <row r="14" spans="1:69" s="156" customFormat="1" ht="22.35" customHeight="1" x14ac:dyDescent="0.2">
      <c r="A14" s="165" t="s">
        <v>4</v>
      </c>
      <c r="B14" s="165" t="s">
        <v>0</v>
      </c>
      <c r="C14" s="165" t="s">
        <v>63</v>
      </c>
      <c r="D14" s="166">
        <v>2.8184251681111099</v>
      </c>
      <c r="E14" s="167"/>
      <c r="F14" s="168">
        <v>0.02</v>
      </c>
      <c r="G14" s="168">
        <v>0.02</v>
      </c>
      <c r="H14" s="169"/>
      <c r="I14" s="170">
        <v>2</v>
      </c>
      <c r="J14" s="170">
        <v>2</v>
      </c>
      <c r="K14" s="167"/>
      <c r="L14" s="171">
        <v>1009.74608</v>
      </c>
      <c r="M14" s="171">
        <v>-1085.5605599999999</v>
      </c>
      <c r="N14" s="171">
        <v>-75.814480000000003</v>
      </c>
      <c r="O14" s="166">
        <v>-26.899589479187899</v>
      </c>
      <c r="P14" s="172">
        <v>212.5</v>
      </c>
      <c r="Q14" s="173">
        <v>-0.12658630343147201</v>
      </c>
      <c r="R14" s="174">
        <v>-780.13892951096602</v>
      </c>
      <c r="S14" s="168"/>
      <c r="T14" s="168"/>
      <c r="U14" s="175">
        <v>675</v>
      </c>
      <c r="V14" s="176">
        <v>795</v>
      </c>
      <c r="W14" s="167"/>
      <c r="X14" s="175">
        <v>2095.3765549999998</v>
      </c>
      <c r="Y14" s="166">
        <v>743.45651561304601</v>
      </c>
      <c r="Z14" s="177">
        <v>573</v>
      </c>
      <c r="AA14" s="178">
        <v>1.2974808300402201</v>
      </c>
      <c r="AB14" s="179">
        <v>196.18639231866501</v>
      </c>
      <c r="AC14" s="168">
        <v>0.02</v>
      </c>
      <c r="AD14" s="168">
        <v>0.02</v>
      </c>
      <c r="AE14" s="176">
        <v>0</v>
      </c>
      <c r="AF14" s="176">
        <v>0</v>
      </c>
      <c r="AG14" s="167"/>
      <c r="AH14" s="180">
        <v>162.69999999999999</v>
      </c>
      <c r="AI14" s="166">
        <v>57.7272733159136</v>
      </c>
      <c r="AJ14" s="181" t="s">
        <v>53</v>
      </c>
      <c r="AK14" s="188">
        <v>0.91630592564942304</v>
      </c>
      <c r="AL14" s="171">
        <v>-46.111483855015898</v>
      </c>
      <c r="AM14" s="168"/>
      <c r="AN14" s="168"/>
      <c r="AO14" s="176">
        <v>15</v>
      </c>
      <c r="AP14" s="176">
        <v>51</v>
      </c>
      <c r="AQ14" s="167"/>
      <c r="AR14" s="180">
        <v>18.3</v>
      </c>
      <c r="AS14" s="166">
        <v>6.4929877177702497</v>
      </c>
      <c r="AT14" s="181" t="s">
        <v>54</v>
      </c>
      <c r="AU14" s="173">
        <v>0.405811732360641</v>
      </c>
      <c r="AV14" s="174">
        <v>-34.731487963178601</v>
      </c>
      <c r="AW14" s="168"/>
      <c r="AX14" s="168"/>
      <c r="AY14" s="176">
        <v>27</v>
      </c>
      <c r="AZ14" s="176">
        <v>36</v>
      </c>
      <c r="BA14" s="167"/>
      <c r="BB14" s="184">
        <v>67.400000000000006</v>
      </c>
      <c r="BC14" s="180">
        <v>23.914064053427001</v>
      </c>
      <c r="BD14" s="181" t="s">
        <v>55</v>
      </c>
      <c r="BE14" s="173">
        <v>0.74731450166959501</v>
      </c>
      <c r="BF14" s="174">
        <v>-38.662975926357298</v>
      </c>
      <c r="BG14" s="168"/>
      <c r="BH14" s="168"/>
      <c r="BI14" s="176">
        <v>23</v>
      </c>
      <c r="BJ14" s="176">
        <v>41</v>
      </c>
      <c r="BK14" s="169"/>
      <c r="BL14" s="185">
        <v>0.8</v>
      </c>
      <c r="BM14" s="188">
        <v>0.8</v>
      </c>
      <c r="BN14" s="186">
        <v>0</v>
      </c>
      <c r="BO14" s="187">
        <v>0.95</v>
      </c>
      <c r="BP14" s="178">
        <v>1</v>
      </c>
      <c r="BQ14" s="186">
        <v>2.5000000000000001E-3</v>
      </c>
    </row>
    <row r="15" spans="1:69" s="156" customFormat="1" ht="22.35" customHeight="1" x14ac:dyDescent="0.2">
      <c r="A15" s="165" t="s">
        <v>4</v>
      </c>
      <c r="B15" s="165" t="s">
        <v>64</v>
      </c>
      <c r="C15" s="165" t="s">
        <v>65</v>
      </c>
      <c r="D15" s="166">
        <v>3.6851069297777799</v>
      </c>
      <c r="E15" s="167"/>
      <c r="F15" s="168">
        <v>1E-3</v>
      </c>
      <c r="G15" s="168"/>
      <c r="H15" s="169"/>
      <c r="I15" s="170">
        <v>3</v>
      </c>
      <c r="J15" s="170">
        <v>2</v>
      </c>
      <c r="K15" s="167"/>
      <c r="L15" s="171">
        <v>2879.92571</v>
      </c>
      <c r="M15" s="171">
        <v>-2274.8840700000001</v>
      </c>
      <c r="N15" s="171">
        <v>605.04164000000003</v>
      </c>
      <c r="O15" s="166">
        <v>164.18564007218299</v>
      </c>
      <c r="P15" s="172">
        <v>231.52600000000001</v>
      </c>
      <c r="Q15" s="173">
        <v>0.70914558223345303</v>
      </c>
      <c r="R15" s="174">
        <v>-398.31928681990701</v>
      </c>
      <c r="S15" s="168"/>
      <c r="T15" s="168"/>
      <c r="U15" s="175">
        <v>249</v>
      </c>
      <c r="V15" s="176">
        <v>419</v>
      </c>
      <c r="W15" s="167"/>
      <c r="X15" s="175">
        <v>2084.5724850000001</v>
      </c>
      <c r="Y15" s="166">
        <v>565.67489756008399</v>
      </c>
      <c r="Z15" s="177">
        <v>573</v>
      </c>
      <c r="AA15" s="182">
        <v>0.98721622610834903</v>
      </c>
      <c r="AB15" s="183">
        <v>-398.62944941689699</v>
      </c>
      <c r="AC15" s="168">
        <v>1E-3</v>
      </c>
      <c r="AD15" s="168"/>
      <c r="AE15" s="176">
        <v>27</v>
      </c>
      <c r="AF15" s="176">
        <v>450</v>
      </c>
      <c r="AG15" s="167"/>
      <c r="AH15" s="180">
        <v>181.5</v>
      </c>
      <c r="AI15" s="166">
        <v>49.252302160725897</v>
      </c>
      <c r="AJ15" s="181" t="s">
        <v>53</v>
      </c>
      <c r="AK15" s="188">
        <v>0.78178257397977602</v>
      </c>
      <c r="AL15" s="171">
        <v>-91.522202213376104</v>
      </c>
      <c r="AM15" s="168"/>
      <c r="AN15" s="168"/>
      <c r="AO15" s="176">
        <v>51</v>
      </c>
      <c r="AP15" s="176">
        <v>98</v>
      </c>
      <c r="AQ15" s="167"/>
      <c r="AR15" s="180">
        <v>18.600000000000001</v>
      </c>
      <c r="AS15" s="166">
        <v>5.0473433619256296</v>
      </c>
      <c r="AT15" s="181" t="s">
        <v>54</v>
      </c>
      <c r="AU15" s="173">
        <v>0.31545896012035202</v>
      </c>
      <c r="AV15" s="174">
        <v>-50.738971990698701</v>
      </c>
      <c r="AW15" s="168"/>
      <c r="AX15" s="168"/>
      <c r="AY15" s="176">
        <v>41</v>
      </c>
      <c r="AZ15" s="176">
        <v>53</v>
      </c>
      <c r="BA15" s="167"/>
      <c r="BB15" s="184">
        <v>103.4</v>
      </c>
      <c r="BC15" s="180">
        <v>28.058887291565</v>
      </c>
      <c r="BD15" s="181" t="s">
        <v>55</v>
      </c>
      <c r="BE15" s="188">
        <v>0.87684022786140803</v>
      </c>
      <c r="BF15" s="171">
        <v>-35.277943981397399</v>
      </c>
      <c r="BG15" s="168"/>
      <c r="BH15" s="168"/>
      <c r="BI15" s="176">
        <v>15</v>
      </c>
      <c r="BJ15" s="176">
        <v>39</v>
      </c>
      <c r="BK15" s="169"/>
      <c r="BL15" s="185">
        <v>0.8</v>
      </c>
      <c r="BM15" s="182">
        <v>0.81</v>
      </c>
      <c r="BN15" s="186">
        <v>3.7500000000000001E-4</v>
      </c>
      <c r="BO15" s="187">
        <v>0.95</v>
      </c>
      <c r="BP15" s="178">
        <v>1</v>
      </c>
      <c r="BQ15" s="186">
        <v>2.5000000000000001E-3</v>
      </c>
    </row>
    <row r="16" spans="1:69" s="156" customFormat="1" ht="22.35" customHeight="1" x14ac:dyDescent="0.2">
      <c r="A16" s="165" t="s">
        <v>4</v>
      </c>
      <c r="B16" s="165" t="s">
        <v>64</v>
      </c>
      <c r="C16" s="165" t="s">
        <v>66</v>
      </c>
      <c r="D16" s="166">
        <v>2.98808404311111</v>
      </c>
      <c r="E16" s="167"/>
      <c r="F16" s="168">
        <v>5.0999999999999997E-2</v>
      </c>
      <c r="G16" s="168">
        <v>4.8000000000000001E-2</v>
      </c>
      <c r="H16" s="169"/>
      <c r="I16" s="170">
        <v>6</v>
      </c>
      <c r="J16" s="170">
        <v>5</v>
      </c>
      <c r="K16" s="167"/>
      <c r="L16" s="171">
        <v>1465.193</v>
      </c>
      <c r="M16" s="171">
        <v>311.03134</v>
      </c>
      <c r="N16" s="171">
        <v>1776.22434</v>
      </c>
      <c r="O16" s="166">
        <v>594.43587073630101</v>
      </c>
      <c r="P16" s="172">
        <v>233.14400000000001</v>
      </c>
      <c r="Q16" s="178">
        <v>2.5496511629563701</v>
      </c>
      <c r="R16" s="179">
        <v>956.95939341101496</v>
      </c>
      <c r="S16" s="168">
        <v>0.01</v>
      </c>
      <c r="T16" s="168">
        <v>0.01</v>
      </c>
      <c r="U16" s="175">
        <v>0</v>
      </c>
      <c r="V16" s="176">
        <v>0</v>
      </c>
      <c r="W16" s="167"/>
      <c r="X16" s="175">
        <v>2215.2446150000001</v>
      </c>
      <c r="Y16" s="166">
        <v>741.35954111034596</v>
      </c>
      <c r="Z16" s="177">
        <v>573</v>
      </c>
      <c r="AA16" s="178">
        <v>1.2938211886742499</v>
      </c>
      <c r="AB16" s="179">
        <v>201.73015871766501</v>
      </c>
      <c r="AC16" s="168">
        <v>0.02</v>
      </c>
      <c r="AD16" s="168">
        <v>0.02</v>
      </c>
      <c r="AE16" s="176">
        <v>0</v>
      </c>
      <c r="AF16" s="176">
        <v>0</v>
      </c>
      <c r="AG16" s="167"/>
      <c r="AH16" s="180">
        <v>185.3</v>
      </c>
      <c r="AI16" s="166">
        <v>62.012981337389299</v>
      </c>
      <c r="AJ16" s="181" t="s">
        <v>53</v>
      </c>
      <c r="AK16" s="182">
        <v>0.98433303710141695</v>
      </c>
      <c r="AL16" s="183">
        <v>-36.081170586015801</v>
      </c>
      <c r="AM16" s="168">
        <v>1E-3</v>
      </c>
      <c r="AN16" s="168"/>
      <c r="AO16" s="176">
        <v>3</v>
      </c>
      <c r="AP16" s="176">
        <v>41</v>
      </c>
      <c r="AQ16" s="167"/>
      <c r="AR16" s="180">
        <v>20.8</v>
      </c>
      <c r="AS16" s="166">
        <v>6.9609822548175799</v>
      </c>
      <c r="AT16" s="181" t="s">
        <v>54</v>
      </c>
      <c r="AU16" s="173">
        <v>0.43506139092609902</v>
      </c>
      <c r="AV16" s="174">
        <v>-35.423789355178599</v>
      </c>
      <c r="AW16" s="168"/>
      <c r="AX16" s="168"/>
      <c r="AY16" s="176">
        <v>28</v>
      </c>
      <c r="AZ16" s="176">
        <v>37</v>
      </c>
      <c r="BA16" s="167"/>
      <c r="BB16" s="184">
        <v>112.8</v>
      </c>
      <c r="BC16" s="180">
        <v>37.7499422280491</v>
      </c>
      <c r="BD16" s="181" t="s">
        <v>55</v>
      </c>
      <c r="BE16" s="178">
        <v>1.1796856946265399</v>
      </c>
      <c r="BF16" s="179">
        <v>0.352421289642734</v>
      </c>
      <c r="BG16" s="168">
        <v>0.02</v>
      </c>
      <c r="BH16" s="168">
        <v>1.7999999999999999E-2</v>
      </c>
      <c r="BI16" s="176">
        <v>0</v>
      </c>
      <c r="BJ16" s="176">
        <v>2</v>
      </c>
      <c r="BK16" s="169"/>
      <c r="BL16" s="185">
        <v>0.8</v>
      </c>
      <c r="BM16" s="182">
        <v>0.82</v>
      </c>
      <c r="BN16" s="186">
        <v>7.5000000000000002E-4</v>
      </c>
      <c r="BO16" s="187">
        <v>0.95</v>
      </c>
      <c r="BP16" s="178">
        <v>1</v>
      </c>
      <c r="BQ16" s="186">
        <v>2.5000000000000001E-3</v>
      </c>
    </row>
    <row r="17" spans="1:69" s="156" customFormat="1" ht="22.35" customHeight="1" x14ac:dyDescent="0.2">
      <c r="A17" s="165" t="s">
        <v>4</v>
      </c>
      <c r="B17" s="165" t="s">
        <v>64</v>
      </c>
      <c r="C17" s="165" t="s">
        <v>67</v>
      </c>
      <c r="D17" s="166">
        <v>3.7318809292222199</v>
      </c>
      <c r="E17" s="167"/>
      <c r="F17" s="168">
        <v>4.4999999999999998E-2</v>
      </c>
      <c r="G17" s="168">
        <v>4.2000000000000003E-2</v>
      </c>
      <c r="H17" s="169"/>
      <c r="I17" s="170">
        <v>4</v>
      </c>
      <c r="J17" s="170">
        <v>4</v>
      </c>
      <c r="K17" s="167"/>
      <c r="L17" s="171">
        <v>1272.63824</v>
      </c>
      <c r="M17" s="171">
        <v>483.17277000000001</v>
      </c>
      <c r="N17" s="171">
        <v>1755.8110099999999</v>
      </c>
      <c r="O17" s="166">
        <v>470.48955829518798</v>
      </c>
      <c r="P17" s="172">
        <v>246.29499999999999</v>
      </c>
      <c r="Q17" s="178">
        <v>1.9102684110322501</v>
      </c>
      <c r="R17" s="179">
        <v>674.89812056776304</v>
      </c>
      <c r="S17" s="168">
        <v>0.01</v>
      </c>
      <c r="T17" s="168">
        <v>0.01</v>
      </c>
      <c r="U17" s="175">
        <v>0</v>
      </c>
      <c r="V17" s="176">
        <v>0</v>
      </c>
      <c r="W17" s="167"/>
      <c r="X17" s="175">
        <v>2770.3138100000001</v>
      </c>
      <c r="Y17" s="166">
        <v>742.33713844063402</v>
      </c>
      <c r="Z17" s="177">
        <v>573</v>
      </c>
      <c r="AA17" s="178">
        <v>1.2955272922175101</v>
      </c>
      <c r="AB17" s="179">
        <v>255.593309605466</v>
      </c>
      <c r="AC17" s="168">
        <v>0.02</v>
      </c>
      <c r="AD17" s="168">
        <v>0.02</v>
      </c>
      <c r="AE17" s="176">
        <v>0</v>
      </c>
      <c r="AF17" s="176">
        <v>0</v>
      </c>
      <c r="AG17" s="167"/>
      <c r="AH17" s="180">
        <v>149.6</v>
      </c>
      <c r="AI17" s="166">
        <v>40.087023899548399</v>
      </c>
      <c r="AJ17" s="181" t="s">
        <v>53</v>
      </c>
      <c r="AK17" s="173">
        <v>0.63630196665949801</v>
      </c>
      <c r="AL17" s="174">
        <v>-126.88759428421599</v>
      </c>
      <c r="AM17" s="168"/>
      <c r="AN17" s="168"/>
      <c r="AO17" s="176">
        <v>86</v>
      </c>
      <c r="AP17" s="176">
        <v>133</v>
      </c>
      <c r="AQ17" s="167"/>
      <c r="AR17" s="180">
        <v>18.100000000000001</v>
      </c>
      <c r="AS17" s="166">
        <v>4.8501011536218304</v>
      </c>
      <c r="AT17" s="181" t="s">
        <v>54</v>
      </c>
      <c r="AU17" s="173">
        <v>0.30313132210136401</v>
      </c>
      <c r="AV17" s="174">
        <v>-52.119071564245303</v>
      </c>
      <c r="AW17" s="168"/>
      <c r="AX17" s="168"/>
      <c r="AY17" s="176">
        <v>42</v>
      </c>
      <c r="AZ17" s="176">
        <v>54</v>
      </c>
      <c r="BA17" s="167"/>
      <c r="BB17" s="184">
        <v>134.19999999999999</v>
      </c>
      <c r="BC17" s="180">
        <v>35.960418498124298</v>
      </c>
      <c r="BD17" s="181" t="s">
        <v>55</v>
      </c>
      <c r="BE17" s="182">
        <v>1.1237630780663801</v>
      </c>
      <c r="BF17" s="183">
        <v>-6.2381431284905799</v>
      </c>
      <c r="BG17" s="168">
        <v>1.4999999999999999E-2</v>
      </c>
      <c r="BH17" s="168">
        <v>1.2E-2</v>
      </c>
      <c r="BI17" s="176">
        <v>0</v>
      </c>
      <c r="BJ17" s="176">
        <v>10</v>
      </c>
      <c r="BK17" s="169"/>
      <c r="BL17" s="185">
        <v>0.8</v>
      </c>
      <c r="BM17" s="188">
        <v>0.78</v>
      </c>
      <c r="BN17" s="186"/>
      <c r="BO17" s="187">
        <v>0.95</v>
      </c>
      <c r="BP17" s="178">
        <v>1</v>
      </c>
      <c r="BQ17" s="186">
        <v>2.5000000000000001E-3</v>
      </c>
    </row>
    <row r="18" spans="1:69" s="156" customFormat="1" ht="22.35" customHeight="1" x14ac:dyDescent="0.2">
      <c r="A18" s="165" t="s">
        <v>4</v>
      </c>
      <c r="B18" s="165" t="s">
        <v>64</v>
      </c>
      <c r="C18" s="165" t="s">
        <v>68</v>
      </c>
      <c r="D18" s="166">
        <v>2.4135234434444399</v>
      </c>
      <c r="E18" s="167"/>
      <c r="F18" s="168">
        <v>0.06</v>
      </c>
      <c r="G18" s="168">
        <v>5.8000000000000003E-2</v>
      </c>
      <c r="H18" s="169"/>
      <c r="I18" s="170">
        <v>5</v>
      </c>
      <c r="J18" s="170">
        <v>5</v>
      </c>
      <c r="K18" s="167"/>
      <c r="L18" s="171">
        <v>394.63168000000002</v>
      </c>
      <c r="M18" s="171">
        <v>-838.97387000000003</v>
      </c>
      <c r="N18" s="171">
        <v>-444.34219000000002</v>
      </c>
      <c r="O18" s="166">
        <v>-184.10518911963001</v>
      </c>
      <c r="P18" s="172">
        <v>233.14400000000001</v>
      </c>
      <c r="Q18" s="173">
        <v>-0.78966299419942099</v>
      </c>
      <c r="R18" s="174">
        <v>-1106.0756374053301</v>
      </c>
      <c r="S18" s="168"/>
      <c r="T18" s="168"/>
      <c r="U18" s="175">
        <v>1008</v>
      </c>
      <c r="V18" s="176">
        <v>1120</v>
      </c>
      <c r="W18" s="167"/>
      <c r="X18" s="175">
        <v>1738.16885</v>
      </c>
      <c r="Y18" s="166">
        <v>720.17897929318804</v>
      </c>
      <c r="Z18" s="177">
        <v>573</v>
      </c>
      <c r="AA18" s="178">
        <v>1.2568568574052099</v>
      </c>
      <c r="AB18" s="179">
        <v>111.820904681851</v>
      </c>
      <c r="AC18" s="168">
        <v>0.02</v>
      </c>
      <c r="AD18" s="168">
        <v>0.02</v>
      </c>
      <c r="AE18" s="176">
        <v>0</v>
      </c>
      <c r="AF18" s="176">
        <v>0</v>
      </c>
      <c r="AG18" s="167"/>
      <c r="AH18" s="180">
        <v>189.1</v>
      </c>
      <c r="AI18" s="166">
        <v>78.3501815628222</v>
      </c>
      <c r="AJ18" s="181" t="s">
        <v>53</v>
      </c>
      <c r="AK18" s="178">
        <v>1.24365367560035</v>
      </c>
      <c r="AL18" s="179">
        <v>10.286875122088301</v>
      </c>
      <c r="AM18" s="168">
        <v>0.02</v>
      </c>
      <c r="AN18" s="168">
        <v>0.02</v>
      </c>
      <c r="AO18" s="176">
        <v>0</v>
      </c>
      <c r="AP18" s="176">
        <v>0</v>
      </c>
      <c r="AQ18" s="167"/>
      <c r="AR18" s="180">
        <v>17.3</v>
      </c>
      <c r="AS18" s="166">
        <v>7.1679436331931399</v>
      </c>
      <c r="AT18" s="181" t="s">
        <v>54</v>
      </c>
      <c r="AU18" s="173">
        <v>0.44799647707457102</v>
      </c>
      <c r="AV18" s="174">
        <v>-28.112857111850602</v>
      </c>
      <c r="AW18" s="168"/>
      <c r="AX18" s="168"/>
      <c r="AY18" s="176">
        <v>22</v>
      </c>
      <c r="AZ18" s="176">
        <v>30</v>
      </c>
      <c r="BA18" s="167"/>
      <c r="BB18" s="184">
        <v>91</v>
      </c>
      <c r="BC18" s="180">
        <v>37.704212174599803</v>
      </c>
      <c r="BD18" s="181" t="s">
        <v>55</v>
      </c>
      <c r="BE18" s="178">
        <v>1.1782566304562401</v>
      </c>
      <c r="BF18" s="179">
        <v>0.17428577629884501</v>
      </c>
      <c r="BG18" s="168">
        <v>0.02</v>
      </c>
      <c r="BH18" s="168">
        <v>1.7999999999999999E-2</v>
      </c>
      <c r="BI18" s="176">
        <v>0</v>
      </c>
      <c r="BJ18" s="176">
        <v>2</v>
      </c>
      <c r="BK18" s="169"/>
      <c r="BL18" s="185">
        <v>0.8</v>
      </c>
      <c r="BM18" s="182">
        <v>0.88</v>
      </c>
      <c r="BN18" s="186">
        <v>3.0000000000000001E-3</v>
      </c>
      <c r="BO18" s="187">
        <v>0.95</v>
      </c>
      <c r="BP18" s="178">
        <v>1</v>
      </c>
      <c r="BQ18" s="186">
        <v>2.5000000000000001E-3</v>
      </c>
    </row>
    <row r="19" spans="1:69" s="156" customFormat="1" ht="22.35" customHeight="1" x14ac:dyDescent="0.2">
      <c r="A19" s="165" t="s">
        <v>4</v>
      </c>
      <c r="B19" s="165" t="s">
        <v>64</v>
      </c>
      <c r="C19" s="165" t="s">
        <v>69</v>
      </c>
      <c r="D19" s="166">
        <v>5.75203804544444</v>
      </c>
      <c r="E19" s="167"/>
      <c r="F19" s="168">
        <v>0.01</v>
      </c>
      <c r="G19" s="168">
        <v>0.01</v>
      </c>
      <c r="H19" s="169"/>
      <c r="I19" s="170">
        <v>3</v>
      </c>
      <c r="J19" s="170">
        <v>3</v>
      </c>
      <c r="K19" s="167"/>
      <c r="L19" s="171">
        <v>2357.0675099999999</v>
      </c>
      <c r="M19" s="171">
        <v>1845.71921</v>
      </c>
      <c r="N19" s="171">
        <v>4202.7867200000001</v>
      </c>
      <c r="O19" s="166">
        <v>730.66045231195301</v>
      </c>
      <c r="P19" s="172">
        <v>212.5</v>
      </c>
      <c r="Q19" s="178">
        <v>3.4384021285268398</v>
      </c>
      <c r="R19" s="179">
        <v>2765.3524124434298</v>
      </c>
      <c r="S19" s="168">
        <v>0.01</v>
      </c>
      <c r="T19" s="168">
        <v>0.01</v>
      </c>
      <c r="U19" s="175">
        <v>0</v>
      </c>
      <c r="V19" s="176">
        <v>0</v>
      </c>
      <c r="W19" s="167"/>
      <c r="X19" s="175">
        <v>2753.1622750000001</v>
      </c>
      <c r="Y19" s="166">
        <v>478.64117956947001</v>
      </c>
      <c r="Z19" s="177">
        <v>573</v>
      </c>
      <c r="AA19" s="188">
        <v>0.83532492071460795</v>
      </c>
      <c r="AB19" s="171">
        <v>-1122.8370578466499</v>
      </c>
      <c r="AC19" s="168"/>
      <c r="AD19" s="168"/>
      <c r="AE19" s="176">
        <v>543</v>
      </c>
      <c r="AF19" s="176">
        <v>1202</v>
      </c>
      <c r="AG19" s="167"/>
      <c r="AH19" s="180">
        <v>314.89999999999998</v>
      </c>
      <c r="AI19" s="166">
        <v>54.745813138248899</v>
      </c>
      <c r="AJ19" s="181" t="s">
        <v>53</v>
      </c>
      <c r="AK19" s="188">
        <v>0.86898116092458599</v>
      </c>
      <c r="AL19" s="171">
        <v>-111.25699471088799</v>
      </c>
      <c r="AM19" s="168"/>
      <c r="AN19" s="168"/>
      <c r="AO19" s="176">
        <v>48</v>
      </c>
      <c r="AP19" s="176">
        <v>120</v>
      </c>
      <c r="AQ19" s="167"/>
      <c r="AR19" s="180">
        <v>28.8</v>
      </c>
      <c r="AS19" s="166">
        <v>5.0069209856512202</v>
      </c>
      <c r="AT19" s="181" t="s">
        <v>54</v>
      </c>
      <c r="AU19" s="173">
        <v>0.31293256160320099</v>
      </c>
      <c r="AV19" s="174">
        <v>-79.430347863082602</v>
      </c>
      <c r="AW19" s="168"/>
      <c r="AX19" s="168"/>
      <c r="AY19" s="176">
        <v>64</v>
      </c>
      <c r="AZ19" s="176">
        <v>82</v>
      </c>
      <c r="BA19" s="167"/>
      <c r="BB19" s="184">
        <v>164.4</v>
      </c>
      <c r="BC19" s="180">
        <v>28.581173959758999</v>
      </c>
      <c r="BD19" s="181" t="s">
        <v>55</v>
      </c>
      <c r="BE19" s="188">
        <v>0.89316168624247005</v>
      </c>
      <c r="BF19" s="171">
        <v>-52.0606957261651</v>
      </c>
      <c r="BG19" s="168"/>
      <c r="BH19" s="168"/>
      <c r="BI19" s="176">
        <v>20</v>
      </c>
      <c r="BJ19" s="176">
        <v>57</v>
      </c>
      <c r="BK19" s="169"/>
      <c r="BL19" s="185">
        <v>0.8</v>
      </c>
      <c r="BM19" s="182">
        <v>0.81</v>
      </c>
      <c r="BN19" s="186">
        <v>3.7500000000000001E-4</v>
      </c>
      <c r="BO19" s="187">
        <v>0.95</v>
      </c>
      <c r="BP19" s="178">
        <v>1</v>
      </c>
      <c r="BQ19" s="186">
        <v>2.5000000000000001E-3</v>
      </c>
    </row>
    <row r="20" spans="1:69" s="156" customFormat="1" ht="22.35" customHeight="1" x14ac:dyDescent="0.2">
      <c r="A20" s="165" t="s">
        <v>4</v>
      </c>
      <c r="B20" s="165" t="s">
        <v>64</v>
      </c>
      <c r="C20" s="165" t="s">
        <v>70</v>
      </c>
      <c r="D20" s="166">
        <v>3.7144129870000002</v>
      </c>
      <c r="E20" s="167"/>
      <c r="F20" s="168">
        <v>3.9E-2</v>
      </c>
      <c r="G20" s="168">
        <v>3.6999999999999998E-2</v>
      </c>
      <c r="H20" s="169"/>
      <c r="I20" s="170">
        <v>5</v>
      </c>
      <c r="J20" s="170">
        <v>5</v>
      </c>
      <c r="K20" s="167"/>
      <c r="L20" s="171">
        <v>1757.77928</v>
      </c>
      <c r="M20" s="171">
        <v>1109.2037</v>
      </c>
      <c r="N20" s="171">
        <v>2866.9829800000002</v>
      </c>
      <c r="O20" s="166">
        <v>771.853584949788</v>
      </c>
      <c r="P20" s="172">
        <v>231.90199999999999</v>
      </c>
      <c r="Q20" s="178">
        <v>3.3283610531594698</v>
      </c>
      <c r="R20" s="179">
        <v>1854.00033459874</v>
      </c>
      <c r="S20" s="168">
        <v>0.01</v>
      </c>
      <c r="T20" s="168">
        <v>0.01</v>
      </c>
      <c r="U20" s="175">
        <v>0</v>
      </c>
      <c r="V20" s="176">
        <v>0</v>
      </c>
      <c r="W20" s="167"/>
      <c r="X20" s="175">
        <v>2270.525885</v>
      </c>
      <c r="Y20" s="166">
        <v>611.27448480999999</v>
      </c>
      <c r="Z20" s="177">
        <v>573</v>
      </c>
      <c r="AA20" s="182">
        <v>1.0667966576090799</v>
      </c>
      <c r="AB20" s="183">
        <v>-232.423877463976</v>
      </c>
      <c r="AC20" s="168">
        <v>8.9999999999999993E-3</v>
      </c>
      <c r="AD20" s="168">
        <v>7.0000000000000001E-3</v>
      </c>
      <c r="AE20" s="176">
        <v>0</v>
      </c>
      <c r="AF20" s="176">
        <v>284</v>
      </c>
      <c r="AG20" s="167"/>
      <c r="AH20" s="180">
        <v>135.69999999999999</v>
      </c>
      <c r="AI20" s="166">
        <v>36.533363542216101</v>
      </c>
      <c r="AJ20" s="181" t="s">
        <v>53</v>
      </c>
      <c r="AK20" s="173">
        <v>0.57989465940025597</v>
      </c>
      <c r="AL20" s="174">
        <v>-139.49342938085601</v>
      </c>
      <c r="AM20" s="168"/>
      <c r="AN20" s="168"/>
      <c r="AO20" s="176">
        <v>99</v>
      </c>
      <c r="AP20" s="176">
        <v>146</v>
      </c>
      <c r="AQ20" s="167"/>
      <c r="AR20" s="180">
        <v>53</v>
      </c>
      <c r="AS20" s="166">
        <v>14.268741840364401</v>
      </c>
      <c r="AT20" s="181" t="s">
        <v>54</v>
      </c>
      <c r="AU20" s="188">
        <v>0.89179636502277804</v>
      </c>
      <c r="AV20" s="171">
        <v>-16.890394763391999</v>
      </c>
      <c r="AW20" s="168"/>
      <c r="AX20" s="168"/>
      <c r="AY20" s="176">
        <v>7</v>
      </c>
      <c r="AZ20" s="176">
        <v>19</v>
      </c>
      <c r="BA20" s="167"/>
      <c r="BB20" s="184">
        <v>156.19999999999999</v>
      </c>
      <c r="BC20" s="180">
        <v>42.052405197451399</v>
      </c>
      <c r="BD20" s="181" t="s">
        <v>55</v>
      </c>
      <c r="BE20" s="178">
        <v>1.31413766242036</v>
      </c>
      <c r="BF20" s="179">
        <v>16.419210473216001</v>
      </c>
      <c r="BG20" s="168">
        <v>0.02</v>
      </c>
      <c r="BH20" s="168">
        <v>0.02</v>
      </c>
      <c r="BI20" s="176">
        <v>0</v>
      </c>
      <c r="BJ20" s="176">
        <v>0</v>
      </c>
      <c r="BK20" s="169"/>
      <c r="BL20" s="185">
        <v>0.8</v>
      </c>
      <c r="BM20" s="182">
        <v>0.81</v>
      </c>
      <c r="BN20" s="186">
        <v>3.7500000000000001E-4</v>
      </c>
      <c r="BO20" s="187">
        <v>0.95</v>
      </c>
      <c r="BP20" s="178">
        <v>1</v>
      </c>
      <c r="BQ20" s="186">
        <v>2.5000000000000001E-3</v>
      </c>
    </row>
    <row r="21" spans="1:69" s="156" customFormat="1" ht="22.35" customHeight="1" x14ac:dyDescent="0.2">
      <c r="A21" s="165" t="s">
        <v>4</v>
      </c>
      <c r="B21" s="165" t="s">
        <v>64</v>
      </c>
      <c r="C21" s="165" t="s">
        <v>71</v>
      </c>
      <c r="D21" s="166">
        <v>6.6311696409999996</v>
      </c>
      <c r="E21" s="167"/>
      <c r="F21" s="168">
        <v>3.7999999999999999E-2</v>
      </c>
      <c r="G21" s="168">
        <v>3.5999999999999997E-2</v>
      </c>
      <c r="H21" s="169"/>
      <c r="I21" s="170">
        <v>5</v>
      </c>
      <c r="J21" s="170">
        <v>5</v>
      </c>
      <c r="K21" s="167"/>
      <c r="L21" s="171">
        <v>3095.9188100000001</v>
      </c>
      <c r="M21" s="171">
        <v>-1031.17596</v>
      </c>
      <c r="N21" s="171">
        <v>2064.7428500000001</v>
      </c>
      <c r="O21" s="166">
        <v>311.36933026624098</v>
      </c>
      <c r="P21" s="172">
        <v>218.77099999999999</v>
      </c>
      <c r="Q21" s="178">
        <v>1.4232660191078399</v>
      </c>
      <c r="R21" s="179">
        <v>358.71069648729599</v>
      </c>
      <c r="S21" s="168">
        <v>0.01</v>
      </c>
      <c r="T21" s="168">
        <v>0.01</v>
      </c>
      <c r="U21" s="175">
        <v>0</v>
      </c>
      <c r="V21" s="176">
        <v>0</v>
      </c>
      <c r="W21" s="167"/>
      <c r="X21" s="175">
        <v>4027.9739800000002</v>
      </c>
      <c r="Y21" s="166">
        <v>607.43039283678604</v>
      </c>
      <c r="Z21" s="177">
        <v>573</v>
      </c>
      <c r="AA21" s="182">
        <v>1.06008794561394</v>
      </c>
      <c r="AB21" s="183">
        <v>-440.42642024856701</v>
      </c>
      <c r="AC21" s="168">
        <v>8.0000000000000002E-3</v>
      </c>
      <c r="AD21" s="168">
        <v>6.0000000000000001E-3</v>
      </c>
      <c r="AE21" s="176">
        <v>0</v>
      </c>
      <c r="AF21" s="176">
        <v>532</v>
      </c>
      <c r="AG21" s="167"/>
      <c r="AH21" s="180">
        <v>235.4</v>
      </c>
      <c r="AI21" s="166">
        <v>35.499016424574698</v>
      </c>
      <c r="AJ21" s="181" t="s">
        <v>53</v>
      </c>
      <c r="AK21" s="173">
        <v>0.56347645118372502</v>
      </c>
      <c r="AL21" s="174">
        <v>-255.890096362408</v>
      </c>
      <c r="AM21" s="168"/>
      <c r="AN21" s="168"/>
      <c r="AO21" s="176">
        <v>183</v>
      </c>
      <c r="AP21" s="176">
        <v>266</v>
      </c>
      <c r="AQ21" s="167"/>
      <c r="AR21" s="180">
        <v>47</v>
      </c>
      <c r="AS21" s="166">
        <v>7.0877390482370899</v>
      </c>
      <c r="AT21" s="181" t="s">
        <v>54</v>
      </c>
      <c r="AU21" s="173">
        <v>0.44298369051481801</v>
      </c>
      <c r="AV21" s="174">
        <v>-77.772087965056002</v>
      </c>
      <c r="AW21" s="168"/>
      <c r="AX21" s="168"/>
      <c r="AY21" s="176">
        <v>60</v>
      </c>
      <c r="AZ21" s="176">
        <v>81</v>
      </c>
      <c r="BA21" s="167"/>
      <c r="BB21" s="184">
        <v>261.8</v>
      </c>
      <c r="BC21" s="180">
        <v>39.4802145282653</v>
      </c>
      <c r="BD21" s="181" t="s">
        <v>55</v>
      </c>
      <c r="BE21" s="178">
        <v>1.23375670400829</v>
      </c>
      <c r="BF21" s="179">
        <v>12.255824069888</v>
      </c>
      <c r="BG21" s="168">
        <v>0.02</v>
      </c>
      <c r="BH21" s="168">
        <v>0.02</v>
      </c>
      <c r="BI21" s="176">
        <v>0</v>
      </c>
      <c r="BJ21" s="176">
        <v>0</v>
      </c>
      <c r="BK21" s="169"/>
      <c r="BL21" s="185">
        <v>0.8</v>
      </c>
      <c r="BM21" s="182">
        <v>0.81</v>
      </c>
      <c r="BN21" s="186">
        <v>3.7500000000000001E-4</v>
      </c>
      <c r="BO21" s="187">
        <v>0.95</v>
      </c>
      <c r="BP21" s="178">
        <v>1</v>
      </c>
      <c r="BQ21" s="186">
        <v>2.5000000000000001E-3</v>
      </c>
    </row>
    <row r="22" spans="1:69" s="156" customFormat="1" ht="22.35" customHeight="1" x14ac:dyDescent="0.2">
      <c r="A22" s="165" t="s">
        <v>4</v>
      </c>
      <c r="B22" s="165" t="s">
        <v>64</v>
      </c>
      <c r="C22" s="165" t="s">
        <v>72</v>
      </c>
      <c r="D22" s="166">
        <v>4.3170066618888896</v>
      </c>
      <c r="E22" s="167"/>
      <c r="F22" s="168">
        <v>3.3000000000000002E-2</v>
      </c>
      <c r="G22" s="168">
        <v>3.1E-2</v>
      </c>
      <c r="H22" s="169"/>
      <c r="I22" s="170">
        <v>5</v>
      </c>
      <c r="J22" s="170">
        <v>5</v>
      </c>
      <c r="K22" s="167"/>
      <c r="L22" s="171">
        <v>2469.7280599999999</v>
      </c>
      <c r="M22" s="171">
        <v>-375.28021000000001</v>
      </c>
      <c r="N22" s="171">
        <v>2094.44785</v>
      </c>
      <c r="O22" s="166">
        <v>485.16206113139998</v>
      </c>
      <c r="P22" s="172">
        <v>242.99700000000001</v>
      </c>
      <c r="Q22" s="178">
        <v>1.9965763409894</v>
      </c>
      <c r="R22" s="179">
        <v>860.80072064483898</v>
      </c>
      <c r="S22" s="168">
        <v>0.01</v>
      </c>
      <c r="T22" s="168">
        <v>0.01</v>
      </c>
      <c r="U22" s="175">
        <v>0</v>
      </c>
      <c r="V22" s="176">
        <v>0</v>
      </c>
      <c r="W22" s="167"/>
      <c r="X22" s="175">
        <v>2492.23918</v>
      </c>
      <c r="Y22" s="166">
        <v>577.30723512702002</v>
      </c>
      <c r="Z22" s="177">
        <v>573</v>
      </c>
      <c r="AA22" s="182">
        <v>1.0075169897504701</v>
      </c>
      <c r="AB22" s="183">
        <v>-416.76712510050402</v>
      </c>
      <c r="AC22" s="168">
        <v>3.0000000000000001E-3</v>
      </c>
      <c r="AD22" s="168">
        <v>1E-3</v>
      </c>
      <c r="AE22" s="176">
        <v>0</v>
      </c>
      <c r="AF22" s="176">
        <v>477</v>
      </c>
      <c r="AG22" s="167"/>
      <c r="AH22" s="180">
        <v>142</v>
      </c>
      <c r="AI22" s="166">
        <v>32.893162119390503</v>
      </c>
      <c r="AJ22" s="181" t="s">
        <v>53</v>
      </c>
      <c r="AK22" s="173">
        <v>0.52211368443477002</v>
      </c>
      <c r="AL22" s="174">
        <v>-177.83838956602401</v>
      </c>
      <c r="AM22" s="168"/>
      <c r="AN22" s="168"/>
      <c r="AO22" s="176">
        <v>130</v>
      </c>
      <c r="AP22" s="176">
        <v>185</v>
      </c>
      <c r="AQ22" s="167"/>
      <c r="AR22" s="180">
        <v>37.1</v>
      </c>
      <c r="AS22" s="166">
        <v>8.5939177086576599</v>
      </c>
      <c r="AT22" s="181" t="s">
        <v>54</v>
      </c>
      <c r="AU22" s="173">
        <v>0.53711985679110397</v>
      </c>
      <c r="AV22" s="174">
        <v>-44.128797350101301</v>
      </c>
      <c r="AW22" s="168"/>
      <c r="AX22" s="168"/>
      <c r="AY22" s="176">
        <v>32</v>
      </c>
      <c r="AZ22" s="176">
        <v>46</v>
      </c>
      <c r="BA22" s="167"/>
      <c r="BB22" s="184">
        <v>166.4</v>
      </c>
      <c r="BC22" s="180">
        <v>38.545226596243502</v>
      </c>
      <c r="BD22" s="181" t="s">
        <v>55</v>
      </c>
      <c r="BE22" s="178">
        <v>1.2045383311326101</v>
      </c>
      <c r="BF22" s="179">
        <v>3.9424052997973198</v>
      </c>
      <c r="BG22" s="168">
        <v>0.02</v>
      </c>
      <c r="BH22" s="168">
        <v>0.02</v>
      </c>
      <c r="BI22" s="176">
        <v>0</v>
      </c>
      <c r="BJ22" s="176">
        <v>0</v>
      </c>
      <c r="BK22" s="169"/>
      <c r="BL22" s="185">
        <v>0.8</v>
      </c>
      <c r="BM22" s="182">
        <v>0.81</v>
      </c>
      <c r="BN22" s="186">
        <v>3.7500000000000001E-4</v>
      </c>
      <c r="BO22" s="187">
        <v>0.95</v>
      </c>
      <c r="BP22" s="178">
        <v>1</v>
      </c>
      <c r="BQ22" s="186">
        <v>2.5000000000000001E-3</v>
      </c>
    </row>
    <row r="23" spans="1:69" s="156" customFormat="1" ht="22.35" customHeight="1" x14ac:dyDescent="0.2">
      <c r="A23" s="165" t="s">
        <v>4</v>
      </c>
      <c r="B23" s="165" t="s">
        <v>64</v>
      </c>
      <c r="C23" s="165" t="s">
        <v>73</v>
      </c>
      <c r="D23" s="166">
        <v>4.4760896213333297</v>
      </c>
      <c r="E23" s="167"/>
      <c r="F23" s="168">
        <v>0.01</v>
      </c>
      <c r="G23" s="168">
        <v>0.01</v>
      </c>
      <c r="H23" s="169"/>
      <c r="I23" s="170">
        <v>3</v>
      </c>
      <c r="J23" s="170">
        <v>3</v>
      </c>
      <c r="K23" s="167"/>
      <c r="L23" s="171">
        <v>4373.03856</v>
      </c>
      <c r="M23" s="171">
        <v>2683.0613800000001</v>
      </c>
      <c r="N23" s="171">
        <v>7056.0999400000001</v>
      </c>
      <c r="O23" s="166">
        <v>1576.3982710199</v>
      </c>
      <c r="P23" s="172">
        <v>251.20400000000001</v>
      </c>
      <c r="Q23" s="178">
        <v>6.2753708978356197</v>
      </c>
      <c r="R23" s="179">
        <v>5733.7918781287999</v>
      </c>
      <c r="S23" s="168">
        <v>0.01</v>
      </c>
      <c r="T23" s="168">
        <v>0.01</v>
      </c>
      <c r="U23" s="175">
        <v>0</v>
      </c>
      <c r="V23" s="176">
        <v>0</v>
      </c>
      <c r="W23" s="167"/>
      <c r="X23" s="175">
        <v>2365.2550449999999</v>
      </c>
      <c r="Y23" s="166">
        <v>528.41994801154999</v>
      </c>
      <c r="Z23" s="177">
        <v>573</v>
      </c>
      <c r="AA23" s="188">
        <v>0.92219886214930302</v>
      </c>
      <c r="AB23" s="171">
        <v>-650.94899415622103</v>
      </c>
      <c r="AC23" s="168"/>
      <c r="AD23" s="168"/>
      <c r="AE23" s="176">
        <v>200</v>
      </c>
      <c r="AF23" s="176">
        <v>713</v>
      </c>
      <c r="AG23" s="167"/>
      <c r="AH23" s="180">
        <v>91.5</v>
      </c>
      <c r="AI23" s="166">
        <v>20.441949947540198</v>
      </c>
      <c r="AJ23" s="181" t="s">
        <v>53</v>
      </c>
      <c r="AK23" s="173">
        <v>0.32447539599270098</v>
      </c>
      <c r="AL23" s="174">
        <v>-240.12452786534399</v>
      </c>
      <c r="AM23" s="168"/>
      <c r="AN23" s="168"/>
      <c r="AO23" s="176">
        <v>191</v>
      </c>
      <c r="AP23" s="176">
        <v>247</v>
      </c>
      <c r="AQ23" s="167"/>
      <c r="AR23" s="180">
        <v>19.8</v>
      </c>
      <c r="AS23" s="166">
        <v>4.4235039230742599</v>
      </c>
      <c r="AT23" s="181" t="s">
        <v>54</v>
      </c>
      <c r="AU23" s="173">
        <v>0.27646899519214102</v>
      </c>
      <c r="AV23" s="174">
        <v>-64.422102315007905</v>
      </c>
      <c r="AW23" s="168"/>
      <c r="AX23" s="168"/>
      <c r="AY23" s="176">
        <v>52</v>
      </c>
      <c r="AZ23" s="176">
        <v>67</v>
      </c>
      <c r="BA23" s="167"/>
      <c r="BB23" s="184">
        <v>124.6</v>
      </c>
      <c r="BC23" s="180">
        <v>27.836797414901699</v>
      </c>
      <c r="BD23" s="181" t="s">
        <v>55</v>
      </c>
      <c r="BE23" s="188">
        <v>0.869899919215677</v>
      </c>
      <c r="BF23" s="171">
        <v>-43.844204630015902</v>
      </c>
      <c r="BG23" s="168"/>
      <c r="BH23" s="168"/>
      <c r="BI23" s="176">
        <v>19</v>
      </c>
      <c r="BJ23" s="176">
        <v>48</v>
      </c>
      <c r="BK23" s="169"/>
      <c r="BL23" s="185">
        <v>0.8</v>
      </c>
      <c r="BM23" s="182">
        <v>0.81</v>
      </c>
      <c r="BN23" s="186">
        <v>3.7500000000000001E-4</v>
      </c>
      <c r="BO23" s="187">
        <v>0.95</v>
      </c>
      <c r="BP23" s="178">
        <v>1</v>
      </c>
      <c r="BQ23" s="186">
        <v>2.5000000000000001E-3</v>
      </c>
    </row>
    <row r="24" spans="1:69" s="156" customFormat="1" ht="22.35" customHeight="1" x14ac:dyDescent="0.2">
      <c r="A24" s="165" t="s">
        <v>4</v>
      </c>
      <c r="B24" s="165" t="s">
        <v>64</v>
      </c>
      <c r="C24" s="165" t="s">
        <v>74</v>
      </c>
      <c r="D24" s="166">
        <v>5.2411436323333298</v>
      </c>
      <c r="E24" s="167"/>
      <c r="F24" s="168">
        <v>3.5000000000000003E-2</v>
      </c>
      <c r="G24" s="168">
        <v>3.1E-2</v>
      </c>
      <c r="H24" s="169"/>
      <c r="I24" s="170">
        <v>5</v>
      </c>
      <c r="J24" s="170">
        <v>5</v>
      </c>
      <c r="K24" s="167"/>
      <c r="L24" s="171">
        <v>4268.3462499999996</v>
      </c>
      <c r="M24" s="171">
        <v>3835.39777</v>
      </c>
      <c r="N24" s="171">
        <v>8103.7440200000001</v>
      </c>
      <c r="O24" s="166">
        <v>1546.1785801875201</v>
      </c>
      <c r="P24" s="172">
        <v>248.62299999999999</v>
      </c>
      <c r="Q24" s="178">
        <v>6.2189683986900697</v>
      </c>
      <c r="R24" s="179">
        <v>6571.3350485173096</v>
      </c>
      <c r="S24" s="168">
        <v>0.01</v>
      </c>
      <c r="T24" s="168">
        <v>0.01</v>
      </c>
      <c r="U24" s="175">
        <v>0</v>
      </c>
      <c r="V24" s="176">
        <v>0</v>
      </c>
      <c r="W24" s="167"/>
      <c r="X24" s="175">
        <v>3297.3206850000001</v>
      </c>
      <c r="Y24" s="166">
        <v>629.12236647329701</v>
      </c>
      <c r="Z24" s="177">
        <v>573</v>
      </c>
      <c r="AA24" s="182">
        <v>1.09794479314712</v>
      </c>
      <c r="AB24" s="183">
        <v>-234.41346936054899</v>
      </c>
      <c r="AC24" s="168">
        <v>1.2E-2</v>
      </c>
      <c r="AD24" s="168">
        <v>0.01</v>
      </c>
      <c r="AE24" s="176">
        <v>0</v>
      </c>
      <c r="AF24" s="176">
        <v>307</v>
      </c>
      <c r="AG24" s="167"/>
      <c r="AH24" s="180">
        <v>266.3</v>
      </c>
      <c r="AI24" s="166">
        <v>50.809521486333402</v>
      </c>
      <c r="AJ24" s="181" t="s">
        <v>53</v>
      </c>
      <c r="AK24" s="188">
        <v>0.80650034105291102</v>
      </c>
      <c r="AL24" s="171">
        <v>-122.005849432312</v>
      </c>
      <c r="AM24" s="168"/>
      <c r="AN24" s="168"/>
      <c r="AO24" s="176">
        <v>64</v>
      </c>
      <c r="AP24" s="176">
        <v>130</v>
      </c>
      <c r="AQ24" s="167"/>
      <c r="AR24" s="180">
        <v>51.1</v>
      </c>
      <c r="AS24" s="166">
        <v>9.74978050301028</v>
      </c>
      <c r="AT24" s="181" t="s">
        <v>54</v>
      </c>
      <c r="AU24" s="173">
        <v>0.60936128143814206</v>
      </c>
      <c r="AV24" s="174">
        <v>-47.517358585983899</v>
      </c>
      <c r="AW24" s="168"/>
      <c r="AX24" s="168"/>
      <c r="AY24" s="176">
        <v>33</v>
      </c>
      <c r="AZ24" s="176">
        <v>50</v>
      </c>
      <c r="BA24" s="167"/>
      <c r="BB24" s="184">
        <v>185.6</v>
      </c>
      <c r="BC24" s="180">
        <v>35.412118617587197</v>
      </c>
      <c r="BD24" s="181" t="s">
        <v>55</v>
      </c>
      <c r="BE24" s="182">
        <v>1.1066287067995999</v>
      </c>
      <c r="BF24" s="183">
        <v>-11.6347171719678</v>
      </c>
      <c r="BG24" s="168">
        <v>1.2999999999999999E-2</v>
      </c>
      <c r="BH24" s="168">
        <v>1.0999999999999999E-2</v>
      </c>
      <c r="BI24" s="176">
        <v>0</v>
      </c>
      <c r="BJ24" s="176">
        <v>16</v>
      </c>
      <c r="BK24" s="169"/>
      <c r="BL24" s="185">
        <v>0.8</v>
      </c>
      <c r="BM24" s="182">
        <v>0.85</v>
      </c>
      <c r="BN24" s="186">
        <v>1.8749999999999999E-3</v>
      </c>
      <c r="BO24" s="187">
        <v>0.95</v>
      </c>
      <c r="BP24" s="178">
        <v>1</v>
      </c>
      <c r="BQ24" s="186">
        <v>2.5000000000000001E-3</v>
      </c>
    </row>
    <row r="25" spans="1:69" s="156" customFormat="1" ht="22.35" customHeight="1" x14ac:dyDescent="0.2">
      <c r="A25" s="165" t="s">
        <v>4</v>
      </c>
      <c r="B25" s="165" t="s">
        <v>64</v>
      </c>
      <c r="C25" s="165" t="s">
        <v>75</v>
      </c>
      <c r="D25" s="166">
        <v>4.2224398655555602</v>
      </c>
      <c r="E25" s="167"/>
      <c r="F25" s="168">
        <v>0.03</v>
      </c>
      <c r="G25" s="168">
        <v>0.03</v>
      </c>
      <c r="H25" s="169"/>
      <c r="I25" s="170">
        <v>4</v>
      </c>
      <c r="J25" s="170">
        <v>4</v>
      </c>
      <c r="K25" s="167"/>
      <c r="L25" s="171">
        <v>1461.43552</v>
      </c>
      <c r="M25" s="171">
        <v>527.40315999999996</v>
      </c>
      <c r="N25" s="171">
        <v>1988.8386800000001</v>
      </c>
      <c r="O25" s="166">
        <v>471.01646046493198</v>
      </c>
      <c r="P25" s="172">
        <v>212.5</v>
      </c>
      <c r="Q25" s="178">
        <v>2.21654804924674</v>
      </c>
      <c r="R25" s="179">
        <v>933.65095759766598</v>
      </c>
      <c r="S25" s="168">
        <v>0.01</v>
      </c>
      <c r="T25" s="168">
        <v>0.01</v>
      </c>
      <c r="U25" s="175">
        <v>0</v>
      </c>
      <c r="V25" s="176">
        <v>0</v>
      </c>
      <c r="W25" s="167"/>
      <c r="X25" s="175">
        <v>1796.52721</v>
      </c>
      <c r="Y25" s="166">
        <v>425.47135476223701</v>
      </c>
      <c r="Z25" s="177">
        <v>573</v>
      </c>
      <c r="AA25" s="173">
        <v>0.74253290534421801</v>
      </c>
      <c r="AB25" s="174">
        <v>-1048.75544852488</v>
      </c>
      <c r="AC25" s="168"/>
      <c r="AD25" s="168"/>
      <c r="AE25" s="176">
        <v>623</v>
      </c>
      <c r="AF25" s="176">
        <v>1107</v>
      </c>
      <c r="AG25" s="167"/>
      <c r="AH25" s="180">
        <v>139.35</v>
      </c>
      <c r="AI25" s="166">
        <v>33.002246198162297</v>
      </c>
      <c r="AJ25" s="181" t="s">
        <v>53</v>
      </c>
      <c r="AK25" s="173">
        <v>0.52384517774860895</v>
      </c>
      <c r="AL25" s="174">
        <v>-173.48212475928</v>
      </c>
      <c r="AM25" s="168"/>
      <c r="AN25" s="168"/>
      <c r="AO25" s="176">
        <v>127</v>
      </c>
      <c r="AP25" s="176">
        <v>180</v>
      </c>
      <c r="AQ25" s="167"/>
      <c r="AR25" s="180">
        <v>39.4</v>
      </c>
      <c r="AS25" s="166">
        <v>9.3310979562798497</v>
      </c>
      <c r="AT25" s="181" t="s">
        <v>54</v>
      </c>
      <c r="AU25" s="173">
        <v>0.58319362226749105</v>
      </c>
      <c r="AV25" s="174">
        <v>-40.049428510293403</v>
      </c>
      <c r="AW25" s="168"/>
      <c r="AX25" s="168"/>
      <c r="AY25" s="176">
        <v>29</v>
      </c>
      <c r="AZ25" s="176">
        <v>42</v>
      </c>
      <c r="BA25" s="167"/>
      <c r="BB25" s="184">
        <v>163.4</v>
      </c>
      <c r="BC25" s="180">
        <v>38.698005229850899</v>
      </c>
      <c r="BD25" s="181" t="s">
        <v>55</v>
      </c>
      <c r="BE25" s="178">
        <v>1.2093126634328399</v>
      </c>
      <c r="BF25" s="179">
        <v>4.5011429794132001</v>
      </c>
      <c r="BG25" s="168">
        <v>0.02</v>
      </c>
      <c r="BH25" s="168">
        <v>0.02</v>
      </c>
      <c r="BI25" s="176">
        <v>0</v>
      </c>
      <c r="BJ25" s="176">
        <v>0</v>
      </c>
      <c r="BK25" s="169"/>
      <c r="BL25" s="185">
        <v>0.8</v>
      </c>
      <c r="BM25" s="182">
        <v>0.82</v>
      </c>
      <c r="BN25" s="186">
        <v>7.5000000000000002E-4</v>
      </c>
      <c r="BO25" s="187">
        <v>0.95</v>
      </c>
      <c r="BP25" s="178">
        <v>1</v>
      </c>
      <c r="BQ25" s="186">
        <v>2.5000000000000001E-3</v>
      </c>
    </row>
    <row r="26" spans="1:69" s="156" customFormat="1" ht="22.35" customHeight="1" x14ac:dyDescent="0.2">
      <c r="A26" s="165" t="s">
        <v>4</v>
      </c>
      <c r="B26" s="165" t="s">
        <v>64</v>
      </c>
      <c r="C26" s="165" t="s">
        <v>76</v>
      </c>
      <c r="D26" s="166">
        <v>3.2460809161111102</v>
      </c>
      <c r="E26" s="167"/>
      <c r="F26" s="168">
        <v>0.03</v>
      </c>
      <c r="G26" s="168">
        <v>0.03</v>
      </c>
      <c r="H26" s="169"/>
      <c r="I26" s="170">
        <v>3</v>
      </c>
      <c r="J26" s="170">
        <v>3</v>
      </c>
      <c r="K26" s="167"/>
      <c r="L26" s="171">
        <v>2963.51091</v>
      </c>
      <c r="M26" s="171">
        <v>618.92429000000004</v>
      </c>
      <c r="N26" s="171">
        <v>3582.4351999999999</v>
      </c>
      <c r="O26" s="166">
        <v>1103.61857654856</v>
      </c>
      <c r="P26" s="172">
        <v>231.042</v>
      </c>
      <c r="Q26" s="178">
        <v>4.7767011043384304</v>
      </c>
      <c r="R26" s="179">
        <v>2700.45751222431</v>
      </c>
      <c r="S26" s="168">
        <v>0.01</v>
      </c>
      <c r="T26" s="168">
        <v>0.01</v>
      </c>
      <c r="U26" s="175">
        <v>0</v>
      </c>
      <c r="V26" s="176">
        <v>0</v>
      </c>
      <c r="W26" s="167"/>
      <c r="X26" s="175">
        <v>1729.33762</v>
      </c>
      <c r="Y26" s="166">
        <v>532.74630691332004</v>
      </c>
      <c r="Z26" s="177">
        <v>573</v>
      </c>
      <c r="AA26" s="188">
        <v>0.92974922672481597</v>
      </c>
      <c r="AB26" s="171">
        <v>-458.027513159639</v>
      </c>
      <c r="AC26" s="168"/>
      <c r="AD26" s="168"/>
      <c r="AE26" s="176">
        <v>131</v>
      </c>
      <c r="AF26" s="176">
        <v>503</v>
      </c>
      <c r="AG26" s="167"/>
      <c r="AH26" s="180">
        <v>166.4</v>
      </c>
      <c r="AI26" s="166">
        <v>51.261815185849201</v>
      </c>
      <c r="AJ26" s="181" t="s">
        <v>53</v>
      </c>
      <c r="AK26" s="188">
        <v>0.813679606124591</v>
      </c>
      <c r="AL26" s="171">
        <v>-74.095642912839907</v>
      </c>
      <c r="AM26" s="168"/>
      <c r="AN26" s="168"/>
      <c r="AO26" s="176">
        <v>39</v>
      </c>
      <c r="AP26" s="176">
        <v>80</v>
      </c>
      <c r="AQ26" s="167"/>
      <c r="AR26" s="180">
        <v>39.6</v>
      </c>
      <c r="AS26" s="166">
        <v>12.199326210093901</v>
      </c>
      <c r="AT26" s="181" t="s">
        <v>54</v>
      </c>
      <c r="AU26" s="173">
        <v>0.76245788813087101</v>
      </c>
      <c r="AV26" s="174">
        <v>-21.4782585175466</v>
      </c>
      <c r="AW26" s="168"/>
      <c r="AX26" s="168"/>
      <c r="AY26" s="176">
        <v>13</v>
      </c>
      <c r="AZ26" s="176">
        <v>23</v>
      </c>
      <c r="BA26" s="167"/>
      <c r="BB26" s="184">
        <v>148.6</v>
      </c>
      <c r="BC26" s="180">
        <v>45.7782796671707</v>
      </c>
      <c r="BD26" s="181" t="s">
        <v>55</v>
      </c>
      <c r="BE26" s="178">
        <v>1.4305712395990799</v>
      </c>
      <c r="BF26" s="179">
        <v>26.4434829649067</v>
      </c>
      <c r="BG26" s="168">
        <v>0.02</v>
      </c>
      <c r="BH26" s="168">
        <v>0.02</v>
      </c>
      <c r="BI26" s="176">
        <v>0</v>
      </c>
      <c r="BJ26" s="176">
        <v>0</v>
      </c>
      <c r="BK26" s="169"/>
      <c r="BL26" s="185">
        <v>0.8</v>
      </c>
      <c r="BM26" s="188">
        <v>0.79</v>
      </c>
      <c r="BN26" s="186"/>
      <c r="BO26" s="187">
        <v>0.95</v>
      </c>
      <c r="BP26" s="178">
        <v>1</v>
      </c>
      <c r="BQ26" s="186">
        <v>2.5000000000000001E-3</v>
      </c>
    </row>
    <row r="27" spans="1:69" s="156" customFormat="1" ht="22.35" customHeight="1" x14ac:dyDescent="0.2">
      <c r="A27" s="165" t="s">
        <v>4</v>
      </c>
      <c r="B27" s="165" t="s">
        <v>64</v>
      </c>
      <c r="C27" s="165" t="s">
        <v>77</v>
      </c>
      <c r="D27" s="166">
        <v>2.5803141951111099</v>
      </c>
      <c r="E27" s="167"/>
      <c r="F27" s="168">
        <v>0.02</v>
      </c>
      <c r="G27" s="168">
        <v>1.7999999999999999E-2</v>
      </c>
      <c r="H27" s="169"/>
      <c r="I27" s="170">
        <v>4</v>
      </c>
      <c r="J27" s="170">
        <v>4</v>
      </c>
      <c r="K27" s="167"/>
      <c r="L27" s="171">
        <v>388.41681999999997</v>
      </c>
      <c r="M27" s="171">
        <v>574.875</v>
      </c>
      <c r="N27" s="171">
        <v>963.29182000000003</v>
      </c>
      <c r="O27" s="166">
        <v>373.32345875751798</v>
      </c>
      <c r="P27" s="172">
        <v>212.5</v>
      </c>
      <c r="Q27" s="178">
        <v>1.7568162765059601</v>
      </c>
      <c r="R27" s="179">
        <v>318.47130264173398</v>
      </c>
      <c r="S27" s="168">
        <v>0.01</v>
      </c>
      <c r="T27" s="168">
        <v>0.01</v>
      </c>
      <c r="U27" s="175">
        <v>0</v>
      </c>
      <c r="V27" s="176">
        <v>0</v>
      </c>
      <c r="W27" s="167"/>
      <c r="X27" s="175">
        <v>1230.7525350000001</v>
      </c>
      <c r="Y27" s="166">
        <v>476.97777942387398</v>
      </c>
      <c r="Z27" s="177">
        <v>573</v>
      </c>
      <c r="AA27" s="188">
        <v>0.83242195361932703</v>
      </c>
      <c r="AB27" s="171">
        <v>-507.98702474723098</v>
      </c>
      <c r="AC27" s="168"/>
      <c r="AD27" s="168"/>
      <c r="AE27" s="176">
        <v>248</v>
      </c>
      <c r="AF27" s="176">
        <v>544</v>
      </c>
      <c r="AG27" s="167"/>
      <c r="AH27" s="180">
        <v>146.05000000000001</v>
      </c>
      <c r="AI27" s="166">
        <v>56.601634125301103</v>
      </c>
      <c r="AJ27" s="181" t="s">
        <v>53</v>
      </c>
      <c r="AK27" s="188">
        <v>0.89843863690954195</v>
      </c>
      <c r="AL27" s="171">
        <v>-45.120318087391901</v>
      </c>
      <c r="AM27" s="168"/>
      <c r="AN27" s="168"/>
      <c r="AO27" s="176">
        <v>17</v>
      </c>
      <c r="AP27" s="176">
        <v>50</v>
      </c>
      <c r="AQ27" s="167"/>
      <c r="AR27" s="180">
        <v>13.3</v>
      </c>
      <c r="AS27" s="166">
        <v>5.1544110500958897</v>
      </c>
      <c r="AT27" s="181" t="s">
        <v>54</v>
      </c>
      <c r="AU27" s="173">
        <v>0.322150690630993</v>
      </c>
      <c r="AV27" s="174">
        <v>-35.251191895210603</v>
      </c>
      <c r="AW27" s="168"/>
      <c r="AX27" s="168"/>
      <c r="AY27" s="176">
        <v>28</v>
      </c>
      <c r="AZ27" s="176">
        <v>37</v>
      </c>
      <c r="BA27" s="167"/>
      <c r="BB27" s="184">
        <v>89.4</v>
      </c>
      <c r="BC27" s="180">
        <v>34.646943449516698</v>
      </c>
      <c r="BD27" s="181" t="s">
        <v>55</v>
      </c>
      <c r="BE27" s="182">
        <v>1.0827169827973999</v>
      </c>
      <c r="BF27" s="183">
        <v>-7.7023837904212797</v>
      </c>
      <c r="BG27" s="168">
        <v>0.01</v>
      </c>
      <c r="BH27" s="168">
        <v>8.0000000000000002E-3</v>
      </c>
      <c r="BI27" s="176">
        <v>0</v>
      </c>
      <c r="BJ27" s="176">
        <v>10</v>
      </c>
      <c r="BK27" s="169"/>
      <c r="BL27" s="185">
        <v>0.8</v>
      </c>
      <c r="BM27" s="182">
        <v>0.81</v>
      </c>
      <c r="BN27" s="186">
        <v>3.7500000000000001E-4</v>
      </c>
      <c r="BO27" s="187">
        <v>0.95</v>
      </c>
      <c r="BP27" s="178">
        <v>1</v>
      </c>
      <c r="BQ27" s="186">
        <v>2.5000000000000001E-3</v>
      </c>
    </row>
    <row r="28" spans="1:69" s="156" customFormat="1" ht="22.35" customHeight="1" x14ac:dyDescent="0.2">
      <c r="A28" s="165" t="s">
        <v>4</v>
      </c>
      <c r="B28" s="165" t="s">
        <v>64</v>
      </c>
      <c r="C28" s="165" t="s">
        <v>78</v>
      </c>
      <c r="D28" s="166">
        <v>9.6894159421111095</v>
      </c>
      <c r="E28" s="167"/>
      <c r="F28" s="168">
        <v>0.05</v>
      </c>
      <c r="G28" s="168">
        <v>0.05</v>
      </c>
      <c r="H28" s="169"/>
      <c r="I28" s="170">
        <v>4</v>
      </c>
      <c r="J28" s="170">
        <v>4</v>
      </c>
      <c r="K28" s="167"/>
      <c r="L28" s="171">
        <v>9140.7860999999994</v>
      </c>
      <c r="M28" s="171">
        <v>6065.0433700000003</v>
      </c>
      <c r="N28" s="171">
        <v>15205.829470000001</v>
      </c>
      <c r="O28" s="166">
        <v>1569.3236373426801</v>
      </c>
      <c r="P28" s="172">
        <v>268.108</v>
      </c>
      <c r="Q28" s="178">
        <v>5.85332641078476</v>
      </c>
      <c r="R28" s="179">
        <v>12150.8049930168</v>
      </c>
      <c r="S28" s="168">
        <v>0.01</v>
      </c>
      <c r="T28" s="168">
        <v>0.01</v>
      </c>
      <c r="U28" s="175">
        <v>0</v>
      </c>
      <c r="V28" s="176">
        <v>0</v>
      </c>
      <c r="W28" s="167"/>
      <c r="X28" s="175">
        <v>6946.6135999999997</v>
      </c>
      <c r="Y28" s="166">
        <v>716.92800076930996</v>
      </c>
      <c r="Z28" s="177">
        <v>573</v>
      </c>
      <c r="AA28" s="178">
        <v>1.2511832474158999</v>
      </c>
      <c r="AB28" s="179">
        <v>417.42004624031301</v>
      </c>
      <c r="AC28" s="168">
        <v>0.02</v>
      </c>
      <c r="AD28" s="168">
        <v>0.02</v>
      </c>
      <c r="AE28" s="176">
        <v>0</v>
      </c>
      <c r="AF28" s="176">
        <v>0</v>
      </c>
      <c r="AG28" s="167"/>
      <c r="AH28" s="180">
        <v>400.2</v>
      </c>
      <c r="AI28" s="166">
        <v>41.3027990944937</v>
      </c>
      <c r="AJ28" s="181" t="s">
        <v>53</v>
      </c>
      <c r="AK28" s="173">
        <v>0.65559998562688504</v>
      </c>
      <c r="AL28" s="174">
        <v>-317.66944831912798</v>
      </c>
      <c r="AM28" s="168"/>
      <c r="AN28" s="168"/>
      <c r="AO28" s="176">
        <v>211</v>
      </c>
      <c r="AP28" s="176">
        <v>333</v>
      </c>
      <c r="AQ28" s="167"/>
      <c r="AR28" s="180">
        <v>95.1</v>
      </c>
      <c r="AS28" s="166">
        <v>9.8148330681817999</v>
      </c>
      <c r="AT28" s="181" t="s">
        <v>54</v>
      </c>
      <c r="AU28" s="173">
        <v>0.61342706676136305</v>
      </c>
      <c r="AV28" s="174">
        <v>-87.216050366762602</v>
      </c>
      <c r="AW28" s="168"/>
      <c r="AX28" s="168"/>
      <c r="AY28" s="176">
        <v>60</v>
      </c>
      <c r="AZ28" s="176">
        <v>91</v>
      </c>
      <c r="BA28" s="167"/>
      <c r="BB28" s="184">
        <v>440.8</v>
      </c>
      <c r="BC28" s="180">
        <v>45.4929381330656</v>
      </c>
      <c r="BD28" s="181" t="s">
        <v>55</v>
      </c>
      <c r="BE28" s="178">
        <v>1.4216543166583</v>
      </c>
      <c r="BF28" s="179">
        <v>76.167899266474805</v>
      </c>
      <c r="BG28" s="168">
        <v>0.02</v>
      </c>
      <c r="BH28" s="168">
        <v>0.02</v>
      </c>
      <c r="BI28" s="176">
        <v>0</v>
      </c>
      <c r="BJ28" s="176">
        <v>0</v>
      </c>
      <c r="BK28" s="169"/>
      <c r="BL28" s="185">
        <v>0.8</v>
      </c>
      <c r="BM28" s="188">
        <v>0.73</v>
      </c>
      <c r="BN28" s="186"/>
      <c r="BO28" s="187">
        <v>0.95</v>
      </c>
      <c r="BP28" s="178">
        <v>1</v>
      </c>
      <c r="BQ28" s="186">
        <v>2.5000000000000001E-3</v>
      </c>
    </row>
    <row r="29" spans="1:69" s="156" customFormat="1" ht="22.35" customHeight="1" x14ac:dyDescent="0.2">
      <c r="A29" s="165" t="s">
        <v>4</v>
      </c>
      <c r="B29" s="165" t="s">
        <v>64</v>
      </c>
      <c r="C29" s="165" t="s">
        <v>79</v>
      </c>
      <c r="D29" s="166">
        <v>4.4281860372222202</v>
      </c>
      <c r="E29" s="167"/>
      <c r="F29" s="168">
        <v>1.6E-2</v>
      </c>
      <c r="G29" s="168">
        <v>1.2E-2</v>
      </c>
      <c r="H29" s="169"/>
      <c r="I29" s="170">
        <v>4</v>
      </c>
      <c r="J29" s="170">
        <v>3</v>
      </c>
      <c r="K29" s="167"/>
      <c r="L29" s="171">
        <v>4031.9843599999999</v>
      </c>
      <c r="M29" s="171">
        <v>-210.17469</v>
      </c>
      <c r="N29" s="171">
        <v>3821.8096700000001</v>
      </c>
      <c r="O29" s="166">
        <v>863.06438751100904</v>
      </c>
      <c r="P29" s="172">
        <v>241.767</v>
      </c>
      <c r="Q29" s="178">
        <v>3.5698188235408801</v>
      </c>
      <c r="R29" s="179">
        <v>2562.7967076945401</v>
      </c>
      <c r="S29" s="168">
        <v>0.01</v>
      </c>
      <c r="T29" s="168">
        <v>0.01</v>
      </c>
      <c r="U29" s="175">
        <v>0</v>
      </c>
      <c r="V29" s="176">
        <v>0</v>
      </c>
      <c r="W29" s="167"/>
      <c r="X29" s="175">
        <v>2510.6352299999999</v>
      </c>
      <c r="Y29" s="166">
        <v>566.96697223111903</v>
      </c>
      <c r="Z29" s="177">
        <v>573</v>
      </c>
      <c r="AA29" s="182">
        <v>0.98947115572621103</v>
      </c>
      <c r="AB29" s="183">
        <v>-473.28907481011902</v>
      </c>
      <c r="AC29" s="168">
        <v>1E-3</v>
      </c>
      <c r="AD29" s="168"/>
      <c r="AE29" s="176">
        <v>27</v>
      </c>
      <c r="AF29" s="176">
        <v>535</v>
      </c>
      <c r="AG29" s="167"/>
      <c r="AH29" s="180">
        <v>179.4</v>
      </c>
      <c r="AI29" s="166">
        <v>40.513203034382101</v>
      </c>
      <c r="AJ29" s="181" t="s">
        <v>53</v>
      </c>
      <c r="AK29" s="173">
        <v>0.64306671483146205</v>
      </c>
      <c r="AL29" s="174">
        <v>-148.67544712572001</v>
      </c>
      <c r="AM29" s="168"/>
      <c r="AN29" s="168"/>
      <c r="AO29" s="176">
        <v>100</v>
      </c>
      <c r="AP29" s="176">
        <v>156</v>
      </c>
      <c r="AQ29" s="167"/>
      <c r="AR29" s="180">
        <v>20.5</v>
      </c>
      <c r="AS29" s="166">
        <v>4.6294351293469003</v>
      </c>
      <c r="AT29" s="181" t="s">
        <v>54</v>
      </c>
      <c r="AU29" s="173">
        <v>0.28933969558418099</v>
      </c>
      <c r="AV29" s="174">
        <v>-62.820748476373304</v>
      </c>
      <c r="AW29" s="168"/>
      <c r="AX29" s="168"/>
      <c r="AY29" s="176">
        <v>51</v>
      </c>
      <c r="AZ29" s="176">
        <v>65</v>
      </c>
      <c r="BA29" s="167"/>
      <c r="BB29" s="184">
        <v>145.19999999999999</v>
      </c>
      <c r="BC29" s="180">
        <v>32.789950282008299</v>
      </c>
      <c r="BD29" s="181" t="s">
        <v>55</v>
      </c>
      <c r="BE29" s="182">
        <v>1.02468594631276</v>
      </c>
      <c r="BF29" s="183">
        <v>-21.441496952746601</v>
      </c>
      <c r="BG29" s="168">
        <v>5.0000000000000001E-3</v>
      </c>
      <c r="BH29" s="168">
        <v>2E-3</v>
      </c>
      <c r="BI29" s="176">
        <v>0</v>
      </c>
      <c r="BJ29" s="176">
        <v>25</v>
      </c>
      <c r="BK29" s="169"/>
      <c r="BL29" s="185">
        <v>0.8</v>
      </c>
      <c r="BM29" s="188">
        <v>0.79</v>
      </c>
      <c r="BN29" s="186"/>
      <c r="BO29" s="187">
        <v>0.95</v>
      </c>
      <c r="BP29" s="178">
        <v>1</v>
      </c>
      <c r="BQ29" s="186">
        <v>2.5000000000000001E-3</v>
      </c>
    </row>
    <row r="30" spans="1:69" s="156" customFormat="1" ht="22.35" customHeight="1" x14ac:dyDescent="0.2">
      <c r="A30" s="165" t="s">
        <v>80</v>
      </c>
      <c r="B30" s="165" t="s">
        <v>81</v>
      </c>
      <c r="C30" s="165" t="s">
        <v>82</v>
      </c>
      <c r="D30" s="166">
        <v>6.2436248350000003</v>
      </c>
      <c r="E30" s="167"/>
      <c r="F30" s="168">
        <v>0.03</v>
      </c>
      <c r="G30" s="168">
        <v>0.03</v>
      </c>
      <c r="H30" s="169"/>
      <c r="I30" s="170">
        <v>3</v>
      </c>
      <c r="J30" s="170">
        <v>3</v>
      </c>
      <c r="K30" s="167"/>
      <c r="L30" s="171">
        <v>3124.12266</v>
      </c>
      <c r="M30" s="171">
        <v>1967.5685900000001</v>
      </c>
      <c r="N30" s="171">
        <v>5091.6912499999999</v>
      </c>
      <c r="O30" s="166">
        <v>815.50243401195598</v>
      </c>
      <c r="P30" s="172">
        <v>244.696</v>
      </c>
      <c r="Q30" s="178">
        <v>3.3327166525482901</v>
      </c>
      <c r="R30" s="179">
        <v>3295.0101833928102</v>
      </c>
      <c r="S30" s="168">
        <v>0.01</v>
      </c>
      <c r="T30" s="168">
        <v>0.01</v>
      </c>
      <c r="U30" s="175">
        <v>0</v>
      </c>
      <c r="V30" s="176">
        <v>0</v>
      </c>
      <c r="W30" s="167"/>
      <c r="X30" s="175">
        <v>2401.3435199999999</v>
      </c>
      <c r="Y30" s="166">
        <v>384.60727277185902</v>
      </c>
      <c r="Z30" s="177">
        <v>573</v>
      </c>
      <c r="AA30" s="173">
        <v>0.67121688092820098</v>
      </c>
      <c r="AB30" s="174">
        <v>-1805.9105878150799</v>
      </c>
      <c r="AC30" s="168"/>
      <c r="AD30" s="168"/>
      <c r="AE30" s="176">
        <v>1177</v>
      </c>
      <c r="AF30" s="176">
        <v>1892</v>
      </c>
      <c r="AG30" s="167"/>
      <c r="AH30" s="180">
        <v>363.2</v>
      </c>
      <c r="AI30" s="166">
        <v>58.171336298748002</v>
      </c>
      <c r="AJ30" s="181" t="s">
        <v>53</v>
      </c>
      <c r="AK30" s="188">
        <v>0.92335454442457099</v>
      </c>
      <c r="AL30" s="171">
        <v>-99.377676775479998</v>
      </c>
      <c r="AM30" s="168"/>
      <c r="AN30" s="168"/>
      <c r="AO30" s="176">
        <v>31</v>
      </c>
      <c r="AP30" s="176">
        <v>109</v>
      </c>
      <c r="AQ30" s="167"/>
      <c r="AR30" s="180">
        <v>37.700000000000003</v>
      </c>
      <c r="AS30" s="166">
        <v>6.0381590816706998</v>
      </c>
      <c r="AT30" s="181" t="s">
        <v>54</v>
      </c>
      <c r="AU30" s="173">
        <v>0.37738494260441902</v>
      </c>
      <c r="AV30" s="174">
        <v>-79.780044895360007</v>
      </c>
      <c r="AW30" s="168"/>
      <c r="AX30" s="168"/>
      <c r="AY30" s="176">
        <v>63</v>
      </c>
      <c r="AZ30" s="176">
        <v>83</v>
      </c>
      <c r="BA30" s="167"/>
      <c r="BB30" s="184">
        <v>247.4</v>
      </c>
      <c r="BC30" s="180">
        <v>39.624417952396101</v>
      </c>
      <c r="BD30" s="181" t="s">
        <v>55</v>
      </c>
      <c r="BE30" s="178">
        <v>1.2382630610123799</v>
      </c>
      <c r="BF30" s="179">
        <v>12.439910209280001</v>
      </c>
      <c r="BG30" s="168">
        <v>0.02</v>
      </c>
      <c r="BH30" s="168">
        <v>0.02</v>
      </c>
      <c r="BI30" s="176">
        <v>0</v>
      </c>
      <c r="BJ30" s="176">
        <v>0</v>
      </c>
      <c r="BK30" s="169"/>
      <c r="BL30" s="185">
        <v>0.8</v>
      </c>
      <c r="BM30" s="188">
        <v>0.74</v>
      </c>
      <c r="BN30" s="186"/>
      <c r="BO30" s="187">
        <v>0.95</v>
      </c>
      <c r="BP30" s="178">
        <v>1</v>
      </c>
      <c r="BQ30" s="186">
        <v>2.5000000000000001E-3</v>
      </c>
    </row>
    <row r="31" spans="1:69" s="156" customFormat="1" ht="22.35" customHeight="1" x14ac:dyDescent="0.2">
      <c r="A31" s="165" t="s">
        <v>80</v>
      </c>
      <c r="B31" s="165" t="s">
        <v>81</v>
      </c>
      <c r="C31" s="165" t="s">
        <v>83</v>
      </c>
      <c r="D31" s="166">
        <v>2.8402116402222202</v>
      </c>
      <c r="E31" s="167"/>
      <c r="F31" s="168">
        <v>4.9000000000000002E-2</v>
      </c>
      <c r="G31" s="168">
        <v>4.4999999999999998E-2</v>
      </c>
      <c r="H31" s="169"/>
      <c r="I31" s="170">
        <v>5</v>
      </c>
      <c r="J31" s="170">
        <v>4</v>
      </c>
      <c r="K31" s="167"/>
      <c r="L31" s="171">
        <v>1112.00881</v>
      </c>
      <c r="M31" s="171">
        <v>644.45145000000002</v>
      </c>
      <c r="N31" s="171">
        <v>1756.4602600000001</v>
      </c>
      <c r="O31" s="166">
        <v>618.42583669665305</v>
      </c>
      <c r="P31" s="172">
        <v>255.976</v>
      </c>
      <c r="Q31" s="178">
        <v>2.4159524201356901</v>
      </c>
      <c r="R31" s="179">
        <v>901.47766657459294</v>
      </c>
      <c r="S31" s="168">
        <v>0.01</v>
      </c>
      <c r="T31" s="168">
        <v>0.01</v>
      </c>
      <c r="U31" s="175">
        <v>0</v>
      </c>
      <c r="V31" s="176">
        <v>0</v>
      </c>
      <c r="W31" s="167"/>
      <c r="X31" s="175">
        <v>1978.9872949999999</v>
      </c>
      <c r="Y31" s="166">
        <v>696.77458784203895</v>
      </c>
      <c r="Z31" s="177">
        <v>573</v>
      </c>
      <c r="AA31" s="178">
        <v>1.2160114971065199</v>
      </c>
      <c r="AB31" s="179">
        <v>65.116361659537503</v>
      </c>
      <c r="AC31" s="168">
        <v>0.02</v>
      </c>
      <c r="AD31" s="168">
        <v>0.02</v>
      </c>
      <c r="AE31" s="176">
        <v>0</v>
      </c>
      <c r="AF31" s="176">
        <v>0</v>
      </c>
      <c r="AG31" s="167"/>
      <c r="AH31" s="180">
        <v>177.05</v>
      </c>
      <c r="AI31" s="166">
        <v>62.336903874581502</v>
      </c>
      <c r="AJ31" s="181" t="s">
        <v>53</v>
      </c>
      <c r="AK31" s="182">
        <v>0.98947466467589595</v>
      </c>
      <c r="AL31" s="183">
        <v>-33.375600000783798</v>
      </c>
      <c r="AM31" s="168">
        <v>1E-3</v>
      </c>
      <c r="AN31" s="168"/>
      <c r="AO31" s="176">
        <v>2</v>
      </c>
      <c r="AP31" s="176">
        <v>38</v>
      </c>
      <c r="AQ31" s="167"/>
      <c r="AR31" s="180">
        <v>22.2</v>
      </c>
      <c r="AS31" s="166">
        <v>7.8163189269455398</v>
      </c>
      <c r="AT31" s="181" t="s">
        <v>54</v>
      </c>
      <c r="AU31" s="173">
        <v>0.48851993293409601</v>
      </c>
      <c r="AV31" s="174">
        <v>-31.241422222421299</v>
      </c>
      <c r="AW31" s="168"/>
      <c r="AX31" s="168"/>
      <c r="AY31" s="176">
        <v>24</v>
      </c>
      <c r="AZ31" s="176">
        <v>33</v>
      </c>
      <c r="BA31" s="167"/>
      <c r="BB31" s="184">
        <v>104.8</v>
      </c>
      <c r="BC31" s="180">
        <v>36.898658718193403</v>
      </c>
      <c r="BD31" s="181" t="s">
        <v>55</v>
      </c>
      <c r="BE31" s="182">
        <v>1.1530830849435401</v>
      </c>
      <c r="BF31" s="183">
        <v>-2.08284444484259</v>
      </c>
      <c r="BG31" s="168">
        <v>1.7999999999999999E-2</v>
      </c>
      <c r="BH31" s="168">
        <v>1.4999999999999999E-2</v>
      </c>
      <c r="BI31" s="176">
        <v>0</v>
      </c>
      <c r="BJ31" s="176">
        <v>5</v>
      </c>
      <c r="BK31" s="169"/>
      <c r="BL31" s="185">
        <v>0.8</v>
      </c>
      <c r="BM31" s="173">
        <v>0.67</v>
      </c>
      <c r="BN31" s="186"/>
      <c r="BO31" s="187">
        <v>0.95</v>
      </c>
      <c r="BP31" s="178">
        <v>1</v>
      </c>
      <c r="BQ31" s="186">
        <v>2.5000000000000001E-3</v>
      </c>
    </row>
    <row r="32" spans="1:69" s="156" customFormat="1" ht="22.35" customHeight="1" x14ac:dyDescent="0.2">
      <c r="A32" s="165" t="s">
        <v>80</v>
      </c>
      <c r="B32" s="165" t="s">
        <v>81</v>
      </c>
      <c r="C32" s="165" t="s">
        <v>84</v>
      </c>
      <c r="D32" s="166">
        <v>7.4919696311111101</v>
      </c>
      <c r="E32" s="167"/>
      <c r="F32" s="168">
        <v>0.01</v>
      </c>
      <c r="G32" s="168">
        <v>0.01</v>
      </c>
      <c r="H32" s="169"/>
      <c r="I32" s="170">
        <v>2</v>
      </c>
      <c r="J32" s="170">
        <v>2</v>
      </c>
      <c r="K32" s="167"/>
      <c r="L32" s="171">
        <v>5858.8981100000001</v>
      </c>
      <c r="M32" s="171">
        <v>2086.1613000000002</v>
      </c>
      <c r="N32" s="171">
        <v>7945.0594099999998</v>
      </c>
      <c r="O32" s="166">
        <v>1060.47672390547</v>
      </c>
      <c r="P32" s="172">
        <v>282.02199999999999</v>
      </c>
      <c r="Q32" s="178">
        <v>3.7602624047254101</v>
      </c>
      <c r="R32" s="179">
        <v>5460.2887050570598</v>
      </c>
      <c r="S32" s="168">
        <v>0.01</v>
      </c>
      <c r="T32" s="168">
        <v>0.01</v>
      </c>
      <c r="U32" s="175">
        <v>0</v>
      </c>
      <c r="V32" s="176">
        <v>0</v>
      </c>
      <c r="W32" s="167"/>
      <c r="X32" s="175">
        <v>3773.6693949999999</v>
      </c>
      <c r="Y32" s="166">
        <v>503.69523380467001</v>
      </c>
      <c r="Z32" s="177">
        <v>573</v>
      </c>
      <c r="AA32" s="188">
        <v>0.87904927365562002</v>
      </c>
      <c r="AB32" s="171">
        <v>-1274.77935698496</v>
      </c>
      <c r="AC32" s="168"/>
      <c r="AD32" s="168"/>
      <c r="AE32" s="176">
        <v>520</v>
      </c>
      <c r="AF32" s="176">
        <v>1378</v>
      </c>
      <c r="AG32" s="167"/>
      <c r="AH32" s="180">
        <v>239.3</v>
      </c>
      <c r="AI32" s="166">
        <v>31.9408662584915</v>
      </c>
      <c r="AJ32" s="181" t="s">
        <v>53</v>
      </c>
      <c r="AK32" s="173">
        <v>0.50699787711891298</v>
      </c>
      <c r="AL32" s="174">
        <v>-315.76504602976001</v>
      </c>
      <c r="AM32" s="168"/>
      <c r="AN32" s="168"/>
      <c r="AO32" s="176">
        <v>233</v>
      </c>
      <c r="AP32" s="176">
        <v>328</v>
      </c>
      <c r="AQ32" s="167"/>
      <c r="AR32" s="180">
        <v>50.2</v>
      </c>
      <c r="AS32" s="166">
        <v>6.70050767311439</v>
      </c>
      <c r="AT32" s="181" t="s">
        <v>54</v>
      </c>
      <c r="AU32" s="173">
        <v>0.41878172956964899</v>
      </c>
      <c r="AV32" s="174">
        <v>-90.768900578986603</v>
      </c>
      <c r="AW32" s="168"/>
      <c r="AX32" s="168"/>
      <c r="AY32" s="176">
        <v>70</v>
      </c>
      <c r="AZ32" s="176">
        <v>94</v>
      </c>
      <c r="BA32" s="167"/>
      <c r="BB32" s="184">
        <v>190</v>
      </c>
      <c r="BC32" s="180">
        <v>25.360487208998698</v>
      </c>
      <c r="BD32" s="181" t="s">
        <v>55</v>
      </c>
      <c r="BE32" s="188">
        <v>0.79251522528120899</v>
      </c>
      <c r="BF32" s="171">
        <v>-91.937801157973297</v>
      </c>
      <c r="BG32" s="168"/>
      <c r="BH32" s="168"/>
      <c r="BI32" s="176">
        <v>50</v>
      </c>
      <c r="BJ32" s="176">
        <v>98</v>
      </c>
      <c r="BK32" s="169"/>
      <c r="BL32" s="185">
        <v>0.8</v>
      </c>
      <c r="BM32" s="173">
        <v>0.69</v>
      </c>
      <c r="BN32" s="186"/>
      <c r="BO32" s="187">
        <v>0.95</v>
      </c>
      <c r="BP32" s="178">
        <v>1</v>
      </c>
      <c r="BQ32" s="186">
        <v>2.5000000000000001E-3</v>
      </c>
    </row>
    <row r="33" spans="1:69" s="156" customFormat="1" ht="22.35" customHeight="1" x14ac:dyDescent="0.2">
      <c r="A33" s="165" t="s">
        <v>80</v>
      </c>
      <c r="B33" s="165" t="s">
        <v>81</v>
      </c>
      <c r="C33" s="165" t="s">
        <v>85</v>
      </c>
      <c r="D33" s="166">
        <v>8.0712319791111096</v>
      </c>
      <c r="E33" s="167"/>
      <c r="F33" s="168">
        <v>0.03</v>
      </c>
      <c r="G33" s="168">
        <v>2.8000000000000001E-2</v>
      </c>
      <c r="H33" s="169"/>
      <c r="I33" s="170">
        <v>3</v>
      </c>
      <c r="J33" s="170">
        <v>3</v>
      </c>
      <c r="K33" s="167"/>
      <c r="L33" s="171">
        <v>4696.3698700000004</v>
      </c>
      <c r="M33" s="171">
        <v>3641.9848200000001</v>
      </c>
      <c r="N33" s="171">
        <v>8338.3546900000001</v>
      </c>
      <c r="O33" s="166">
        <v>1033.09565523333</v>
      </c>
      <c r="P33" s="172">
        <v>276.94400000000002</v>
      </c>
      <c r="Q33" s="178">
        <v>3.7303413514404702</v>
      </c>
      <c r="R33" s="179">
        <v>5709.6662693938097</v>
      </c>
      <c r="S33" s="168">
        <v>0.01</v>
      </c>
      <c r="T33" s="168">
        <v>0.01</v>
      </c>
      <c r="U33" s="175">
        <v>0</v>
      </c>
      <c r="V33" s="176">
        <v>0</v>
      </c>
      <c r="W33" s="167"/>
      <c r="X33" s="175">
        <v>4066.0792799999999</v>
      </c>
      <c r="Y33" s="166">
        <v>503.774304904541</v>
      </c>
      <c r="Z33" s="177">
        <v>573</v>
      </c>
      <c r="AA33" s="188">
        <v>0.87918726859431195</v>
      </c>
      <c r="AB33" s="171">
        <v>-1372.7042466600601</v>
      </c>
      <c r="AC33" s="168"/>
      <c r="AD33" s="168"/>
      <c r="AE33" s="176">
        <v>559</v>
      </c>
      <c r="AF33" s="176">
        <v>1484</v>
      </c>
      <c r="AG33" s="167"/>
      <c r="AH33" s="180">
        <v>361.65</v>
      </c>
      <c r="AI33" s="166">
        <v>44.807286042078097</v>
      </c>
      <c r="AJ33" s="181" t="s">
        <v>53</v>
      </c>
      <c r="AK33" s="173">
        <v>0.71122676257266904</v>
      </c>
      <c r="AL33" s="174">
        <v>-236.33143486838401</v>
      </c>
      <c r="AM33" s="168"/>
      <c r="AN33" s="168"/>
      <c r="AO33" s="176">
        <v>147</v>
      </c>
      <c r="AP33" s="176">
        <v>249</v>
      </c>
      <c r="AQ33" s="167"/>
      <c r="AR33" s="180">
        <v>64.599999999999994</v>
      </c>
      <c r="AS33" s="166">
        <v>8.0037347665373897</v>
      </c>
      <c r="AT33" s="181" t="s">
        <v>54</v>
      </c>
      <c r="AU33" s="173">
        <v>0.50023342290858697</v>
      </c>
      <c r="AV33" s="174">
        <v>-87.268300918954594</v>
      </c>
      <c r="AW33" s="168"/>
      <c r="AX33" s="168"/>
      <c r="AY33" s="176">
        <v>65</v>
      </c>
      <c r="AZ33" s="176">
        <v>91</v>
      </c>
      <c r="BA33" s="167"/>
      <c r="BB33" s="184">
        <v>303.8</v>
      </c>
      <c r="BC33" s="180">
        <v>37.639854830867797</v>
      </c>
      <c r="BD33" s="181" t="s">
        <v>55</v>
      </c>
      <c r="BE33" s="178">
        <v>1.17624546346462</v>
      </c>
      <c r="BF33" s="179">
        <v>6.3398162090777505E-2</v>
      </c>
      <c r="BG33" s="168">
        <v>0.02</v>
      </c>
      <c r="BH33" s="168">
        <v>1.7999999999999999E-2</v>
      </c>
      <c r="BI33" s="176">
        <v>0</v>
      </c>
      <c r="BJ33" s="176">
        <v>7</v>
      </c>
      <c r="BK33" s="169"/>
      <c r="BL33" s="185">
        <v>0.8</v>
      </c>
      <c r="BM33" s="173">
        <v>0.65</v>
      </c>
      <c r="BN33" s="186"/>
      <c r="BO33" s="187">
        <v>0.95</v>
      </c>
      <c r="BP33" s="178">
        <v>1</v>
      </c>
      <c r="BQ33" s="186">
        <v>2.5000000000000001E-3</v>
      </c>
    </row>
    <row r="34" spans="1:69" s="156" customFormat="1" ht="22.35" customHeight="1" x14ac:dyDescent="0.2">
      <c r="A34" s="165" t="s">
        <v>80</v>
      </c>
      <c r="B34" s="165" t="s">
        <v>81</v>
      </c>
      <c r="C34" s="165" t="s">
        <v>86</v>
      </c>
      <c r="D34" s="166">
        <v>1.4323658323333299</v>
      </c>
      <c r="E34" s="167"/>
      <c r="F34" s="168">
        <v>0.01</v>
      </c>
      <c r="G34" s="168">
        <v>0.01</v>
      </c>
      <c r="H34" s="169"/>
      <c r="I34" s="170">
        <v>2</v>
      </c>
      <c r="J34" s="170">
        <v>2</v>
      </c>
      <c r="K34" s="167"/>
      <c r="L34" s="171">
        <v>1360.47057</v>
      </c>
      <c r="M34" s="171">
        <v>122.44145</v>
      </c>
      <c r="N34" s="171">
        <v>1482.91202</v>
      </c>
      <c r="O34" s="166">
        <v>1035.28860192394</v>
      </c>
      <c r="P34" s="172">
        <v>276.94400000000002</v>
      </c>
      <c r="Q34" s="178">
        <v>3.7382597273237201</v>
      </c>
      <c r="R34" s="179">
        <v>1016.41031527001</v>
      </c>
      <c r="S34" s="168">
        <v>0.01</v>
      </c>
      <c r="T34" s="168">
        <v>0.01</v>
      </c>
      <c r="U34" s="175">
        <v>0</v>
      </c>
      <c r="V34" s="176">
        <v>0</v>
      </c>
      <c r="W34" s="167"/>
      <c r="X34" s="175">
        <v>442.52023500000001</v>
      </c>
      <c r="Y34" s="166">
        <v>308.94358480970698</v>
      </c>
      <c r="Z34" s="177">
        <v>573</v>
      </c>
      <c r="AA34" s="173">
        <v>0.53916855987732504</v>
      </c>
      <c r="AB34" s="174">
        <v>-522.67661638615004</v>
      </c>
      <c r="AC34" s="168"/>
      <c r="AD34" s="168"/>
      <c r="AE34" s="176">
        <v>379</v>
      </c>
      <c r="AF34" s="176">
        <v>543</v>
      </c>
      <c r="AG34" s="167"/>
      <c r="AH34" s="180">
        <v>32.299999999999997</v>
      </c>
      <c r="AI34" s="166">
        <v>22.550105057576701</v>
      </c>
      <c r="AJ34" s="181" t="s">
        <v>53</v>
      </c>
      <c r="AK34" s="173">
        <v>0.35793817551709101</v>
      </c>
      <c r="AL34" s="174">
        <v>-73.821119785911705</v>
      </c>
      <c r="AM34" s="168"/>
      <c r="AN34" s="168"/>
      <c r="AO34" s="176">
        <v>58</v>
      </c>
      <c r="AP34" s="176">
        <v>76</v>
      </c>
      <c r="AQ34" s="167"/>
      <c r="AR34" s="180">
        <v>5.8</v>
      </c>
      <c r="AS34" s="166">
        <v>4.0492448710199698</v>
      </c>
      <c r="AT34" s="181" t="s">
        <v>54</v>
      </c>
      <c r="AU34" s="173">
        <v>0.253077804438748</v>
      </c>
      <c r="AV34" s="174">
        <v>-21.151395501183899</v>
      </c>
      <c r="AW34" s="168"/>
      <c r="AX34" s="168"/>
      <c r="AY34" s="176">
        <v>18</v>
      </c>
      <c r="AZ34" s="176">
        <v>22</v>
      </c>
      <c r="BA34" s="167"/>
      <c r="BB34" s="184">
        <v>27.4</v>
      </c>
      <c r="BC34" s="180">
        <v>19.129191287232299</v>
      </c>
      <c r="BD34" s="181" t="s">
        <v>55</v>
      </c>
      <c r="BE34" s="173">
        <v>0.59778722772600801</v>
      </c>
      <c r="BF34" s="174">
        <v>-26.5027910023679</v>
      </c>
      <c r="BG34" s="168"/>
      <c r="BH34" s="168"/>
      <c r="BI34" s="176">
        <v>19</v>
      </c>
      <c r="BJ34" s="176">
        <v>28</v>
      </c>
      <c r="BK34" s="169"/>
      <c r="BL34" s="185">
        <v>0.8</v>
      </c>
      <c r="BM34" s="188">
        <v>0.8</v>
      </c>
      <c r="BN34" s="186">
        <v>0</v>
      </c>
      <c r="BO34" s="187">
        <v>0.95</v>
      </c>
      <c r="BP34" s="178">
        <v>1</v>
      </c>
      <c r="BQ34" s="186">
        <v>2.5000000000000001E-3</v>
      </c>
    </row>
    <row r="35" spans="1:69" s="156" customFormat="1" ht="22.35" customHeight="1" x14ac:dyDescent="0.2">
      <c r="A35" s="165" t="s">
        <v>80</v>
      </c>
      <c r="B35" s="165" t="s">
        <v>81</v>
      </c>
      <c r="C35" s="165" t="s">
        <v>87</v>
      </c>
      <c r="D35" s="166">
        <v>2.4192814678888901</v>
      </c>
      <c r="E35" s="167"/>
      <c r="F35" s="168">
        <v>3.6999999999999998E-2</v>
      </c>
      <c r="G35" s="168">
        <v>3.3000000000000002E-2</v>
      </c>
      <c r="H35" s="169"/>
      <c r="I35" s="170">
        <v>4</v>
      </c>
      <c r="J35" s="170">
        <v>4</v>
      </c>
      <c r="K35" s="167"/>
      <c r="L35" s="171">
        <v>1715.4240199999999</v>
      </c>
      <c r="M35" s="171">
        <v>800.70371</v>
      </c>
      <c r="N35" s="171">
        <v>2516.1277300000002</v>
      </c>
      <c r="O35" s="166">
        <v>1040.03100234369</v>
      </c>
      <c r="P35" s="172">
        <v>237.21100000000001</v>
      </c>
      <c r="Q35" s="178">
        <v>4.3844130430026</v>
      </c>
      <c r="R35" s="179">
        <v>1841.24464269544</v>
      </c>
      <c r="S35" s="168">
        <v>0.01</v>
      </c>
      <c r="T35" s="168">
        <v>0.01</v>
      </c>
      <c r="U35" s="175">
        <v>0</v>
      </c>
      <c r="V35" s="176">
        <v>0</v>
      </c>
      <c r="W35" s="167"/>
      <c r="X35" s="175">
        <v>1605.4844350000001</v>
      </c>
      <c r="Y35" s="166">
        <v>663.62035848642904</v>
      </c>
      <c r="Z35" s="177">
        <v>573</v>
      </c>
      <c r="AA35" s="182">
        <v>1.1581507128908</v>
      </c>
      <c r="AB35" s="183">
        <v>-24.7435435739926</v>
      </c>
      <c r="AC35" s="168">
        <v>1.7999999999999999E-2</v>
      </c>
      <c r="AD35" s="168">
        <v>1.6E-2</v>
      </c>
      <c r="AE35" s="176">
        <v>0</v>
      </c>
      <c r="AF35" s="176">
        <v>59</v>
      </c>
      <c r="AG35" s="167"/>
      <c r="AH35" s="180">
        <v>162.69999999999999</v>
      </c>
      <c r="AI35" s="166">
        <v>67.251372839215406</v>
      </c>
      <c r="AJ35" s="181" t="s">
        <v>53</v>
      </c>
      <c r="AK35" s="182">
        <v>1.0674821085589701</v>
      </c>
      <c r="AL35" s="183">
        <v>-16.5397253929521</v>
      </c>
      <c r="AM35" s="168">
        <v>8.9999999999999993E-3</v>
      </c>
      <c r="AN35" s="168">
        <v>7.0000000000000001E-3</v>
      </c>
      <c r="AO35" s="176">
        <v>0</v>
      </c>
      <c r="AP35" s="176">
        <v>21</v>
      </c>
      <c r="AQ35" s="167"/>
      <c r="AR35" s="180">
        <v>27.4</v>
      </c>
      <c r="AS35" s="166">
        <v>11.3256768026706</v>
      </c>
      <c r="AT35" s="181" t="s">
        <v>54</v>
      </c>
      <c r="AU35" s="173">
        <v>0.70785480016691105</v>
      </c>
      <c r="AV35" s="174">
        <v>-18.121200099797399</v>
      </c>
      <c r="AW35" s="168"/>
      <c r="AX35" s="168"/>
      <c r="AY35" s="176">
        <v>12</v>
      </c>
      <c r="AZ35" s="176">
        <v>20</v>
      </c>
      <c r="BA35" s="167"/>
      <c r="BB35" s="184">
        <v>73.2</v>
      </c>
      <c r="BC35" s="180">
        <v>30.2569175896163</v>
      </c>
      <c r="BD35" s="181" t="s">
        <v>55</v>
      </c>
      <c r="BE35" s="188">
        <v>0.94552867467550805</v>
      </c>
      <c r="BF35" s="171">
        <v>-17.842400199594699</v>
      </c>
      <c r="BG35" s="168"/>
      <c r="BH35" s="168"/>
      <c r="BI35" s="176">
        <v>5</v>
      </c>
      <c r="BJ35" s="176">
        <v>20</v>
      </c>
      <c r="BK35" s="169"/>
      <c r="BL35" s="185">
        <v>0.8</v>
      </c>
      <c r="BM35" s="173">
        <v>0.64</v>
      </c>
      <c r="BN35" s="186"/>
      <c r="BO35" s="187">
        <v>0.95</v>
      </c>
      <c r="BP35" s="178">
        <v>1</v>
      </c>
      <c r="BQ35" s="186">
        <v>2.5000000000000001E-3</v>
      </c>
    </row>
    <row r="36" spans="1:69" s="156" customFormat="1" ht="22.35" customHeight="1" x14ac:dyDescent="0.2">
      <c r="A36" s="165" t="s">
        <v>80</v>
      </c>
      <c r="B36" s="165" t="s">
        <v>81</v>
      </c>
      <c r="C36" s="165" t="s">
        <v>88</v>
      </c>
      <c r="D36" s="166">
        <v>2.4492784859999999</v>
      </c>
      <c r="E36" s="167"/>
      <c r="F36" s="168">
        <v>0.03</v>
      </c>
      <c r="G36" s="168">
        <v>0.03</v>
      </c>
      <c r="H36" s="169"/>
      <c r="I36" s="170">
        <v>3</v>
      </c>
      <c r="J36" s="170">
        <v>3</v>
      </c>
      <c r="K36" s="167"/>
      <c r="L36" s="171">
        <v>1435.16165</v>
      </c>
      <c r="M36" s="171">
        <v>1960.08986</v>
      </c>
      <c r="N36" s="171">
        <v>3395.2515100000001</v>
      </c>
      <c r="O36" s="166">
        <v>1386.2251799487699</v>
      </c>
      <c r="P36" s="172">
        <v>282.02199999999999</v>
      </c>
      <c r="Q36" s="178">
        <v>4.9153086636814498</v>
      </c>
      <c r="R36" s="179">
        <v>2582.92901939786</v>
      </c>
      <c r="S36" s="168">
        <v>0.01</v>
      </c>
      <c r="T36" s="168">
        <v>0.01</v>
      </c>
      <c r="U36" s="175">
        <v>0</v>
      </c>
      <c r="V36" s="176">
        <v>0</v>
      </c>
      <c r="W36" s="167"/>
      <c r="X36" s="175">
        <v>1203.19586</v>
      </c>
      <c r="Y36" s="166">
        <v>491.24502047334801</v>
      </c>
      <c r="Z36" s="177">
        <v>573</v>
      </c>
      <c r="AA36" s="188">
        <v>0.85732115265854703</v>
      </c>
      <c r="AB36" s="171">
        <v>-447.24554923412802</v>
      </c>
      <c r="AC36" s="168"/>
      <c r="AD36" s="168"/>
      <c r="AE36" s="176">
        <v>201</v>
      </c>
      <c r="AF36" s="176">
        <v>481</v>
      </c>
      <c r="AG36" s="167"/>
      <c r="AH36" s="180">
        <v>141.1</v>
      </c>
      <c r="AI36" s="166">
        <v>57.6088022683101</v>
      </c>
      <c r="AJ36" s="181" t="s">
        <v>53</v>
      </c>
      <c r="AK36" s="188">
        <v>0.91442543283031896</v>
      </c>
      <c r="AL36" s="171">
        <v>-40.362144470768001</v>
      </c>
      <c r="AM36" s="168"/>
      <c r="AN36" s="168"/>
      <c r="AO36" s="176">
        <v>14</v>
      </c>
      <c r="AP36" s="176">
        <v>45</v>
      </c>
      <c r="AQ36" s="167"/>
      <c r="AR36" s="180">
        <v>15.6</v>
      </c>
      <c r="AS36" s="166">
        <v>6.3692226462483204</v>
      </c>
      <c r="AT36" s="181" t="s">
        <v>54</v>
      </c>
      <c r="AU36" s="173">
        <v>0.39807641539052002</v>
      </c>
      <c r="AV36" s="174">
        <v>-30.485623992575999</v>
      </c>
      <c r="AW36" s="168"/>
      <c r="AX36" s="168"/>
      <c r="AY36" s="176">
        <v>24</v>
      </c>
      <c r="AZ36" s="176">
        <v>32</v>
      </c>
      <c r="BA36" s="167"/>
      <c r="BB36" s="184">
        <v>96.6</v>
      </c>
      <c r="BC36" s="180">
        <v>39.4401863863838</v>
      </c>
      <c r="BD36" s="181" t="s">
        <v>55</v>
      </c>
      <c r="BE36" s="178">
        <v>1.23250582457449</v>
      </c>
      <c r="BF36" s="179">
        <v>4.4287520148480199</v>
      </c>
      <c r="BG36" s="168">
        <v>0.02</v>
      </c>
      <c r="BH36" s="168">
        <v>0.02</v>
      </c>
      <c r="BI36" s="176">
        <v>0</v>
      </c>
      <c r="BJ36" s="176">
        <v>0</v>
      </c>
      <c r="BK36" s="169"/>
      <c r="BL36" s="185">
        <v>0.8</v>
      </c>
      <c r="BM36" s="188">
        <v>0.76</v>
      </c>
      <c r="BN36" s="186"/>
      <c r="BO36" s="187">
        <v>0.95</v>
      </c>
      <c r="BP36" s="178">
        <v>1</v>
      </c>
      <c r="BQ36" s="186">
        <v>2.5000000000000001E-3</v>
      </c>
    </row>
    <row r="37" spans="1:69" s="156" customFormat="1" ht="22.35" customHeight="1" x14ac:dyDescent="0.2">
      <c r="A37" s="165" t="s">
        <v>80</v>
      </c>
      <c r="B37" s="165" t="s">
        <v>81</v>
      </c>
      <c r="C37" s="165" t="s">
        <v>89</v>
      </c>
      <c r="D37" s="166">
        <v>3.7485407748888901</v>
      </c>
      <c r="E37" s="167"/>
      <c r="F37" s="168">
        <v>2.3E-2</v>
      </c>
      <c r="G37" s="168">
        <v>2.1000000000000001E-2</v>
      </c>
      <c r="H37" s="169"/>
      <c r="I37" s="170">
        <v>2</v>
      </c>
      <c r="J37" s="170">
        <v>2</v>
      </c>
      <c r="K37" s="167"/>
      <c r="L37" s="171">
        <v>1360.42273</v>
      </c>
      <c r="M37" s="171">
        <v>1995.2001700000001</v>
      </c>
      <c r="N37" s="171">
        <v>3355.6228999999998</v>
      </c>
      <c r="O37" s="166">
        <v>895.18111220211097</v>
      </c>
      <c r="P37" s="172">
        <v>231.66</v>
      </c>
      <c r="Q37" s="178">
        <v>3.8642023318747798</v>
      </c>
      <c r="R37" s="179">
        <v>2334.3998398489498</v>
      </c>
      <c r="S37" s="168">
        <v>0.01</v>
      </c>
      <c r="T37" s="168">
        <v>0.01</v>
      </c>
      <c r="U37" s="175">
        <v>0</v>
      </c>
      <c r="V37" s="176">
        <v>0</v>
      </c>
      <c r="W37" s="167"/>
      <c r="X37" s="175">
        <v>2383.5384899999999</v>
      </c>
      <c r="Y37" s="166">
        <v>635.85769320347094</v>
      </c>
      <c r="Z37" s="177">
        <v>573</v>
      </c>
      <c r="AA37" s="182">
        <v>1.1096992900584099</v>
      </c>
      <c r="AB37" s="183">
        <v>-142.40821407732801</v>
      </c>
      <c r="AC37" s="168">
        <v>1.2999999999999999E-2</v>
      </c>
      <c r="AD37" s="168">
        <v>1.0999999999999999E-2</v>
      </c>
      <c r="AE37" s="176">
        <v>0</v>
      </c>
      <c r="AF37" s="176">
        <v>194</v>
      </c>
      <c r="AG37" s="167"/>
      <c r="AH37" s="180">
        <v>202.2</v>
      </c>
      <c r="AI37" s="166">
        <v>53.940989879186603</v>
      </c>
      <c r="AJ37" s="181" t="s">
        <v>53</v>
      </c>
      <c r="AK37" s="188">
        <v>0.85620618855851804</v>
      </c>
      <c r="AL37" s="171">
        <v>-75.5218889299681</v>
      </c>
      <c r="AM37" s="168"/>
      <c r="AN37" s="168"/>
      <c r="AO37" s="176">
        <v>34</v>
      </c>
      <c r="AP37" s="176">
        <v>82</v>
      </c>
      <c r="AQ37" s="167"/>
      <c r="AR37" s="180">
        <v>18.100000000000001</v>
      </c>
      <c r="AS37" s="166">
        <v>4.8285455826571599</v>
      </c>
      <c r="AT37" s="181" t="s">
        <v>54</v>
      </c>
      <c r="AU37" s="173">
        <v>0.301784098916072</v>
      </c>
      <c r="AV37" s="174">
        <v>-52.432543220309299</v>
      </c>
      <c r="AW37" s="168"/>
      <c r="AX37" s="168"/>
      <c r="AY37" s="176">
        <v>42</v>
      </c>
      <c r="AZ37" s="176">
        <v>54</v>
      </c>
      <c r="BA37" s="167"/>
      <c r="BB37" s="184">
        <v>97</v>
      </c>
      <c r="BC37" s="180">
        <v>25.876735995455501</v>
      </c>
      <c r="BD37" s="181" t="s">
        <v>55</v>
      </c>
      <c r="BE37" s="188">
        <v>0.80864799985798397</v>
      </c>
      <c r="BF37" s="171">
        <v>-44.0650864406187</v>
      </c>
      <c r="BG37" s="168"/>
      <c r="BH37" s="168"/>
      <c r="BI37" s="176">
        <v>23</v>
      </c>
      <c r="BJ37" s="176">
        <v>47</v>
      </c>
      <c r="BK37" s="169"/>
      <c r="BL37" s="185">
        <v>0.8</v>
      </c>
      <c r="BM37" s="173">
        <v>0.67</v>
      </c>
      <c r="BN37" s="186"/>
      <c r="BO37" s="187">
        <v>0.95</v>
      </c>
      <c r="BP37" s="188">
        <v>0.94</v>
      </c>
      <c r="BQ37" s="186"/>
    </row>
    <row r="38" spans="1:69" s="156" customFormat="1" ht="22.35" customHeight="1" x14ac:dyDescent="0.2">
      <c r="A38" s="165" t="s">
        <v>80</v>
      </c>
      <c r="B38" s="165" t="s">
        <v>81</v>
      </c>
      <c r="C38" s="165" t="s">
        <v>90</v>
      </c>
      <c r="D38" s="166">
        <v>5.80392696766667</v>
      </c>
      <c r="E38" s="167"/>
      <c r="F38" s="168">
        <v>1.9E-2</v>
      </c>
      <c r="G38" s="168">
        <v>1.7000000000000001E-2</v>
      </c>
      <c r="H38" s="169"/>
      <c r="I38" s="170">
        <v>2</v>
      </c>
      <c r="J38" s="170">
        <v>2</v>
      </c>
      <c r="K38" s="167"/>
      <c r="L38" s="171">
        <v>1767.42786</v>
      </c>
      <c r="M38" s="171">
        <v>1062.59773</v>
      </c>
      <c r="N38" s="171">
        <v>2830.0255900000002</v>
      </c>
      <c r="O38" s="166">
        <v>487.60530684929398</v>
      </c>
      <c r="P38" s="172">
        <v>236.59800000000001</v>
      </c>
      <c r="Q38" s="178">
        <v>2.06090206531456</v>
      </c>
      <c r="R38" s="179">
        <v>1215.1453150695099</v>
      </c>
      <c r="S38" s="168">
        <v>0.01</v>
      </c>
      <c r="T38" s="168">
        <v>0.01</v>
      </c>
      <c r="U38" s="175">
        <v>0</v>
      </c>
      <c r="V38" s="176">
        <v>0</v>
      </c>
      <c r="W38" s="167"/>
      <c r="X38" s="175">
        <v>3553.8091049999998</v>
      </c>
      <c r="Y38" s="166">
        <v>612.31113430580001</v>
      </c>
      <c r="Z38" s="177">
        <v>573</v>
      </c>
      <c r="AA38" s="182">
        <v>1.06860581903281</v>
      </c>
      <c r="AB38" s="183">
        <v>-357.15547430825001</v>
      </c>
      <c r="AC38" s="168">
        <v>8.9999999999999993E-3</v>
      </c>
      <c r="AD38" s="168">
        <v>7.0000000000000001E-3</v>
      </c>
      <c r="AE38" s="176">
        <v>0</v>
      </c>
      <c r="AF38" s="176">
        <v>437</v>
      </c>
      <c r="AG38" s="167"/>
      <c r="AH38" s="180">
        <v>277.5</v>
      </c>
      <c r="AI38" s="166">
        <v>47.812455522947801</v>
      </c>
      <c r="AJ38" s="181" t="s">
        <v>53</v>
      </c>
      <c r="AK38" s="173">
        <v>0.75892786544361601</v>
      </c>
      <c r="AL38" s="174">
        <v>-152.501341180488</v>
      </c>
      <c r="AM38" s="168"/>
      <c r="AN38" s="168"/>
      <c r="AO38" s="176">
        <v>89</v>
      </c>
      <c r="AP38" s="176">
        <v>162</v>
      </c>
      <c r="AQ38" s="167"/>
      <c r="AR38" s="180">
        <v>43.5</v>
      </c>
      <c r="AS38" s="166">
        <v>7.4949254603539899</v>
      </c>
      <c r="AT38" s="181" t="s">
        <v>54</v>
      </c>
      <c r="AU38" s="173">
        <v>0.46843284127212398</v>
      </c>
      <c r="AV38" s="174">
        <v>-65.706689823616003</v>
      </c>
      <c r="AW38" s="168"/>
      <c r="AX38" s="168"/>
      <c r="AY38" s="176">
        <v>50</v>
      </c>
      <c r="AZ38" s="176">
        <v>68</v>
      </c>
      <c r="BA38" s="167"/>
      <c r="BB38" s="184">
        <v>175.2</v>
      </c>
      <c r="BC38" s="180">
        <v>30.186458405839499</v>
      </c>
      <c r="BD38" s="181" t="s">
        <v>55</v>
      </c>
      <c r="BE38" s="188">
        <v>0.94332682518248401</v>
      </c>
      <c r="BF38" s="171">
        <v>-43.213379647232102</v>
      </c>
      <c r="BG38" s="168"/>
      <c r="BH38" s="168"/>
      <c r="BI38" s="176">
        <v>11</v>
      </c>
      <c r="BJ38" s="176">
        <v>48</v>
      </c>
      <c r="BK38" s="169"/>
      <c r="BL38" s="185">
        <v>0.8</v>
      </c>
      <c r="BM38" s="173">
        <v>0.68</v>
      </c>
      <c r="BN38" s="186"/>
      <c r="BO38" s="187">
        <v>0.95</v>
      </c>
      <c r="BP38" s="188">
        <v>0.88</v>
      </c>
      <c r="BQ38" s="186"/>
    </row>
    <row r="39" spans="1:69" s="156" customFormat="1" ht="22.35" customHeight="1" x14ac:dyDescent="0.2">
      <c r="A39" s="165" t="s">
        <v>80</v>
      </c>
      <c r="B39" s="165" t="s">
        <v>81</v>
      </c>
      <c r="C39" s="165" t="s">
        <v>91</v>
      </c>
      <c r="D39" s="166">
        <v>2.9206349206666702</v>
      </c>
      <c r="E39" s="167"/>
      <c r="F39" s="168">
        <v>0.02</v>
      </c>
      <c r="G39" s="168">
        <v>1.7999999999999999E-2</v>
      </c>
      <c r="H39" s="169"/>
      <c r="I39" s="170">
        <v>3</v>
      </c>
      <c r="J39" s="170">
        <v>3</v>
      </c>
      <c r="K39" s="167"/>
      <c r="L39" s="171">
        <v>2093.4496899999999</v>
      </c>
      <c r="M39" s="171">
        <v>1875.2250100000001</v>
      </c>
      <c r="N39" s="171">
        <v>3968.6747</v>
      </c>
      <c r="O39" s="166">
        <v>1358.83970705045</v>
      </c>
      <c r="P39" s="172">
        <v>240.53200000000001</v>
      </c>
      <c r="Q39" s="178">
        <v>5.6493094767035199</v>
      </c>
      <c r="R39" s="179">
        <v>3142.5274573243501</v>
      </c>
      <c r="S39" s="168">
        <v>0.01</v>
      </c>
      <c r="T39" s="168">
        <v>0.01</v>
      </c>
      <c r="U39" s="175">
        <v>0</v>
      </c>
      <c r="V39" s="176">
        <v>0</v>
      </c>
      <c r="W39" s="167"/>
      <c r="X39" s="175">
        <v>1272.9578449999999</v>
      </c>
      <c r="Y39" s="166">
        <v>435.84969692460999</v>
      </c>
      <c r="Z39" s="177">
        <v>573</v>
      </c>
      <c r="AA39" s="173">
        <v>0.76064519533090802</v>
      </c>
      <c r="AB39" s="174">
        <v>-695.10615502139399</v>
      </c>
      <c r="AC39" s="168"/>
      <c r="AD39" s="168"/>
      <c r="AE39" s="176">
        <v>401</v>
      </c>
      <c r="AF39" s="176">
        <v>736</v>
      </c>
      <c r="AG39" s="167"/>
      <c r="AH39" s="180">
        <v>141.94999999999999</v>
      </c>
      <c r="AI39" s="166">
        <v>48.602445651645603</v>
      </c>
      <c r="AJ39" s="181" t="s">
        <v>53</v>
      </c>
      <c r="AK39" s="173">
        <v>0.77146739129596198</v>
      </c>
      <c r="AL39" s="174">
        <v>-74.434000002352207</v>
      </c>
      <c r="AM39" s="168"/>
      <c r="AN39" s="168"/>
      <c r="AO39" s="176">
        <v>43</v>
      </c>
      <c r="AP39" s="176">
        <v>79</v>
      </c>
      <c r="AQ39" s="167"/>
      <c r="AR39" s="180">
        <v>22.1</v>
      </c>
      <c r="AS39" s="166">
        <v>7.5668478260047101</v>
      </c>
      <c r="AT39" s="181" t="s">
        <v>54</v>
      </c>
      <c r="AU39" s="173">
        <v>0.47292798912529399</v>
      </c>
      <c r="AV39" s="174">
        <v>-32.854666667264098</v>
      </c>
      <c r="AW39" s="168"/>
      <c r="AX39" s="168"/>
      <c r="AY39" s="176">
        <v>25</v>
      </c>
      <c r="AZ39" s="176">
        <v>34</v>
      </c>
      <c r="BA39" s="167"/>
      <c r="BB39" s="184">
        <v>101.2</v>
      </c>
      <c r="BC39" s="180">
        <v>34.649999999623397</v>
      </c>
      <c r="BD39" s="181" t="s">
        <v>55</v>
      </c>
      <c r="BE39" s="182">
        <v>1.08281249998823</v>
      </c>
      <c r="BF39" s="183">
        <v>-8.7093333345281092</v>
      </c>
      <c r="BG39" s="168">
        <v>0.01</v>
      </c>
      <c r="BH39" s="168">
        <v>8.0000000000000002E-3</v>
      </c>
      <c r="BI39" s="176">
        <v>0</v>
      </c>
      <c r="BJ39" s="176">
        <v>11</v>
      </c>
      <c r="BK39" s="169"/>
      <c r="BL39" s="185">
        <v>0.8</v>
      </c>
      <c r="BM39" s="173">
        <v>0.68</v>
      </c>
      <c r="BN39" s="186"/>
      <c r="BO39" s="187">
        <v>0.95</v>
      </c>
      <c r="BP39" s="178">
        <v>1</v>
      </c>
      <c r="BQ39" s="186">
        <v>2.5000000000000001E-3</v>
      </c>
    </row>
    <row r="40" spans="1:69" s="156" customFormat="1" ht="22.35" customHeight="1" x14ac:dyDescent="0.2">
      <c r="A40" s="165" t="s">
        <v>80</v>
      </c>
      <c r="B40" s="165" t="s">
        <v>81</v>
      </c>
      <c r="C40" s="165" t="s">
        <v>92</v>
      </c>
      <c r="D40" s="166">
        <v>4.1371847502222199</v>
      </c>
      <c r="E40" s="167"/>
      <c r="F40" s="168">
        <v>3.5000000000000003E-2</v>
      </c>
      <c r="G40" s="168">
        <v>3.3000000000000002E-2</v>
      </c>
      <c r="H40" s="169"/>
      <c r="I40" s="170">
        <v>4</v>
      </c>
      <c r="J40" s="170">
        <v>4</v>
      </c>
      <c r="K40" s="167"/>
      <c r="L40" s="171">
        <v>1506.3793700000001</v>
      </c>
      <c r="M40" s="171">
        <v>1338.4908</v>
      </c>
      <c r="N40" s="171">
        <v>2844.8701700000001</v>
      </c>
      <c r="O40" s="166">
        <v>687.63430732630297</v>
      </c>
      <c r="P40" s="172">
        <v>228.25</v>
      </c>
      <c r="Q40" s="178">
        <v>3.01263661479212</v>
      </c>
      <c r="R40" s="179">
        <v>1734.3587649758499</v>
      </c>
      <c r="S40" s="168">
        <v>0.01</v>
      </c>
      <c r="T40" s="168">
        <v>0.01</v>
      </c>
      <c r="U40" s="175">
        <v>0</v>
      </c>
      <c r="V40" s="176">
        <v>0</v>
      </c>
      <c r="W40" s="167"/>
      <c r="X40" s="175">
        <v>2966.7255949999999</v>
      </c>
      <c r="Y40" s="166">
        <v>717.08801373703398</v>
      </c>
      <c r="Z40" s="177">
        <v>573</v>
      </c>
      <c r="AA40" s="178">
        <v>1.2514625021588699</v>
      </c>
      <c r="AB40" s="179">
        <v>178.89192543225801</v>
      </c>
      <c r="AC40" s="168">
        <v>0.02</v>
      </c>
      <c r="AD40" s="168">
        <v>0.02</v>
      </c>
      <c r="AE40" s="176">
        <v>0</v>
      </c>
      <c r="AF40" s="176">
        <v>0</v>
      </c>
      <c r="AG40" s="167"/>
      <c r="AH40" s="180">
        <v>188.3</v>
      </c>
      <c r="AI40" s="166">
        <v>45.5140418831636</v>
      </c>
      <c r="AJ40" s="181" t="s">
        <v>53</v>
      </c>
      <c r="AK40" s="173">
        <v>0.72244510925656502</v>
      </c>
      <c r="AL40" s="174">
        <v>-118.215743774464</v>
      </c>
      <c r="AM40" s="168"/>
      <c r="AN40" s="168"/>
      <c r="AO40" s="176">
        <v>73</v>
      </c>
      <c r="AP40" s="176">
        <v>125</v>
      </c>
      <c r="AQ40" s="167"/>
      <c r="AR40" s="180">
        <v>29.8</v>
      </c>
      <c r="AS40" s="166">
        <v>7.20296573615654</v>
      </c>
      <c r="AT40" s="181" t="s">
        <v>54</v>
      </c>
      <c r="AU40" s="173">
        <v>0.45018535850978397</v>
      </c>
      <c r="AV40" s="174">
        <v>-48.045268260181302</v>
      </c>
      <c r="AW40" s="168"/>
      <c r="AX40" s="168"/>
      <c r="AY40" s="176">
        <v>37</v>
      </c>
      <c r="AZ40" s="176">
        <v>50</v>
      </c>
      <c r="BA40" s="167"/>
      <c r="BB40" s="184">
        <v>136</v>
      </c>
      <c r="BC40" s="180">
        <v>32.872595305949297</v>
      </c>
      <c r="BD40" s="181" t="s">
        <v>55</v>
      </c>
      <c r="BE40" s="182">
        <v>1.02726860331091</v>
      </c>
      <c r="BF40" s="183">
        <v>-19.690536520362599</v>
      </c>
      <c r="BG40" s="168">
        <v>5.0000000000000001E-3</v>
      </c>
      <c r="BH40" s="168">
        <v>3.0000000000000001E-3</v>
      </c>
      <c r="BI40" s="176">
        <v>0</v>
      </c>
      <c r="BJ40" s="176">
        <v>23</v>
      </c>
      <c r="BK40" s="169"/>
      <c r="BL40" s="185">
        <v>0.8</v>
      </c>
      <c r="BM40" s="188">
        <v>0.73</v>
      </c>
      <c r="BN40" s="186"/>
      <c r="BO40" s="187">
        <v>0.95</v>
      </c>
      <c r="BP40" s="178">
        <v>1</v>
      </c>
      <c r="BQ40" s="186">
        <v>2.5000000000000001E-3</v>
      </c>
    </row>
    <row r="41" spans="1:69" s="156" customFormat="1" ht="22.35" customHeight="1" x14ac:dyDescent="0.2">
      <c r="A41" s="165" t="s">
        <v>80</v>
      </c>
      <c r="B41" s="165" t="s">
        <v>81</v>
      </c>
      <c r="C41" s="165" t="s">
        <v>93</v>
      </c>
      <c r="D41" s="166">
        <v>7.6785695595555596</v>
      </c>
      <c r="E41" s="167"/>
      <c r="F41" s="168">
        <v>4.2000000000000003E-2</v>
      </c>
      <c r="G41" s="168">
        <v>0.04</v>
      </c>
      <c r="H41" s="169"/>
      <c r="I41" s="170">
        <v>4</v>
      </c>
      <c r="J41" s="170">
        <v>4</v>
      </c>
      <c r="K41" s="167"/>
      <c r="L41" s="171">
        <v>5845.28215</v>
      </c>
      <c r="M41" s="171">
        <v>2421.89977</v>
      </c>
      <c r="N41" s="171">
        <v>8267.1819200000009</v>
      </c>
      <c r="O41" s="166">
        <v>1076.6565121119399</v>
      </c>
      <c r="P41" s="172">
        <v>287.5</v>
      </c>
      <c r="Q41" s="178">
        <v>3.7448922160415301</v>
      </c>
      <c r="R41" s="179">
        <v>5671.0575519142603</v>
      </c>
      <c r="S41" s="168">
        <v>0.01</v>
      </c>
      <c r="T41" s="168">
        <v>0.01</v>
      </c>
      <c r="U41" s="175">
        <v>0</v>
      </c>
      <c r="V41" s="176">
        <v>0</v>
      </c>
      <c r="W41" s="167"/>
      <c r="X41" s="175">
        <v>5281.5568249999997</v>
      </c>
      <c r="Y41" s="166">
        <v>687.83082370171303</v>
      </c>
      <c r="Z41" s="177">
        <v>573</v>
      </c>
      <c r="AA41" s="178">
        <v>1.20040283368536</v>
      </c>
      <c r="AB41" s="179">
        <v>107.368084432606</v>
      </c>
      <c r="AC41" s="168">
        <v>0.02</v>
      </c>
      <c r="AD41" s="168">
        <v>0.02</v>
      </c>
      <c r="AE41" s="176">
        <v>0</v>
      </c>
      <c r="AF41" s="176">
        <v>0</v>
      </c>
      <c r="AG41" s="167"/>
      <c r="AH41" s="180">
        <v>334.05</v>
      </c>
      <c r="AI41" s="166">
        <v>43.5041966357254</v>
      </c>
      <c r="AJ41" s="181" t="s">
        <v>53</v>
      </c>
      <c r="AK41" s="173">
        <v>0.69054280374167198</v>
      </c>
      <c r="AL41" s="174">
        <v>-234.839861528352</v>
      </c>
      <c r="AM41" s="168"/>
      <c r="AN41" s="168"/>
      <c r="AO41" s="176">
        <v>150</v>
      </c>
      <c r="AP41" s="176">
        <v>247</v>
      </c>
      <c r="AQ41" s="167"/>
      <c r="AR41" s="180">
        <v>74.400000000000006</v>
      </c>
      <c r="AS41" s="166">
        <v>9.6893046840232504</v>
      </c>
      <c r="AT41" s="181" t="s">
        <v>54</v>
      </c>
      <c r="AU41" s="173">
        <v>0.60558154275145304</v>
      </c>
      <c r="AV41" s="174">
        <v>-70.079964832597398</v>
      </c>
      <c r="AW41" s="168"/>
      <c r="AX41" s="168"/>
      <c r="AY41" s="176">
        <v>49</v>
      </c>
      <c r="AZ41" s="176">
        <v>74</v>
      </c>
      <c r="BA41" s="167"/>
      <c r="BB41" s="184">
        <v>270</v>
      </c>
      <c r="BC41" s="180">
        <v>35.162799256535997</v>
      </c>
      <c r="BD41" s="181" t="s">
        <v>55</v>
      </c>
      <c r="BE41" s="182">
        <v>1.0988374767667499</v>
      </c>
      <c r="BF41" s="183">
        <v>-18.959929665194799</v>
      </c>
      <c r="BG41" s="168">
        <v>1.2E-2</v>
      </c>
      <c r="BH41" s="168">
        <v>0.01</v>
      </c>
      <c r="BI41" s="176">
        <v>0</v>
      </c>
      <c r="BJ41" s="176">
        <v>25</v>
      </c>
      <c r="BK41" s="169"/>
      <c r="BL41" s="185">
        <v>0.8</v>
      </c>
      <c r="BM41" s="188">
        <v>0.71</v>
      </c>
      <c r="BN41" s="186"/>
      <c r="BO41" s="187">
        <v>0.95</v>
      </c>
      <c r="BP41" s="182">
        <v>0.97</v>
      </c>
      <c r="BQ41" s="186">
        <v>1E-3</v>
      </c>
    </row>
    <row r="42" spans="1:69" s="156" customFormat="1" ht="22.35" customHeight="1" x14ac:dyDescent="0.2">
      <c r="A42" s="165" t="s">
        <v>80</v>
      </c>
      <c r="B42" s="165" t="s">
        <v>81</v>
      </c>
      <c r="C42" s="165" t="s">
        <v>94</v>
      </c>
      <c r="D42" s="166">
        <v>2.4205745912222199</v>
      </c>
      <c r="E42" s="167"/>
      <c r="F42" s="168">
        <v>0.01</v>
      </c>
      <c r="G42" s="168">
        <v>0.01</v>
      </c>
      <c r="H42" s="169"/>
      <c r="I42" s="170">
        <v>2</v>
      </c>
      <c r="J42" s="170">
        <v>2</v>
      </c>
      <c r="K42" s="167"/>
      <c r="L42" s="171">
        <v>1746.08887</v>
      </c>
      <c r="M42" s="171">
        <v>1220.26773</v>
      </c>
      <c r="N42" s="171">
        <v>2966.3566000000001</v>
      </c>
      <c r="O42" s="166">
        <v>1225.47621988472</v>
      </c>
      <c r="P42" s="172">
        <v>276.94400000000002</v>
      </c>
      <c r="Q42" s="178">
        <v>4.4249964609622197</v>
      </c>
      <c r="R42" s="179">
        <v>2178.00899512046</v>
      </c>
      <c r="S42" s="168">
        <v>0.01</v>
      </c>
      <c r="T42" s="168">
        <v>0.01</v>
      </c>
      <c r="U42" s="175">
        <v>0</v>
      </c>
      <c r="V42" s="176">
        <v>0</v>
      </c>
      <c r="W42" s="167"/>
      <c r="X42" s="175">
        <v>1208.5059699999999</v>
      </c>
      <c r="Y42" s="166">
        <v>499.26408976712798</v>
      </c>
      <c r="Z42" s="177">
        <v>573</v>
      </c>
      <c r="AA42" s="188">
        <v>0.87131603798800605</v>
      </c>
      <c r="AB42" s="171">
        <v>-422.59337714590998</v>
      </c>
      <c r="AC42" s="168"/>
      <c r="AD42" s="168"/>
      <c r="AE42" s="176">
        <v>179</v>
      </c>
      <c r="AF42" s="176">
        <v>456</v>
      </c>
      <c r="AG42" s="167"/>
      <c r="AH42" s="180">
        <v>102.85</v>
      </c>
      <c r="AI42" s="166">
        <v>42.489911433825199</v>
      </c>
      <c r="AJ42" s="181" t="s">
        <v>53</v>
      </c>
      <c r="AK42" s="173">
        <v>0.67444303863214705</v>
      </c>
      <c r="AL42" s="174">
        <v>-76.485530314471802</v>
      </c>
      <c r="AM42" s="168"/>
      <c r="AN42" s="168"/>
      <c r="AO42" s="176">
        <v>50</v>
      </c>
      <c r="AP42" s="176">
        <v>81</v>
      </c>
      <c r="AQ42" s="167"/>
      <c r="AR42" s="180">
        <v>13.6</v>
      </c>
      <c r="AS42" s="166">
        <v>5.6185006854645003</v>
      </c>
      <c r="AT42" s="181" t="s">
        <v>54</v>
      </c>
      <c r="AU42" s="173">
        <v>0.35115629284153099</v>
      </c>
      <c r="AV42" s="174">
        <v>-31.945531508437298</v>
      </c>
      <c r="AW42" s="168"/>
      <c r="AX42" s="168"/>
      <c r="AY42" s="176">
        <v>26</v>
      </c>
      <c r="AZ42" s="176">
        <v>33</v>
      </c>
      <c r="BA42" s="167"/>
      <c r="BB42" s="184">
        <v>63.6</v>
      </c>
      <c r="BC42" s="180">
        <v>26.2747532055545</v>
      </c>
      <c r="BD42" s="181" t="s">
        <v>55</v>
      </c>
      <c r="BE42" s="188">
        <v>0.82108603767358002</v>
      </c>
      <c r="BF42" s="171">
        <v>-27.491063016874602</v>
      </c>
      <c r="BG42" s="168"/>
      <c r="BH42" s="168"/>
      <c r="BI42" s="176">
        <v>14</v>
      </c>
      <c r="BJ42" s="176">
        <v>30</v>
      </c>
      <c r="BK42" s="169"/>
      <c r="BL42" s="185">
        <v>0.8</v>
      </c>
      <c r="BM42" s="188">
        <v>0.75</v>
      </c>
      <c r="BN42" s="186"/>
      <c r="BO42" s="187">
        <v>0.95</v>
      </c>
      <c r="BP42" s="178">
        <v>1</v>
      </c>
      <c r="BQ42" s="186">
        <v>2.5000000000000001E-3</v>
      </c>
    </row>
    <row r="43" spans="1:69" s="156" customFormat="1" ht="22.35" customHeight="1" x14ac:dyDescent="0.2">
      <c r="A43" s="165" t="s">
        <v>80</v>
      </c>
      <c r="B43" s="165" t="s">
        <v>81</v>
      </c>
      <c r="C43" s="165" t="s">
        <v>95</v>
      </c>
      <c r="D43" s="166">
        <v>1.61576985288889</v>
      </c>
      <c r="E43" s="167"/>
      <c r="F43" s="168">
        <v>0.01</v>
      </c>
      <c r="G43" s="168">
        <v>0.01</v>
      </c>
      <c r="H43" s="169"/>
      <c r="I43" s="170">
        <v>2</v>
      </c>
      <c r="J43" s="170">
        <v>2</v>
      </c>
      <c r="K43" s="167"/>
      <c r="L43" s="171">
        <v>191.56234000000001</v>
      </c>
      <c r="M43" s="171">
        <v>686.73612000000003</v>
      </c>
      <c r="N43" s="171">
        <v>878.29845999999998</v>
      </c>
      <c r="O43" s="166">
        <v>543.57893757558395</v>
      </c>
      <c r="P43" s="172">
        <v>244.696</v>
      </c>
      <c r="Q43" s="178">
        <v>2.2214459475250301</v>
      </c>
      <c r="R43" s="179">
        <v>413.34049417113999</v>
      </c>
      <c r="S43" s="168">
        <v>0.01</v>
      </c>
      <c r="T43" s="168">
        <v>0.01</v>
      </c>
      <c r="U43" s="175">
        <v>0</v>
      </c>
      <c r="V43" s="176">
        <v>0</v>
      </c>
      <c r="W43" s="167"/>
      <c r="X43" s="175">
        <v>744.03961000000004</v>
      </c>
      <c r="Y43" s="166">
        <v>460.48613214914599</v>
      </c>
      <c r="Z43" s="177">
        <v>573</v>
      </c>
      <c r="AA43" s="188">
        <v>0.80364071928297798</v>
      </c>
      <c r="AB43" s="171">
        <v>-344.74367382947298</v>
      </c>
      <c r="AC43" s="168"/>
      <c r="AD43" s="168"/>
      <c r="AE43" s="176">
        <v>182</v>
      </c>
      <c r="AF43" s="176">
        <v>367</v>
      </c>
      <c r="AG43" s="167"/>
      <c r="AH43" s="180">
        <v>73.099999999999994</v>
      </c>
      <c r="AI43" s="166">
        <v>45.241591721309902</v>
      </c>
      <c r="AJ43" s="181" t="s">
        <v>53</v>
      </c>
      <c r="AK43" s="173">
        <v>0.71812050351285495</v>
      </c>
      <c r="AL43" s="174">
        <v>-46.609156860832101</v>
      </c>
      <c r="AM43" s="168"/>
      <c r="AN43" s="168"/>
      <c r="AO43" s="176">
        <v>29</v>
      </c>
      <c r="AP43" s="176">
        <v>50</v>
      </c>
      <c r="AQ43" s="167"/>
      <c r="AR43" s="180">
        <v>8</v>
      </c>
      <c r="AS43" s="166">
        <v>4.9512001883786398</v>
      </c>
      <c r="AT43" s="181" t="s">
        <v>54</v>
      </c>
      <c r="AU43" s="173">
        <v>0.30945001177366499</v>
      </c>
      <c r="AV43" s="174">
        <v>-22.402325551957301</v>
      </c>
      <c r="AW43" s="168"/>
      <c r="AX43" s="168"/>
      <c r="AY43" s="176">
        <v>18</v>
      </c>
      <c r="AZ43" s="176">
        <v>24</v>
      </c>
      <c r="BA43" s="167"/>
      <c r="BB43" s="184">
        <v>42</v>
      </c>
      <c r="BC43" s="180">
        <v>25.9938009889879</v>
      </c>
      <c r="BD43" s="181" t="s">
        <v>55</v>
      </c>
      <c r="BE43" s="188">
        <v>0.81230628090587098</v>
      </c>
      <c r="BF43" s="171">
        <v>-18.804651103914701</v>
      </c>
      <c r="BG43" s="168"/>
      <c r="BH43" s="168"/>
      <c r="BI43" s="176">
        <v>10</v>
      </c>
      <c r="BJ43" s="176">
        <v>21</v>
      </c>
      <c r="BK43" s="169"/>
      <c r="BL43" s="185">
        <v>0.8</v>
      </c>
      <c r="BM43" s="173">
        <v>0.68</v>
      </c>
      <c r="BN43" s="186"/>
      <c r="BO43" s="187">
        <v>0.95</v>
      </c>
      <c r="BP43" s="178">
        <v>1</v>
      </c>
      <c r="BQ43" s="186">
        <v>2.5000000000000001E-3</v>
      </c>
    </row>
    <row r="44" spans="1:69" s="156" customFormat="1" ht="22.35" customHeight="1" x14ac:dyDescent="0.2">
      <c r="A44" s="165" t="s">
        <v>80</v>
      </c>
      <c r="B44" s="165" t="s">
        <v>81</v>
      </c>
      <c r="C44" s="165" t="s">
        <v>96</v>
      </c>
      <c r="D44" s="166">
        <v>2.3852260407777801</v>
      </c>
      <c r="E44" s="167"/>
      <c r="F44" s="168">
        <v>0.05</v>
      </c>
      <c r="G44" s="168">
        <v>0.05</v>
      </c>
      <c r="H44" s="169"/>
      <c r="I44" s="170">
        <v>5</v>
      </c>
      <c r="J44" s="170">
        <v>5</v>
      </c>
      <c r="K44" s="167"/>
      <c r="L44" s="171">
        <v>736.09851000000003</v>
      </c>
      <c r="M44" s="171">
        <v>1393.9159500000001</v>
      </c>
      <c r="N44" s="171">
        <v>2130.0144599999999</v>
      </c>
      <c r="O44" s="166">
        <v>893.00318862251004</v>
      </c>
      <c r="P44" s="172">
        <v>239.304</v>
      </c>
      <c r="Q44" s="178">
        <v>3.7316684577880399</v>
      </c>
      <c r="R44" s="179">
        <v>1458.76056022435</v>
      </c>
      <c r="S44" s="168">
        <v>0.01</v>
      </c>
      <c r="T44" s="168">
        <v>0.01</v>
      </c>
      <c r="U44" s="175">
        <v>0</v>
      </c>
      <c r="V44" s="176">
        <v>0</v>
      </c>
      <c r="W44" s="167"/>
      <c r="X44" s="175">
        <v>1287.5651600000001</v>
      </c>
      <c r="Y44" s="166">
        <v>539.80844498081603</v>
      </c>
      <c r="Z44" s="177">
        <v>573</v>
      </c>
      <c r="AA44" s="188">
        <v>0.94207407501014995</v>
      </c>
      <c r="AB44" s="171">
        <v>-319.71463712602599</v>
      </c>
      <c r="AC44" s="168"/>
      <c r="AD44" s="168"/>
      <c r="AE44" s="176">
        <v>80</v>
      </c>
      <c r="AF44" s="176">
        <v>353</v>
      </c>
      <c r="AG44" s="167"/>
      <c r="AH44" s="180">
        <v>183.1</v>
      </c>
      <c r="AI44" s="166">
        <v>76.764213063972093</v>
      </c>
      <c r="AJ44" s="181" t="s">
        <v>53</v>
      </c>
      <c r="AK44" s="178">
        <v>1.2184795724440001</v>
      </c>
      <c r="AL44" s="179">
        <v>6.3833730908558302</v>
      </c>
      <c r="AM44" s="168">
        <v>0.02</v>
      </c>
      <c r="AN44" s="168">
        <v>0.02</v>
      </c>
      <c r="AO44" s="176">
        <v>0</v>
      </c>
      <c r="AP44" s="176">
        <v>0</v>
      </c>
      <c r="AQ44" s="167"/>
      <c r="AR44" s="180">
        <v>32.4</v>
      </c>
      <c r="AS44" s="166">
        <v>13.583618259272001</v>
      </c>
      <c r="AT44" s="181" t="s">
        <v>54</v>
      </c>
      <c r="AU44" s="188">
        <v>0.84897614120449705</v>
      </c>
      <c r="AV44" s="171">
        <v>-12.480413183274701</v>
      </c>
      <c r="AW44" s="168"/>
      <c r="AX44" s="168"/>
      <c r="AY44" s="176">
        <v>6</v>
      </c>
      <c r="AZ44" s="176">
        <v>14</v>
      </c>
      <c r="BA44" s="167"/>
      <c r="BB44" s="184">
        <v>116.6</v>
      </c>
      <c r="BC44" s="180">
        <v>48.884255834293597</v>
      </c>
      <c r="BD44" s="181" t="s">
        <v>55</v>
      </c>
      <c r="BE44" s="178">
        <v>1.52763299482167</v>
      </c>
      <c r="BF44" s="179">
        <v>26.839173633450599</v>
      </c>
      <c r="BG44" s="168">
        <v>0.02</v>
      </c>
      <c r="BH44" s="168">
        <v>0.02</v>
      </c>
      <c r="BI44" s="176">
        <v>0</v>
      </c>
      <c r="BJ44" s="176">
        <v>0</v>
      </c>
      <c r="BK44" s="169"/>
      <c r="BL44" s="185">
        <v>0.8</v>
      </c>
      <c r="BM44" s="182">
        <v>0.82</v>
      </c>
      <c r="BN44" s="186">
        <v>7.5000000000000002E-4</v>
      </c>
      <c r="BO44" s="187">
        <v>0.95</v>
      </c>
      <c r="BP44" s="178">
        <v>1</v>
      </c>
      <c r="BQ44" s="186">
        <v>2.5000000000000001E-3</v>
      </c>
    </row>
    <row r="45" spans="1:69" s="156" customFormat="1" ht="22.35" customHeight="1" x14ac:dyDescent="0.2">
      <c r="A45" s="165" t="s">
        <v>80</v>
      </c>
      <c r="B45" s="165" t="s">
        <v>81</v>
      </c>
      <c r="C45" s="165" t="s">
        <v>97</v>
      </c>
      <c r="D45" s="166">
        <v>2.94060150377778</v>
      </c>
      <c r="E45" s="167"/>
      <c r="F45" s="168">
        <v>0.05</v>
      </c>
      <c r="G45" s="168">
        <v>0.05</v>
      </c>
      <c r="H45" s="169"/>
      <c r="I45" s="170">
        <v>5</v>
      </c>
      <c r="J45" s="170">
        <v>5</v>
      </c>
      <c r="K45" s="167"/>
      <c r="L45" s="171">
        <v>3177.3970899999999</v>
      </c>
      <c r="M45" s="171">
        <v>1875.1320900000001</v>
      </c>
      <c r="N45" s="171">
        <v>5052.5291800000005</v>
      </c>
      <c r="O45" s="166">
        <v>1718.1958090917899</v>
      </c>
      <c r="P45" s="172">
        <v>287.5</v>
      </c>
      <c r="Q45" s="178">
        <v>5.9763332490149201</v>
      </c>
      <c r="R45" s="179">
        <v>4058.3118115727302</v>
      </c>
      <c r="S45" s="168">
        <v>0.01</v>
      </c>
      <c r="T45" s="168">
        <v>0.01</v>
      </c>
      <c r="U45" s="175">
        <v>0</v>
      </c>
      <c r="V45" s="176">
        <v>0</v>
      </c>
      <c r="W45" s="167"/>
      <c r="X45" s="175">
        <v>2031.08969</v>
      </c>
      <c r="Y45" s="166">
        <v>690.70551973488</v>
      </c>
      <c r="Z45" s="177">
        <v>573</v>
      </c>
      <c r="AA45" s="178">
        <v>1.2054197552092101</v>
      </c>
      <c r="AB45" s="179">
        <v>49.571247882350498</v>
      </c>
      <c r="AC45" s="168">
        <v>0.02</v>
      </c>
      <c r="AD45" s="168">
        <v>0.02</v>
      </c>
      <c r="AE45" s="176">
        <v>0</v>
      </c>
      <c r="AF45" s="176">
        <v>0</v>
      </c>
      <c r="AG45" s="167"/>
      <c r="AH45" s="180">
        <v>113.85</v>
      </c>
      <c r="AI45" s="166">
        <v>38.7165686522765</v>
      </c>
      <c r="AJ45" s="181" t="s">
        <v>53</v>
      </c>
      <c r="AK45" s="173">
        <v>0.61454870876629397</v>
      </c>
      <c r="AL45" s="174">
        <v>-104.01328421188801</v>
      </c>
      <c r="AM45" s="168"/>
      <c r="AN45" s="168"/>
      <c r="AO45" s="176">
        <v>72</v>
      </c>
      <c r="AP45" s="176">
        <v>109</v>
      </c>
      <c r="AQ45" s="167"/>
      <c r="AR45" s="180">
        <v>17.8</v>
      </c>
      <c r="AS45" s="166">
        <v>6.0531833290340202</v>
      </c>
      <c r="AT45" s="181" t="s">
        <v>54</v>
      </c>
      <c r="AU45" s="173">
        <v>0.37832395806462599</v>
      </c>
      <c r="AV45" s="174">
        <v>-37.530357895082702</v>
      </c>
      <c r="AW45" s="168"/>
      <c r="AX45" s="168"/>
      <c r="AY45" s="176">
        <v>30</v>
      </c>
      <c r="AZ45" s="176">
        <v>39</v>
      </c>
      <c r="BA45" s="167"/>
      <c r="BB45" s="184">
        <v>124</v>
      </c>
      <c r="BC45" s="180">
        <v>42.168243415742602</v>
      </c>
      <c r="BD45" s="181" t="s">
        <v>55</v>
      </c>
      <c r="BE45" s="178">
        <v>1.3177576067419601</v>
      </c>
      <c r="BF45" s="179">
        <v>13.339284209834601</v>
      </c>
      <c r="BG45" s="168">
        <v>0.02</v>
      </c>
      <c r="BH45" s="168">
        <v>0.02</v>
      </c>
      <c r="BI45" s="176">
        <v>0</v>
      </c>
      <c r="BJ45" s="176">
        <v>0</v>
      </c>
      <c r="BK45" s="169"/>
      <c r="BL45" s="185">
        <v>0.8</v>
      </c>
      <c r="BM45" s="182">
        <v>0.81</v>
      </c>
      <c r="BN45" s="186">
        <v>3.7500000000000001E-4</v>
      </c>
      <c r="BO45" s="187">
        <v>0.95</v>
      </c>
      <c r="BP45" s="178">
        <v>1</v>
      </c>
      <c r="BQ45" s="186">
        <v>2.5000000000000001E-3</v>
      </c>
    </row>
    <row r="46" spans="1:69" s="156" customFormat="1" ht="22.35" customHeight="1" x14ac:dyDescent="0.2">
      <c r="A46" s="165" t="s">
        <v>80</v>
      </c>
      <c r="B46" s="165" t="s">
        <v>81</v>
      </c>
      <c r="C46" s="165" t="s">
        <v>98</v>
      </c>
      <c r="D46" s="166">
        <v>8.6630214135555601</v>
      </c>
      <c r="E46" s="167"/>
      <c r="F46" s="168">
        <v>2.5999999999999999E-2</v>
      </c>
      <c r="G46" s="168">
        <v>2.3E-2</v>
      </c>
      <c r="H46" s="169"/>
      <c r="I46" s="170">
        <v>3</v>
      </c>
      <c r="J46" s="170">
        <v>3</v>
      </c>
      <c r="K46" s="167"/>
      <c r="L46" s="171">
        <v>3857.9786600000002</v>
      </c>
      <c r="M46" s="171">
        <v>4698.6522000000004</v>
      </c>
      <c r="N46" s="171">
        <v>8556.6308599999993</v>
      </c>
      <c r="O46" s="166">
        <v>987.71900143417895</v>
      </c>
      <c r="P46" s="172">
        <v>276.44</v>
      </c>
      <c r="Q46" s="178">
        <v>3.5729959536759499</v>
      </c>
      <c r="R46" s="179">
        <v>5740.3394278735605</v>
      </c>
      <c r="S46" s="168">
        <v>0.01</v>
      </c>
      <c r="T46" s="168">
        <v>0.01</v>
      </c>
      <c r="U46" s="175">
        <v>0</v>
      </c>
      <c r="V46" s="176">
        <v>0</v>
      </c>
      <c r="W46" s="167"/>
      <c r="X46" s="175">
        <v>4373.11906</v>
      </c>
      <c r="Y46" s="166">
        <v>504.80298399783601</v>
      </c>
      <c r="Z46" s="177">
        <v>573</v>
      </c>
      <c r="AA46" s="188">
        <v>0.88098252006603195</v>
      </c>
      <c r="AB46" s="171">
        <v>-1464.44059348159</v>
      </c>
      <c r="AC46" s="168"/>
      <c r="AD46" s="168"/>
      <c r="AE46" s="176">
        <v>591</v>
      </c>
      <c r="AF46" s="176">
        <v>1584</v>
      </c>
      <c r="AG46" s="167"/>
      <c r="AH46" s="180">
        <v>512.75</v>
      </c>
      <c r="AI46" s="166">
        <v>59.188356523933898</v>
      </c>
      <c r="AJ46" s="181" t="s">
        <v>53</v>
      </c>
      <c r="AK46" s="188">
        <v>0.93949772260212505</v>
      </c>
      <c r="AL46" s="171">
        <v>-129.075930487504</v>
      </c>
      <c r="AM46" s="168"/>
      <c r="AN46" s="168"/>
      <c r="AO46" s="176">
        <v>34</v>
      </c>
      <c r="AP46" s="176">
        <v>143</v>
      </c>
      <c r="AQ46" s="167"/>
      <c r="AR46" s="180">
        <v>23</v>
      </c>
      <c r="AS46" s="166">
        <v>2.65496284748997</v>
      </c>
      <c r="AT46" s="181" t="s">
        <v>54</v>
      </c>
      <c r="AU46" s="173">
        <v>0.16593517796812299</v>
      </c>
      <c r="AV46" s="174">
        <v>-140.003410917461</v>
      </c>
      <c r="AW46" s="168"/>
      <c r="AX46" s="168"/>
      <c r="AY46" s="176">
        <v>116</v>
      </c>
      <c r="AZ46" s="176">
        <v>144</v>
      </c>
      <c r="BA46" s="167"/>
      <c r="BB46" s="184">
        <v>314</v>
      </c>
      <c r="BC46" s="180">
        <v>36.246014526602103</v>
      </c>
      <c r="BD46" s="181" t="s">
        <v>55</v>
      </c>
      <c r="BE46" s="182">
        <v>1.1326879539563199</v>
      </c>
      <c r="BF46" s="183">
        <v>-12.0068218349228</v>
      </c>
      <c r="BG46" s="168">
        <v>1.6E-2</v>
      </c>
      <c r="BH46" s="168">
        <v>1.2999999999999999E-2</v>
      </c>
      <c r="BI46" s="176">
        <v>0</v>
      </c>
      <c r="BJ46" s="176">
        <v>19</v>
      </c>
      <c r="BK46" s="169"/>
      <c r="BL46" s="185">
        <v>0.8</v>
      </c>
      <c r="BM46" s="188">
        <v>0.7</v>
      </c>
      <c r="BN46" s="186"/>
      <c r="BO46" s="187">
        <v>0.95</v>
      </c>
      <c r="BP46" s="178">
        <v>1</v>
      </c>
      <c r="BQ46" s="186">
        <v>2.5000000000000001E-3</v>
      </c>
    </row>
    <row r="47" spans="1:69" s="156" customFormat="1" ht="22.35" customHeight="1" x14ac:dyDescent="0.2">
      <c r="A47" s="165" t="s">
        <v>80</v>
      </c>
      <c r="B47" s="165" t="s">
        <v>81</v>
      </c>
      <c r="C47" s="165" t="s">
        <v>99</v>
      </c>
      <c r="D47" s="166">
        <v>2.3098195907777801</v>
      </c>
      <c r="E47" s="167"/>
      <c r="F47" s="168">
        <v>0.01</v>
      </c>
      <c r="G47" s="168">
        <v>0.01</v>
      </c>
      <c r="H47" s="169"/>
      <c r="I47" s="170">
        <v>2</v>
      </c>
      <c r="J47" s="170">
        <v>2</v>
      </c>
      <c r="K47" s="167"/>
      <c r="L47" s="171">
        <v>475.94411000000002</v>
      </c>
      <c r="M47" s="171">
        <v>1048.0367799999999</v>
      </c>
      <c r="N47" s="171">
        <v>1523.98089</v>
      </c>
      <c r="O47" s="166">
        <v>659.78351559778503</v>
      </c>
      <c r="P47" s="172">
        <v>236.59800000000001</v>
      </c>
      <c r="Q47" s="178">
        <v>2.7886267660664301</v>
      </c>
      <c r="R47" s="179">
        <v>881.29842404632302</v>
      </c>
      <c r="S47" s="168">
        <v>0.01</v>
      </c>
      <c r="T47" s="168">
        <v>0.01</v>
      </c>
      <c r="U47" s="175">
        <v>0</v>
      </c>
      <c r="V47" s="176">
        <v>0</v>
      </c>
      <c r="W47" s="167"/>
      <c r="X47" s="175">
        <v>1111.6709499999999</v>
      </c>
      <c r="Y47" s="166">
        <v>481.280423128488</v>
      </c>
      <c r="Z47" s="177">
        <v>573</v>
      </c>
      <c r="AA47" s="188">
        <v>0.83993093041620903</v>
      </c>
      <c r="AB47" s="171">
        <v>-444.79636160642599</v>
      </c>
      <c r="AC47" s="168"/>
      <c r="AD47" s="168"/>
      <c r="AE47" s="176">
        <v>212</v>
      </c>
      <c r="AF47" s="176">
        <v>477</v>
      </c>
      <c r="AG47" s="167"/>
      <c r="AH47" s="180">
        <v>100.75</v>
      </c>
      <c r="AI47" s="166">
        <v>43.618125156724801</v>
      </c>
      <c r="AJ47" s="181" t="s">
        <v>53</v>
      </c>
      <c r="AK47" s="173">
        <v>0.69235119296388603</v>
      </c>
      <c r="AL47" s="174">
        <v>-70.379913841544194</v>
      </c>
      <c r="AM47" s="168"/>
      <c r="AN47" s="168"/>
      <c r="AO47" s="176">
        <v>45</v>
      </c>
      <c r="AP47" s="176">
        <v>74</v>
      </c>
      <c r="AQ47" s="167"/>
      <c r="AR47" s="180">
        <v>1</v>
      </c>
      <c r="AS47" s="166">
        <v>0.43293424473176001</v>
      </c>
      <c r="AT47" s="181" t="s">
        <v>54</v>
      </c>
      <c r="AU47" s="173">
        <v>2.7058390295735001E-2</v>
      </c>
      <c r="AV47" s="174">
        <v>-42.461565420074699</v>
      </c>
      <c r="AW47" s="168"/>
      <c r="AX47" s="168"/>
      <c r="AY47" s="176">
        <v>36</v>
      </c>
      <c r="AZ47" s="176">
        <v>44</v>
      </c>
      <c r="BA47" s="167"/>
      <c r="BB47" s="184">
        <v>63.2</v>
      </c>
      <c r="BC47" s="180">
        <v>27.361444267047201</v>
      </c>
      <c r="BD47" s="181" t="s">
        <v>55</v>
      </c>
      <c r="BE47" s="188">
        <v>0.85504513334522603</v>
      </c>
      <c r="BF47" s="171">
        <v>-23.723130840149398</v>
      </c>
      <c r="BG47" s="168"/>
      <c r="BH47" s="168"/>
      <c r="BI47" s="176">
        <v>11</v>
      </c>
      <c r="BJ47" s="176">
        <v>26</v>
      </c>
      <c r="BK47" s="169"/>
      <c r="BL47" s="185">
        <v>0.8</v>
      </c>
      <c r="BM47" s="188">
        <v>0.72</v>
      </c>
      <c r="BN47" s="186"/>
      <c r="BO47" s="187">
        <v>0.95</v>
      </c>
      <c r="BP47" s="178">
        <v>1</v>
      </c>
      <c r="BQ47" s="186">
        <v>2.5000000000000001E-3</v>
      </c>
    </row>
    <row r="48" spans="1:69" s="156" customFormat="1" ht="22.35" customHeight="1" x14ac:dyDescent="0.2">
      <c r="A48" s="165" t="s">
        <v>80</v>
      </c>
      <c r="B48" s="165" t="s">
        <v>100</v>
      </c>
      <c r="C48" s="165" t="s">
        <v>101</v>
      </c>
      <c r="D48" s="166">
        <v>2.9631336405555602</v>
      </c>
      <c r="E48" s="167"/>
      <c r="F48" s="168">
        <v>0.04</v>
      </c>
      <c r="G48" s="168">
        <v>0.04</v>
      </c>
      <c r="H48" s="169"/>
      <c r="I48" s="170">
        <v>4</v>
      </c>
      <c r="J48" s="170">
        <v>4</v>
      </c>
      <c r="K48" s="167"/>
      <c r="L48" s="171">
        <v>1650.86736</v>
      </c>
      <c r="M48" s="171">
        <v>1774.4032999999999</v>
      </c>
      <c r="N48" s="171">
        <v>3425.2706600000001</v>
      </c>
      <c r="O48" s="166">
        <v>1155.9622600612099</v>
      </c>
      <c r="P48" s="172">
        <v>287.5</v>
      </c>
      <c r="Q48" s="178">
        <v>4.0207382958650797</v>
      </c>
      <c r="R48" s="179">
        <v>2423.43517612817</v>
      </c>
      <c r="S48" s="168">
        <v>0.01</v>
      </c>
      <c r="T48" s="168">
        <v>0.01</v>
      </c>
      <c r="U48" s="175">
        <v>0</v>
      </c>
      <c r="V48" s="176">
        <v>0</v>
      </c>
      <c r="W48" s="167"/>
      <c r="X48" s="175">
        <v>1562.4401250000001</v>
      </c>
      <c r="Y48" s="166">
        <v>527.29316815662105</v>
      </c>
      <c r="Z48" s="177">
        <v>573</v>
      </c>
      <c r="AA48" s="188">
        <v>0.92023240515989602</v>
      </c>
      <c r="AB48" s="171">
        <v>-434.26155242108302</v>
      </c>
      <c r="AC48" s="168"/>
      <c r="AD48" s="168"/>
      <c r="AE48" s="176">
        <v>136</v>
      </c>
      <c r="AF48" s="176">
        <v>476</v>
      </c>
      <c r="AG48" s="167"/>
      <c r="AH48" s="180">
        <v>171.5</v>
      </c>
      <c r="AI48" s="166">
        <v>57.877916018612503</v>
      </c>
      <c r="AJ48" s="181" t="s">
        <v>53</v>
      </c>
      <c r="AK48" s="188">
        <v>0.91869707966051595</v>
      </c>
      <c r="AL48" s="171">
        <v>-48.032645161480303</v>
      </c>
      <c r="AM48" s="168"/>
      <c r="AN48" s="168"/>
      <c r="AO48" s="176">
        <v>16</v>
      </c>
      <c r="AP48" s="176">
        <v>53</v>
      </c>
      <c r="AQ48" s="167"/>
      <c r="AR48" s="180">
        <v>58.9</v>
      </c>
      <c r="AS48" s="166">
        <v>19.877604976654698</v>
      </c>
      <c r="AT48" s="181" t="s">
        <v>54</v>
      </c>
      <c r="AU48" s="178">
        <v>1.24235031104092</v>
      </c>
      <c r="AV48" s="179">
        <v>3.1456774193065802</v>
      </c>
      <c r="AW48" s="168">
        <v>0.01</v>
      </c>
      <c r="AX48" s="168">
        <v>0.01</v>
      </c>
      <c r="AY48" s="176">
        <v>0</v>
      </c>
      <c r="AZ48" s="176">
        <v>0</v>
      </c>
      <c r="BA48" s="167"/>
      <c r="BB48" s="184">
        <v>123</v>
      </c>
      <c r="BC48" s="180">
        <v>41.5101088646609</v>
      </c>
      <c r="BD48" s="181" t="s">
        <v>55</v>
      </c>
      <c r="BE48" s="178">
        <v>1.29719090202065</v>
      </c>
      <c r="BF48" s="179">
        <v>11.4913548386132</v>
      </c>
      <c r="BG48" s="168">
        <v>0.02</v>
      </c>
      <c r="BH48" s="168">
        <v>0.02</v>
      </c>
      <c r="BI48" s="176">
        <v>0</v>
      </c>
      <c r="BJ48" s="176">
        <v>0</v>
      </c>
      <c r="BK48" s="169"/>
      <c r="BL48" s="185">
        <v>0.8</v>
      </c>
      <c r="BM48" s="173">
        <v>0.64</v>
      </c>
      <c r="BN48" s="186"/>
      <c r="BO48" s="187">
        <v>0.95</v>
      </c>
      <c r="BP48" s="178">
        <v>1</v>
      </c>
      <c r="BQ48" s="186">
        <v>2.5000000000000001E-3</v>
      </c>
    </row>
    <row r="49" spans="1:69" s="156" customFormat="1" ht="22.35" customHeight="1" x14ac:dyDescent="0.2">
      <c r="A49" s="165" t="s">
        <v>80</v>
      </c>
      <c r="B49" s="165" t="s">
        <v>100</v>
      </c>
      <c r="C49" s="165" t="s">
        <v>102</v>
      </c>
      <c r="D49" s="166">
        <v>3.6627518924444402</v>
      </c>
      <c r="E49" s="167"/>
      <c r="F49" s="168">
        <v>0.01</v>
      </c>
      <c r="G49" s="168">
        <v>0.01</v>
      </c>
      <c r="H49" s="169"/>
      <c r="I49" s="170">
        <v>2</v>
      </c>
      <c r="J49" s="170">
        <v>2</v>
      </c>
      <c r="K49" s="167"/>
      <c r="L49" s="171">
        <v>3625.0295299999998</v>
      </c>
      <c r="M49" s="171">
        <v>-46.535040000000002</v>
      </c>
      <c r="N49" s="171">
        <v>3578.49449</v>
      </c>
      <c r="O49" s="166">
        <v>976.99614800056395</v>
      </c>
      <c r="P49" s="172">
        <v>265.84899999999999</v>
      </c>
      <c r="Q49" s="178">
        <v>3.67500403612789</v>
      </c>
      <c r="R49" s="179">
        <v>2433.37751084315</v>
      </c>
      <c r="S49" s="168">
        <v>0.01</v>
      </c>
      <c r="T49" s="168">
        <v>0.01</v>
      </c>
      <c r="U49" s="175">
        <v>0</v>
      </c>
      <c r="V49" s="176">
        <v>0</v>
      </c>
      <c r="W49" s="167"/>
      <c r="X49" s="175">
        <v>1605.0806950000001</v>
      </c>
      <c r="Y49" s="166">
        <v>438.21714987328897</v>
      </c>
      <c r="Z49" s="177">
        <v>573</v>
      </c>
      <c r="AA49" s="173">
        <v>0.76477687586961396</v>
      </c>
      <c r="AB49" s="174">
        <v>-863.05734221989997</v>
      </c>
      <c r="AC49" s="168"/>
      <c r="AD49" s="168"/>
      <c r="AE49" s="176">
        <v>494</v>
      </c>
      <c r="AF49" s="176">
        <v>914</v>
      </c>
      <c r="AG49" s="167"/>
      <c r="AH49" s="180">
        <v>122.1</v>
      </c>
      <c r="AI49" s="166">
        <v>33.3355912672843</v>
      </c>
      <c r="AJ49" s="181" t="s">
        <v>53</v>
      </c>
      <c r="AK49" s="173">
        <v>0.52913636932197305</v>
      </c>
      <c r="AL49" s="174">
        <v>-149.265962207424</v>
      </c>
      <c r="AM49" s="168"/>
      <c r="AN49" s="168"/>
      <c r="AO49" s="176">
        <v>109</v>
      </c>
      <c r="AP49" s="176">
        <v>155</v>
      </c>
      <c r="AQ49" s="167"/>
      <c r="AR49" s="180">
        <v>4.8</v>
      </c>
      <c r="AS49" s="166">
        <v>1.31049007438955</v>
      </c>
      <c r="AT49" s="181" t="s">
        <v>54</v>
      </c>
      <c r="AU49" s="173">
        <v>8.1905629649346903E-2</v>
      </c>
      <c r="AV49" s="174">
        <v>-64.118339608234606</v>
      </c>
      <c r="AW49" s="168"/>
      <c r="AX49" s="168"/>
      <c r="AY49" s="176">
        <v>54</v>
      </c>
      <c r="AZ49" s="176">
        <v>66</v>
      </c>
      <c r="BA49" s="167"/>
      <c r="BB49" s="184">
        <v>99.6</v>
      </c>
      <c r="BC49" s="180">
        <v>27.192669043583201</v>
      </c>
      <c r="BD49" s="181" t="s">
        <v>55</v>
      </c>
      <c r="BE49" s="188">
        <v>0.84977090761197605</v>
      </c>
      <c r="BF49" s="171">
        <v>-38.236679216469099</v>
      </c>
      <c r="BG49" s="168"/>
      <c r="BH49" s="168"/>
      <c r="BI49" s="176">
        <v>18</v>
      </c>
      <c r="BJ49" s="176">
        <v>42</v>
      </c>
      <c r="BK49" s="169"/>
      <c r="BL49" s="185">
        <v>0.8</v>
      </c>
      <c r="BM49" s="173">
        <v>0.64</v>
      </c>
      <c r="BN49" s="186"/>
      <c r="BO49" s="187">
        <v>0.95</v>
      </c>
      <c r="BP49" s="178">
        <v>1</v>
      </c>
      <c r="BQ49" s="186">
        <v>2.5000000000000001E-3</v>
      </c>
    </row>
    <row r="50" spans="1:69" s="156" customFormat="1" ht="22.35" customHeight="1" x14ac:dyDescent="0.2">
      <c r="A50" s="165" t="s">
        <v>80</v>
      </c>
      <c r="B50" s="165" t="s">
        <v>100</v>
      </c>
      <c r="C50" s="165" t="s">
        <v>103</v>
      </c>
      <c r="D50" s="166">
        <v>4.5139963626666697</v>
      </c>
      <c r="E50" s="167"/>
      <c r="F50" s="168">
        <v>0.01</v>
      </c>
      <c r="G50" s="168">
        <v>0.01</v>
      </c>
      <c r="H50" s="169"/>
      <c r="I50" s="170">
        <v>2</v>
      </c>
      <c r="J50" s="170">
        <v>2</v>
      </c>
      <c r="K50" s="167"/>
      <c r="L50" s="171">
        <v>2450.5290500000001</v>
      </c>
      <c r="M50" s="171">
        <v>2038.51783</v>
      </c>
      <c r="N50" s="171">
        <v>4489.0468799999999</v>
      </c>
      <c r="O50" s="166">
        <v>994.47286159266503</v>
      </c>
      <c r="P50" s="172">
        <v>287.5</v>
      </c>
      <c r="Q50" s="178">
        <v>3.4590360403223102</v>
      </c>
      <c r="R50" s="179">
        <v>2962.8647097824</v>
      </c>
      <c r="S50" s="168">
        <v>0.01</v>
      </c>
      <c r="T50" s="168">
        <v>0.01</v>
      </c>
      <c r="U50" s="175">
        <v>0</v>
      </c>
      <c r="V50" s="176">
        <v>0</v>
      </c>
      <c r="W50" s="167"/>
      <c r="X50" s="175">
        <v>1472.6711700000001</v>
      </c>
      <c r="Y50" s="166">
        <v>326.24553758612501</v>
      </c>
      <c r="Z50" s="177">
        <v>573</v>
      </c>
      <c r="AA50" s="173">
        <v>0.56936393994088197</v>
      </c>
      <c r="AB50" s="174">
        <v>-1569.0762509902099</v>
      </c>
      <c r="AC50" s="168"/>
      <c r="AD50" s="168"/>
      <c r="AE50" s="176">
        <v>1114</v>
      </c>
      <c r="AF50" s="176">
        <v>1632</v>
      </c>
      <c r="AG50" s="167"/>
      <c r="AH50" s="180">
        <v>148.69999999999999</v>
      </c>
      <c r="AI50" s="166">
        <v>32.9419848960965</v>
      </c>
      <c r="AJ50" s="181" t="s">
        <v>53</v>
      </c>
      <c r="AK50" s="173">
        <v>0.52288864914438904</v>
      </c>
      <c r="AL50" s="174">
        <v>-185.73296251724801</v>
      </c>
      <c r="AM50" s="168"/>
      <c r="AN50" s="168"/>
      <c r="AO50" s="176">
        <v>136</v>
      </c>
      <c r="AP50" s="176">
        <v>193</v>
      </c>
      <c r="AQ50" s="167"/>
      <c r="AR50" s="180">
        <v>17.100000000000001</v>
      </c>
      <c r="AS50" s="166">
        <v>3.7882174964576398</v>
      </c>
      <c r="AT50" s="181" t="s">
        <v>54</v>
      </c>
      <c r="AU50" s="173">
        <v>0.23676359352860299</v>
      </c>
      <c r="AV50" s="174">
        <v>-67.835355559936104</v>
      </c>
      <c r="AW50" s="168"/>
      <c r="AX50" s="168"/>
      <c r="AY50" s="176">
        <v>56</v>
      </c>
      <c r="AZ50" s="176">
        <v>70</v>
      </c>
      <c r="BA50" s="167"/>
      <c r="BB50" s="184">
        <v>105.6</v>
      </c>
      <c r="BC50" s="180">
        <v>23.393904539527899</v>
      </c>
      <c r="BD50" s="181" t="s">
        <v>55</v>
      </c>
      <c r="BE50" s="173">
        <v>0.73105951686024595</v>
      </c>
      <c r="BF50" s="174">
        <v>-64.270711119872104</v>
      </c>
      <c r="BG50" s="168"/>
      <c r="BH50" s="168"/>
      <c r="BI50" s="176">
        <v>39</v>
      </c>
      <c r="BJ50" s="176">
        <v>68</v>
      </c>
      <c r="BK50" s="169"/>
      <c r="BL50" s="185">
        <v>0.8</v>
      </c>
      <c r="BM50" s="173">
        <v>0.68</v>
      </c>
      <c r="BN50" s="186"/>
      <c r="BO50" s="187">
        <v>0.95</v>
      </c>
      <c r="BP50" s="178">
        <v>1</v>
      </c>
      <c r="BQ50" s="186">
        <v>2.5000000000000001E-3</v>
      </c>
    </row>
    <row r="51" spans="1:69" s="156" customFormat="1" ht="22.35" customHeight="1" x14ac:dyDescent="0.2">
      <c r="A51" s="165" t="s">
        <v>80</v>
      </c>
      <c r="B51" s="165" t="s">
        <v>100</v>
      </c>
      <c r="C51" s="165" t="s">
        <v>104</v>
      </c>
      <c r="D51" s="166">
        <v>2.2098362645555598</v>
      </c>
      <c r="E51" s="167"/>
      <c r="F51" s="168">
        <v>3.6999999999999998E-2</v>
      </c>
      <c r="G51" s="168">
        <v>3.5000000000000003E-2</v>
      </c>
      <c r="H51" s="169"/>
      <c r="I51" s="170">
        <v>4</v>
      </c>
      <c r="J51" s="170">
        <v>4</v>
      </c>
      <c r="K51" s="167"/>
      <c r="L51" s="171">
        <v>134.19263000000001</v>
      </c>
      <c r="M51" s="171">
        <v>2103.0516200000002</v>
      </c>
      <c r="N51" s="171">
        <v>2237.2442500000002</v>
      </c>
      <c r="O51" s="166">
        <v>1012.40272226683</v>
      </c>
      <c r="P51" s="172">
        <v>287.5</v>
      </c>
      <c r="Q51" s="178">
        <v>3.52140077310202</v>
      </c>
      <c r="R51" s="179">
        <v>1490.0986089537701</v>
      </c>
      <c r="S51" s="168">
        <v>0.01</v>
      </c>
      <c r="T51" s="168">
        <v>0.01</v>
      </c>
      <c r="U51" s="175">
        <v>0</v>
      </c>
      <c r="V51" s="176">
        <v>0</v>
      </c>
      <c r="W51" s="167"/>
      <c r="X51" s="175">
        <v>1176.1848849999999</v>
      </c>
      <c r="Y51" s="166">
        <v>532.24978875824297</v>
      </c>
      <c r="Z51" s="177">
        <v>573</v>
      </c>
      <c r="AA51" s="188">
        <v>0.92888270289396702</v>
      </c>
      <c r="AB51" s="171">
        <v>-312.908862198235</v>
      </c>
      <c r="AC51" s="168"/>
      <c r="AD51" s="168"/>
      <c r="AE51" s="176">
        <v>91</v>
      </c>
      <c r="AF51" s="176">
        <v>344</v>
      </c>
      <c r="AG51" s="167"/>
      <c r="AH51" s="180">
        <v>145.65</v>
      </c>
      <c r="AI51" s="166">
        <v>65.909860534075904</v>
      </c>
      <c r="AJ51" s="181" t="s">
        <v>53</v>
      </c>
      <c r="AK51" s="182">
        <v>1.04618826244565</v>
      </c>
      <c r="AL51" s="183">
        <v>-18.0723491683923</v>
      </c>
      <c r="AM51" s="168">
        <v>7.0000000000000001E-3</v>
      </c>
      <c r="AN51" s="168">
        <v>5.0000000000000001E-3</v>
      </c>
      <c r="AO51" s="176">
        <v>0</v>
      </c>
      <c r="AP51" s="176">
        <v>22</v>
      </c>
      <c r="AQ51" s="167"/>
      <c r="AR51" s="180">
        <v>9.3000000000000007</v>
      </c>
      <c r="AS51" s="166">
        <v>4.2084565943488199</v>
      </c>
      <c r="AT51" s="181" t="s">
        <v>54</v>
      </c>
      <c r="AU51" s="173">
        <v>0.26302853714680102</v>
      </c>
      <c r="AV51" s="174">
        <v>-32.280279153877402</v>
      </c>
      <c r="AW51" s="168"/>
      <c r="AX51" s="168"/>
      <c r="AY51" s="176">
        <v>27</v>
      </c>
      <c r="AZ51" s="176">
        <v>34</v>
      </c>
      <c r="BA51" s="167"/>
      <c r="BB51" s="184">
        <v>107.6</v>
      </c>
      <c r="BC51" s="180">
        <v>48.6913902744014</v>
      </c>
      <c r="BD51" s="181" t="s">
        <v>55</v>
      </c>
      <c r="BE51" s="178">
        <v>1.52160594607504</v>
      </c>
      <c r="BF51" s="179">
        <v>24.4394416922452</v>
      </c>
      <c r="BG51" s="168">
        <v>0.02</v>
      </c>
      <c r="BH51" s="168">
        <v>0.02</v>
      </c>
      <c r="BI51" s="176">
        <v>0</v>
      </c>
      <c r="BJ51" s="176">
        <v>0</v>
      </c>
      <c r="BK51" s="169"/>
      <c r="BL51" s="185">
        <v>0.8</v>
      </c>
      <c r="BM51" s="188">
        <v>0.73</v>
      </c>
      <c r="BN51" s="186"/>
      <c r="BO51" s="187">
        <v>0.95</v>
      </c>
      <c r="BP51" s="178">
        <v>1</v>
      </c>
      <c r="BQ51" s="186">
        <v>2.5000000000000001E-3</v>
      </c>
    </row>
    <row r="52" spans="1:69" s="156" customFormat="1" ht="22.35" customHeight="1" x14ac:dyDescent="0.2">
      <c r="A52" s="165" t="s">
        <v>80</v>
      </c>
      <c r="B52" s="165" t="s">
        <v>100</v>
      </c>
      <c r="C52" s="165" t="s">
        <v>105</v>
      </c>
      <c r="D52" s="166">
        <v>7.7514398572222198</v>
      </c>
      <c r="E52" s="167"/>
      <c r="F52" s="168">
        <v>2.8000000000000001E-2</v>
      </c>
      <c r="G52" s="168">
        <v>2.4E-2</v>
      </c>
      <c r="H52" s="169"/>
      <c r="I52" s="170">
        <v>4</v>
      </c>
      <c r="J52" s="170">
        <v>4</v>
      </c>
      <c r="K52" s="167"/>
      <c r="L52" s="171">
        <v>5702.8802100000003</v>
      </c>
      <c r="M52" s="171">
        <v>4564.0138500000003</v>
      </c>
      <c r="N52" s="171">
        <v>10266.894060000001</v>
      </c>
      <c r="O52" s="166">
        <v>1324.5144449432901</v>
      </c>
      <c r="P52" s="172">
        <v>287.5</v>
      </c>
      <c r="Q52" s="178">
        <v>4.6070067650201398</v>
      </c>
      <c r="R52" s="179">
        <v>7646.1322442731698</v>
      </c>
      <c r="S52" s="168">
        <v>0.01</v>
      </c>
      <c r="T52" s="168">
        <v>0.01</v>
      </c>
      <c r="U52" s="175">
        <v>0</v>
      </c>
      <c r="V52" s="176">
        <v>0</v>
      </c>
      <c r="W52" s="167"/>
      <c r="X52" s="175">
        <v>4802.3848600000001</v>
      </c>
      <c r="Y52" s="166">
        <v>619.54745807973904</v>
      </c>
      <c r="Z52" s="177">
        <v>573</v>
      </c>
      <c r="AA52" s="182">
        <v>1.08123465633462</v>
      </c>
      <c r="AB52" s="183">
        <v>-420.90738490947803</v>
      </c>
      <c r="AC52" s="168">
        <v>0.01</v>
      </c>
      <c r="AD52" s="168">
        <v>8.0000000000000002E-3</v>
      </c>
      <c r="AE52" s="176">
        <v>0</v>
      </c>
      <c r="AF52" s="176">
        <v>528</v>
      </c>
      <c r="AG52" s="167"/>
      <c r="AH52" s="180">
        <v>443.7</v>
      </c>
      <c r="AI52" s="166">
        <v>57.240978214723903</v>
      </c>
      <c r="AJ52" s="181" t="s">
        <v>53</v>
      </c>
      <c r="AK52" s="188">
        <v>0.90858695578926896</v>
      </c>
      <c r="AL52" s="171">
        <v>-130.58867614188</v>
      </c>
      <c r="AM52" s="168"/>
      <c r="AN52" s="168"/>
      <c r="AO52" s="176">
        <v>45</v>
      </c>
      <c r="AP52" s="176">
        <v>143</v>
      </c>
      <c r="AQ52" s="167"/>
      <c r="AR52" s="180">
        <v>82.6</v>
      </c>
      <c r="AS52" s="166">
        <v>10.656084743151199</v>
      </c>
      <c r="AT52" s="181" t="s">
        <v>54</v>
      </c>
      <c r="AU52" s="173">
        <v>0.66600529644695095</v>
      </c>
      <c r="AV52" s="174">
        <v>-63.251092353493299</v>
      </c>
      <c r="AW52" s="168"/>
      <c r="AX52" s="168"/>
      <c r="AY52" s="176">
        <v>42</v>
      </c>
      <c r="AZ52" s="176">
        <v>67</v>
      </c>
      <c r="BA52" s="167"/>
      <c r="BB52" s="184">
        <v>263.60000000000002</v>
      </c>
      <c r="BC52" s="180">
        <v>34.0065852093785</v>
      </c>
      <c r="BD52" s="181" t="s">
        <v>55</v>
      </c>
      <c r="BE52" s="182">
        <v>1.0627057877930799</v>
      </c>
      <c r="BF52" s="183">
        <v>-28.102184706986499</v>
      </c>
      <c r="BG52" s="168">
        <v>8.0000000000000002E-3</v>
      </c>
      <c r="BH52" s="168">
        <v>6.0000000000000001E-3</v>
      </c>
      <c r="BI52" s="176">
        <v>0</v>
      </c>
      <c r="BJ52" s="176">
        <v>35</v>
      </c>
      <c r="BK52" s="169"/>
      <c r="BL52" s="185">
        <v>0.8</v>
      </c>
      <c r="BM52" s="188">
        <v>0.73</v>
      </c>
      <c r="BN52" s="186"/>
      <c r="BO52" s="187">
        <v>0.95</v>
      </c>
      <c r="BP52" s="178">
        <v>1</v>
      </c>
      <c r="BQ52" s="186">
        <v>2.5000000000000001E-3</v>
      </c>
    </row>
    <row r="53" spans="1:69" s="156" customFormat="1" ht="22.35" customHeight="1" x14ac:dyDescent="0.2">
      <c r="A53" s="165" t="s">
        <v>80</v>
      </c>
      <c r="B53" s="165" t="s">
        <v>100</v>
      </c>
      <c r="C53" s="165" t="s">
        <v>106</v>
      </c>
      <c r="D53" s="166">
        <v>4.7798890690000002</v>
      </c>
      <c r="E53" s="167"/>
      <c r="F53" s="168">
        <v>2.5999999999999999E-2</v>
      </c>
      <c r="G53" s="168">
        <v>2.4E-2</v>
      </c>
      <c r="H53" s="169"/>
      <c r="I53" s="170">
        <v>3</v>
      </c>
      <c r="J53" s="170">
        <v>3</v>
      </c>
      <c r="K53" s="167"/>
      <c r="L53" s="171">
        <v>1301.6352300000001</v>
      </c>
      <c r="M53" s="171">
        <v>1349.9503</v>
      </c>
      <c r="N53" s="171">
        <v>2651.5855299999998</v>
      </c>
      <c r="O53" s="166">
        <v>554.73788025686099</v>
      </c>
      <c r="P53" s="172">
        <v>284.87700000000001</v>
      </c>
      <c r="Q53" s="178">
        <v>1.9472891116406801</v>
      </c>
      <c r="R53" s="179">
        <v>1050.24931102801</v>
      </c>
      <c r="S53" s="168">
        <v>0.01</v>
      </c>
      <c r="T53" s="168">
        <v>0.01</v>
      </c>
      <c r="U53" s="175">
        <v>0</v>
      </c>
      <c r="V53" s="176">
        <v>0</v>
      </c>
      <c r="W53" s="167"/>
      <c r="X53" s="175">
        <v>2355.599835</v>
      </c>
      <c r="Y53" s="166">
        <v>492.81474967217503</v>
      </c>
      <c r="Z53" s="177">
        <v>573</v>
      </c>
      <c r="AA53" s="188">
        <v>0.86006064515213798</v>
      </c>
      <c r="AB53" s="171">
        <v>-865.31885436751202</v>
      </c>
      <c r="AC53" s="168"/>
      <c r="AD53" s="168"/>
      <c r="AE53" s="176">
        <v>384</v>
      </c>
      <c r="AF53" s="176">
        <v>932</v>
      </c>
      <c r="AG53" s="167"/>
      <c r="AH53" s="180">
        <v>169.25</v>
      </c>
      <c r="AI53" s="166">
        <v>35.408771533563801</v>
      </c>
      <c r="AJ53" s="181" t="s">
        <v>53</v>
      </c>
      <c r="AK53" s="173">
        <v>0.56204399259625104</v>
      </c>
      <c r="AL53" s="174">
        <v>-184.88242134407199</v>
      </c>
      <c r="AM53" s="168"/>
      <c r="AN53" s="168"/>
      <c r="AO53" s="176">
        <v>132</v>
      </c>
      <c r="AP53" s="176">
        <v>193</v>
      </c>
      <c r="AQ53" s="167"/>
      <c r="AR53" s="180">
        <v>24.2</v>
      </c>
      <c r="AS53" s="166">
        <v>5.0628790021402903</v>
      </c>
      <c r="AT53" s="181" t="s">
        <v>54</v>
      </c>
      <c r="AU53" s="173">
        <v>0.31642993763376798</v>
      </c>
      <c r="AV53" s="174">
        <v>-65.738392722303999</v>
      </c>
      <c r="AW53" s="168"/>
      <c r="AX53" s="168"/>
      <c r="AY53" s="176">
        <v>53</v>
      </c>
      <c r="AZ53" s="176">
        <v>68</v>
      </c>
      <c r="BA53" s="167"/>
      <c r="BB53" s="184">
        <v>173.8</v>
      </c>
      <c r="BC53" s="180">
        <v>36.360676469916598</v>
      </c>
      <c r="BD53" s="181" t="s">
        <v>55</v>
      </c>
      <c r="BE53" s="182">
        <v>1.1362711396848899</v>
      </c>
      <c r="BF53" s="183">
        <v>-6.0767854446079896</v>
      </c>
      <c r="BG53" s="168">
        <v>1.6E-2</v>
      </c>
      <c r="BH53" s="168">
        <v>1.4E-2</v>
      </c>
      <c r="BI53" s="176">
        <v>0</v>
      </c>
      <c r="BJ53" s="176">
        <v>10</v>
      </c>
      <c r="BK53" s="169"/>
      <c r="BL53" s="185">
        <v>0.8</v>
      </c>
      <c r="BM53" s="188">
        <v>0.7</v>
      </c>
      <c r="BN53" s="186"/>
      <c r="BO53" s="187">
        <v>0.95</v>
      </c>
      <c r="BP53" s="178">
        <v>1</v>
      </c>
      <c r="BQ53" s="186">
        <v>2.5000000000000001E-3</v>
      </c>
    </row>
    <row r="54" spans="1:69" s="156" customFormat="1" ht="22.35" customHeight="1" x14ac:dyDescent="0.2">
      <c r="A54" s="165" t="s">
        <v>80</v>
      </c>
      <c r="B54" s="165" t="s">
        <v>100</v>
      </c>
      <c r="C54" s="165" t="s">
        <v>107</v>
      </c>
      <c r="D54" s="166">
        <v>2.5187938062222202</v>
      </c>
      <c r="E54" s="167"/>
      <c r="F54" s="168">
        <v>6.0999999999999999E-2</v>
      </c>
      <c r="G54" s="168">
        <v>5.8999999999999997E-2</v>
      </c>
      <c r="H54" s="169"/>
      <c r="I54" s="170">
        <v>5</v>
      </c>
      <c r="J54" s="170">
        <v>5</v>
      </c>
      <c r="K54" s="167"/>
      <c r="L54" s="171">
        <v>1282.325</v>
      </c>
      <c r="M54" s="171">
        <v>-471.18729999999999</v>
      </c>
      <c r="N54" s="171">
        <v>811.1377</v>
      </c>
      <c r="O54" s="166">
        <v>322.03418080361803</v>
      </c>
      <c r="P54" s="172">
        <v>239.02500000000001</v>
      </c>
      <c r="Q54" s="178">
        <v>1.3472824215191599</v>
      </c>
      <c r="R54" s="179">
        <v>103.121385110055</v>
      </c>
      <c r="S54" s="168">
        <v>0.01</v>
      </c>
      <c r="T54" s="168">
        <v>0.01</v>
      </c>
      <c r="U54" s="175">
        <v>0</v>
      </c>
      <c r="V54" s="176">
        <v>0</v>
      </c>
      <c r="W54" s="167"/>
      <c r="X54" s="175">
        <v>1731.5122249999999</v>
      </c>
      <c r="Y54" s="166">
        <v>687.43706639368997</v>
      </c>
      <c r="Z54" s="177">
        <v>573</v>
      </c>
      <c r="AA54" s="178">
        <v>1.1997156481565301</v>
      </c>
      <c r="AB54" s="179">
        <v>34.228056264769698</v>
      </c>
      <c r="AC54" s="168">
        <v>0.02</v>
      </c>
      <c r="AD54" s="168">
        <v>0.02</v>
      </c>
      <c r="AE54" s="176">
        <v>0</v>
      </c>
      <c r="AF54" s="176">
        <v>1</v>
      </c>
      <c r="AG54" s="167"/>
      <c r="AH54" s="180">
        <v>173.3</v>
      </c>
      <c r="AI54" s="166">
        <v>68.802773602147894</v>
      </c>
      <c r="AJ54" s="181" t="s">
        <v>53</v>
      </c>
      <c r="AK54" s="182">
        <v>1.0921075174944099</v>
      </c>
      <c r="AL54" s="183">
        <v>-13.312395515391801</v>
      </c>
      <c r="AM54" s="168">
        <v>1.0999999999999999E-2</v>
      </c>
      <c r="AN54" s="168">
        <v>8.9999999999999993E-3</v>
      </c>
      <c r="AO54" s="176">
        <v>0</v>
      </c>
      <c r="AP54" s="176">
        <v>18</v>
      </c>
      <c r="AQ54" s="167"/>
      <c r="AR54" s="180">
        <v>15.8</v>
      </c>
      <c r="AS54" s="166">
        <v>6.2728437559950203</v>
      </c>
      <c r="AT54" s="181" t="s">
        <v>54</v>
      </c>
      <c r="AU54" s="173">
        <v>0.39205273474968899</v>
      </c>
      <c r="AV54" s="174">
        <v>-31.593624257877298</v>
      </c>
      <c r="AW54" s="168"/>
      <c r="AX54" s="168"/>
      <c r="AY54" s="176">
        <v>25</v>
      </c>
      <c r="AZ54" s="176">
        <v>33</v>
      </c>
      <c r="BA54" s="167"/>
      <c r="BB54" s="184">
        <v>100.8</v>
      </c>
      <c r="BC54" s="180">
        <v>40.019155101537798</v>
      </c>
      <c r="BD54" s="181" t="s">
        <v>55</v>
      </c>
      <c r="BE54" s="178">
        <v>1.25059859692306</v>
      </c>
      <c r="BF54" s="179">
        <v>6.0127514842454097</v>
      </c>
      <c r="BG54" s="168">
        <v>0.02</v>
      </c>
      <c r="BH54" s="168">
        <v>0.02</v>
      </c>
      <c r="BI54" s="176">
        <v>0</v>
      </c>
      <c r="BJ54" s="176">
        <v>0</v>
      </c>
      <c r="BK54" s="169"/>
      <c r="BL54" s="185">
        <v>0.8</v>
      </c>
      <c r="BM54" s="188">
        <v>0.7</v>
      </c>
      <c r="BN54" s="186"/>
      <c r="BO54" s="187">
        <v>0.95</v>
      </c>
      <c r="BP54" s="178">
        <v>1</v>
      </c>
      <c r="BQ54" s="186">
        <v>2.5000000000000001E-3</v>
      </c>
    </row>
    <row r="55" spans="1:69" s="156" customFormat="1" ht="22.35" customHeight="1" x14ac:dyDescent="0.2">
      <c r="A55" s="165" t="s">
        <v>80</v>
      </c>
      <c r="B55" s="165" t="s">
        <v>100</v>
      </c>
      <c r="C55" s="165" t="s">
        <v>108</v>
      </c>
      <c r="D55" s="166">
        <v>2.56970437377778</v>
      </c>
      <c r="E55" s="167"/>
      <c r="F55" s="168"/>
      <c r="G55" s="168"/>
      <c r="H55" s="169"/>
      <c r="I55" s="170">
        <v>1</v>
      </c>
      <c r="J55" s="170">
        <v>1</v>
      </c>
      <c r="K55" s="167"/>
      <c r="L55" s="171">
        <v>145.56924000000001</v>
      </c>
      <c r="M55" s="171">
        <v>408.86201</v>
      </c>
      <c r="N55" s="171">
        <v>554.43124999999998</v>
      </c>
      <c r="O55" s="166">
        <v>215.756822324631</v>
      </c>
      <c r="P55" s="172">
        <v>273.43799999999999</v>
      </c>
      <c r="Q55" s="188">
        <v>0.78905207880627903</v>
      </c>
      <c r="R55" s="171">
        <v>-271.89082367908901</v>
      </c>
      <c r="S55" s="168"/>
      <c r="T55" s="168"/>
      <c r="U55" s="175">
        <v>149</v>
      </c>
      <c r="V55" s="176">
        <v>289</v>
      </c>
      <c r="W55" s="167"/>
      <c r="X55" s="175">
        <v>1050.4471100000001</v>
      </c>
      <c r="Y55" s="166">
        <v>408.78130602070598</v>
      </c>
      <c r="Z55" s="177">
        <v>573</v>
      </c>
      <c r="AA55" s="173">
        <v>0.71340542062950396</v>
      </c>
      <c r="AB55" s="174">
        <v>-681.14304286140896</v>
      </c>
      <c r="AC55" s="168"/>
      <c r="AD55" s="168"/>
      <c r="AE55" s="176">
        <v>422</v>
      </c>
      <c r="AF55" s="176">
        <v>717</v>
      </c>
      <c r="AG55" s="167"/>
      <c r="AH55" s="180">
        <v>102.1</v>
      </c>
      <c r="AI55" s="166">
        <v>39.732196840176002</v>
      </c>
      <c r="AJ55" s="181" t="s">
        <v>53</v>
      </c>
      <c r="AK55" s="173">
        <v>0.63066979111390498</v>
      </c>
      <c r="AL55" s="174">
        <v>-88.284257644448104</v>
      </c>
      <c r="AM55" s="168"/>
      <c r="AN55" s="168"/>
      <c r="AO55" s="176">
        <v>60</v>
      </c>
      <c r="AP55" s="176">
        <v>93</v>
      </c>
      <c r="AQ55" s="167"/>
      <c r="AR55" s="180">
        <v>7</v>
      </c>
      <c r="AS55" s="166">
        <v>2.7240487549582002</v>
      </c>
      <c r="AT55" s="181" t="s">
        <v>54</v>
      </c>
      <c r="AU55" s="173">
        <v>0.17025304718488701</v>
      </c>
      <c r="AV55" s="174">
        <v>-41.351557497002702</v>
      </c>
      <c r="AW55" s="168"/>
      <c r="AX55" s="168"/>
      <c r="AY55" s="176">
        <v>35</v>
      </c>
      <c r="AZ55" s="176">
        <v>43</v>
      </c>
      <c r="BA55" s="167"/>
      <c r="BB55" s="184">
        <v>59.4</v>
      </c>
      <c r="BC55" s="180">
        <v>23.115499434930999</v>
      </c>
      <c r="BD55" s="181" t="s">
        <v>55</v>
      </c>
      <c r="BE55" s="173">
        <v>0.72235935734159396</v>
      </c>
      <c r="BF55" s="174">
        <v>-37.303114994005398</v>
      </c>
      <c r="BG55" s="168"/>
      <c r="BH55" s="168"/>
      <c r="BI55" s="176">
        <v>23</v>
      </c>
      <c r="BJ55" s="176">
        <v>40</v>
      </c>
      <c r="BK55" s="169"/>
      <c r="BL55" s="185">
        <v>0.8</v>
      </c>
      <c r="BM55" s="188">
        <v>0.74</v>
      </c>
      <c r="BN55" s="186"/>
      <c r="BO55" s="187">
        <v>0.95</v>
      </c>
      <c r="BP55" s="178">
        <v>1</v>
      </c>
      <c r="BQ55" s="186">
        <v>2.5000000000000001E-3</v>
      </c>
    </row>
    <row r="56" spans="1:69" s="156" customFormat="1" ht="22.35" customHeight="1" x14ac:dyDescent="0.2">
      <c r="A56" s="165" t="s">
        <v>80</v>
      </c>
      <c r="B56" s="165" t="s">
        <v>100</v>
      </c>
      <c r="C56" s="165" t="s">
        <v>109</v>
      </c>
      <c r="D56" s="166">
        <v>5.2395012254444397</v>
      </c>
      <c r="E56" s="167"/>
      <c r="F56" s="168">
        <v>2.5999999999999999E-2</v>
      </c>
      <c r="G56" s="168">
        <v>2.4E-2</v>
      </c>
      <c r="H56" s="169"/>
      <c r="I56" s="170">
        <v>3</v>
      </c>
      <c r="J56" s="170">
        <v>3</v>
      </c>
      <c r="K56" s="167"/>
      <c r="L56" s="171">
        <v>2487.5550800000001</v>
      </c>
      <c r="M56" s="171">
        <v>848.72509000000002</v>
      </c>
      <c r="N56" s="171">
        <v>3336.28017</v>
      </c>
      <c r="O56" s="166">
        <v>636.75529911093702</v>
      </c>
      <c r="P56" s="172">
        <v>287.5</v>
      </c>
      <c r="Q56" s="178">
        <v>2.2148010403858698</v>
      </c>
      <c r="R56" s="179">
        <v>1564.80480567723</v>
      </c>
      <c r="S56" s="168">
        <v>0.01</v>
      </c>
      <c r="T56" s="168">
        <v>0.01</v>
      </c>
      <c r="U56" s="175">
        <v>0</v>
      </c>
      <c r="V56" s="176">
        <v>0</v>
      </c>
      <c r="W56" s="167"/>
      <c r="X56" s="175">
        <v>2477.2899900000002</v>
      </c>
      <c r="Y56" s="166">
        <v>472.81027017793298</v>
      </c>
      <c r="Z56" s="177">
        <v>573</v>
      </c>
      <c r="AA56" s="188">
        <v>0.82514881357405401</v>
      </c>
      <c r="AB56" s="171">
        <v>-1053.3374317632799</v>
      </c>
      <c r="AC56" s="168"/>
      <c r="AD56" s="168"/>
      <c r="AE56" s="176">
        <v>525</v>
      </c>
      <c r="AF56" s="176">
        <v>1126</v>
      </c>
      <c r="AG56" s="167"/>
      <c r="AH56" s="180">
        <v>155.80000000000001</v>
      </c>
      <c r="AI56" s="166">
        <v>29.735654845043801</v>
      </c>
      <c r="AJ56" s="181" t="s">
        <v>53</v>
      </c>
      <c r="AK56" s="173">
        <v>0.471994521349901</v>
      </c>
      <c r="AL56" s="174">
        <v>-232.38416679072799</v>
      </c>
      <c r="AM56" s="168"/>
      <c r="AN56" s="168"/>
      <c r="AO56" s="176">
        <v>175</v>
      </c>
      <c r="AP56" s="176">
        <v>241</v>
      </c>
      <c r="AQ56" s="167"/>
      <c r="AR56" s="180">
        <v>31.3</v>
      </c>
      <c r="AS56" s="166">
        <v>5.97385106963974</v>
      </c>
      <c r="AT56" s="181" t="s">
        <v>54</v>
      </c>
      <c r="AU56" s="173">
        <v>0.37336569185248403</v>
      </c>
      <c r="AV56" s="174">
        <v>-67.286455057962598</v>
      </c>
      <c r="AW56" s="168"/>
      <c r="AX56" s="168"/>
      <c r="AY56" s="176">
        <v>53</v>
      </c>
      <c r="AZ56" s="176">
        <v>70</v>
      </c>
      <c r="BA56" s="167"/>
      <c r="BB56" s="184">
        <v>190.8</v>
      </c>
      <c r="BC56" s="180">
        <v>36.415680002787902</v>
      </c>
      <c r="BD56" s="181" t="s">
        <v>55</v>
      </c>
      <c r="BE56" s="182">
        <v>1.1379900000871199</v>
      </c>
      <c r="BF56" s="183">
        <v>-6.3729101159251202</v>
      </c>
      <c r="BG56" s="168">
        <v>1.6E-2</v>
      </c>
      <c r="BH56" s="168">
        <v>1.4E-2</v>
      </c>
      <c r="BI56" s="176">
        <v>0</v>
      </c>
      <c r="BJ56" s="176">
        <v>11</v>
      </c>
      <c r="BK56" s="169"/>
      <c r="BL56" s="185">
        <v>0.8</v>
      </c>
      <c r="BM56" s="188">
        <v>0.7</v>
      </c>
      <c r="BN56" s="186"/>
      <c r="BO56" s="187">
        <v>0.95</v>
      </c>
      <c r="BP56" s="178">
        <v>1</v>
      </c>
      <c r="BQ56" s="186">
        <v>2.5000000000000001E-3</v>
      </c>
    </row>
    <row r="57" spans="1:69" s="156" customFormat="1" ht="22.35" customHeight="1" x14ac:dyDescent="0.2">
      <c r="A57" s="165" t="s">
        <v>80</v>
      </c>
      <c r="B57" s="165" t="s">
        <v>100</v>
      </c>
      <c r="C57" s="165" t="s">
        <v>110</v>
      </c>
      <c r="D57" s="166">
        <v>2.6352440239999999</v>
      </c>
      <c r="E57" s="167"/>
      <c r="F57" s="168">
        <v>0.06</v>
      </c>
      <c r="G57" s="168">
        <v>0.06</v>
      </c>
      <c r="H57" s="169"/>
      <c r="I57" s="170">
        <v>5</v>
      </c>
      <c r="J57" s="170">
        <v>5</v>
      </c>
      <c r="K57" s="167"/>
      <c r="L57" s="171">
        <v>306.17003999999997</v>
      </c>
      <c r="M57" s="171">
        <v>2870.8860399999999</v>
      </c>
      <c r="N57" s="171">
        <v>3177.0560799999998</v>
      </c>
      <c r="O57" s="166">
        <v>1205.60223306288</v>
      </c>
      <c r="P57" s="172">
        <v>269.755</v>
      </c>
      <c r="Q57" s="178">
        <v>4.4692488853325401</v>
      </c>
      <c r="R57" s="179">
        <v>2341.07266400771</v>
      </c>
      <c r="S57" s="168">
        <v>0.01</v>
      </c>
      <c r="T57" s="168">
        <v>0.01</v>
      </c>
      <c r="U57" s="175">
        <v>0</v>
      </c>
      <c r="V57" s="176">
        <v>0</v>
      </c>
      <c r="W57" s="167"/>
      <c r="X57" s="175">
        <v>1891.59538</v>
      </c>
      <c r="Y57" s="166">
        <v>717.80653433710199</v>
      </c>
      <c r="Z57" s="177">
        <v>573</v>
      </c>
      <c r="AA57" s="178">
        <v>1.2527164648117</v>
      </c>
      <c r="AB57" s="179">
        <v>115.841464915648</v>
      </c>
      <c r="AC57" s="168">
        <v>0.02</v>
      </c>
      <c r="AD57" s="168">
        <v>0.02</v>
      </c>
      <c r="AE57" s="176">
        <v>0</v>
      </c>
      <c r="AF57" s="176">
        <v>0</v>
      </c>
      <c r="AG57" s="167"/>
      <c r="AH57" s="180">
        <v>151.44999999999999</v>
      </c>
      <c r="AI57" s="166">
        <v>57.470958522511403</v>
      </c>
      <c r="AJ57" s="181" t="s">
        <v>53</v>
      </c>
      <c r="AK57" s="188">
        <v>0.91223743686526004</v>
      </c>
      <c r="AL57" s="171">
        <v>-43.789959250111998</v>
      </c>
      <c r="AM57" s="168"/>
      <c r="AN57" s="168"/>
      <c r="AO57" s="176">
        <v>15</v>
      </c>
      <c r="AP57" s="176">
        <v>48</v>
      </c>
      <c r="AQ57" s="167"/>
      <c r="AR57" s="180">
        <v>63.4</v>
      </c>
      <c r="AS57" s="166">
        <v>24.058493036165199</v>
      </c>
      <c r="AT57" s="181" t="s">
        <v>54</v>
      </c>
      <c r="AU57" s="178">
        <v>1.5036558147603301</v>
      </c>
      <c r="AV57" s="179">
        <v>13.815248444416</v>
      </c>
      <c r="AW57" s="168">
        <v>0.01</v>
      </c>
      <c r="AX57" s="168">
        <v>0.01</v>
      </c>
      <c r="AY57" s="176">
        <v>0</v>
      </c>
      <c r="AZ57" s="176">
        <v>0</v>
      </c>
      <c r="BA57" s="167"/>
      <c r="BB57" s="184">
        <v>138.80000000000001</v>
      </c>
      <c r="BC57" s="180">
        <v>52.670644060248101</v>
      </c>
      <c r="BD57" s="181" t="s">
        <v>55</v>
      </c>
      <c r="BE57" s="178">
        <v>1.64595762688275</v>
      </c>
      <c r="BF57" s="179">
        <v>39.630496888831999</v>
      </c>
      <c r="BG57" s="168">
        <v>0.02</v>
      </c>
      <c r="BH57" s="168">
        <v>0.02</v>
      </c>
      <c r="BI57" s="176">
        <v>0</v>
      </c>
      <c r="BJ57" s="176">
        <v>0</v>
      </c>
      <c r="BK57" s="169"/>
      <c r="BL57" s="185">
        <v>0.8</v>
      </c>
      <c r="BM57" s="188">
        <v>0.73</v>
      </c>
      <c r="BN57" s="186"/>
      <c r="BO57" s="187">
        <v>0.95</v>
      </c>
      <c r="BP57" s="178">
        <v>1</v>
      </c>
      <c r="BQ57" s="186">
        <v>2.5000000000000001E-3</v>
      </c>
    </row>
    <row r="58" spans="1:69" s="156" customFormat="1" ht="22.35" customHeight="1" x14ac:dyDescent="0.2">
      <c r="A58" s="165" t="s">
        <v>80</v>
      </c>
      <c r="B58" s="165" t="s">
        <v>100</v>
      </c>
      <c r="C58" s="165" t="s">
        <v>111</v>
      </c>
      <c r="D58" s="166">
        <v>5.3559300766666702</v>
      </c>
      <c r="E58" s="167"/>
      <c r="F58" s="168">
        <v>0.03</v>
      </c>
      <c r="G58" s="168">
        <v>0.03</v>
      </c>
      <c r="H58" s="169"/>
      <c r="I58" s="170">
        <v>3</v>
      </c>
      <c r="J58" s="170">
        <v>3</v>
      </c>
      <c r="K58" s="167"/>
      <c r="L58" s="171">
        <v>4186.8213100000003</v>
      </c>
      <c r="M58" s="171">
        <v>974.44735000000003</v>
      </c>
      <c r="N58" s="171">
        <v>5161.2686599999997</v>
      </c>
      <c r="O58" s="166">
        <v>963.65497422852502</v>
      </c>
      <c r="P58" s="172">
        <v>280.08499999999998</v>
      </c>
      <c r="Q58" s="178">
        <v>3.4405804460379001</v>
      </c>
      <c r="R58" s="179">
        <v>3397.1326255847398</v>
      </c>
      <c r="S58" s="168">
        <v>0.01</v>
      </c>
      <c r="T58" s="168">
        <v>0.01</v>
      </c>
      <c r="U58" s="175">
        <v>0</v>
      </c>
      <c r="V58" s="176">
        <v>0</v>
      </c>
      <c r="W58" s="167"/>
      <c r="X58" s="175">
        <v>1990.3286149999999</v>
      </c>
      <c r="Y58" s="166">
        <v>371.612135802696</v>
      </c>
      <c r="Z58" s="177">
        <v>573</v>
      </c>
      <c r="AA58" s="173">
        <v>0.64853775881796905</v>
      </c>
      <c r="AB58" s="174">
        <v>-1618.7541553016799</v>
      </c>
      <c r="AC58" s="168"/>
      <c r="AD58" s="168"/>
      <c r="AE58" s="176">
        <v>1079</v>
      </c>
      <c r="AF58" s="176">
        <v>1693</v>
      </c>
      <c r="AG58" s="167"/>
      <c r="AH58" s="180">
        <v>243.7</v>
      </c>
      <c r="AI58" s="166">
        <v>45.500967434524398</v>
      </c>
      <c r="AJ58" s="181" t="s">
        <v>53</v>
      </c>
      <c r="AK58" s="173">
        <v>0.72223757832578495</v>
      </c>
      <c r="AL58" s="174">
        <v>-153.11014752008001</v>
      </c>
      <c r="AM58" s="168"/>
      <c r="AN58" s="168"/>
      <c r="AO58" s="176">
        <v>94</v>
      </c>
      <c r="AP58" s="176">
        <v>162</v>
      </c>
      <c r="AQ58" s="167"/>
      <c r="AR58" s="180">
        <v>26.9</v>
      </c>
      <c r="AS58" s="166">
        <v>5.0224703487431599</v>
      </c>
      <c r="AT58" s="181" t="s">
        <v>54</v>
      </c>
      <c r="AU58" s="173">
        <v>0.31390439679644699</v>
      </c>
      <c r="AV58" s="174">
        <v>-73.877180322559994</v>
      </c>
      <c r="AW58" s="168"/>
      <c r="AX58" s="168"/>
      <c r="AY58" s="176">
        <v>59</v>
      </c>
      <c r="AZ58" s="176">
        <v>76</v>
      </c>
      <c r="BA58" s="167"/>
      <c r="BB58" s="184">
        <v>208.2</v>
      </c>
      <c r="BC58" s="180">
        <v>38.872800245662603</v>
      </c>
      <c r="BD58" s="181" t="s">
        <v>55</v>
      </c>
      <c r="BE58" s="178">
        <v>1.2147750076769599</v>
      </c>
      <c r="BF58" s="179">
        <v>6.64563935487993</v>
      </c>
      <c r="BG58" s="168">
        <v>0.02</v>
      </c>
      <c r="BH58" s="168">
        <v>0.02</v>
      </c>
      <c r="BI58" s="176">
        <v>0</v>
      </c>
      <c r="BJ58" s="176">
        <v>0</v>
      </c>
      <c r="BK58" s="169"/>
      <c r="BL58" s="185">
        <v>0.8</v>
      </c>
      <c r="BM58" s="173">
        <v>0.65</v>
      </c>
      <c r="BN58" s="186"/>
      <c r="BO58" s="187">
        <v>0.95</v>
      </c>
      <c r="BP58" s="178">
        <v>1</v>
      </c>
      <c r="BQ58" s="186">
        <v>2.5000000000000001E-3</v>
      </c>
    </row>
    <row r="59" spans="1:69" s="156" customFormat="1" ht="22.35" customHeight="1" x14ac:dyDescent="0.2">
      <c r="A59" s="165" t="s">
        <v>80</v>
      </c>
      <c r="B59" s="165" t="s">
        <v>100</v>
      </c>
      <c r="C59" s="165" t="s">
        <v>112</v>
      </c>
      <c r="D59" s="166">
        <v>1.38279080044444</v>
      </c>
      <c r="E59" s="167"/>
      <c r="F59" s="168">
        <v>0.01</v>
      </c>
      <c r="G59" s="168">
        <v>0.01</v>
      </c>
      <c r="H59" s="169"/>
      <c r="I59" s="170">
        <v>2</v>
      </c>
      <c r="J59" s="170">
        <v>2</v>
      </c>
      <c r="K59" s="167"/>
      <c r="L59" s="171">
        <v>466.33019000000002</v>
      </c>
      <c r="M59" s="171">
        <v>1380.90435</v>
      </c>
      <c r="N59" s="171">
        <v>1847.2345399999999</v>
      </c>
      <c r="O59" s="166">
        <v>1335.8741896505801</v>
      </c>
      <c r="P59" s="172">
        <v>280.08499999999998</v>
      </c>
      <c r="Q59" s="178">
        <v>4.7695313553049301</v>
      </c>
      <c r="R59" s="179">
        <v>1391.7709614612399</v>
      </c>
      <c r="S59" s="168">
        <v>0.01</v>
      </c>
      <c r="T59" s="168">
        <v>0.01</v>
      </c>
      <c r="U59" s="175">
        <v>0</v>
      </c>
      <c r="V59" s="176">
        <v>0</v>
      </c>
      <c r="W59" s="167"/>
      <c r="X59" s="175">
        <v>671.06210999999996</v>
      </c>
      <c r="Y59" s="166">
        <v>485.29546897789101</v>
      </c>
      <c r="Z59" s="177">
        <v>573</v>
      </c>
      <c r="AA59" s="188">
        <v>0.84693799123541202</v>
      </c>
      <c r="AB59" s="171">
        <v>-260.72870529788503</v>
      </c>
      <c r="AC59" s="168"/>
      <c r="AD59" s="168"/>
      <c r="AE59" s="176">
        <v>122</v>
      </c>
      <c r="AF59" s="176">
        <v>280</v>
      </c>
      <c r="AG59" s="167"/>
      <c r="AH59" s="180">
        <v>62.3</v>
      </c>
      <c r="AI59" s="166">
        <v>45.053814344133698</v>
      </c>
      <c r="AJ59" s="181" t="s">
        <v>53</v>
      </c>
      <c r="AK59" s="173">
        <v>0.71513991022434398</v>
      </c>
      <c r="AL59" s="174">
        <v>-40.148204823327703</v>
      </c>
      <c r="AM59" s="168"/>
      <c r="AN59" s="168"/>
      <c r="AO59" s="176">
        <v>25</v>
      </c>
      <c r="AP59" s="176">
        <v>43</v>
      </c>
      <c r="AQ59" s="167"/>
      <c r="AR59" s="180">
        <v>5</v>
      </c>
      <c r="AS59" s="166">
        <v>3.61587595057253</v>
      </c>
      <c r="AT59" s="181" t="s">
        <v>54</v>
      </c>
      <c r="AU59" s="173">
        <v>0.22599224691078301</v>
      </c>
      <c r="AV59" s="174">
        <v>-21.018591701162599</v>
      </c>
      <c r="AW59" s="168"/>
      <c r="AX59" s="168"/>
      <c r="AY59" s="176">
        <v>18</v>
      </c>
      <c r="AZ59" s="176">
        <v>22</v>
      </c>
      <c r="BA59" s="167"/>
      <c r="BB59" s="184">
        <v>34</v>
      </c>
      <c r="BC59" s="180">
        <v>24.5879564638932</v>
      </c>
      <c r="BD59" s="181" t="s">
        <v>55</v>
      </c>
      <c r="BE59" s="173">
        <v>0.76837363949666104</v>
      </c>
      <c r="BF59" s="174">
        <v>-18.037183402325201</v>
      </c>
      <c r="BG59" s="168"/>
      <c r="BH59" s="168"/>
      <c r="BI59" s="176">
        <v>11</v>
      </c>
      <c r="BJ59" s="176">
        <v>20</v>
      </c>
      <c r="BK59" s="169"/>
      <c r="BL59" s="185">
        <v>0.8</v>
      </c>
      <c r="BM59" s="188">
        <v>0.75</v>
      </c>
      <c r="BN59" s="186"/>
      <c r="BO59" s="187">
        <v>0.95</v>
      </c>
      <c r="BP59" s="178">
        <v>1</v>
      </c>
      <c r="BQ59" s="186">
        <v>2.5000000000000001E-3</v>
      </c>
    </row>
    <row r="60" spans="1:69" s="156" customFormat="1" ht="22.35" customHeight="1" x14ac:dyDescent="0.2">
      <c r="A60" s="165" t="s">
        <v>80</v>
      </c>
      <c r="B60" s="165" t="s">
        <v>100</v>
      </c>
      <c r="C60" s="165" t="s">
        <v>113</v>
      </c>
      <c r="D60" s="166">
        <v>3.0026688585555599</v>
      </c>
      <c r="E60" s="167"/>
      <c r="F60" s="168">
        <v>0.05</v>
      </c>
      <c r="G60" s="168">
        <v>0.05</v>
      </c>
      <c r="H60" s="169"/>
      <c r="I60" s="170">
        <v>4</v>
      </c>
      <c r="J60" s="170">
        <v>4</v>
      </c>
      <c r="K60" s="167"/>
      <c r="L60" s="171">
        <v>1541.43714</v>
      </c>
      <c r="M60" s="171">
        <v>688.80213000000003</v>
      </c>
      <c r="N60" s="171">
        <v>2230.23927</v>
      </c>
      <c r="O60" s="166">
        <v>742.75232303600205</v>
      </c>
      <c r="P60" s="172">
        <v>239.26400000000001</v>
      </c>
      <c r="Q60" s="178">
        <v>3.1043212645278899</v>
      </c>
      <c r="R60" s="179">
        <v>1385.3649293544399</v>
      </c>
      <c r="S60" s="168">
        <v>0.01</v>
      </c>
      <c r="T60" s="168">
        <v>0.01</v>
      </c>
      <c r="U60" s="175">
        <v>0</v>
      </c>
      <c r="V60" s="176">
        <v>0</v>
      </c>
      <c r="W60" s="167"/>
      <c r="X60" s="175">
        <v>2142.1081899999999</v>
      </c>
      <c r="Y60" s="166">
        <v>713.40140751666797</v>
      </c>
      <c r="Z60" s="177">
        <v>573</v>
      </c>
      <c r="AA60" s="178">
        <v>1.24502863440954</v>
      </c>
      <c r="AB60" s="179">
        <v>118.765785000053</v>
      </c>
      <c r="AC60" s="168">
        <v>0.02</v>
      </c>
      <c r="AD60" s="168">
        <v>0.02</v>
      </c>
      <c r="AE60" s="176">
        <v>0</v>
      </c>
      <c r="AF60" s="176">
        <v>0</v>
      </c>
      <c r="AG60" s="167"/>
      <c r="AH60" s="180">
        <v>179.3</v>
      </c>
      <c r="AI60" s="166">
        <v>59.713544332108903</v>
      </c>
      <c r="AJ60" s="181" t="s">
        <v>53</v>
      </c>
      <c r="AK60" s="188">
        <v>0.94783403701760105</v>
      </c>
      <c r="AL60" s="171">
        <v>-43.161730392664303</v>
      </c>
      <c r="AM60" s="168"/>
      <c r="AN60" s="168"/>
      <c r="AO60" s="176">
        <v>10</v>
      </c>
      <c r="AP60" s="176">
        <v>48</v>
      </c>
      <c r="AQ60" s="167"/>
      <c r="AR60" s="180">
        <v>31.5</v>
      </c>
      <c r="AS60" s="166">
        <v>10.4906672976098</v>
      </c>
      <c r="AT60" s="181" t="s">
        <v>54</v>
      </c>
      <c r="AU60" s="173">
        <v>0.65566670610060995</v>
      </c>
      <c r="AV60" s="174">
        <v>-24.998217242581401</v>
      </c>
      <c r="AW60" s="168"/>
      <c r="AX60" s="168"/>
      <c r="AY60" s="176">
        <v>17</v>
      </c>
      <c r="AZ60" s="176">
        <v>27</v>
      </c>
      <c r="BA60" s="167"/>
      <c r="BB60" s="184">
        <v>133.80000000000001</v>
      </c>
      <c r="BC60" s="180">
        <v>44.560358235561502</v>
      </c>
      <c r="BD60" s="181" t="s">
        <v>55</v>
      </c>
      <c r="BE60" s="178">
        <v>1.3925111948613</v>
      </c>
      <c r="BF60" s="179">
        <v>20.803565514837199</v>
      </c>
      <c r="BG60" s="168">
        <v>0.02</v>
      </c>
      <c r="BH60" s="168">
        <v>0.02</v>
      </c>
      <c r="BI60" s="176">
        <v>0</v>
      </c>
      <c r="BJ60" s="176">
        <v>0</v>
      </c>
      <c r="BK60" s="169"/>
      <c r="BL60" s="185">
        <v>0.8</v>
      </c>
      <c r="BM60" s="188">
        <v>0.73</v>
      </c>
      <c r="BN60" s="186"/>
      <c r="BO60" s="187">
        <v>0.95</v>
      </c>
      <c r="BP60" s="178">
        <v>1</v>
      </c>
      <c r="BQ60" s="186">
        <v>2.5000000000000001E-3</v>
      </c>
    </row>
    <row r="61" spans="1:69" s="156" customFormat="1" ht="22.35" customHeight="1" x14ac:dyDescent="0.2">
      <c r="A61" s="165" t="s">
        <v>80</v>
      </c>
      <c r="B61" s="165" t="s">
        <v>100</v>
      </c>
      <c r="C61" s="165" t="s">
        <v>114</v>
      </c>
      <c r="D61" s="166">
        <v>8.0969419465555603</v>
      </c>
      <c r="E61" s="167"/>
      <c r="F61" s="168">
        <v>0.04</v>
      </c>
      <c r="G61" s="168">
        <v>3.6999999999999998E-2</v>
      </c>
      <c r="H61" s="169"/>
      <c r="I61" s="170">
        <v>4</v>
      </c>
      <c r="J61" s="170">
        <v>4</v>
      </c>
      <c r="K61" s="167"/>
      <c r="L61" s="171">
        <v>5902.3992399999997</v>
      </c>
      <c r="M61" s="171">
        <v>3800.7642000000001</v>
      </c>
      <c r="N61" s="171">
        <v>9703.1634400000003</v>
      </c>
      <c r="O61" s="166">
        <v>1198.37384336536</v>
      </c>
      <c r="P61" s="172">
        <v>262.83</v>
      </c>
      <c r="Q61" s="178">
        <v>4.5595017439613397</v>
      </c>
      <c r="R61" s="179">
        <v>7200.4951998676797</v>
      </c>
      <c r="S61" s="168">
        <v>0.01</v>
      </c>
      <c r="T61" s="168">
        <v>0.01</v>
      </c>
      <c r="U61" s="175">
        <v>0</v>
      </c>
      <c r="V61" s="176">
        <v>0</v>
      </c>
      <c r="W61" s="167"/>
      <c r="X61" s="175">
        <v>4991.95856</v>
      </c>
      <c r="Y61" s="166">
        <v>616.52394113108096</v>
      </c>
      <c r="Z61" s="177">
        <v>573</v>
      </c>
      <c r="AA61" s="182">
        <v>1.07595801244517</v>
      </c>
      <c r="AB61" s="183">
        <v>-464.149576802571</v>
      </c>
      <c r="AC61" s="168">
        <v>0.01</v>
      </c>
      <c r="AD61" s="168">
        <v>8.0000000000000002E-3</v>
      </c>
      <c r="AE61" s="176">
        <v>0</v>
      </c>
      <c r="AF61" s="176">
        <v>576</v>
      </c>
      <c r="AG61" s="167"/>
      <c r="AH61" s="180">
        <v>428.3</v>
      </c>
      <c r="AI61" s="166">
        <v>52.896513625394</v>
      </c>
      <c r="AJ61" s="181" t="s">
        <v>53</v>
      </c>
      <c r="AK61" s="188">
        <v>0.83962720040307903</v>
      </c>
      <c r="AL61" s="171">
        <v>-171.586234936408</v>
      </c>
      <c r="AM61" s="168"/>
      <c r="AN61" s="168"/>
      <c r="AO61" s="176">
        <v>82</v>
      </c>
      <c r="AP61" s="176">
        <v>184</v>
      </c>
      <c r="AQ61" s="167"/>
      <c r="AR61" s="180">
        <v>37.9</v>
      </c>
      <c r="AS61" s="166">
        <v>4.6807795152987</v>
      </c>
      <c r="AT61" s="181" t="s">
        <v>54</v>
      </c>
      <c r="AU61" s="173">
        <v>0.29254871970616902</v>
      </c>
      <c r="AV61" s="174">
        <v>-114.452059666389</v>
      </c>
      <c r="AW61" s="168"/>
      <c r="AX61" s="168"/>
      <c r="AY61" s="176">
        <v>92</v>
      </c>
      <c r="AZ61" s="176">
        <v>118</v>
      </c>
      <c r="BA61" s="167"/>
      <c r="BB61" s="184">
        <v>308.60000000000002</v>
      </c>
      <c r="BC61" s="180">
        <v>38.113154575756703</v>
      </c>
      <c r="BD61" s="181" t="s">
        <v>55</v>
      </c>
      <c r="BE61" s="178">
        <v>1.1910360804924001</v>
      </c>
      <c r="BF61" s="179">
        <v>3.8958806672212098</v>
      </c>
      <c r="BG61" s="168">
        <v>0.02</v>
      </c>
      <c r="BH61" s="168">
        <v>1.9E-2</v>
      </c>
      <c r="BI61" s="176">
        <v>0</v>
      </c>
      <c r="BJ61" s="176">
        <v>3</v>
      </c>
      <c r="BK61" s="169"/>
      <c r="BL61" s="185">
        <v>0.8</v>
      </c>
      <c r="BM61" s="173">
        <v>0.68</v>
      </c>
      <c r="BN61" s="186"/>
      <c r="BO61" s="187">
        <v>0.95</v>
      </c>
      <c r="BP61" s="178">
        <v>1</v>
      </c>
      <c r="BQ61" s="186">
        <v>2.5000000000000001E-3</v>
      </c>
    </row>
    <row r="62" spans="1:69" s="156" customFormat="1" ht="22.35" customHeight="1" x14ac:dyDescent="0.2">
      <c r="A62" s="165" t="s">
        <v>80</v>
      </c>
      <c r="B62" s="165" t="s">
        <v>100</v>
      </c>
      <c r="C62" s="165" t="s">
        <v>115</v>
      </c>
      <c r="D62" s="166">
        <v>1.895420369</v>
      </c>
      <c r="E62" s="167"/>
      <c r="F62" s="168">
        <v>5.3499999999999999E-2</v>
      </c>
      <c r="G62" s="168">
        <v>5.0999999999999997E-2</v>
      </c>
      <c r="H62" s="169"/>
      <c r="I62" s="170">
        <v>7</v>
      </c>
      <c r="J62" s="170">
        <v>6</v>
      </c>
      <c r="K62" s="167"/>
      <c r="L62" s="171">
        <v>2344.30879</v>
      </c>
      <c r="M62" s="171">
        <v>756.81543999999997</v>
      </c>
      <c r="N62" s="171">
        <v>3101.1242299999999</v>
      </c>
      <c r="O62" s="166">
        <v>1636.1142260152601</v>
      </c>
      <c r="P62" s="172">
        <v>248.27199999999999</v>
      </c>
      <c r="Q62" s="178">
        <v>6.5900070326708597</v>
      </c>
      <c r="R62" s="179">
        <v>2547.72237831761</v>
      </c>
      <c r="S62" s="168">
        <v>0.01</v>
      </c>
      <c r="T62" s="168">
        <v>0.01</v>
      </c>
      <c r="U62" s="175">
        <v>0</v>
      </c>
      <c r="V62" s="176">
        <v>0</v>
      </c>
      <c r="W62" s="167"/>
      <c r="X62" s="175">
        <v>1098.8624600000001</v>
      </c>
      <c r="Y62" s="166">
        <v>579.74604365982702</v>
      </c>
      <c r="Z62" s="177">
        <v>573</v>
      </c>
      <c r="AA62" s="182">
        <v>1.01177320010441</v>
      </c>
      <c r="AB62" s="183">
        <v>-178.36276480991199</v>
      </c>
      <c r="AC62" s="168">
        <v>3.0000000000000001E-3</v>
      </c>
      <c r="AD62" s="168">
        <v>1E-3</v>
      </c>
      <c r="AE62" s="176">
        <v>0</v>
      </c>
      <c r="AF62" s="176">
        <v>205</v>
      </c>
      <c r="AG62" s="167"/>
      <c r="AH62" s="180">
        <v>143.4</v>
      </c>
      <c r="AI62" s="166">
        <v>75.656040393644204</v>
      </c>
      <c r="AJ62" s="181" t="s">
        <v>53</v>
      </c>
      <c r="AK62" s="178">
        <v>1.2008895300578399</v>
      </c>
      <c r="AL62" s="179">
        <v>2.9720957015279899</v>
      </c>
      <c r="AM62" s="168">
        <v>0.02</v>
      </c>
      <c r="AN62" s="168">
        <v>0.02</v>
      </c>
      <c r="AO62" s="176">
        <v>0</v>
      </c>
      <c r="AP62" s="176">
        <v>0</v>
      </c>
      <c r="AQ62" s="167"/>
      <c r="AR62" s="180">
        <v>29.9</v>
      </c>
      <c r="AS62" s="166">
        <v>15.7748647682703</v>
      </c>
      <c r="AT62" s="181" t="s">
        <v>54</v>
      </c>
      <c r="AU62" s="182">
        <v>0.98592904801689396</v>
      </c>
      <c r="AV62" s="183">
        <v>-5.7642296631040004</v>
      </c>
      <c r="AW62" s="168">
        <v>5.0000000000000001E-4</v>
      </c>
      <c r="AX62" s="168"/>
      <c r="AY62" s="176">
        <v>1</v>
      </c>
      <c r="AZ62" s="176">
        <v>7</v>
      </c>
      <c r="BA62" s="167"/>
      <c r="BB62" s="184">
        <v>83</v>
      </c>
      <c r="BC62" s="180">
        <v>43.789758386837299</v>
      </c>
      <c r="BD62" s="181" t="s">
        <v>55</v>
      </c>
      <c r="BE62" s="178">
        <v>1.36842994958867</v>
      </c>
      <c r="BF62" s="179">
        <v>11.671540673792</v>
      </c>
      <c r="BG62" s="168">
        <v>0.02</v>
      </c>
      <c r="BH62" s="168">
        <v>0.02</v>
      </c>
      <c r="BI62" s="176">
        <v>0</v>
      </c>
      <c r="BJ62" s="176">
        <v>0</v>
      </c>
      <c r="BK62" s="169"/>
      <c r="BL62" s="185">
        <v>0.8</v>
      </c>
      <c r="BM62" s="182">
        <v>0.81</v>
      </c>
      <c r="BN62" s="186">
        <v>3.7500000000000001E-4</v>
      </c>
      <c r="BO62" s="187">
        <v>0.95</v>
      </c>
      <c r="BP62" s="178">
        <v>1</v>
      </c>
      <c r="BQ62" s="186">
        <v>2.5000000000000001E-3</v>
      </c>
    </row>
    <row r="63" spans="1:69" s="156" customFormat="1" ht="22.35" customHeight="1" x14ac:dyDescent="0.2">
      <c r="A63" s="165" t="s">
        <v>80</v>
      </c>
      <c r="B63" s="165" t="s">
        <v>100</v>
      </c>
      <c r="C63" s="165" t="s">
        <v>116</v>
      </c>
      <c r="D63" s="166">
        <v>2.1204174575555599</v>
      </c>
      <c r="E63" s="167"/>
      <c r="F63" s="168">
        <v>4.2000000000000003E-2</v>
      </c>
      <c r="G63" s="168">
        <v>3.7999999999999999E-2</v>
      </c>
      <c r="H63" s="169"/>
      <c r="I63" s="170">
        <v>4</v>
      </c>
      <c r="J63" s="170">
        <v>3</v>
      </c>
      <c r="K63" s="167"/>
      <c r="L63" s="171">
        <v>894.07150000000001</v>
      </c>
      <c r="M63" s="171">
        <v>784.66297999999995</v>
      </c>
      <c r="N63" s="171">
        <v>1678.7344800000001</v>
      </c>
      <c r="O63" s="166">
        <v>791.69999002708903</v>
      </c>
      <c r="P63" s="172">
        <v>256.27100000000002</v>
      </c>
      <c r="Q63" s="178">
        <v>3.0893077641523599</v>
      </c>
      <c r="R63" s="179">
        <v>1039.6943133361001</v>
      </c>
      <c r="S63" s="168">
        <v>0.01</v>
      </c>
      <c r="T63" s="168">
        <v>0.01</v>
      </c>
      <c r="U63" s="175">
        <v>0</v>
      </c>
      <c r="V63" s="176">
        <v>0</v>
      </c>
      <c r="W63" s="167"/>
      <c r="X63" s="175">
        <v>1211.38041</v>
      </c>
      <c r="Y63" s="166">
        <v>571.29335814679405</v>
      </c>
      <c r="Z63" s="177">
        <v>573</v>
      </c>
      <c r="AA63" s="182">
        <v>0.99702156744641202</v>
      </c>
      <c r="AB63" s="183">
        <v>-217.45865293889901</v>
      </c>
      <c r="AC63" s="168">
        <v>2E-3</v>
      </c>
      <c r="AD63" s="168">
        <v>0</v>
      </c>
      <c r="AE63" s="176">
        <v>4</v>
      </c>
      <c r="AF63" s="176">
        <v>247</v>
      </c>
      <c r="AG63" s="167"/>
      <c r="AH63" s="180">
        <v>144.30000000000001</v>
      </c>
      <c r="AI63" s="166">
        <v>68.052637222837603</v>
      </c>
      <c r="AJ63" s="181" t="s">
        <v>53</v>
      </c>
      <c r="AK63" s="182">
        <v>1.08020059083869</v>
      </c>
      <c r="AL63" s="183">
        <v>-12.797488595376301</v>
      </c>
      <c r="AM63" s="168">
        <v>0.01</v>
      </c>
      <c r="AN63" s="168">
        <v>8.0000000000000002E-3</v>
      </c>
      <c r="AO63" s="176">
        <v>0</v>
      </c>
      <c r="AP63" s="176">
        <v>17</v>
      </c>
      <c r="AQ63" s="167"/>
      <c r="AR63" s="180">
        <v>12.8</v>
      </c>
      <c r="AS63" s="166">
        <v>6.0365471687617598</v>
      </c>
      <c r="AT63" s="181" t="s">
        <v>54</v>
      </c>
      <c r="AU63" s="173">
        <v>0.37728419804760999</v>
      </c>
      <c r="AV63" s="174">
        <v>-27.0977748813654</v>
      </c>
      <c r="AW63" s="168"/>
      <c r="AX63" s="168"/>
      <c r="AY63" s="176">
        <v>22</v>
      </c>
      <c r="AZ63" s="176">
        <v>28</v>
      </c>
      <c r="BA63" s="167"/>
      <c r="BB63" s="184">
        <v>90.8</v>
      </c>
      <c r="BC63" s="180">
        <v>42.821756478403699</v>
      </c>
      <c r="BD63" s="181" t="s">
        <v>55</v>
      </c>
      <c r="BE63" s="178">
        <v>1.33817988995012</v>
      </c>
      <c r="BF63" s="179">
        <v>11.0044502372692</v>
      </c>
      <c r="BG63" s="168">
        <v>0.02</v>
      </c>
      <c r="BH63" s="168">
        <v>0.02</v>
      </c>
      <c r="BI63" s="176">
        <v>0</v>
      </c>
      <c r="BJ63" s="176">
        <v>0</v>
      </c>
      <c r="BK63" s="169"/>
      <c r="BL63" s="185">
        <v>0.8</v>
      </c>
      <c r="BM63" s="188">
        <v>0.72</v>
      </c>
      <c r="BN63" s="186"/>
      <c r="BO63" s="187">
        <v>0.95</v>
      </c>
      <c r="BP63" s="173">
        <v>0.71</v>
      </c>
      <c r="BQ63" s="186"/>
    </row>
    <row r="64" spans="1:69" s="156" customFormat="1" ht="22.35" customHeight="1" x14ac:dyDescent="0.2">
      <c r="A64" s="165" t="s">
        <v>80</v>
      </c>
      <c r="B64" s="165" t="s">
        <v>100</v>
      </c>
      <c r="C64" s="165" t="s">
        <v>117</v>
      </c>
      <c r="D64" s="166">
        <v>2.5505437582222199</v>
      </c>
      <c r="E64" s="167"/>
      <c r="F64" s="168">
        <v>0.05</v>
      </c>
      <c r="G64" s="168">
        <v>0.05</v>
      </c>
      <c r="H64" s="169"/>
      <c r="I64" s="170">
        <v>4</v>
      </c>
      <c r="J64" s="170">
        <v>4</v>
      </c>
      <c r="K64" s="167"/>
      <c r="L64" s="171">
        <v>1615.69109</v>
      </c>
      <c r="M64" s="171">
        <v>2734.5505899999998</v>
      </c>
      <c r="N64" s="171">
        <v>4350.2416800000001</v>
      </c>
      <c r="O64" s="166">
        <v>1705.61342693144</v>
      </c>
      <c r="P64" s="172">
        <v>273.43799999999999</v>
      </c>
      <c r="Q64" s="178">
        <v>6.2376605553413897</v>
      </c>
      <c r="R64" s="179">
        <v>3530.0809530269398</v>
      </c>
      <c r="S64" s="168">
        <v>0.01</v>
      </c>
      <c r="T64" s="168">
        <v>0.01</v>
      </c>
      <c r="U64" s="175">
        <v>0</v>
      </c>
      <c r="V64" s="176">
        <v>0</v>
      </c>
      <c r="W64" s="167"/>
      <c r="X64" s="175">
        <v>1808.5676800000001</v>
      </c>
      <c r="Y64" s="166">
        <v>709.09102193196895</v>
      </c>
      <c r="Z64" s="177">
        <v>573</v>
      </c>
      <c r="AA64" s="178">
        <v>1.2375061464781301</v>
      </c>
      <c r="AB64" s="179">
        <v>89.888869609473701</v>
      </c>
      <c r="AC64" s="168">
        <v>0.02</v>
      </c>
      <c r="AD64" s="168">
        <v>0.02</v>
      </c>
      <c r="AE64" s="176">
        <v>0</v>
      </c>
      <c r="AF64" s="176">
        <v>0</v>
      </c>
      <c r="AG64" s="167"/>
      <c r="AH64" s="180">
        <v>127.45</v>
      </c>
      <c r="AI64" s="166">
        <v>49.969736684241397</v>
      </c>
      <c r="AJ64" s="181" t="s">
        <v>53</v>
      </c>
      <c r="AK64" s="188">
        <v>0.79317042355938805</v>
      </c>
      <c r="AL64" s="171">
        <v>-61.514685959167799</v>
      </c>
      <c r="AM64" s="168"/>
      <c r="AN64" s="168"/>
      <c r="AO64" s="176">
        <v>34</v>
      </c>
      <c r="AP64" s="176">
        <v>66</v>
      </c>
      <c r="AQ64" s="167"/>
      <c r="AR64" s="180">
        <v>10.6</v>
      </c>
      <c r="AS64" s="166">
        <v>4.1559765308196104</v>
      </c>
      <c r="AT64" s="181" t="s">
        <v>54</v>
      </c>
      <c r="AU64" s="173">
        <v>0.25974853317622598</v>
      </c>
      <c r="AV64" s="174">
        <v>-37.391031354709298</v>
      </c>
      <c r="AW64" s="168"/>
      <c r="AX64" s="168"/>
      <c r="AY64" s="176">
        <v>31</v>
      </c>
      <c r="AZ64" s="176">
        <v>39</v>
      </c>
      <c r="BA64" s="167"/>
      <c r="BB64" s="184">
        <v>103.8</v>
      </c>
      <c r="BC64" s="180">
        <v>40.697204141422198</v>
      </c>
      <c r="BD64" s="181" t="s">
        <v>55</v>
      </c>
      <c r="BE64" s="178">
        <v>1.2717876294194399</v>
      </c>
      <c r="BF64" s="179">
        <v>7.8179372905814297</v>
      </c>
      <c r="BG64" s="168">
        <v>0.02</v>
      </c>
      <c r="BH64" s="168">
        <v>0.02</v>
      </c>
      <c r="BI64" s="176">
        <v>0</v>
      </c>
      <c r="BJ64" s="176">
        <v>0</v>
      </c>
      <c r="BK64" s="169"/>
      <c r="BL64" s="185">
        <v>0.8</v>
      </c>
      <c r="BM64" s="173">
        <v>0.66</v>
      </c>
      <c r="BN64" s="186"/>
      <c r="BO64" s="187">
        <v>0.95</v>
      </c>
      <c r="BP64" s="178">
        <v>1</v>
      </c>
      <c r="BQ64" s="186">
        <v>2.5000000000000001E-3</v>
      </c>
    </row>
    <row r="65" spans="1:69" s="156" customFormat="1" ht="22.35" customHeight="1" x14ac:dyDescent="0.2">
      <c r="A65" s="165" t="s">
        <v>80</v>
      </c>
      <c r="B65" s="165" t="s">
        <v>118</v>
      </c>
      <c r="C65" s="165" t="s">
        <v>119</v>
      </c>
      <c r="D65" s="166">
        <v>2.7952903572222199</v>
      </c>
      <c r="E65" s="167"/>
      <c r="F65" s="168">
        <v>0.03</v>
      </c>
      <c r="G65" s="168">
        <v>0.03</v>
      </c>
      <c r="H65" s="169"/>
      <c r="I65" s="170">
        <v>2</v>
      </c>
      <c r="J65" s="170">
        <v>2</v>
      </c>
      <c r="K65" s="167"/>
      <c r="L65" s="171">
        <v>2852.4804199999999</v>
      </c>
      <c r="M65" s="171">
        <v>709.31844000000001</v>
      </c>
      <c r="N65" s="171">
        <v>3561.7988599999999</v>
      </c>
      <c r="O65" s="166">
        <v>1274.21426929669</v>
      </c>
      <c r="P65" s="172">
        <v>264.72899999999998</v>
      </c>
      <c r="Q65" s="178">
        <v>4.81327799106516</v>
      </c>
      <c r="R65" s="179">
        <v>2691.56542093095</v>
      </c>
      <c r="S65" s="168">
        <v>0.01</v>
      </c>
      <c r="T65" s="168">
        <v>0.01</v>
      </c>
      <c r="U65" s="175">
        <v>0</v>
      </c>
      <c r="V65" s="176">
        <v>0</v>
      </c>
      <c r="W65" s="167"/>
      <c r="X65" s="175">
        <v>1429.7104200000001</v>
      </c>
      <c r="Y65" s="166">
        <v>511.47116660208201</v>
      </c>
      <c r="Z65" s="177">
        <v>573</v>
      </c>
      <c r="AA65" s="188">
        <v>0.89261983700188796</v>
      </c>
      <c r="AB65" s="171">
        <v>-453.89039663347802</v>
      </c>
      <c r="AC65" s="168"/>
      <c r="AD65" s="168"/>
      <c r="AE65" s="176">
        <v>172</v>
      </c>
      <c r="AF65" s="176">
        <v>493</v>
      </c>
      <c r="AG65" s="167"/>
      <c r="AH65" s="180">
        <v>155.25</v>
      </c>
      <c r="AI65" s="166">
        <v>55.5398474433537</v>
      </c>
      <c r="AJ65" s="181" t="s">
        <v>53</v>
      </c>
      <c r="AK65" s="188">
        <v>0.88158488005323399</v>
      </c>
      <c r="AL65" s="171">
        <v>-51.8474719858798</v>
      </c>
      <c r="AM65" s="168"/>
      <c r="AN65" s="168"/>
      <c r="AO65" s="176">
        <v>21</v>
      </c>
      <c r="AP65" s="176">
        <v>57</v>
      </c>
      <c r="AQ65" s="167"/>
      <c r="AR65" s="180">
        <v>14</v>
      </c>
      <c r="AS65" s="166">
        <v>5.0084242460995299</v>
      </c>
      <c r="AT65" s="181" t="s">
        <v>54</v>
      </c>
      <c r="AU65" s="173">
        <v>0.313026515381221</v>
      </c>
      <c r="AV65" s="174">
        <v>-38.596183361493303</v>
      </c>
      <c r="AW65" s="168"/>
      <c r="AX65" s="168"/>
      <c r="AY65" s="176">
        <v>31</v>
      </c>
      <c r="AZ65" s="176">
        <v>40</v>
      </c>
      <c r="BA65" s="167"/>
      <c r="BB65" s="184">
        <v>126.2</v>
      </c>
      <c r="BC65" s="180">
        <v>45.147367132697198</v>
      </c>
      <c r="BD65" s="181" t="s">
        <v>55</v>
      </c>
      <c r="BE65" s="178">
        <v>1.4108552228967901</v>
      </c>
      <c r="BF65" s="179">
        <v>21.007633277013401</v>
      </c>
      <c r="BG65" s="168">
        <v>0.02</v>
      </c>
      <c r="BH65" s="168">
        <v>0.02</v>
      </c>
      <c r="BI65" s="176">
        <v>0</v>
      </c>
      <c r="BJ65" s="176">
        <v>0</v>
      </c>
      <c r="BK65" s="169"/>
      <c r="BL65" s="185">
        <v>0.8</v>
      </c>
      <c r="BM65" s="173">
        <v>0.68</v>
      </c>
      <c r="BN65" s="186"/>
      <c r="BO65" s="187">
        <v>0.95</v>
      </c>
      <c r="BP65" s="188">
        <v>0.9</v>
      </c>
      <c r="BQ65" s="186"/>
    </row>
    <row r="66" spans="1:69" s="156" customFormat="1" ht="22.35" customHeight="1" x14ac:dyDescent="0.2">
      <c r="A66" s="165" t="s">
        <v>80</v>
      </c>
      <c r="B66" s="165" t="s">
        <v>118</v>
      </c>
      <c r="C66" s="165" t="s">
        <v>120</v>
      </c>
      <c r="D66" s="166">
        <v>1.42108807377778</v>
      </c>
      <c r="E66" s="167"/>
      <c r="F66" s="168">
        <v>0.03</v>
      </c>
      <c r="G66" s="168">
        <v>0.03</v>
      </c>
      <c r="H66" s="169"/>
      <c r="I66" s="170">
        <v>3</v>
      </c>
      <c r="J66" s="170">
        <v>3</v>
      </c>
      <c r="K66" s="167"/>
      <c r="L66" s="171">
        <v>2197.92515</v>
      </c>
      <c r="M66" s="171">
        <v>1148.8130200000001</v>
      </c>
      <c r="N66" s="171">
        <v>3346.7381700000001</v>
      </c>
      <c r="O66" s="166">
        <v>2355.05330862649</v>
      </c>
      <c r="P66" s="172">
        <v>287.5</v>
      </c>
      <c r="Q66" s="178">
        <v>8.1914897691356199</v>
      </c>
      <c r="R66" s="179">
        <v>2866.2682922557301</v>
      </c>
      <c r="S66" s="168">
        <v>0.01</v>
      </c>
      <c r="T66" s="168">
        <v>0.01</v>
      </c>
      <c r="U66" s="175">
        <v>0</v>
      </c>
      <c r="V66" s="176">
        <v>0</v>
      </c>
      <c r="W66" s="167"/>
      <c r="X66" s="175">
        <v>983.43741</v>
      </c>
      <c r="Y66" s="166">
        <v>692.03128795927398</v>
      </c>
      <c r="Z66" s="177">
        <v>573</v>
      </c>
      <c r="AA66" s="178">
        <v>1.2077334868399201</v>
      </c>
      <c r="AB66" s="179">
        <v>25.840053660990701</v>
      </c>
      <c r="AC66" s="168">
        <v>0.02</v>
      </c>
      <c r="AD66" s="168">
        <v>0.02</v>
      </c>
      <c r="AE66" s="176">
        <v>0</v>
      </c>
      <c r="AF66" s="176">
        <v>0</v>
      </c>
      <c r="AG66" s="167"/>
      <c r="AH66" s="180">
        <v>65.2</v>
      </c>
      <c r="AI66" s="166">
        <v>45.880337188865603</v>
      </c>
      <c r="AJ66" s="181" t="s">
        <v>53</v>
      </c>
      <c r="AK66" s="173">
        <v>0.72825932045818498</v>
      </c>
      <c r="AL66" s="174">
        <v>-40.085573210048103</v>
      </c>
      <c r="AM66" s="168"/>
      <c r="AN66" s="168"/>
      <c r="AO66" s="176">
        <v>25</v>
      </c>
      <c r="AP66" s="176">
        <v>43</v>
      </c>
      <c r="AQ66" s="167"/>
      <c r="AR66" s="180">
        <v>11.6</v>
      </c>
      <c r="AS66" s="166">
        <v>8.1627593771601408</v>
      </c>
      <c r="AT66" s="181" t="s">
        <v>54</v>
      </c>
      <c r="AU66" s="173">
        <v>0.51017246107250902</v>
      </c>
      <c r="AV66" s="174">
        <v>-15.139193196202701</v>
      </c>
      <c r="AW66" s="168"/>
      <c r="AX66" s="168"/>
      <c r="AY66" s="176">
        <v>12</v>
      </c>
      <c r="AZ66" s="176">
        <v>16</v>
      </c>
      <c r="BA66" s="167"/>
      <c r="BB66" s="184">
        <v>43.6</v>
      </c>
      <c r="BC66" s="180">
        <v>30.6807162796709</v>
      </c>
      <c r="BD66" s="181" t="s">
        <v>55</v>
      </c>
      <c r="BE66" s="188">
        <v>0.95877238373971496</v>
      </c>
      <c r="BF66" s="171">
        <v>-9.8783863924053996</v>
      </c>
      <c r="BG66" s="168"/>
      <c r="BH66" s="168"/>
      <c r="BI66" s="176">
        <v>2</v>
      </c>
      <c r="BJ66" s="176">
        <v>11</v>
      </c>
      <c r="BK66" s="169"/>
      <c r="BL66" s="185">
        <v>0.8</v>
      </c>
      <c r="BM66" s="188">
        <v>0.75</v>
      </c>
      <c r="BN66" s="186"/>
      <c r="BO66" s="187">
        <v>0.95</v>
      </c>
      <c r="BP66" s="178">
        <v>1</v>
      </c>
      <c r="BQ66" s="186">
        <v>2.5000000000000001E-3</v>
      </c>
    </row>
    <row r="67" spans="1:69" s="156" customFormat="1" ht="22.35" customHeight="1" x14ac:dyDescent="0.2">
      <c r="A67" s="165" t="s">
        <v>80</v>
      </c>
      <c r="B67" s="165" t="s">
        <v>118</v>
      </c>
      <c r="C67" s="165" t="s">
        <v>121</v>
      </c>
      <c r="D67" s="166">
        <v>4.3565891625555597</v>
      </c>
      <c r="E67" s="167"/>
      <c r="F67" s="168">
        <v>0.03</v>
      </c>
      <c r="G67" s="168">
        <v>0.03</v>
      </c>
      <c r="H67" s="169"/>
      <c r="I67" s="170">
        <v>3</v>
      </c>
      <c r="J67" s="170">
        <v>3</v>
      </c>
      <c r="K67" s="167"/>
      <c r="L67" s="171">
        <v>3553.2466899999999</v>
      </c>
      <c r="M67" s="171">
        <v>1919.14185</v>
      </c>
      <c r="N67" s="171">
        <v>5472.3885399999999</v>
      </c>
      <c r="O67" s="166">
        <v>1256.11764979692</v>
      </c>
      <c r="P67" s="172">
        <v>287.5</v>
      </c>
      <c r="Q67" s="178">
        <v>4.3691048688588499</v>
      </c>
      <c r="R67" s="179">
        <v>3999.42574413996</v>
      </c>
      <c r="S67" s="168">
        <v>0.01</v>
      </c>
      <c r="T67" s="168">
        <v>0.01</v>
      </c>
      <c r="U67" s="175">
        <v>0</v>
      </c>
      <c r="V67" s="176">
        <v>0</v>
      </c>
      <c r="W67" s="167"/>
      <c r="X67" s="175">
        <v>2019.6243549999999</v>
      </c>
      <c r="Y67" s="166">
        <v>463.57925423826202</v>
      </c>
      <c r="Z67" s="177">
        <v>573</v>
      </c>
      <c r="AA67" s="188">
        <v>0.80903883811215005</v>
      </c>
      <c r="AB67" s="171">
        <v>-916.05453900973896</v>
      </c>
      <c r="AC67" s="168"/>
      <c r="AD67" s="168"/>
      <c r="AE67" s="176">
        <v>477</v>
      </c>
      <c r="AF67" s="176">
        <v>976</v>
      </c>
      <c r="AG67" s="167"/>
      <c r="AH67" s="180">
        <v>162.4</v>
      </c>
      <c r="AI67" s="166">
        <v>37.276868196756197</v>
      </c>
      <c r="AJ67" s="181" t="s">
        <v>53</v>
      </c>
      <c r="AK67" s="173">
        <v>0.59169632058343202</v>
      </c>
      <c r="AL67" s="174">
        <v>-160.370977875416</v>
      </c>
      <c r="AM67" s="168"/>
      <c r="AN67" s="168"/>
      <c r="AO67" s="176">
        <v>113</v>
      </c>
      <c r="AP67" s="176">
        <v>167</v>
      </c>
      <c r="AQ67" s="167"/>
      <c r="AR67" s="180">
        <v>51.4</v>
      </c>
      <c r="AS67" s="166">
        <v>11.798220599219601</v>
      </c>
      <c r="AT67" s="181" t="s">
        <v>54</v>
      </c>
      <c r="AU67" s="173">
        <v>0.73738878745122705</v>
      </c>
      <c r="AV67" s="174">
        <v>-30.573581682645401</v>
      </c>
      <c r="AW67" s="168"/>
      <c r="AX67" s="168"/>
      <c r="AY67" s="176">
        <v>19</v>
      </c>
      <c r="AZ67" s="176">
        <v>33</v>
      </c>
      <c r="BA67" s="167"/>
      <c r="BB67" s="184">
        <v>197.6</v>
      </c>
      <c r="BC67" s="180">
        <v>45.356583470929998</v>
      </c>
      <c r="BD67" s="181" t="s">
        <v>55</v>
      </c>
      <c r="BE67" s="178">
        <v>1.41739323346656</v>
      </c>
      <c r="BF67" s="179">
        <v>33.652836634709203</v>
      </c>
      <c r="BG67" s="168">
        <v>0.02</v>
      </c>
      <c r="BH67" s="168">
        <v>0.02</v>
      </c>
      <c r="BI67" s="176">
        <v>0</v>
      </c>
      <c r="BJ67" s="176">
        <v>0</v>
      </c>
      <c r="BK67" s="169"/>
      <c r="BL67" s="185">
        <v>0.8</v>
      </c>
      <c r="BM67" s="188">
        <v>0.75</v>
      </c>
      <c r="BN67" s="186"/>
      <c r="BO67" s="187">
        <v>0.95</v>
      </c>
      <c r="BP67" s="178">
        <v>1</v>
      </c>
      <c r="BQ67" s="186">
        <v>2.5000000000000001E-3</v>
      </c>
    </row>
    <row r="68" spans="1:69" s="156" customFormat="1" ht="22.35" customHeight="1" x14ac:dyDescent="0.2">
      <c r="A68" s="165" t="s">
        <v>80</v>
      </c>
      <c r="B68" s="165" t="s">
        <v>118</v>
      </c>
      <c r="C68" s="165" t="s">
        <v>122</v>
      </c>
      <c r="D68" s="166">
        <v>4.5469934366666704</v>
      </c>
      <c r="E68" s="167"/>
      <c r="F68" s="168">
        <v>4.7E-2</v>
      </c>
      <c r="G68" s="168">
        <v>4.2999999999999997E-2</v>
      </c>
      <c r="H68" s="169"/>
      <c r="I68" s="170">
        <v>5</v>
      </c>
      <c r="J68" s="170">
        <v>5</v>
      </c>
      <c r="K68" s="167"/>
      <c r="L68" s="171">
        <v>5184.4554099999996</v>
      </c>
      <c r="M68" s="171">
        <v>1850.15624</v>
      </c>
      <c r="N68" s="171">
        <v>7034.6116499999998</v>
      </c>
      <c r="O68" s="166">
        <v>1547.09078602871</v>
      </c>
      <c r="P68" s="172">
        <v>287.5</v>
      </c>
      <c r="Q68" s="178">
        <v>5.3811853427085596</v>
      </c>
      <c r="R68" s="179">
        <v>5497.2731690629998</v>
      </c>
      <c r="S68" s="168">
        <v>0.01</v>
      </c>
      <c r="T68" s="168">
        <v>0.01</v>
      </c>
      <c r="U68" s="175">
        <v>0</v>
      </c>
      <c r="V68" s="176">
        <v>0</v>
      </c>
      <c r="W68" s="167"/>
      <c r="X68" s="175">
        <v>2856.775885</v>
      </c>
      <c r="Y68" s="166">
        <v>628.277987375821</v>
      </c>
      <c r="Z68" s="177">
        <v>573</v>
      </c>
      <c r="AA68" s="182">
        <v>1.0964711821567501</v>
      </c>
      <c r="AB68" s="183">
        <v>-207.20654831096201</v>
      </c>
      <c r="AC68" s="168">
        <v>1.2E-2</v>
      </c>
      <c r="AD68" s="168">
        <v>0.01</v>
      </c>
      <c r="AE68" s="176">
        <v>0</v>
      </c>
      <c r="AF68" s="176">
        <v>270</v>
      </c>
      <c r="AG68" s="167"/>
      <c r="AH68" s="180">
        <v>296.05</v>
      </c>
      <c r="AI68" s="166">
        <v>65.108956967624295</v>
      </c>
      <c r="AJ68" s="181" t="s">
        <v>53</v>
      </c>
      <c r="AK68" s="182">
        <v>1.0334755074226101</v>
      </c>
      <c r="AL68" s="183">
        <v>-40.827649735760197</v>
      </c>
      <c r="AM68" s="168">
        <v>5.0000000000000001E-3</v>
      </c>
      <c r="AN68" s="168">
        <v>3.0000000000000001E-3</v>
      </c>
      <c r="AO68" s="176">
        <v>0</v>
      </c>
      <c r="AP68" s="176">
        <v>48</v>
      </c>
      <c r="AQ68" s="167"/>
      <c r="AR68" s="180">
        <v>46.2</v>
      </c>
      <c r="AS68" s="166">
        <v>10.160560080743901</v>
      </c>
      <c r="AT68" s="181" t="s">
        <v>54</v>
      </c>
      <c r="AU68" s="173">
        <v>0.63503500504649601</v>
      </c>
      <c r="AV68" s="174">
        <v>-39.356228504320001</v>
      </c>
      <c r="AW68" s="168"/>
      <c r="AX68" s="168"/>
      <c r="AY68" s="176">
        <v>27</v>
      </c>
      <c r="AZ68" s="176">
        <v>42</v>
      </c>
      <c r="BA68" s="167"/>
      <c r="BB68" s="184">
        <v>218.8</v>
      </c>
      <c r="BC68" s="180">
        <v>48.119708780666102</v>
      </c>
      <c r="BD68" s="181" t="s">
        <v>55</v>
      </c>
      <c r="BE68" s="178">
        <v>1.5037408993958099</v>
      </c>
      <c r="BF68" s="179">
        <v>47.687542991359898</v>
      </c>
      <c r="BG68" s="168">
        <v>0.02</v>
      </c>
      <c r="BH68" s="168">
        <v>0.02</v>
      </c>
      <c r="BI68" s="176">
        <v>0</v>
      </c>
      <c r="BJ68" s="176">
        <v>0</v>
      </c>
      <c r="BK68" s="169"/>
      <c r="BL68" s="185">
        <v>0.8</v>
      </c>
      <c r="BM68" s="188">
        <v>0.77</v>
      </c>
      <c r="BN68" s="186"/>
      <c r="BO68" s="187">
        <v>0.95</v>
      </c>
      <c r="BP68" s="178">
        <v>1</v>
      </c>
      <c r="BQ68" s="186">
        <v>2.5000000000000001E-3</v>
      </c>
    </row>
    <row r="69" spans="1:69" s="156" customFormat="1" ht="22.35" customHeight="1" x14ac:dyDescent="0.2">
      <c r="A69" s="165" t="s">
        <v>80</v>
      </c>
      <c r="B69" s="165" t="s">
        <v>118</v>
      </c>
      <c r="C69" s="165" t="s">
        <v>123</v>
      </c>
      <c r="D69" s="166">
        <v>1.5103209235555599</v>
      </c>
      <c r="E69" s="167"/>
      <c r="F69" s="168">
        <v>1.6500000000000001E-2</v>
      </c>
      <c r="G69" s="168">
        <v>1.2500000000000001E-2</v>
      </c>
      <c r="H69" s="169"/>
      <c r="I69" s="170">
        <v>3</v>
      </c>
      <c r="J69" s="170">
        <v>3</v>
      </c>
      <c r="K69" s="167"/>
      <c r="L69" s="171">
        <v>703.77817000000005</v>
      </c>
      <c r="M69" s="171">
        <v>-281.25837999999999</v>
      </c>
      <c r="N69" s="171">
        <v>422.51979</v>
      </c>
      <c r="O69" s="166">
        <v>279.75497353589998</v>
      </c>
      <c r="P69" s="172">
        <v>287.5</v>
      </c>
      <c r="Q69" s="188">
        <v>0.97306077751617304</v>
      </c>
      <c r="R69" s="171">
        <v>-88.119714254134806</v>
      </c>
      <c r="S69" s="168"/>
      <c r="T69" s="168"/>
      <c r="U69" s="175">
        <v>12</v>
      </c>
      <c r="V69" s="176">
        <v>99</v>
      </c>
      <c r="W69" s="167"/>
      <c r="X69" s="175">
        <v>653.07995500000004</v>
      </c>
      <c r="Y69" s="166">
        <v>432.411380134056</v>
      </c>
      <c r="Z69" s="177">
        <v>573</v>
      </c>
      <c r="AA69" s="173">
        <v>0.75464464246781204</v>
      </c>
      <c r="AB69" s="174">
        <v>-364.64677869606697</v>
      </c>
      <c r="AC69" s="168"/>
      <c r="AD69" s="168"/>
      <c r="AE69" s="176">
        <v>213</v>
      </c>
      <c r="AF69" s="176">
        <v>386</v>
      </c>
      <c r="AG69" s="167"/>
      <c r="AH69" s="180">
        <v>92.65</v>
      </c>
      <c r="AI69" s="166">
        <v>61.3445781985765</v>
      </c>
      <c r="AJ69" s="181" t="s">
        <v>53</v>
      </c>
      <c r="AK69" s="188">
        <v>0.97372346346946803</v>
      </c>
      <c r="AL69" s="171">
        <v>-19.246656584384301</v>
      </c>
      <c r="AM69" s="168"/>
      <c r="AN69" s="168"/>
      <c r="AO69" s="176">
        <v>3</v>
      </c>
      <c r="AP69" s="176">
        <v>22</v>
      </c>
      <c r="AQ69" s="167"/>
      <c r="AR69" s="180">
        <v>25.4</v>
      </c>
      <c r="AS69" s="166">
        <v>16.817617768417101</v>
      </c>
      <c r="AT69" s="181" t="s">
        <v>54</v>
      </c>
      <c r="AU69" s="182">
        <v>1.0511011105260699</v>
      </c>
      <c r="AV69" s="183">
        <v>-3.0181984976214098</v>
      </c>
      <c r="AW69" s="168">
        <v>3.5000000000000001E-3</v>
      </c>
      <c r="AX69" s="168">
        <v>2.5000000000000001E-3</v>
      </c>
      <c r="AY69" s="176">
        <v>0</v>
      </c>
      <c r="AZ69" s="176">
        <v>4</v>
      </c>
      <c r="BA69" s="167"/>
      <c r="BB69" s="184">
        <v>53.4</v>
      </c>
      <c r="BC69" s="180">
        <v>35.356723969821701</v>
      </c>
      <c r="BD69" s="181" t="s">
        <v>55</v>
      </c>
      <c r="BE69" s="182">
        <v>1.1048976240569299</v>
      </c>
      <c r="BF69" s="183">
        <v>-3.4363969952428302</v>
      </c>
      <c r="BG69" s="168">
        <v>1.2999999999999999E-2</v>
      </c>
      <c r="BH69" s="168">
        <v>0.01</v>
      </c>
      <c r="BI69" s="176">
        <v>0</v>
      </c>
      <c r="BJ69" s="176">
        <v>5</v>
      </c>
      <c r="BK69" s="169"/>
      <c r="BL69" s="185">
        <v>0.8</v>
      </c>
      <c r="BM69" s="173">
        <v>0.64</v>
      </c>
      <c r="BN69" s="186"/>
      <c r="BO69" s="187">
        <v>0.95</v>
      </c>
      <c r="BP69" s="178">
        <v>1</v>
      </c>
      <c r="BQ69" s="186">
        <v>2.5000000000000001E-3</v>
      </c>
    </row>
    <row r="70" spans="1:69" s="156" customFormat="1" ht="22.35" customHeight="1" x14ac:dyDescent="0.2">
      <c r="A70" s="165" t="s">
        <v>80</v>
      </c>
      <c r="B70" s="165" t="s">
        <v>118</v>
      </c>
      <c r="C70" s="165" t="s">
        <v>124</v>
      </c>
      <c r="D70" s="166">
        <v>3.0536943671111101</v>
      </c>
      <c r="E70" s="167"/>
      <c r="F70" s="168">
        <v>3.3000000000000002E-2</v>
      </c>
      <c r="G70" s="168">
        <v>3.2000000000000001E-2</v>
      </c>
      <c r="H70" s="169"/>
      <c r="I70" s="170">
        <v>4</v>
      </c>
      <c r="J70" s="170">
        <v>4</v>
      </c>
      <c r="K70" s="167"/>
      <c r="L70" s="171">
        <v>2963.7654200000002</v>
      </c>
      <c r="M70" s="171">
        <v>768.79039</v>
      </c>
      <c r="N70" s="171">
        <v>3732.5558099999998</v>
      </c>
      <c r="O70" s="166">
        <v>1222.3082474134801</v>
      </c>
      <c r="P70" s="172">
        <v>253.321</v>
      </c>
      <c r="Q70" s="178">
        <v>4.8251358845633803</v>
      </c>
      <c r="R70" s="179">
        <v>2822.8434749333601</v>
      </c>
      <c r="S70" s="168">
        <v>0.01</v>
      </c>
      <c r="T70" s="168">
        <v>0.01</v>
      </c>
      <c r="U70" s="175">
        <v>0</v>
      </c>
      <c r="V70" s="176">
        <v>0</v>
      </c>
      <c r="W70" s="167"/>
      <c r="X70" s="175">
        <v>1503.70715</v>
      </c>
      <c r="Y70" s="166">
        <v>492.42228239840301</v>
      </c>
      <c r="Z70" s="177">
        <v>573</v>
      </c>
      <c r="AA70" s="188">
        <v>0.85937571099197696</v>
      </c>
      <c r="AB70" s="171">
        <v>-554.01869188908699</v>
      </c>
      <c r="AC70" s="168"/>
      <c r="AD70" s="168"/>
      <c r="AE70" s="176">
        <v>247</v>
      </c>
      <c r="AF70" s="176">
        <v>597</v>
      </c>
      <c r="AG70" s="167"/>
      <c r="AH70" s="180">
        <v>120.3</v>
      </c>
      <c r="AI70" s="166">
        <v>39.394905166559802</v>
      </c>
      <c r="AJ70" s="181" t="s">
        <v>53</v>
      </c>
      <c r="AK70" s="173">
        <v>0.62531595502475801</v>
      </c>
      <c r="AL70" s="174">
        <v>-105.942108270528</v>
      </c>
      <c r="AM70" s="168"/>
      <c r="AN70" s="168"/>
      <c r="AO70" s="176">
        <v>73</v>
      </c>
      <c r="AP70" s="176">
        <v>111</v>
      </c>
      <c r="AQ70" s="167"/>
      <c r="AR70" s="180">
        <v>50.6</v>
      </c>
      <c r="AS70" s="166">
        <v>16.570093112451602</v>
      </c>
      <c r="AT70" s="181" t="s">
        <v>54</v>
      </c>
      <c r="AU70" s="182">
        <v>1.03563081952822</v>
      </c>
      <c r="AV70" s="183">
        <v>-6.8583132115626304</v>
      </c>
      <c r="AW70" s="168">
        <v>3.0000000000000001E-3</v>
      </c>
      <c r="AX70" s="168">
        <v>2E-3</v>
      </c>
      <c r="AY70" s="176">
        <v>0</v>
      </c>
      <c r="AZ70" s="176">
        <v>9</v>
      </c>
      <c r="BA70" s="167"/>
      <c r="BB70" s="184">
        <v>166</v>
      </c>
      <c r="BC70" s="180">
        <v>54.3603845191099</v>
      </c>
      <c r="BD70" s="181" t="s">
        <v>55</v>
      </c>
      <c r="BE70" s="178">
        <v>1.6987620162221799</v>
      </c>
      <c r="BF70" s="179">
        <v>51.083373576874699</v>
      </c>
      <c r="BG70" s="168">
        <v>0.02</v>
      </c>
      <c r="BH70" s="168">
        <v>0.02</v>
      </c>
      <c r="BI70" s="176">
        <v>0</v>
      </c>
      <c r="BJ70" s="176">
        <v>0</v>
      </c>
      <c r="BK70" s="169"/>
      <c r="BL70" s="185">
        <v>0.8</v>
      </c>
      <c r="BM70" s="173">
        <v>0.62</v>
      </c>
      <c r="BN70" s="186"/>
      <c r="BO70" s="187">
        <v>0.95</v>
      </c>
      <c r="BP70" s="178">
        <v>1</v>
      </c>
      <c r="BQ70" s="186">
        <v>2.5000000000000001E-3</v>
      </c>
    </row>
    <row r="71" spans="1:69" s="156" customFormat="1" ht="22.35" customHeight="1" x14ac:dyDescent="0.2">
      <c r="A71" s="165" t="s">
        <v>80</v>
      </c>
      <c r="B71" s="165" t="s">
        <v>118</v>
      </c>
      <c r="C71" s="165" t="s">
        <v>125</v>
      </c>
      <c r="D71" s="166">
        <v>2.1938047859999998</v>
      </c>
      <c r="E71" s="167"/>
      <c r="F71" s="168">
        <v>3.9E-2</v>
      </c>
      <c r="G71" s="168">
        <v>3.5999999999999997E-2</v>
      </c>
      <c r="H71" s="169"/>
      <c r="I71" s="170">
        <v>4</v>
      </c>
      <c r="J71" s="170">
        <v>4</v>
      </c>
      <c r="K71" s="167"/>
      <c r="L71" s="171">
        <v>1936.8040100000001</v>
      </c>
      <c r="M71" s="171">
        <v>175.03827999999999</v>
      </c>
      <c r="N71" s="171">
        <v>2111.84229</v>
      </c>
      <c r="O71" s="166">
        <v>962.63911150023296</v>
      </c>
      <c r="P71" s="172">
        <v>252.24799999999999</v>
      </c>
      <c r="Q71" s="178">
        <v>3.8162408086495598</v>
      </c>
      <c r="R71" s="179">
        <v>1461.0640352810999</v>
      </c>
      <c r="S71" s="168">
        <v>0.01</v>
      </c>
      <c r="T71" s="168">
        <v>0.01</v>
      </c>
      <c r="U71" s="175">
        <v>0</v>
      </c>
      <c r="V71" s="176">
        <v>0</v>
      </c>
      <c r="W71" s="167"/>
      <c r="X71" s="175">
        <v>1338.7217949999999</v>
      </c>
      <c r="Y71" s="166">
        <v>610.22831363264299</v>
      </c>
      <c r="Z71" s="177">
        <v>573</v>
      </c>
      <c r="AA71" s="182">
        <v>1.0649708789400401</v>
      </c>
      <c r="AB71" s="183">
        <v>-139.56917243652799</v>
      </c>
      <c r="AC71" s="168">
        <v>8.9999999999999993E-3</v>
      </c>
      <c r="AD71" s="168">
        <v>6.0000000000000001E-3</v>
      </c>
      <c r="AE71" s="176">
        <v>0</v>
      </c>
      <c r="AF71" s="176">
        <v>170</v>
      </c>
      <c r="AG71" s="167"/>
      <c r="AH71" s="180">
        <v>120.9</v>
      </c>
      <c r="AI71" s="166">
        <v>55.109734818492598</v>
      </c>
      <c r="AJ71" s="181" t="s">
        <v>53</v>
      </c>
      <c r="AK71" s="188">
        <v>0.87475769553162896</v>
      </c>
      <c r="AL71" s="171">
        <v>-41.634608985168001</v>
      </c>
      <c r="AM71" s="168"/>
      <c r="AN71" s="168"/>
      <c r="AO71" s="176">
        <v>18</v>
      </c>
      <c r="AP71" s="176">
        <v>45</v>
      </c>
      <c r="AQ71" s="167"/>
      <c r="AR71" s="180">
        <v>24.8</v>
      </c>
      <c r="AS71" s="166">
        <v>11.304560988408699</v>
      </c>
      <c r="AT71" s="181" t="s">
        <v>54</v>
      </c>
      <c r="AU71" s="173">
        <v>0.70653506177554604</v>
      </c>
      <c r="AV71" s="174">
        <v>-16.478630853376</v>
      </c>
      <c r="AW71" s="168"/>
      <c r="AX71" s="168"/>
      <c r="AY71" s="176">
        <v>11</v>
      </c>
      <c r="AZ71" s="176">
        <v>18</v>
      </c>
      <c r="BA71" s="167"/>
      <c r="BB71" s="184">
        <v>91.4</v>
      </c>
      <c r="BC71" s="180">
        <v>41.662777191151598</v>
      </c>
      <c r="BD71" s="181" t="s">
        <v>55</v>
      </c>
      <c r="BE71" s="178">
        <v>1.3019617872234901</v>
      </c>
      <c r="BF71" s="179">
        <v>8.8427382932480203</v>
      </c>
      <c r="BG71" s="168">
        <v>0.02</v>
      </c>
      <c r="BH71" s="168">
        <v>0.02</v>
      </c>
      <c r="BI71" s="176">
        <v>0</v>
      </c>
      <c r="BJ71" s="176">
        <v>0</v>
      </c>
      <c r="BK71" s="169"/>
      <c r="BL71" s="185">
        <v>0.8</v>
      </c>
      <c r="BM71" s="188">
        <v>0.74</v>
      </c>
      <c r="BN71" s="186"/>
      <c r="BO71" s="187">
        <v>0.95</v>
      </c>
      <c r="BP71" s="178">
        <v>1</v>
      </c>
      <c r="BQ71" s="186">
        <v>2.5000000000000001E-3</v>
      </c>
    </row>
    <row r="72" spans="1:69" s="156" customFormat="1" ht="22.35" customHeight="1" x14ac:dyDescent="0.2">
      <c r="A72" s="165" t="s">
        <v>80</v>
      </c>
      <c r="B72" s="165" t="s">
        <v>118</v>
      </c>
      <c r="C72" s="165" t="s">
        <v>126</v>
      </c>
      <c r="D72" s="166">
        <v>4.5919046557777801</v>
      </c>
      <c r="E72" s="167"/>
      <c r="F72" s="168">
        <v>7.6999999999999999E-2</v>
      </c>
      <c r="G72" s="168">
        <v>7.3999999999999996E-2</v>
      </c>
      <c r="H72" s="169"/>
      <c r="I72" s="170">
        <v>6</v>
      </c>
      <c r="J72" s="170">
        <v>6</v>
      </c>
      <c r="K72" s="167"/>
      <c r="L72" s="171">
        <v>2385.5431899999999</v>
      </c>
      <c r="M72" s="171">
        <v>1551.68768</v>
      </c>
      <c r="N72" s="171">
        <v>3937.2308699999999</v>
      </c>
      <c r="O72" s="166">
        <v>857.42870663613803</v>
      </c>
      <c r="P72" s="172">
        <v>287.5</v>
      </c>
      <c r="Q72" s="178">
        <v>2.9823607187343901</v>
      </c>
      <c r="R72" s="179">
        <v>2384.7079058815302</v>
      </c>
      <c r="S72" s="168">
        <v>0.01</v>
      </c>
      <c r="T72" s="168">
        <v>0.01</v>
      </c>
      <c r="U72" s="175">
        <v>0</v>
      </c>
      <c r="V72" s="176">
        <v>0</v>
      </c>
      <c r="W72" s="167"/>
      <c r="X72" s="175">
        <v>3011.7508349999998</v>
      </c>
      <c r="Y72" s="166">
        <v>655.88270244471505</v>
      </c>
      <c r="Z72" s="177">
        <v>573</v>
      </c>
      <c r="AA72" s="182">
        <v>1.1446469501653</v>
      </c>
      <c r="AB72" s="183">
        <v>-82.494933486544994</v>
      </c>
      <c r="AC72" s="168">
        <v>1.7000000000000001E-2</v>
      </c>
      <c r="AD72" s="168">
        <v>1.4E-2</v>
      </c>
      <c r="AE72" s="176">
        <v>0</v>
      </c>
      <c r="AF72" s="176">
        <v>146</v>
      </c>
      <c r="AG72" s="167"/>
      <c r="AH72" s="180">
        <v>376.85</v>
      </c>
      <c r="AI72" s="166">
        <v>82.0683416250438</v>
      </c>
      <c r="AJ72" s="181" t="s">
        <v>53</v>
      </c>
      <c r="AK72" s="178">
        <v>1.3026720892864101</v>
      </c>
      <c r="AL72" s="179">
        <v>36.644967862735903</v>
      </c>
      <c r="AM72" s="168">
        <v>0.02</v>
      </c>
      <c r="AN72" s="168">
        <v>0.02</v>
      </c>
      <c r="AO72" s="176">
        <v>0</v>
      </c>
      <c r="AP72" s="176">
        <v>0</v>
      </c>
      <c r="AQ72" s="167"/>
      <c r="AR72" s="180">
        <v>90</v>
      </c>
      <c r="AS72" s="166">
        <v>19.599710086915099</v>
      </c>
      <c r="AT72" s="181" t="s">
        <v>54</v>
      </c>
      <c r="AU72" s="178">
        <v>1.2249818804321899</v>
      </c>
      <c r="AV72" s="179">
        <v>3.5987219968853199</v>
      </c>
      <c r="AW72" s="168">
        <v>0.01</v>
      </c>
      <c r="AX72" s="168">
        <v>0.01</v>
      </c>
      <c r="AY72" s="176">
        <v>0</v>
      </c>
      <c r="AZ72" s="176">
        <v>0</v>
      </c>
      <c r="BA72" s="167"/>
      <c r="BB72" s="184">
        <v>248.8</v>
      </c>
      <c r="BC72" s="180">
        <v>54.182309662494099</v>
      </c>
      <c r="BD72" s="181" t="s">
        <v>55</v>
      </c>
      <c r="BE72" s="178">
        <v>1.6931971769529399</v>
      </c>
      <c r="BF72" s="179">
        <v>75.997443993770602</v>
      </c>
      <c r="BG72" s="168">
        <v>0.02</v>
      </c>
      <c r="BH72" s="168">
        <v>0.02</v>
      </c>
      <c r="BI72" s="176">
        <v>0</v>
      </c>
      <c r="BJ72" s="176">
        <v>0</v>
      </c>
      <c r="BK72" s="169"/>
      <c r="BL72" s="185">
        <v>0.8</v>
      </c>
      <c r="BM72" s="173">
        <v>0.62</v>
      </c>
      <c r="BN72" s="186"/>
      <c r="BO72" s="187">
        <v>0.95</v>
      </c>
      <c r="BP72" s="182">
        <v>0.96</v>
      </c>
      <c r="BQ72" s="186">
        <v>5.0000000000000001E-4</v>
      </c>
    </row>
    <row r="73" spans="1:69" s="156" customFormat="1" ht="22.35" customHeight="1" x14ac:dyDescent="0.2">
      <c r="A73" s="165" t="s">
        <v>80</v>
      </c>
      <c r="B73" s="165" t="s">
        <v>118</v>
      </c>
      <c r="C73" s="165" t="s">
        <v>127</v>
      </c>
      <c r="D73" s="166">
        <v>2.7606706158888898</v>
      </c>
      <c r="E73" s="167"/>
      <c r="F73" s="168">
        <v>4.7E-2</v>
      </c>
      <c r="G73" s="168">
        <v>4.3999999999999997E-2</v>
      </c>
      <c r="H73" s="169"/>
      <c r="I73" s="170">
        <v>4</v>
      </c>
      <c r="J73" s="170">
        <v>4</v>
      </c>
      <c r="K73" s="167"/>
      <c r="L73" s="171">
        <v>2143.2936599999998</v>
      </c>
      <c r="M73" s="171">
        <v>844.91663000000005</v>
      </c>
      <c r="N73" s="171">
        <v>2988.21029</v>
      </c>
      <c r="O73" s="166">
        <v>1082.42188430649</v>
      </c>
      <c r="P73" s="172">
        <v>276.39800000000002</v>
      </c>
      <c r="Q73" s="178">
        <v>3.91617118903353</v>
      </c>
      <c r="R73" s="179">
        <v>2090.8707378168201</v>
      </c>
      <c r="S73" s="168">
        <v>0.01</v>
      </c>
      <c r="T73" s="168">
        <v>0.01</v>
      </c>
      <c r="U73" s="175">
        <v>0</v>
      </c>
      <c r="V73" s="176">
        <v>0</v>
      </c>
      <c r="W73" s="167"/>
      <c r="X73" s="175">
        <v>1807.8513849999999</v>
      </c>
      <c r="Y73" s="166">
        <v>654.85950210612202</v>
      </c>
      <c r="Z73" s="177">
        <v>573</v>
      </c>
      <c r="AA73" s="182">
        <v>1.14286126022011</v>
      </c>
      <c r="AB73" s="183">
        <v>-52.420988175496603</v>
      </c>
      <c r="AC73" s="168">
        <v>1.7000000000000001E-2</v>
      </c>
      <c r="AD73" s="168">
        <v>1.4E-2</v>
      </c>
      <c r="AE73" s="176">
        <v>0</v>
      </c>
      <c r="AF73" s="176">
        <v>91</v>
      </c>
      <c r="AG73" s="167"/>
      <c r="AH73" s="180">
        <v>166.9</v>
      </c>
      <c r="AI73" s="166">
        <v>60.456325010095803</v>
      </c>
      <c r="AJ73" s="181" t="s">
        <v>53</v>
      </c>
      <c r="AK73" s="188">
        <v>0.95962420650945701</v>
      </c>
      <c r="AL73" s="171">
        <v>-37.632564589976099</v>
      </c>
      <c r="AM73" s="168"/>
      <c r="AN73" s="168"/>
      <c r="AO73" s="176">
        <v>8</v>
      </c>
      <c r="AP73" s="176">
        <v>42</v>
      </c>
      <c r="AQ73" s="167"/>
      <c r="AR73" s="180">
        <v>31.8</v>
      </c>
      <c r="AS73" s="166">
        <v>11.5189402955126</v>
      </c>
      <c r="AT73" s="181" t="s">
        <v>54</v>
      </c>
      <c r="AU73" s="173">
        <v>0.71993376846953505</v>
      </c>
      <c r="AV73" s="174">
        <v>-20.1447783085653</v>
      </c>
      <c r="AW73" s="168"/>
      <c r="AX73" s="168"/>
      <c r="AY73" s="176">
        <v>13</v>
      </c>
      <c r="AZ73" s="176">
        <v>22</v>
      </c>
      <c r="BA73" s="167"/>
      <c r="BB73" s="184">
        <v>110</v>
      </c>
      <c r="BC73" s="180">
        <v>39.845390959320198</v>
      </c>
      <c r="BD73" s="181" t="s">
        <v>55</v>
      </c>
      <c r="BE73" s="178">
        <v>1.24516846747876</v>
      </c>
      <c r="BF73" s="179">
        <v>6.1104433828693097</v>
      </c>
      <c r="BG73" s="168">
        <v>0.02</v>
      </c>
      <c r="BH73" s="168">
        <v>0.02</v>
      </c>
      <c r="BI73" s="176">
        <v>0</v>
      </c>
      <c r="BJ73" s="176">
        <v>0</v>
      </c>
      <c r="BK73" s="169"/>
      <c r="BL73" s="185">
        <v>0.8</v>
      </c>
      <c r="BM73" s="188">
        <v>0.73</v>
      </c>
      <c r="BN73" s="186"/>
      <c r="BO73" s="187">
        <v>0.95</v>
      </c>
      <c r="BP73" s="178">
        <v>1</v>
      </c>
      <c r="BQ73" s="186">
        <v>2.5000000000000001E-3</v>
      </c>
    </row>
    <row r="74" spans="1:69" s="156" customFormat="1" ht="22.35" customHeight="1" x14ac:dyDescent="0.2">
      <c r="A74" s="165" t="s">
        <v>80</v>
      </c>
      <c r="B74" s="165" t="s">
        <v>118</v>
      </c>
      <c r="C74" s="165" t="s">
        <v>128</v>
      </c>
      <c r="D74" s="166">
        <v>5.5965996495555599</v>
      </c>
      <c r="E74" s="167"/>
      <c r="F74" s="168">
        <v>3.85E-2</v>
      </c>
      <c r="G74" s="168">
        <v>3.6999999999999998E-2</v>
      </c>
      <c r="H74" s="169"/>
      <c r="I74" s="170">
        <v>4</v>
      </c>
      <c r="J74" s="170">
        <v>4</v>
      </c>
      <c r="K74" s="167"/>
      <c r="L74" s="171">
        <v>2681.7170299999998</v>
      </c>
      <c r="M74" s="171">
        <v>1278.2139400000001</v>
      </c>
      <c r="N74" s="171">
        <v>3959.9309699999999</v>
      </c>
      <c r="O74" s="166">
        <v>707.56016473582702</v>
      </c>
      <c r="P74" s="172">
        <v>242.33799999999999</v>
      </c>
      <c r="Q74" s="178">
        <v>2.9197243714804402</v>
      </c>
      <c r="R74" s="179">
        <v>2364.9589013321802</v>
      </c>
      <c r="S74" s="168">
        <v>0.01</v>
      </c>
      <c r="T74" s="168">
        <v>0.01</v>
      </c>
      <c r="U74" s="175">
        <v>0</v>
      </c>
      <c r="V74" s="176">
        <v>0</v>
      </c>
      <c r="W74" s="167"/>
      <c r="X74" s="175">
        <v>2406.3740400000002</v>
      </c>
      <c r="Y74" s="166">
        <v>429.97073056513801</v>
      </c>
      <c r="Z74" s="177">
        <v>573</v>
      </c>
      <c r="AA74" s="173">
        <v>0.75038521913636702</v>
      </c>
      <c r="AB74" s="174">
        <v>-1364.8834406537101</v>
      </c>
      <c r="AC74" s="168"/>
      <c r="AD74" s="168"/>
      <c r="AE74" s="176">
        <v>801</v>
      </c>
      <c r="AF74" s="176">
        <v>1442</v>
      </c>
      <c r="AG74" s="167"/>
      <c r="AH74" s="180">
        <v>277.2</v>
      </c>
      <c r="AI74" s="166">
        <v>49.530074930768599</v>
      </c>
      <c r="AJ74" s="181" t="s">
        <v>53</v>
      </c>
      <c r="AK74" s="188">
        <v>0.78619166556775599</v>
      </c>
      <c r="AL74" s="171">
        <v>-137.440874836272</v>
      </c>
      <c r="AM74" s="168"/>
      <c r="AN74" s="168"/>
      <c r="AO74" s="176">
        <v>76</v>
      </c>
      <c r="AP74" s="176">
        <v>146</v>
      </c>
      <c r="AQ74" s="167"/>
      <c r="AR74" s="180">
        <v>102.5</v>
      </c>
      <c r="AS74" s="166">
        <v>18.3146922092489</v>
      </c>
      <c r="AT74" s="181" t="s">
        <v>54</v>
      </c>
      <c r="AU74" s="182">
        <v>1.14466826307805</v>
      </c>
      <c r="AV74" s="183">
        <v>-2.8056190060373898</v>
      </c>
      <c r="AW74" s="168">
        <v>8.5000000000000006E-3</v>
      </c>
      <c r="AX74" s="168">
        <v>7.0000000000000001E-3</v>
      </c>
      <c r="AY74" s="176">
        <v>0</v>
      </c>
      <c r="AZ74" s="176">
        <v>5</v>
      </c>
      <c r="BA74" s="167"/>
      <c r="BB74" s="184">
        <v>265.60000000000002</v>
      </c>
      <c r="BC74" s="180">
        <v>47.457387812453597</v>
      </c>
      <c r="BD74" s="181" t="s">
        <v>55</v>
      </c>
      <c r="BE74" s="178">
        <v>1.48304336913918</v>
      </c>
      <c r="BF74" s="179">
        <v>54.988761987925201</v>
      </c>
      <c r="BG74" s="168">
        <v>0.02</v>
      </c>
      <c r="BH74" s="168">
        <v>0.02</v>
      </c>
      <c r="BI74" s="176">
        <v>0</v>
      </c>
      <c r="BJ74" s="176">
        <v>0</v>
      </c>
      <c r="BK74" s="169"/>
      <c r="BL74" s="185">
        <v>0.8</v>
      </c>
      <c r="BM74" s="188">
        <v>0.7</v>
      </c>
      <c r="BN74" s="186"/>
      <c r="BO74" s="187">
        <v>0.95</v>
      </c>
      <c r="BP74" s="178">
        <v>1</v>
      </c>
      <c r="BQ74" s="186">
        <v>2.5000000000000001E-3</v>
      </c>
    </row>
    <row r="75" spans="1:69" s="156" customFormat="1" ht="22.35" customHeight="1" x14ac:dyDescent="0.2">
      <c r="A75" s="165" t="s">
        <v>80</v>
      </c>
      <c r="B75" s="165" t="s">
        <v>118</v>
      </c>
      <c r="C75" s="165" t="s">
        <v>129</v>
      </c>
      <c r="D75" s="166">
        <v>4.2868855297777797</v>
      </c>
      <c r="E75" s="167"/>
      <c r="F75" s="168">
        <v>3.0000000000000001E-3</v>
      </c>
      <c r="G75" s="168">
        <v>1E-3</v>
      </c>
      <c r="H75" s="169"/>
      <c r="I75" s="170">
        <v>1</v>
      </c>
      <c r="J75" s="170">
        <v>1</v>
      </c>
      <c r="K75" s="167"/>
      <c r="L75" s="171">
        <v>2236.3490299999999</v>
      </c>
      <c r="M75" s="171">
        <v>-1671.7484400000001</v>
      </c>
      <c r="N75" s="171">
        <v>564.60059000000001</v>
      </c>
      <c r="O75" s="166">
        <v>131.704144204025</v>
      </c>
      <c r="P75" s="172">
        <v>275.59500000000003</v>
      </c>
      <c r="Q75" s="173">
        <v>0.47789018017026702</v>
      </c>
      <c r="R75" s="174">
        <v>-824.77780987303004</v>
      </c>
      <c r="S75" s="168"/>
      <c r="T75" s="168"/>
      <c r="U75" s="175">
        <v>617</v>
      </c>
      <c r="V75" s="176">
        <v>854</v>
      </c>
      <c r="W75" s="167"/>
      <c r="X75" s="175">
        <v>2473.3466800000001</v>
      </c>
      <c r="Y75" s="166">
        <v>576.95654871573197</v>
      </c>
      <c r="Z75" s="177">
        <v>573</v>
      </c>
      <c r="AA75" s="182">
        <v>1.0069049715806799</v>
      </c>
      <c r="AB75" s="183">
        <v>-415.36256046969697</v>
      </c>
      <c r="AC75" s="168">
        <v>3.0000000000000001E-3</v>
      </c>
      <c r="AD75" s="168">
        <v>1E-3</v>
      </c>
      <c r="AE75" s="176">
        <v>0</v>
      </c>
      <c r="AF75" s="176">
        <v>475</v>
      </c>
      <c r="AG75" s="167"/>
      <c r="AH75" s="180">
        <v>172.4</v>
      </c>
      <c r="AI75" s="166">
        <v>40.215676113221697</v>
      </c>
      <c r="AJ75" s="181" t="s">
        <v>53</v>
      </c>
      <c r="AK75" s="173">
        <v>0.63834406528923304</v>
      </c>
      <c r="AL75" s="174">
        <v>-145.206775130176</v>
      </c>
      <c r="AM75" s="168"/>
      <c r="AN75" s="168"/>
      <c r="AO75" s="176">
        <v>98</v>
      </c>
      <c r="AP75" s="176">
        <v>152</v>
      </c>
      <c r="AQ75" s="167"/>
      <c r="AR75" s="180">
        <v>10</v>
      </c>
      <c r="AS75" s="166">
        <v>2.3326958302332801</v>
      </c>
      <c r="AT75" s="181" t="s">
        <v>54</v>
      </c>
      <c r="AU75" s="173">
        <v>0.14579348938958001</v>
      </c>
      <c r="AV75" s="174">
        <v>-70.662038128298704</v>
      </c>
      <c r="AW75" s="168"/>
      <c r="AX75" s="168"/>
      <c r="AY75" s="176">
        <v>59</v>
      </c>
      <c r="AZ75" s="176">
        <v>73</v>
      </c>
      <c r="BA75" s="167"/>
      <c r="BB75" s="184">
        <v>133.4</v>
      </c>
      <c r="BC75" s="180">
        <v>31.118162375311901</v>
      </c>
      <c r="BD75" s="181" t="s">
        <v>55</v>
      </c>
      <c r="BE75" s="188">
        <v>0.972442574228498</v>
      </c>
      <c r="BF75" s="171">
        <v>-27.924076256597399</v>
      </c>
      <c r="BG75" s="168"/>
      <c r="BH75" s="168"/>
      <c r="BI75" s="176">
        <v>4</v>
      </c>
      <c r="BJ75" s="176">
        <v>32</v>
      </c>
      <c r="BK75" s="169"/>
      <c r="BL75" s="185">
        <v>0.8</v>
      </c>
      <c r="BM75" s="188">
        <v>0.72</v>
      </c>
      <c r="BN75" s="186"/>
      <c r="BO75" s="187">
        <v>0.95</v>
      </c>
      <c r="BP75" s="188">
        <v>0.9</v>
      </c>
      <c r="BQ75" s="186"/>
    </row>
    <row r="76" spans="1:69" s="156" customFormat="1" ht="22.35" customHeight="1" x14ac:dyDescent="0.2">
      <c r="A76" s="165" t="s">
        <v>80</v>
      </c>
      <c r="B76" s="165" t="s">
        <v>118</v>
      </c>
      <c r="C76" s="165" t="s">
        <v>130</v>
      </c>
      <c r="D76" s="166">
        <v>5.9599043151111104</v>
      </c>
      <c r="E76" s="167"/>
      <c r="F76" s="168">
        <v>2.9000000000000001E-2</v>
      </c>
      <c r="G76" s="168">
        <v>2.4E-2</v>
      </c>
      <c r="H76" s="169"/>
      <c r="I76" s="170">
        <v>4</v>
      </c>
      <c r="J76" s="170">
        <v>4</v>
      </c>
      <c r="K76" s="167"/>
      <c r="L76" s="171">
        <v>5595.1314499999999</v>
      </c>
      <c r="M76" s="171">
        <v>5913.8725199999999</v>
      </c>
      <c r="N76" s="171">
        <v>11509.00397</v>
      </c>
      <c r="O76" s="166">
        <v>1931.0719369804899</v>
      </c>
      <c r="P76" s="172">
        <v>283.69400000000002</v>
      </c>
      <c r="Q76" s="178">
        <v>6.80688325089882</v>
      </c>
      <c r="R76" s="179">
        <v>9520.6359945491495</v>
      </c>
      <c r="S76" s="168">
        <v>0.01</v>
      </c>
      <c r="T76" s="168">
        <v>0.01</v>
      </c>
      <c r="U76" s="175">
        <v>0</v>
      </c>
      <c r="V76" s="176">
        <v>0</v>
      </c>
      <c r="W76" s="167"/>
      <c r="X76" s="175">
        <v>3462.32681</v>
      </c>
      <c r="Y76" s="166">
        <v>580.93664376815605</v>
      </c>
      <c r="Z76" s="177">
        <v>573</v>
      </c>
      <c r="AA76" s="182">
        <v>1.0138510362446</v>
      </c>
      <c r="AB76" s="183">
        <v>-553.74279292899098</v>
      </c>
      <c r="AC76" s="168">
        <v>3.0000000000000001E-3</v>
      </c>
      <c r="AD76" s="168">
        <v>1E-3</v>
      </c>
      <c r="AE76" s="176">
        <v>0</v>
      </c>
      <c r="AF76" s="176">
        <v>636</v>
      </c>
      <c r="AG76" s="167"/>
      <c r="AH76" s="180">
        <v>258.5</v>
      </c>
      <c r="AI76" s="166">
        <v>43.373179556689003</v>
      </c>
      <c r="AJ76" s="181" t="s">
        <v>53</v>
      </c>
      <c r="AK76" s="173">
        <v>0.68846316756649295</v>
      </c>
      <c r="AL76" s="174">
        <v>-183.05739089795199</v>
      </c>
      <c r="AM76" s="168"/>
      <c r="AN76" s="168"/>
      <c r="AO76" s="176">
        <v>117</v>
      </c>
      <c r="AP76" s="176">
        <v>193</v>
      </c>
      <c r="AQ76" s="167"/>
      <c r="AR76" s="180">
        <v>33.799999999999997</v>
      </c>
      <c r="AS76" s="166">
        <v>5.6712319884568299</v>
      </c>
      <c r="AT76" s="181" t="s">
        <v>54</v>
      </c>
      <c r="AU76" s="173">
        <v>0.35445199927855198</v>
      </c>
      <c r="AV76" s="174">
        <v>-78.341559593130597</v>
      </c>
      <c r="AW76" s="168"/>
      <c r="AX76" s="168"/>
      <c r="AY76" s="176">
        <v>62</v>
      </c>
      <c r="AZ76" s="176">
        <v>81</v>
      </c>
      <c r="BA76" s="167"/>
      <c r="BB76" s="184">
        <v>216</v>
      </c>
      <c r="BC76" s="180">
        <v>36.242192588954801</v>
      </c>
      <c r="BD76" s="181" t="s">
        <v>55</v>
      </c>
      <c r="BE76" s="182">
        <v>1.13256851840484</v>
      </c>
      <c r="BF76" s="183">
        <v>-8.2831191862612705</v>
      </c>
      <c r="BG76" s="168">
        <v>1.6E-2</v>
      </c>
      <c r="BH76" s="168">
        <v>1.2999999999999999E-2</v>
      </c>
      <c r="BI76" s="176">
        <v>0</v>
      </c>
      <c r="BJ76" s="176">
        <v>13</v>
      </c>
      <c r="BK76" s="169"/>
      <c r="BL76" s="185">
        <v>0.8</v>
      </c>
      <c r="BM76" s="173">
        <v>0.64</v>
      </c>
      <c r="BN76" s="186"/>
      <c r="BO76" s="187">
        <v>0.95</v>
      </c>
      <c r="BP76" s="178">
        <v>1</v>
      </c>
      <c r="BQ76" s="186">
        <v>2.5000000000000001E-3</v>
      </c>
    </row>
    <row r="77" spans="1:69" s="156" customFormat="1" ht="22.35" customHeight="1" x14ac:dyDescent="0.2">
      <c r="A77" s="165" t="s">
        <v>80</v>
      </c>
      <c r="B77" s="165" t="s">
        <v>118</v>
      </c>
      <c r="C77" s="165" t="s">
        <v>131</v>
      </c>
      <c r="D77" s="166">
        <v>8.4737407848888893</v>
      </c>
      <c r="E77" s="167"/>
      <c r="F77" s="168">
        <v>3.5999999999999997E-2</v>
      </c>
      <c r="G77" s="168">
        <v>3.4000000000000002E-2</v>
      </c>
      <c r="H77" s="169"/>
      <c r="I77" s="170">
        <v>5</v>
      </c>
      <c r="J77" s="170">
        <v>4</v>
      </c>
      <c r="K77" s="167"/>
      <c r="L77" s="171">
        <v>14439.212750000001</v>
      </c>
      <c r="M77" s="171">
        <v>6864.0970699999998</v>
      </c>
      <c r="N77" s="171">
        <v>21303.309819999999</v>
      </c>
      <c r="O77" s="166">
        <v>2514.0384112279999</v>
      </c>
      <c r="P77" s="172">
        <v>248.64599999999999</v>
      </c>
      <c r="Q77" s="178">
        <v>10.1109143570699</v>
      </c>
      <c r="R77" s="179">
        <v>18825.522800589399</v>
      </c>
      <c r="S77" s="168">
        <v>0.01</v>
      </c>
      <c r="T77" s="168">
        <v>0.01</v>
      </c>
      <c r="U77" s="175">
        <v>0</v>
      </c>
      <c r="V77" s="176">
        <v>0</v>
      </c>
      <c r="W77" s="167"/>
      <c r="X77" s="175">
        <v>3483.6713300000001</v>
      </c>
      <c r="Y77" s="166">
        <v>411.113747568534</v>
      </c>
      <c r="Z77" s="177">
        <v>573</v>
      </c>
      <c r="AA77" s="173">
        <v>0.717475999247005</v>
      </c>
      <c r="AB77" s="174">
        <v>-2226.3419504158101</v>
      </c>
      <c r="AC77" s="168"/>
      <c r="AD77" s="168"/>
      <c r="AE77" s="176">
        <v>1372</v>
      </c>
      <c r="AF77" s="176">
        <v>2343</v>
      </c>
      <c r="AG77" s="167"/>
      <c r="AH77" s="180">
        <v>526.6</v>
      </c>
      <c r="AI77" s="166">
        <v>62.1449267056975</v>
      </c>
      <c r="AJ77" s="181" t="s">
        <v>53</v>
      </c>
      <c r="AK77" s="182">
        <v>0.98642740802694495</v>
      </c>
      <c r="AL77" s="183">
        <v>-101.202507270848</v>
      </c>
      <c r="AM77" s="168">
        <v>1E-3</v>
      </c>
      <c r="AN77" s="168"/>
      <c r="AO77" s="176">
        <v>8</v>
      </c>
      <c r="AP77" s="176">
        <v>115</v>
      </c>
      <c r="AQ77" s="167"/>
      <c r="AR77" s="180">
        <v>145.80000000000001</v>
      </c>
      <c r="AS77" s="166">
        <v>17.206096304008199</v>
      </c>
      <c r="AT77" s="181" t="s">
        <v>54</v>
      </c>
      <c r="AU77" s="182">
        <v>1.07538101900051</v>
      </c>
      <c r="AV77" s="183">
        <v>-13.6419066084693</v>
      </c>
      <c r="AW77" s="168">
        <v>5.0000000000000001E-3</v>
      </c>
      <c r="AX77" s="168">
        <v>4.0000000000000001E-3</v>
      </c>
      <c r="AY77" s="176">
        <v>0</v>
      </c>
      <c r="AZ77" s="176">
        <v>17</v>
      </c>
      <c r="BA77" s="167"/>
      <c r="BB77" s="184">
        <v>716</v>
      </c>
      <c r="BC77" s="180">
        <v>84.496330272083995</v>
      </c>
      <c r="BD77" s="181" t="s">
        <v>55</v>
      </c>
      <c r="BE77" s="178">
        <v>2.6405103210026302</v>
      </c>
      <c r="BF77" s="179">
        <v>397.11618678306098</v>
      </c>
      <c r="BG77" s="168">
        <v>0.02</v>
      </c>
      <c r="BH77" s="168">
        <v>0.02</v>
      </c>
      <c r="BI77" s="176">
        <v>0</v>
      </c>
      <c r="BJ77" s="176">
        <v>0</v>
      </c>
      <c r="BK77" s="169"/>
      <c r="BL77" s="185">
        <v>0.8</v>
      </c>
      <c r="BM77" s="173">
        <v>0.57999999999999996</v>
      </c>
      <c r="BN77" s="186"/>
      <c r="BO77" s="187">
        <v>0.95</v>
      </c>
      <c r="BP77" s="178">
        <v>1</v>
      </c>
      <c r="BQ77" s="186">
        <v>2.5000000000000001E-3</v>
      </c>
    </row>
    <row r="78" spans="1:69" s="156" customFormat="1" ht="22.35" customHeight="1" x14ac:dyDescent="0.2">
      <c r="A78" s="165" t="s">
        <v>80</v>
      </c>
      <c r="B78" s="165" t="s">
        <v>118</v>
      </c>
      <c r="C78" s="165" t="s">
        <v>132</v>
      </c>
      <c r="D78" s="166">
        <v>2.7902579681111099</v>
      </c>
      <c r="E78" s="167"/>
      <c r="F78" s="168">
        <v>1.2E-2</v>
      </c>
      <c r="G78" s="168">
        <v>0.01</v>
      </c>
      <c r="H78" s="169"/>
      <c r="I78" s="170">
        <v>1</v>
      </c>
      <c r="J78" s="170">
        <v>1</v>
      </c>
      <c r="K78" s="167"/>
      <c r="L78" s="171">
        <v>870.17633999999998</v>
      </c>
      <c r="M78" s="171">
        <v>-1043.5588</v>
      </c>
      <c r="N78" s="171">
        <v>-173.38246000000001</v>
      </c>
      <c r="O78" s="166">
        <v>-62.138505464916797</v>
      </c>
      <c r="P78" s="172">
        <v>256.80599999999998</v>
      </c>
      <c r="Q78" s="173">
        <v>-0.24196671987771601</v>
      </c>
      <c r="R78" s="174">
        <v>-1016.0511256042799</v>
      </c>
      <c r="S78" s="168"/>
      <c r="T78" s="168"/>
      <c r="U78" s="175">
        <v>890</v>
      </c>
      <c r="V78" s="176">
        <v>1034</v>
      </c>
      <c r="W78" s="167"/>
      <c r="X78" s="175">
        <v>718.69268499999998</v>
      </c>
      <c r="Y78" s="166">
        <v>257.57212889047798</v>
      </c>
      <c r="Z78" s="177">
        <v>573</v>
      </c>
      <c r="AA78" s="173">
        <v>0.44951505914568701</v>
      </c>
      <c r="AB78" s="174">
        <v>-1161.51706629573</v>
      </c>
      <c r="AC78" s="168"/>
      <c r="AD78" s="168"/>
      <c r="AE78" s="176">
        <v>881</v>
      </c>
      <c r="AF78" s="176">
        <v>1200</v>
      </c>
      <c r="AG78" s="167"/>
      <c r="AH78" s="180">
        <v>131.94999999999999</v>
      </c>
      <c r="AI78" s="166">
        <v>47.289534339839101</v>
      </c>
      <c r="AJ78" s="181" t="s">
        <v>53</v>
      </c>
      <c r="AK78" s="173">
        <v>0.75062752920379505</v>
      </c>
      <c r="AL78" s="174">
        <v>-74.774632341415895</v>
      </c>
      <c r="AM78" s="168"/>
      <c r="AN78" s="168"/>
      <c r="AO78" s="176">
        <v>44</v>
      </c>
      <c r="AP78" s="176">
        <v>79</v>
      </c>
      <c r="AQ78" s="167"/>
      <c r="AR78" s="180">
        <v>17.3</v>
      </c>
      <c r="AS78" s="166">
        <v>6.2001435701342604</v>
      </c>
      <c r="AT78" s="181" t="s">
        <v>54</v>
      </c>
      <c r="AU78" s="173">
        <v>0.387508973133391</v>
      </c>
      <c r="AV78" s="174">
        <v>-35.201493927978603</v>
      </c>
      <c r="AW78" s="168"/>
      <c r="AX78" s="168"/>
      <c r="AY78" s="176">
        <v>28</v>
      </c>
      <c r="AZ78" s="176">
        <v>37</v>
      </c>
      <c r="BA78" s="167"/>
      <c r="BB78" s="184">
        <v>98.4</v>
      </c>
      <c r="BC78" s="180">
        <v>35.265556491399501</v>
      </c>
      <c r="BD78" s="181" t="s">
        <v>55</v>
      </c>
      <c r="BE78" s="182">
        <v>1.10204864035623</v>
      </c>
      <c r="BF78" s="183">
        <v>-6.6029878559572799</v>
      </c>
      <c r="BG78" s="168">
        <v>1.2E-2</v>
      </c>
      <c r="BH78" s="168">
        <v>0.01</v>
      </c>
      <c r="BI78" s="176">
        <v>0</v>
      </c>
      <c r="BJ78" s="176">
        <v>9</v>
      </c>
      <c r="BK78" s="169"/>
      <c r="BL78" s="185">
        <v>0.8</v>
      </c>
      <c r="BM78" s="188">
        <v>0.73</v>
      </c>
      <c r="BN78" s="186"/>
      <c r="BO78" s="187">
        <v>0.95</v>
      </c>
      <c r="BP78" s="188">
        <v>0.88</v>
      </c>
      <c r="BQ78" s="186"/>
    </row>
    <row r="79" spans="1:69" s="156" customFormat="1" ht="22.35" customHeight="1" x14ac:dyDescent="0.2">
      <c r="A79" s="165" t="s">
        <v>80</v>
      </c>
      <c r="B79" s="165" t="s">
        <v>118</v>
      </c>
      <c r="C79" s="165" t="s">
        <v>133</v>
      </c>
      <c r="D79" s="166">
        <v>2.4499054332222201</v>
      </c>
      <c r="E79" s="167"/>
      <c r="F79" s="168">
        <v>7.0000000000000007E-2</v>
      </c>
      <c r="G79" s="168">
        <v>7.0000000000000007E-2</v>
      </c>
      <c r="H79" s="169"/>
      <c r="I79" s="170">
        <v>5</v>
      </c>
      <c r="J79" s="170">
        <v>5</v>
      </c>
      <c r="K79" s="167"/>
      <c r="L79" s="171">
        <v>1145.66986</v>
      </c>
      <c r="M79" s="171">
        <v>-404.21539999999999</v>
      </c>
      <c r="N79" s="171">
        <v>741.45446000000004</v>
      </c>
      <c r="O79" s="166">
        <v>302.64615521294098</v>
      </c>
      <c r="P79" s="172">
        <v>249.55500000000001</v>
      </c>
      <c r="Q79" s="178">
        <v>1.21274330393276</v>
      </c>
      <c r="R79" s="179">
        <v>22.4643471439812</v>
      </c>
      <c r="S79" s="168">
        <v>0.01</v>
      </c>
      <c r="T79" s="168">
        <v>0.01</v>
      </c>
      <c r="U79" s="175">
        <v>0</v>
      </c>
      <c r="V79" s="176">
        <v>0</v>
      </c>
      <c r="W79" s="167"/>
      <c r="X79" s="175">
        <v>1844.61907</v>
      </c>
      <c r="Y79" s="166">
        <v>752.93480515036697</v>
      </c>
      <c r="Z79" s="177">
        <v>573</v>
      </c>
      <c r="AA79" s="178">
        <v>1.31402234755736</v>
      </c>
      <c r="AB79" s="179">
        <v>193.755193634074</v>
      </c>
      <c r="AC79" s="168">
        <v>0.02</v>
      </c>
      <c r="AD79" s="168">
        <v>0.02</v>
      </c>
      <c r="AE79" s="176">
        <v>0</v>
      </c>
      <c r="AF79" s="176">
        <v>0</v>
      </c>
      <c r="AG79" s="167"/>
      <c r="AH79" s="180">
        <v>213.4</v>
      </c>
      <c r="AI79" s="166">
        <v>87.105402970320796</v>
      </c>
      <c r="AJ79" s="181" t="s">
        <v>53</v>
      </c>
      <c r="AK79" s="178">
        <v>1.3826254439733501</v>
      </c>
      <c r="AL79" s="179">
        <v>31.891406263432199</v>
      </c>
      <c r="AM79" s="168">
        <v>0.02</v>
      </c>
      <c r="AN79" s="168">
        <v>0.02</v>
      </c>
      <c r="AO79" s="176">
        <v>0</v>
      </c>
      <c r="AP79" s="176">
        <v>0</v>
      </c>
      <c r="AQ79" s="167"/>
      <c r="AR79" s="180">
        <v>19.8</v>
      </c>
      <c r="AS79" s="166">
        <v>8.0819446054936801</v>
      </c>
      <c r="AT79" s="181" t="s">
        <v>54</v>
      </c>
      <c r="AU79" s="173">
        <v>0.50512153784335501</v>
      </c>
      <c r="AV79" s="174">
        <v>-26.297420631509301</v>
      </c>
      <c r="AW79" s="168"/>
      <c r="AX79" s="168"/>
      <c r="AY79" s="176">
        <v>20</v>
      </c>
      <c r="AZ79" s="176">
        <v>28</v>
      </c>
      <c r="BA79" s="167"/>
      <c r="BB79" s="184">
        <v>147</v>
      </c>
      <c r="BC79" s="180">
        <v>60.002316010483398</v>
      </c>
      <c r="BD79" s="181" t="s">
        <v>55</v>
      </c>
      <c r="BE79" s="178">
        <v>1.87507237532761</v>
      </c>
      <c r="BF79" s="179">
        <v>54.805158736981397</v>
      </c>
      <c r="BG79" s="168">
        <v>0.02</v>
      </c>
      <c r="BH79" s="168">
        <v>0.02</v>
      </c>
      <c r="BI79" s="176">
        <v>0</v>
      </c>
      <c r="BJ79" s="176">
        <v>0</v>
      </c>
      <c r="BK79" s="169"/>
      <c r="BL79" s="185">
        <v>0.8</v>
      </c>
      <c r="BM79" s="173">
        <v>0.68</v>
      </c>
      <c r="BN79" s="186"/>
      <c r="BO79" s="187">
        <v>0.95</v>
      </c>
      <c r="BP79" s="178">
        <v>1</v>
      </c>
      <c r="BQ79" s="186">
        <v>2.5000000000000001E-3</v>
      </c>
    </row>
    <row r="80" spans="1:69" s="156" customFormat="1" ht="22.35" customHeight="1" x14ac:dyDescent="0.2">
      <c r="A80" s="165" t="s">
        <v>80</v>
      </c>
      <c r="B80" s="165" t="s">
        <v>118</v>
      </c>
      <c r="C80" s="165" t="s">
        <v>134</v>
      </c>
      <c r="D80" s="166">
        <v>2.67748065066667</v>
      </c>
      <c r="E80" s="167"/>
      <c r="F80" s="168">
        <v>4.7E-2</v>
      </c>
      <c r="G80" s="168">
        <v>4.4999999999999998E-2</v>
      </c>
      <c r="H80" s="169"/>
      <c r="I80" s="170">
        <v>4</v>
      </c>
      <c r="J80" s="170">
        <v>4</v>
      </c>
      <c r="K80" s="167"/>
      <c r="L80" s="171">
        <v>1405.8121000000001</v>
      </c>
      <c r="M80" s="171">
        <v>674.8886</v>
      </c>
      <c r="N80" s="171">
        <v>2080.7006999999999</v>
      </c>
      <c r="O80" s="166">
        <v>777.11138621372504</v>
      </c>
      <c r="P80" s="172">
        <v>236.18299999999999</v>
      </c>
      <c r="Q80" s="178">
        <v>3.2902934851946402</v>
      </c>
      <c r="R80" s="179">
        <v>1337.0272148807101</v>
      </c>
      <c r="S80" s="168">
        <v>0.01</v>
      </c>
      <c r="T80" s="168">
        <v>0.01</v>
      </c>
      <c r="U80" s="175">
        <v>0</v>
      </c>
      <c r="V80" s="176">
        <v>0</v>
      </c>
      <c r="W80" s="167"/>
      <c r="X80" s="175">
        <v>1462.75891</v>
      </c>
      <c r="Y80" s="166">
        <v>546.31913386032795</v>
      </c>
      <c r="Z80" s="177">
        <v>573</v>
      </c>
      <c r="AA80" s="188">
        <v>0.95343653378765703</v>
      </c>
      <c r="AB80" s="171">
        <v>-341.456071490434</v>
      </c>
      <c r="AC80" s="168"/>
      <c r="AD80" s="168"/>
      <c r="AE80" s="176">
        <v>72</v>
      </c>
      <c r="AF80" s="176">
        <v>379</v>
      </c>
      <c r="AG80" s="167"/>
      <c r="AH80" s="180">
        <v>193.55</v>
      </c>
      <c r="AI80" s="166">
        <v>72.288104099578803</v>
      </c>
      <c r="AJ80" s="181" t="s">
        <v>53</v>
      </c>
      <c r="AK80" s="182">
        <v>1.14743022380284</v>
      </c>
      <c r="AL80" s="183">
        <v>-4.8191864465922496</v>
      </c>
      <c r="AM80" s="168">
        <v>1.7000000000000001E-2</v>
      </c>
      <c r="AN80" s="168">
        <v>1.4999999999999999E-2</v>
      </c>
      <c r="AO80" s="176">
        <v>0</v>
      </c>
      <c r="AP80" s="176">
        <v>9</v>
      </c>
      <c r="AQ80" s="167"/>
      <c r="AR80" s="180">
        <v>35.200000000000003</v>
      </c>
      <c r="AS80" s="166">
        <v>13.1466869765186</v>
      </c>
      <c r="AT80" s="181" t="s">
        <v>54</v>
      </c>
      <c r="AU80" s="188">
        <v>0.82166793603241195</v>
      </c>
      <c r="AV80" s="171">
        <v>-15.1794759229441</v>
      </c>
      <c r="AW80" s="168"/>
      <c r="AX80" s="168"/>
      <c r="AY80" s="176">
        <v>8</v>
      </c>
      <c r="AZ80" s="176">
        <v>17</v>
      </c>
      <c r="BA80" s="167"/>
      <c r="BB80" s="184">
        <v>140.6</v>
      </c>
      <c r="BC80" s="180">
        <v>52.512050820980498</v>
      </c>
      <c r="BD80" s="181" t="s">
        <v>55</v>
      </c>
      <c r="BE80" s="178">
        <v>1.6410015881556399</v>
      </c>
      <c r="BF80" s="179">
        <v>39.841048154111903</v>
      </c>
      <c r="BG80" s="168">
        <v>0.02</v>
      </c>
      <c r="BH80" s="168">
        <v>0.02</v>
      </c>
      <c r="BI80" s="176">
        <v>0</v>
      </c>
      <c r="BJ80" s="176">
        <v>0</v>
      </c>
      <c r="BK80" s="169"/>
      <c r="BL80" s="185">
        <v>0.8</v>
      </c>
      <c r="BM80" s="173">
        <v>0.69</v>
      </c>
      <c r="BN80" s="186"/>
      <c r="BO80" s="187">
        <v>0.95</v>
      </c>
      <c r="BP80" s="178">
        <v>1</v>
      </c>
      <c r="BQ80" s="186">
        <v>2.5000000000000001E-3</v>
      </c>
    </row>
    <row r="81" spans="1:69" s="156" customFormat="1" ht="22.35" customHeight="1" x14ac:dyDescent="0.2">
      <c r="A81" s="165" t="s">
        <v>80</v>
      </c>
      <c r="B81" s="165" t="s">
        <v>118</v>
      </c>
      <c r="C81" s="165" t="s">
        <v>135</v>
      </c>
      <c r="D81" s="166">
        <v>5.56134457377778</v>
      </c>
      <c r="E81" s="167"/>
      <c r="F81" s="168">
        <v>0.03</v>
      </c>
      <c r="G81" s="168">
        <v>0.03</v>
      </c>
      <c r="H81" s="169"/>
      <c r="I81" s="170">
        <v>3</v>
      </c>
      <c r="J81" s="170">
        <v>3</v>
      </c>
      <c r="K81" s="167"/>
      <c r="L81" s="171">
        <v>3461.32053</v>
      </c>
      <c r="M81" s="171">
        <v>311.61646000000002</v>
      </c>
      <c r="N81" s="171">
        <v>3772.9369900000002</v>
      </c>
      <c r="O81" s="166">
        <v>678.42172696684304</v>
      </c>
      <c r="P81" s="172">
        <v>255.63</v>
      </c>
      <c r="Q81" s="178">
        <v>2.6539206156039699</v>
      </c>
      <c r="R81" s="179">
        <v>2101.0806902477002</v>
      </c>
      <c r="S81" s="168">
        <v>0.01</v>
      </c>
      <c r="T81" s="168">
        <v>0.01</v>
      </c>
      <c r="U81" s="175">
        <v>0</v>
      </c>
      <c r="V81" s="176">
        <v>0</v>
      </c>
      <c r="W81" s="167"/>
      <c r="X81" s="175">
        <v>2443.4441649999999</v>
      </c>
      <c r="Y81" s="166">
        <v>439.36212413829799</v>
      </c>
      <c r="Z81" s="177">
        <v>573</v>
      </c>
      <c r="AA81" s="173">
        <v>0.76677508575619102</v>
      </c>
      <c r="AB81" s="174">
        <v>-1304.05675335101</v>
      </c>
      <c r="AC81" s="168"/>
      <c r="AD81" s="168"/>
      <c r="AE81" s="176">
        <v>744</v>
      </c>
      <c r="AF81" s="176">
        <v>1381</v>
      </c>
      <c r="AG81" s="167"/>
      <c r="AH81" s="180">
        <v>254</v>
      </c>
      <c r="AI81" s="166">
        <v>45.672408287310901</v>
      </c>
      <c r="AJ81" s="181" t="s">
        <v>53</v>
      </c>
      <c r="AK81" s="173">
        <v>0.724958861703348</v>
      </c>
      <c r="AL81" s="174">
        <v>-158.02889678204801</v>
      </c>
      <c r="AM81" s="168"/>
      <c r="AN81" s="168"/>
      <c r="AO81" s="176">
        <v>97</v>
      </c>
      <c r="AP81" s="176">
        <v>167</v>
      </c>
      <c r="AQ81" s="167"/>
      <c r="AR81" s="180">
        <v>43.8</v>
      </c>
      <c r="AS81" s="166">
        <v>7.8757932400953496</v>
      </c>
      <c r="AT81" s="181" t="s">
        <v>54</v>
      </c>
      <c r="AU81" s="173">
        <v>0.49223707750595902</v>
      </c>
      <c r="AV81" s="174">
        <v>-60.842259500202701</v>
      </c>
      <c r="AW81" s="168"/>
      <c r="AX81" s="168"/>
      <c r="AY81" s="176">
        <v>46</v>
      </c>
      <c r="AZ81" s="176">
        <v>63</v>
      </c>
      <c r="BA81" s="167"/>
      <c r="BB81" s="184">
        <v>223.2</v>
      </c>
      <c r="BC81" s="180">
        <v>40.134179250896899</v>
      </c>
      <c r="BD81" s="181" t="s">
        <v>55</v>
      </c>
      <c r="BE81" s="178">
        <v>1.2541931015905301</v>
      </c>
      <c r="BF81" s="179">
        <v>13.9154809995946</v>
      </c>
      <c r="BG81" s="168">
        <v>0.02</v>
      </c>
      <c r="BH81" s="168">
        <v>0.02</v>
      </c>
      <c r="BI81" s="176">
        <v>0</v>
      </c>
      <c r="BJ81" s="176">
        <v>0</v>
      </c>
      <c r="BK81" s="169"/>
      <c r="BL81" s="185">
        <v>0.8</v>
      </c>
      <c r="BM81" s="173">
        <v>0.64</v>
      </c>
      <c r="BN81" s="186"/>
      <c r="BO81" s="187">
        <v>0.95</v>
      </c>
      <c r="BP81" s="178">
        <v>1</v>
      </c>
      <c r="BQ81" s="186">
        <v>2.5000000000000001E-3</v>
      </c>
    </row>
    <row r="82" spans="1:69" s="156" customFormat="1" ht="22.35" customHeight="1" x14ac:dyDescent="0.2">
      <c r="A82" s="165" t="s">
        <v>80</v>
      </c>
      <c r="B82" s="165" t="s">
        <v>118</v>
      </c>
      <c r="C82" s="165" t="s">
        <v>136</v>
      </c>
      <c r="D82" s="166">
        <v>4.6816910714444404</v>
      </c>
      <c r="E82" s="167"/>
      <c r="F82" s="168">
        <v>0.03</v>
      </c>
      <c r="G82" s="168">
        <v>0.03</v>
      </c>
      <c r="H82" s="169"/>
      <c r="I82" s="170">
        <v>3</v>
      </c>
      <c r="J82" s="170">
        <v>3</v>
      </c>
      <c r="K82" s="167"/>
      <c r="L82" s="171">
        <v>3842.0020500000001</v>
      </c>
      <c r="M82" s="171">
        <v>1617.5812000000001</v>
      </c>
      <c r="N82" s="171">
        <v>5459.5832499999997</v>
      </c>
      <c r="O82" s="166">
        <v>1166.1562385652101</v>
      </c>
      <c r="P82" s="172">
        <v>287.5</v>
      </c>
      <c r="Q82" s="178">
        <v>4.0561956124007299</v>
      </c>
      <c r="R82" s="179">
        <v>3876.70349874463</v>
      </c>
      <c r="S82" s="168">
        <v>0.01</v>
      </c>
      <c r="T82" s="168">
        <v>0.01</v>
      </c>
      <c r="U82" s="175">
        <v>0</v>
      </c>
      <c r="V82" s="176">
        <v>0</v>
      </c>
      <c r="W82" s="167"/>
      <c r="X82" s="175">
        <v>2341.9377399999998</v>
      </c>
      <c r="Y82" s="166">
        <v>500.23329268444002</v>
      </c>
      <c r="Z82" s="177">
        <v>573</v>
      </c>
      <c r="AA82" s="188">
        <v>0.87300749159588198</v>
      </c>
      <c r="AB82" s="171">
        <v>-812.81042511069199</v>
      </c>
      <c r="AC82" s="168"/>
      <c r="AD82" s="168"/>
      <c r="AE82" s="176">
        <v>341</v>
      </c>
      <c r="AF82" s="176">
        <v>878</v>
      </c>
      <c r="AG82" s="167"/>
      <c r="AH82" s="180">
        <v>194.2</v>
      </c>
      <c r="AI82" s="166">
        <v>41.480737843747399</v>
      </c>
      <c r="AJ82" s="181" t="s">
        <v>53</v>
      </c>
      <c r="AK82" s="173">
        <v>0.65842441021821296</v>
      </c>
      <c r="AL82" s="174">
        <v>-152.657128101176</v>
      </c>
      <c r="AM82" s="168"/>
      <c r="AN82" s="168"/>
      <c r="AO82" s="176">
        <v>101</v>
      </c>
      <c r="AP82" s="176">
        <v>160</v>
      </c>
      <c r="AQ82" s="167"/>
      <c r="AR82" s="180">
        <v>60</v>
      </c>
      <c r="AS82" s="166">
        <v>12.815881929067199</v>
      </c>
      <c r="AT82" s="181" t="s">
        <v>54</v>
      </c>
      <c r="AU82" s="188">
        <v>0.80099262056669795</v>
      </c>
      <c r="AV82" s="171">
        <v>-28.090699200298602</v>
      </c>
      <c r="AW82" s="168"/>
      <c r="AX82" s="168"/>
      <c r="AY82" s="176">
        <v>15</v>
      </c>
      <c r="AZ82" s="176">
        <v>30</v>
      </c>
      <c r="BA82" s="167"/>
      <c r="BB82" s="184">
        <v>220.2</v>
      </c>
      <c r="BC82" s="180">
        <v>47.034286679676498</v>
      </c>
      <c r="BD82" s="181" t="s">
        <v>55</v>
      </c>
      <c r="BE82" s="178">
        <v>1.4698214587398899</v>
      </c>
      <c r="BF82" s="179">
        <v>44.018601599402899</v>
      </c>
      <c r="BG82" s="168">
        <v>0.02</v>
      </c>
      <c r="BH82" s="168">
        <v>0.02</v>
      </c>
      <c r="BI82" s="176">
        <v>0</v>
      </c>
      <c r="BJ82" s="176">
        <v>0</v>
      </c>
      <c r="BK82" s="169"/>
      <c r="BL82" s="185">
        <v>0.8</v>
      </c>
      <c r="BM82" s="173">
        <v>0.65</v>
      </c>
      <c r="BN82" s="186"/>
      <c r="BO82" s="187">
        <v>0.95</v>
      </c>
      <c r="BP82" s="178">
        <v>1</v>
      </c>
      <c r="BQ82" s="186">
        <v>2.5000000000000001E-3</v>
      </c>
    </row>
    <row r="83" spans="1:69" s="156" customFormat="1" ht="22.35" customHeight="1" x14ac:dyDescent="0.2">
      <c r="A83" s="165" t="s">
        <v>80</v>
      </c>
      <c r="B83" s="165" t="s">
        <v>118</v>
      </c>
      <c r="C83" s="165" t="s">
        <v>137</v>
      </c>
      <c r="D83" s="166">
        <v>2.8572871573333298</v>
      </c>
      <c r="E83" s="167"/>
      <c r="F83" s="168">
        <v>0.03</v>
      </c>
      <c r="G83" s="168">
        <v>0.03</v>
      </c>
      <c r="H83" s="169"/>
      <c r="I83" s="170">
        <v>3</v>
      </c>
      <c r="J83" s="170">
        <v>3</v>
      </c>
      <c r="K83" s="167"/>
      <c r="L83" s="171">
        <v>740.01553000000001</v>
      </c>
      <c r="M83" s="171">
        <v>693.22747000000004</v>
      </c>
      <c r="N83" s="171">
        <v>1433.2429999999999</v>
      </c>
      <c r="O83" s="166">
        <v>501.609716167844</v>
      </c>
      <c r="P83" s="172">
        <v>255.63</v>
      </c>
      <c r="Q83" s="178">
        <v>1.96224901681275</v>
      </c>
      <c r="R83" s="179">
        <v>574.28282034975598</v>
      </c>
      <c r="S83" s="168">
        <v>0.01</v>
      </c>
      <c r="T83" s="168">
        <v>0.01</v>
      </c>
      <c r="U83" s="175">
        <v>0</v>
      </c>
      <c r="V83" s="176">
        <v>0</v>
      </c>
      <c r="W83" s="167"/>
      <c r="X83" s="175">
        <v>623.03121999999996</v>
      </c>
      <c r="Y83" s="166">
        <v>218.04991437453799</v>
      </c>
      <c r="Z83" s="177">
        <v>573</v>
      </c>
      <c r="AA83" s="173">
        <v>0.38054086278278798</v>
      </c>
      <c r="AB83" s="174">
        <v>-1302.34601639475</v>
      </c>
      <c r="AC83" s="168"/>
      <c r="AD83" s="168"/>
      <c r="AE83" s="176">
        <v>1015</v>
      </c>
      <c r="AF83" s="176">
        <v>1342</v>
      </c>
      <c r="AG83" s="167"/>
      <c r="AH83" s="180">
        <v>148.6</v>
      </c>
      <c r="AI83" s="166">
        <v>52.007373364141102</v>
      </c>
      <c r="AJ83" s="181" t="s">
        <v>53</v>
      </c>
      <c r="AK83" s="188">
        <v>0.82551386292287399</v>
      </c>
      <c r="AL83" s="171">
        <v>-63.090690912511697</v>
      </c>
      <c r="AM83" s="168"/>
      <c r="AN83" s="168"/>
      <c r="AO83" s="176">
        <v>32</v>
      </c>
      <c r="AP83" s="176">
        <v>68</v>
      </c>
      <c r="AQ83" s="167"/>
      <c r="AR83" s="180">
        <v>16.600000000000001</v>
      </c>
      <c r="AS83" s="166">
        <v>5.8097065803818397</v>
      </c>
      <c r="AT83" s="181" t="s">
        <v>54</v>
      </c>
      <c r="AU83" s="173">
        <v>0.36310666127386498</v>
      </c>
      <c r="AV83" s="174">
        <v>-37.162715152383903</v>
      </c>
      <c r="AW83" s="168"/>
      <c r="AX83" s="168"/>
      <c r="AY83" s="176">
        <v>30</v>
      </c>
      <c r="AZ83" s="176">
        <v>39</v>
      </c>
      <c r="BA83" s="167"/>
      <c r="BB83" s="184">
        <v>124.4</v>
      </c>
      <c r="BC83" s="180">
        <v>43.537801120451903</v>
      </c>
      <c r="BD83" s="181" t="s">
        <v>55</v>
      </c>
      <c r="BE83" s="178">
        <v>1.36055628501412</v>
      </c>
      <c r="BF83" s="179">
        <v>16.8745696952321</v>
      </c>
      <c r="BG83" s="168">
        <v>0.02</v>
      </c>
      <c r="BH83" s="168">
        <v>0.02</v>
      </c>
      <c r="BI83" s="176">
        <v>0</v>
      </c>
      <c r="BJ83" s="176">
        <v>0</v>
      </c>
      <c r="BK83" s="169"/>
      <c r="BL83" s="185">
        <v>0.8</v>
      </c>
      <c r="BM83" s="173">
        <v>0.67</v>
      </c>
      <c r="BN83" s="186"/>
      <c r="BO83" s="187">
        <v>0.95</v>
      </c>
      <c r="BP83" s="178">
        <v>1</v>
      </c>
      <c r="BQ83" s="186">
        <v>2.5000000000000001E-3</v>
      </c>
    </row>
    <row r="84" spans="1:69" s="156" customFormat="1" ht="22.35" customHeight="1" x14ac:dyDescent="0.2">
      <c r="A84" s="165" t="s">
        <v>80</v>
      </c>
      <c r="B84" s="165" t="s">
        <v>118</v>
      </c>
      <c r="C84" s="165" t="s">
        <v>138</v>
      </c>
      <c r="D84" s="166">
        <v>3.2583336913333301</v>
      </c>
      <c r="E84" s="167"/>
      <c r="F84" s="168">
        <v>0.01</v>
      </c>
      <c r="G84" s="168">
        <v>0.01</v>
      </c>
      <c r="H84" s="169"/>
      <c r="I84" s="170">
        <v>1</v>
      </c>
      <c r="J84" s="170">
        <v>1</v>
      </c>
      <c r="K84" s="167"/>
      <c r="L84" s="171">
        <v>3406.3163100000002</v>
      </c>
      <c r="M84" s="171">
        <v>1142.5242000000001</v>
      </c>
      <c r="N84" s="171">
        <v>4548.84051</v>
      </c>
      <c r="O84" s="166">
        <v>1396.06343024326</v>
      </c>
      <c r="P84" s="172">
        <v>287.5</v>
      </c>
      <c r="Q84" s="178">
        <v>4.8558728008461198</v>
      </c>
      <c r="R84" s="179">
        <v>3447.1978889602001</v>
      </c>
      <c r="S84" s="168">
        <v>0.01</v>
      </c>
      <c r="T84" s="168">
        <v>0.01</v>
      </c>
      <c r="U84" s="175">
        <v>0</v>
      </c>
      <c r="V84" s="176">
        <v>0</v>
      </c>
      <c r="W84" s="167"/>
      <c r="X84" s="175">
        <v>1283.85959</v>
      </c>
      <c r="Y84" s="166">
        <v>394.02336028837999</v>
      </c>
      <c r="Z84" s="177">
        <v>573</v>
      </c>
      <c r="AA84" s="173">
        <v>0.68764984343521696</v>
      </c>
      <c r="AB84" s="174">
        <v>-911.76205123758098</v>
      </c>
      <c r="AC84" s="168"/>
      <c r="AD84" s="168"/>
      <c r="AE84" s="176">
        <v>584</v>
      </c>
      <c r="AF84" s="176">
        <v>957</v>
      </c>
      <c r="AG84" s="167"/>
      <c r="AH84" s="180">
        <v>66.05</v>
      </c>
      <c r="AI84" s="166">
        <v>20.271097517017001</v>
      </c>
      <c r="AJ84" s="181" t="s">
        <v>53</v>
      </c>
      <c r="AK84" s="173">
        <v>0.32176345265106299</v>
      </c>
      <c r="AL84" s="174">
        <v>-175.353426523504</v>
      </c>
      <c r="AM84" s="168"/>
      <c r="AN84" s="168"/>
      <c r="AO84" s="176">
        <v>140</v>
      </c>
      <c r="AP84" s="176">
        <v>181</v>
      </c>
      <c r="AQ84" s="167"/>
      <c r="AR84" s="180">
        <v>14.6</v>
      </c>
      <c r="AS84" s="166">
        <v>4.4808179220052704</v>
      </c>
      <c r="AT84" s="181" t="s">
        <v>54</v>
      </c>
      <c r="AU84" s="173">
        <v>0.28005112012532901</v>
      </c>
      <c r="AV84" s="174">
        <v>-46.708806736127897</v>
      </c>
      <c r="AW84" s="168"/>
      <c r="AX84" s="168"/>
      <c r="AY84" s="176">
        <v>38</v>
      </c>
      <c r="AZ84" s="176">
        <v>48</v>
      </c>
      <c r="BA84" s="167"/>
      <c r="BB84" s="184">
        <v>84.2</v>
      </c>
      <c r="BC84" s="180">
        <v>25.8414293858112</v>
      </c>
      <c r="BD84" s="181" t="s">
        <v>55</v>
      </c>
      <c r="BE84" s="188">
        <v>0.80754466830660099</v>
      </c>
      <c r="BF84" s="171">
        <v>-38.417613472255901</v>
      </c>
      <c r="BG84" s="168"/>
      <c r="BH84" s="168"/>
      <c r="BI84" s="176">
        <v>21</v>
      </c>
      <c r="BJ84" s="176">
        <v>41</v>
      </c>
      <c r="BK84" s="169"/>
      <c r="BL84" s="185">
        <v>0.8</v>
      </c>
      <c r="BM84" s="173">
        <v>0.64</v>
      </c>
      <c r="BN84" s="186"/>
      <c r="BO84" s="187">
        <v>0.95</v>
      </c>
      <c r="BP84" s="173">
        <v>0.8</v>
      </c>
      <c r="BQ84" s="186"/>
    </row>
    <row r="85" spans="1:69" s="156" customFormat="1" ht="22.35" customHeight="1" x14ac:dyDescent="0.2">
      <c r="A85" s="165" t="s">
        <v>139</v>
      </c>
      <c r="B85" s="165" t="s">
        <v>140</v>
      </c>
      <c r="C85" s="165" t="s">
        <v>141</v>
      </c>
      <c r="D85" s="166">
        <v>3.7189131554444401</v>
      </c>
      <c r="E85" s="167"/>
      <c r="F85" s="168">
        <v>2.5999999999999999E-2</v>
      </c>
      <c r="G85" s="168">
        <v>2.1999999999999999E-2</v>
      </c>
      <c r="H85" s="169"/>
      <c r="I85" s="170">
        <v>4</v>
      </c>
      <c r="J85" s="170">
        <v>4</v>
      </c>
      <c r="K85" s="167"/>
      <c r="L85" s="171">
        <v>9285.7829000000002</v>
      </c>
      <c r="M85" s="171">
        <v>3073.5424499999999</v>
      </c>
      <c r="N85" s="171">
        <v>12359.325349999999</v>
      </c>
      <c r="O85" s="166">
        <v>3323.3702518452501</v>
      </c>
      <c r="P85" s="172">
        <v>287.5</v>
      </c>
      <c r="Q85" s="178">
        <v>11.5595487020704</v>
      </c>
      <c r="R85" s="179">
        <v>11101.9608121442</v>
      </c>
      <c r="S85" s="168">
        <v>0.01</v>
      </c>
      <c r="T85" s="168">
        <v>0.01</v>
      </c>
      <c r="U85" s="175">
        <v>0</v>
      </c>
      <c r="V85" s="176">
        <v>0</v>
      </c>
      <c r="W85" s="167"/>
      <c r="X85" s="175">
        <v>2366.821195</v>
      </c>
      <c r="Y85" s="166">
        <v>636.42819718309397</v>
      </c>
      <c r="Z85" s="177">
        <v>573</v>
      </c>
      <c r="AA85" s="182">
        <v>1.1106949340019101</v>
      </c>
      <c r="AB85" s="183">
        <v>-139.16099696992501</v>
      </c>
      <c r="AC85" s="168">
        <v>1.2999999999999999E-2</v>
      </c>
      <c r="AD85" s="168">
        <v>1.0999999999999999E-2</v>
      </c>
      <c r="AE85" s="176">
        <v>0</v>
      </c>
      <c r="AF85" s="176">
        <v>191</v>
      </c>
      <c r="AG85" s="167"/>
      <c r="AH85" s="180">
        <v>161.9</v>
      </c>
      <c r="AI85" s="166">
        <v>43.534224444843602</v>
      </c>
      <c r="AJ85" s="181" t="s">
        <v>53</v>
      </c>
      <c r="AK85" s="173">
        <v>0.69101943563243795</v>
      </c>
      <c r="AL85" s="174">
        <v>-113.626837860568</v>
      </c>
      <c r="AM85" s="168"/>
      <c r="AN85" s="168"/>
      <c r="AO85" s="176">
        <v>73</v>
      </c>
      <c r="AP85" s="176">
        <v>120</v>
      </c>
      <c r="AQ85" s="167"/>
      <c r="AR85" s="180">
        <v>22.2</v>
      </c>
      <c r="AS85" s="166">
        <v>5.96948599552519</v>
      </c>
      <c r="AT85" s="181" t="s">
        <v>54</v>
      </c>
      <c r="AU85" s="173">
        <v>0.37309287472032399</v>
      </c>
      <c r="AV85" s="174">
        <v>-47.775069932842598</v>
      </c>
      <c r="AW85" s="168"/>
      <c r="AX85" s="168"/>
      <c r="AY85" s="176">
        <v>38</v>
      </c>
      <c r="AZ85" s="176">
        <v>50</v>
      </c>
      <c r="BA85" s="167"/>
      <c r="BB85" s="184">
        <v>120.4</v>
      </c>
      <c r="BC85" s="180">
        <v>32.375050173929402</v>
      </c>
      <c r="BD85" s="181" t="s">
        <v>55</v>
      </c>
      <c r="BE85" s="182">
        <v>1.01172031793529</v>
      </c>
      <c r="BF85" s="183">
        <v>-19.5501398656851</v>
      </c>
      <c r="BG85" s="168">
        <v>3.0000000000000001E-3</v>
      </c>
      <c r="BH85" s="168">
        <v>1E-3</v>
      </c>
      <c r="BI85" s="176">
        <v>0</v>
      </c>
      <c r="BJ85" s="176">
        <v>23</v>
      </c>
      <c r="BK85" s="169"/>
      <c r="BL85" s="185">
        <v>0.8</v>
      </c>
      <c r="BM85" s="188">
        <v>0.73</v>
      </c>
      <c r="BN85" s="186"/>
      <c r="BO85" s="187">
        <v>0.95</v>
      </c>
      <c r="BP85" s="178">
        <v>1</v>
      </c>
      <c r="BQ85" s="186">
        <v>2.5000000000000001E-3</v>
      </c>
    </row>
    <row r="86" spans="1:69" s="156" customFormat="1" ht="22.35" customHeight="1" x14ac:dyDescent="0.2">
      <c r="A86" s="165" t="s">
        <v>139</v>
      </c>
      <c r="B86" s="165" t="s">
        <v>140</v>
      </c>
      <c r="C86" s="165" t="s">
        <v>142</v>
      </c>
      <c r="D86" s="166">
        <v>8.0608712013333292</v>
      </c>
      <c r="E86" s="167"/>
      <c r="F86" s="168">
        <v>0.03</v>
      </c>
      <c r="G86" s="168">
        <v>2.9000000000000001E-2</v>
      </c>
      <c r="H86" s="169"/>
      <c r="I86" s="170">
        <v>3</v>
      </c>
      <c r="J86" s="170">
        <v>3</v>
      </c>
      <c r="K86" s="167"/>
      <c r="L86" s="171">
        <v>4597.7225200000003</v>
      </c>
      <c r="M86" s="171">
        <v>3727.1944600000002</v>
      </c>
      <c r="N86" s="171">
        <v>8324.91698</v>
      </c>
      <c r="O86" s="166">
        <v>1032.7564815355199</v>
      </c>
      <c r="P86" s="172">
        <v>287.5</v>
      </c>
      <c r="Q86" s="178">
        <v>3.5921964575148499</v>
      </c>
      <c r="R86" s="179">
        <v>5599.5364268291996</v>
      </c>
      <c r="S86" s="168">
        <v>0.01</v>
      </c>
      <c r="T86" s="168">
        <v>0.01</v>
      </c>
      <c r="U86" s="175">
        <v>0</v>
      </c>
      <c r="V86" s="176">
        <v>0</v>
      </c>
      <c r="W86" s="167"/>
      <c r="X86" s="175">
        <v>2769.8413999999998</v>
      </c>
      <c r="Y86" s="166">
        <v>343.61563791539601</v>
      </c>
      <c r="Z86" s="177">
        <v>573</v>
      </c>
      <c r="AA86" s="173">
        <v>0.59967825116124995</v>
      </c>
      <c r="AB86" s="174">
        <v>-2661.9605372760602</v>
      </c>
      <c r="AC86" s="168"/>
      <c r="AD86" s="168"/>
      <c r="AE86" s="176">
        <v>1850</v>
      </c>
      <c r="AF86" s="176">
        <v>2773</v>
      </c>
      <c r="AG86" s="167"/>
      <c r="AH86" s="180">
        <v>304.39999999999998</v>
      </c>
      <c r="AI86" s="166">
        <v>37.762667631961399</v>
      </c>
      <c r="AJ86" s="181" t="s">
        <v>53</v>
      </c>
      <c r="AK86" s="173">
        <v>0.59940742272954595</v>
      </c>
      <c r="AL86" s="174">
        <v>-292.81382556438399</v>
      </c>
      <c r="AM86" s="168"/>
      <c r="AN86" s="168"/>
      <c r="AO86" s="176">
        <v>204</v>
      </c>
      <c r="AP86" s="176">
        <v>306</v>
      </c>
      <c r="AQ86" s="167"/>
      <c r="AR86" s="180">
        <v>53.6</v>
      </c>
      <c r="AS86" s="166">
        <v>6.6494053386108103</v>
      </c>
      <c r="AT86" s="181" t="s">
        <v>54</v>
      </c>
      <c r="AU86" s="173">
        <v>0.41558783366317598</v>
      </c>
      <c r="AV86" s="174">
        <v>-98.073352524287898</v>
      </c>
      <c r="AW86" s="168"/>
      <c r="AX86" s="168"/>
      <c r="AY86" s="176">
        <v>76</v>
      </c>
      <c r="AZ86" s="176">
        <v>102</v>
      </c>
      <c r="BA86" s="167"/>
      <c r="BB86" s="184">
        <v>307.39999999999998</v>
      </c>
      <c r="BC86" s="180">
        <v>38.134835841212002</v>
      </c>
      <c r="BD86" s="181" t="s">
        <v>55</v>
      </c>
      <c r="BE86" s="178">
        <v>1.19171362003787</v>
      </c>
      <c r="BF86" s="179">
        <v>4.0532949514242196</v>
      </c>
      <c r="BG86" s="168">
        <v>0.02</v>
      </c>
      <c r="BH86" s="168">
        <v>1.9E-2</v>
      </c>
      <c r="BI86" s="176">
        <v>0</v>
      </c>
      <c r="BJ86" s="176">
        <v>3</v>
      </c>
      <c r="BK86" s="169"/>
      <c r="BL86" s="185">
        <v>0.8</v>
      </c>
      <c r="BM86" s="173">
        <v>0.59</v>
      </c>
      <c r="BN86" s="186"/>
      <c r="BO86" s="187">
        <v>0.95</v>
      </c>
      <c r="BP86" s="178">
        <v>1</v>
      </c>
      <c r="BQ86" s="186">
        <v>2.5000000000000001E-3</v>
      </c>
    </row>
    <row r="87" spans="1:69" s="156" customFormat="1" ht="22.35" customHeight="1" x14ac:dyDescent="0.2">
      <c r="A87" s="165" t="s">
        <v>139</v>
      </c>
      <c r="B87" s="165" t="s">
        <v>140</v>
      </c>
      <c r="C87" s="165" t="s">
        <v>143</v>
      </c>
      <c r="D87" s="166">
        <v>6.5973797197777797</v>
      </c>
      <c r="E87" s="167"/>
      <c r="F87" s="168">
        <v>0.03</v>
      </c>
      <c r="G87" s="168">
        <v>0.03</v>
      </c>
      <c r="H87" s="169"/>
      <c r="I87" s="170">
        <v>3</v>
      </c>
      <c r="J87" s="170">
        <v>3</v>
      </c>
      <c r="K87" s="167"/>
      <c r="L87" s="171">
        <v>12823.08959</v>
      </c>
      <c r="M87" s="171">
        <v>2051.76953</v>
      </c>
      <c r="N87" s="171">
        <v>14874.859119999999</v>
      </c>
      <c r="O87" s="166">
        <v>2254.6616614180598</v>
      </c>
      <c r="P87" s="172">
        <v>271.31</v>
      </c>
      <c r="Q87" s="178">
        <v>8.31027850583488</v>
      </c>
      <c r="R87" s="179">
        <v>12769.895452075099</v>
      </c>
      <c r="S87" s="168">
        <v>0.01</v>
      </c>
      <c r="T87" s="168">
        <v>0.01</v>
      </c>
      <c r="U87" s="175">
        <v>0</v>
      </c>
      <c r="V87" s="176">
        <v>0</v>
      </c>
      <c r="W87" s="167"/>
      <c r="X87" s="175">
        <v>3113.3211900000001</v>
      </c>
      <c r="Y87" s="166">
        <v>471.902682919222</v>
      </c>
      <c r="Z87" s="177">
        <v>573</v>
      </c>
      <c r="AA87" s="188">
        <v>0.82356489165658298</v>
      </c>
      <c r="AB87" s="171">
        <v>-1332.3099394128201</v>
      </c>
      <c r="AC87" s="168"/>
      <c r="AD87" s="168"/>
      <c r="AE87" s="176">
        <v>667</v>
      </c>
      <c r="AF87" s="176">
        <v>1424</v>
      </c>
      <c r="AG87" s="167"/>
      <c r="AH87" s="180">
        <v>318.8</v>
      </c>
      <c r="AI87" s="166">
        <v>48.322214809660601</v>
      </c>
      <c r="AJ87" s="181" t="s">
        <v>53</v>
      </c>
      <c r="AK87" s="173">
        <v>0.767019282693025</v>
      </c>
      <c r="AL87" s="174">
        <v>-169.986668678896</v>
      </c>
      <c r="AM87" s="168"/>
      <c r="AN87" s="168"/>
      <c r="AO87" s="176">
        <v>97</v>
      </c>
      <c r="AP87" s="176">
        <v>180</v>
      </c>
      <c r="AQ87" s="167"/>
      <c r="AR87" s="180">
        <v>51.4</v>
      </c>
      <c r="AS87" s="166">
        <v>7.7909718984208096</v>
      </c>
      <c r="AT87" s="181" t="s">
        <v>54</v>
      </c>
      <c r="AU87" s="173">
        <v>0.48693574365130099</v>
      </c>
      <c r="AV87" s="174">
        <v>-72.736296807338704</v>
      </c>
      <c r="AW87" s="168"/>
      <c r="AX87" s="168"/>
      <c r="AY87" s="176">
        <v>55</v>
      </c>
      <c r="AZ87" s="176">
        <v>76</v>
      </c>
      <c r="BA87" s="167"/>
      <c r="BB87" s="184">
        <v>264.39999999999998</v>
      </c>
      <c r="BC87" s="180">
        <v>40.076516924950603</v>
      </c>
      <c r="BD87" s="181" t="s">
        <v>55</v>
      </c>
      <c r="BE87" s="178">
        <v>1.2523911539047099</v>
      </c>
      <c r="BF87" s="179">
        <v>16.127406385322601</v>
      </c>
      <c r="BG87" s="168">
        <v>0.02</v>
      </c>
      <c r="BH87" s="168">
        <v>0.02</v>
      </c>
      <c r="BI87" s="176">
        <v>0</v>
      </c>
      <c r="BJ87" s="176">
        <v>0</v>
      </c>
      <c r="BK87" s="169"/>
      <c r="BL87" s="185">
        <v>0.8</v>
      </c>
      <c r="BM87" s="188">
        <v>0.74</v>
      </c>
      <c r="BN87" s="186"/>
      <c r="BO87" s="187">
        <v>0.95</v>
      </c>
      <c r="BP87" s="178">
        <v>1</v>
      </c>
      <c r="BQ87" s="186">
        <v>2.5000000000000001E-3</v>
      </c>
    </row>
    <row r="88" spans="1:69" s="156" customFormat="1" ht="22.35" customHeight="1" x14ac:dyDescent="0.2">
      <c r="A88" s="165" t="s">
        <v>139</v>
      </c>
      <c r="B88" s="165" t="s">
        <v>140</v>
      </c>
      <c r="C88" s="165" t="s">
        <v>144</v>
      </c>
      <c r="D88" s="166">
        <v>1.00891054722222</v>
      </c>
      <c r="E88" s="167"/>
      <c r="F88" s="168">
        <v>0.02</v>
      </c>
      <c r="G88" s="168">
        <v>0.02</v>
      </c>
      <c r="H88" s="169"/>
      <c r="I88" s="170">
        <v>2</v>
      </c>
      <c r="J88" s="170">
        <v>2</v>
      </c>
      <c r="K88" s="167"/>
      <c r="L88" s="171">
        <v>-8753.2823599999992</v>
      </c>
      <c r="M88" s="171">
        <v>-1747.70876</v>
      </c>
      <c r="N88" s="171">
        <v>-10500.991120000001</v>
      </c>
      <c r="O88" s="166">
        <v>-10408.2479352722</v>
      </c>
      <c r="P88" s="172">
        <v>287.5</v>
      </c>
      <c r="Q88" s="173">
        <v>-36.202601513990103</v>
      </c>
      <c r="R88" s="174">
        <v>-10842.1037760158</v>
      </c>
      <c r="S88" s="168"/>
      <c r="T88" s="168"/>
      <c r="U88" s="175">
        <v>10792</v>
      </c>
      <c r="V88" s="176">
        <v>10850</v>
      </c>
      <c r="W88" s="167"/>
      <c r="X88" s="175">
        <v>354.96262000000002</v>
      </c>
      <c r="Y88" s="166">
        <v>351.82764317143801</v>
      </c>
      <c r="Z88" s="177">
        <v>573</v>
      </c>
      <c r="AA88" s="173">
        <v>0.61400984846673201</v>
      </c>
      <c r="AB88" s="174">
        <v>-324.88973442459798</v>
      </c>
      <c r="AC88" s="168"/>
      <c r="AD88" s="168"/>
      <c r="AE88" s="176">
        <v>224</v>
      </c>
      <c r="AF88" s="176">
        <v>339</v>
      </c>
      <c r="AG88" s="167"/>
      <c r="AH88" s="180">
        <v>23.6</v>
      </c>
      <c r="AI88" s="166">
        <v>23.3915683258308</v>
      </c>
      <c r="AJ88" s="181" t="s">
        <v>53</v>
      </c>
      <c r="AK88" s="173">
        <v>0.371294735330648</v>
      </c>
      <c r="AL88" s="174">
        <v>-51.148164622599801</v>
      </c>
      <c r="AM88" s="168"/>
      <c r="AN88" s="168"/>
      <c r="AO88" s="176">
        <v>40</v>
      </c>
      <c r="AP88" s="176">
        <v>53</v>
      </c>
      <c r="AQ88" s="167"/>
      <c r="AR88" s="180"/>
      <c r="AS88" s="166" t="s">
        <v>145</v>
      </c>
      <c r="AT88" s="181" t="s">
        <v>54</v>
      </c>
      <c r="AU88" s="173"/>
      <c r="AV88" s="174"/>
      <c r="AW88" s="168"/>
      <c r="AX88" s="168"/>
      <c r="AY88" s="176">
        <v>17</v>
      </c>
      <c r="AZ88" s="176">
        <v>20</v>
      </c>
      <c r="BA88" s="167"/>
      <c r="BB88" s="184">
        <v>60.4</v>
      </c>
      <c r="BC88" s="180">
        <v>59.866556223736602</v>
      </c>
      <c r="BD88" s="181" t="s">
        <v>55</v>
      </c>
      <c r="BE88" s="178">
        <v>1.8708298819917699</v>
      </c>
      <c r="BF88" s="179">
        <v>22.432678286933399</v>
      </c>
      <c r="BG88" s="168">
        <v>0.02</v>
      </c>
      <c r="BH88" s="168">
        <v>0.02</v>
      </c>
      <c r="BI88" s="176">
        <v>0</v>
      </c>
      <c r="BJ88" s="176">
        <v>0</v>
      </c>
      <c r="BK88" s="169"/>
      <c r="BL88" s="185">
        <v>0.8</v>
      </c>
      <c r="BM88" s="173"/>
      <c r="BN88" s="186"/>
      <c r="BO88" s="187">
        <v>0.95</v>
      </c>
      <c r="BP88" s="178">
        <v>1</v>
      </c>
      <c r="BQ88" s="186">
        <v>2.5000000000000001E-3</v>
      </c>
    </row>
    <row r="89" spans="1:69" s="156" customFormat="1" ht="22.35" customHeight="1" x14ac:dyDescent="0.2">
      <c r="A89" s="165" t="s">
        <v>139</v>
      </c>
      <c r="B89" s="165" t="s">
        <v>140</v>
      </c>
      <c r="C89" s="165" t="s">
        <v>146</v>
      </c>
      <c r="D89" s="166">
        <v>1.63022700111111</v>
      </c>
      <c r="E89" s="167"/>
      <c r="F89" s="168"/>
      <c r="G89" s="168"/>
      <c r="H89" s="169"/>
      <c r="I89" s="170">
        <v>2</v>
      </c>
      <c r="J89" s="170">
        <v>2</v>
      </c>
      <c r="K89" s="167"/>
      <c r="L89" s="171">
        <v>-7896.3955299999998</v>
      </c>
      <c r="M89" s="171">
        <v>-1205.2751499999999</v>
      </c>
      <c r="N89" s="171">
        <v>-9101.6706799999993</v>
      </c>
      <c r="O89" s="166">
        <v>-5583.0695196414899</v>
      </c>
      <c r="P89" s="172">
        <v>264.70999999999998</v>
      </c>
      <c r="Q89" s="173">
        <v>-21.091267876700901</v>
      </c>
      <c r="R89" s="174">
        <v>-9609.1586500098092</v>
      </c>
      <c r="S89" s="168"/>
      <c r="T89" s="168"/>
      <c r="U89" s="175">
        <v>9534</v>
      </c>
      <c r="V89" s="176">
        <v>9620</v>
      </c>
      <c r="W89" s="167"/>
      <c r="X89" s="175">
        <v>368.50261</v>
      </c>
      <c r="Y89" s="166">
        <v>226.04374099364099</v>
      </c>
      <c r="Z89" s="177">
        <v>573</v>
      </c>
      <c r="AA89" s="173">
        <v>0.39449169457877997</v>
      </c>
      <c r="AB89" s="174">
        <v>-730.02259424471902</v>
      </c>
      <c r="AC89" s="168"/>
      <c r="AD89" s="168"/>
      <c r="AE89" s="176">
        <v>566</v>
      </c>
      <c r="AF89" s="176">
        <v>753</v>
      </c>
      <c r="AG89" s="167"/>
      <c r="AH89" s="180">
        <v>65.2</v>
      </c>
      <c r="AI89" s="166">
        <v>39.994430196262101</v>
      </c>
      <c r="AJ89" s="181" t="s">
        <v>53</v>
      </c>
      <c r="AK89" s="173">
        <v>0.63483222533749295</v>
      </c>
      <c r="AL89" s="174">
        <v>-55.580258058319899</v>
      </c>
      <c r="AM89" s="168"/>
      <c r="AN89" s="168"/>
      <c r="AO89" s="176">
        <v>38</v>
      </c>
      <c r="AP89" s="176">
        <v>59</v>
      </c>
      <c r="AQ89" s="167"/>
      <c r="AR89" s="180">
        <v>1.8</v>
      </c>
      <c r="AS89" s="166">
        <v>1.1041407109397501</v>
      </c>
      <c r="AT89" s="181" t="s">
        <v>54</v>
      </c>
      <c r="AU89" s="173">
        <v>6.9008794433734394E-2</v>
      </c>
      <c r="AV89" s="174">
        <v>-28.8743512529066</v>
      </c>
      <c r="AW89" s="168"/>
      <c r="AX89" s="168"/>
      <c r="AY89" s="176">
        <v>25</v>
      </c>
      <c r="AZ89" s="176">
        <v>30</v>
      </c>
      <c r="BA89" s="167"/>
      <c r="BB89" s="184">
        <v>26</v>
      </c>
      <c r="BC89" s="180">
        <v>15.9486991580186</v>
      </c>
      <c r="BD89" s="181" t="s">
        <v>55</v>
      </c>
      <c r="BE89" s="173">
        <v>0.49839684868808198</v>
      </c>
      <c r="BF89" s="174">
        <v>-35.3487025058133</v>
      </c>
      <c r="BG89" s="168"/>
      <c r="BH89" s="168"/>
      <c r="BI89" s="176">
        <v>27</v>
      </c>
      <c r="BJ89" s="176">
        <v>37</v>
      </c>
      <c r="BK89" s="169"/>
      <c r="BL89" s="185">
        <v>0.8</v>
      </c>
      <c r="BM89" s="178">
        <v>1</v>
      </c>
      <c r="BN89" s="186">
        <v>7.4999999999999997E-3</v>
      </c>
      <c r="BO89" s="187">
        <v>0.95</v>
      </c>
      <c r="BP89" s="178">
        <v>1</v>
      </c>
      <c r="BQ89" s="186">
        <v>2.5000000000000001E-3</v>
      </c>
    </row>
    <row r="90" spans="1:69" s="156" customFormat="1" ht="22.35" customHeight="1" x14ac:dyDescent="0.2">
      <c r="A90" s="165" t="s">
        <v>139</v>
      </c>
      <c r="B90" s="165" t="s">
        <v>140</v>
      </c>
      <c r="C90" s="165" t="s">
        <v>147</v>
      </c>
      <c r="D90" s="166">
        <v>4.5991464215555604</v>
      </c>
      <c r="E90" s="167"/>
      <c r="F90" s="168">
        <v>0.03</v>
      </c>
      <c r="G90" s="168">
        <v>2.7E-2</v>
      </c>
      <c r="H90" s="169"/>
      <c r="I90" s="170">
        <v>3</v>
      </c>
      <c r="J90" s="170">
        <v>3</v>
      </c>
      <c r="K90" s="167"/>
      <c r="L90" s="171">
        <v>1660.2193</v>
      </c>
      <c r="M90" s="171">
        <v>3468.1925700000002</v>
      </c>
      <c r="N90" s="171">
        <v>5128.4118699999999</v>
      </c>
      <c r="O90" s="166">
        <v>1115.0790603151599</v>
      </c>
      <c r="P90" s="172">
        <v>265.83499999999998</v>
      </c>
      <c r="Q90" s="178">
        <v>4.1946284737343102</v>
      </c>
      <c r="R90" s="179">
        <v>3690.61770136631</v>
      </c>
      <c r="S90" s="168">
        <v>0.01</v>
      </c>
      <c r="T90" s="168">
        <v>0.01</v>
      </c>
      <c r="U90" s="175">
        <v>0</v>
      </c>
      <c r="V90" s="176">
        <v>0</v>
      </c>
      <c r="W90" s="167"/>
      <c r="X90" s="175">
        <v>2366.277705</v>
      </c>
      <c r="Y90" s="166">
        <v>514.50366831323004</v>
      </c>
      <c r="Z90" s="177">
        <v>573</v>
      </c>
      <c r="AA90" s="188">
        <v>0.89791216110511396</v>
      </c>
      <c r="AB90" s="171">
        <v>-732.84791287237101</v>
      </c>
      <c r="AC90" s="168"/>
      <c r="AD90" s="168"/>
      <c r="AE90" s="176">
        <v>270</v>
      </c>
      <c r="AF90" s="176">
        <v>797</v>
      </c>
      <c r="AG90" s="167"/>
      <c r="AH90" s="180">
        <v>263.89999999999998</v>
      </c>
      <c r="AI90" s="166">
        <v>57.380212720155598</v>
      </c>
      <c r="AJ90" s="181" t="s">
        <v>53</v>
      </c>
      <c r="AK90" s="188">
        <v>0.91079702730405598</v>
      </c>
      <c r="AL90" s="171">
        <v>-76.841560080208296</v>
      </c>
      <c r="AM90" s="168"/>
      <c r="AN90" s="168"/>
      <c r="AO90" s="176">
        <v>26</v>
      </c>
      <c r="AP90" s="176">
        <v>84</v>
      </c>
      <c r="AQ90" s="167"/>
      <c r="AR90" s="180">
        <v>57</v>
      </c>
      <c r="AS90" s="166">
        <v>12.393604111590999</v>
      </c>
      <c r="AT90" s="181" t="s">
        <v>54</v>
      </c>
      <c r="AU90" s="173">
        <v>0.77460025697443702</v>
      </c>
      <c r="AV90" s="174">
        <v>-29.5375390679894</v>
      </c>
      <c r="AW90" s="168"/>
      <c r="AX90" s="168"/>
      <c r="AY90" s="176">
        <v>17</v>
      </c>
      <c r="AZ90" s="176">
        <v>32</v>
      </c>
      <c r="BA90" s="167"/>
      <c r="BB90" s="184">
        <v>172.4</v>
      </c>
      <c r="BC90" s="180">
        <v>37.485216646285799</v>
      </c>
      <c r="BD90" s="181" t="s">
        <v>55</v>
      </c>
      <c r="BE90" s="178">
        <v>1.1714130201964299</v>
      </c>
      <c r="BF90" s="179">
        <v>-0.67507813597879396</v>
      </c>
      <c r="BG90" s="168">
        <v>0.02</v>
      </c>
      <c r="BH90" s="168">
        <v>1.7000000000000001E-2</v>
      </c>
      <c r="BI90" s="176">
        <v>0</v>
      </c>
      <c r="BJ90" s="176">
        <v>5</v>
      </c>
      <c r="BK90" s="169"/>
      <c r="BL90" s="185">
        <v>0.8</v>
      </c>
      <c r="BM90" s="188">
        <v>0.74</v>
      </c>
      <c r="BN90" s="186"/>
      <c r="BO90" s="187">
        <v>0.95</v>
      </c>
      <c r="BP90" s="178">
        <v>1</v>
      </c>
      <c r="BQ90" s="186">
        <v>2.5000000000000001E-3</v>
      </c>
    </row>
    <row r="91" spans="1:69" s="156" customFormat="1" ht="22.35" customHeight="1" x14ac:dyDescent="0.2">
      <c r="A91" s="165" t="s">
        <v>139</v>
      </c>
      <c r="B91" s="165" t="s">
        <v>140</v>
      </c>
      <c r="C91" s="165" t="s">
        <v>148</v>
      </c>
      <c r="D91" s="166">
        <v>5.8587699798888897</v>
      </c>
      <c r="E91" s="167"/>
      <c r="F91" s="168">
        <v>0.03</v>
      </c>
      <c r="G91" s="168">
        <v>0.03</v>
      </c>
      <c r="H91" s="169"/>
      <c r="I91" s="170">
        <v>3</v>
      </c>
      <c r="J91" s="170">
        <v>3</v>
      </c>
      <c r="K91" s="167"/>
      <c r="L91" s="171">
        <v>5422.3206300000002</v>
      </c>
      <c r="M91" s="171">
        <v>3287.29142</v>
      </c>
      <c r="N91" s="171">
        <v>8709.6120499999997</v>
      </c>
      <c r="O91" s="166">
        <v>1486.59395741718</v>
      </c>
      <c r="P91" s="172">
        <v>266.37799999999999</v>
      </c>
      <c r="Q91" s="178">
        <v>5.5807685222397501</v>
      </c>
      <c r="R91" s="179">
        <v>6874.29067266946</v>
      </c>
      <c r="S91" s="168">
        <v>0.01</v>
      </c>
      <c r="T91" s="168">
        <v>0.01</v>
      </c>
      <c r="U91" s="175">
        <v>0</v>
      </c>
      <c r="V91" s="176">
        <v>0</v>
      </c>
      <c r="W91" s="167"/>
      <c r="X91" s="175">
        <v>2522.5543050000001</v>
      </c>
      <c r="Y91" s="166">
        <v>430.56039299358901</v>
      </c>
      <c r="Z91" s="177">
        <v>573</v>
      </c>
      <c r="AA91" s="173">
        <v>0.75141429841813001</v>
      </c>
      <c r="AB91" s="174">
        <v>-1425.36612840817</v>
      </c>
      <c r="AC91" s="168"/>
      <c r="AD91" s="168"/>
      <c r="AE91" s="176">
        <v>835</v>
      </c>
      <c r="AF91" s="176">
        <v>1506</v>
      </c>
      <c r="AG91" s="167"/>
      <c r="AH91" s="180">
        <v>296.7</v>
      </c>
      <c r="AI91" s="166">
        <v>50.642029132133104</v>
      </c>
      <c r="AJ91" s="181" t="s">
        <v>53</v>
      </c>
      <c r="AK91" s="188">
        <v>0.80384173225608102</v>
      </c>
      <c r="AL91" s="171">
        <v>-137.36455027000801</v>
      </c>
      <c r="AM91" s="168"/>
      <c r="AN91" s="168"/>
      <c r="AO91" s="176">
        <v>73</v>
      </c>
      <c r="AP91" s="176">
        <v>147</v>
      </c>
      <c r="AQ91" s="167"/>
      <c r="AR91" s="180">
        <v>25.4</v>
      </c>
      <c r="AS91" s="166">
        <v>4.3353809907522098</v>
      </c>
      <c r="AT91" s="181" t="s">
        <v>54</v>
      </c>
      <c r="AU91" s="173">
        <v>0.270961311922013</v>
      </c>
      <c r="AV91" s="174">
        <v>-84.838615941589296</v>
      </c>
      <c r="AW91" s="168"/>
      <c r="AX91" s="168"/>
      <c r="AY91" s="176">
        <v>69</v>
      </c>
      <c r="AZ91" s="176">
        <v>88</v>
      </c>
      <c r="BA91" s="167"/>
      <c r="BB91" s="184">
        <v>242</v>
      </c>
      <c r="BC91" s="180">
        <v>41.305598415828101</v>
      </c>
      <c r="BD91" s="181" t="s">
        <v>55</v>
      </c>
      <c r="BE91" s="178">
        <v>1.2907999504946299</v>
      </c>
      <c r="BF91" s="179">
        <v>21.5227681168213</v>
      </c>
      <c r="BG91" s="168">
        <v>0.02</v>
      </c>
      <c r="BH91" s="168">
        <v>0.02</v>
      </c>
      <c r="BI91" s="176">
        <v>0</v>
      </c>
      <c r="BJ91" s="176">
        <v>0</v>
      </c>
      <c r="BK91" s="169"/>
      <c r="BL91" s="185">
        <v>0.8</v>
      </c>
      <c r="BM91" s="188">
        <v>0.72</v>
      </c>
      <c r="BN91" s="186"/>
      <c r="BO91" s="187">
        <v>0.95</v>
      </c>
      <c r="BP91" s="178">
        <v>1</v>
      </c>
      <c r="BQ91" s="186">
        <v>2.5000000000000001E-3</v>
      </c>
    </row>
    <row r="92" spans="1:69" s="156" customFormat="1" ht="22.35" customHeight="1" x14ac:dyDescent="0.2">
      <c r="A92" s="165" t="s">
        <v>139</v>
      </c>
      <c r="B92" s="165" t="s">
        <v>140</v>
      </c>
      <c r="C92" s="165" t="s">
        <v>149</v>
      </c>
      <c r="D92" s="166">
        <v>3.2458373859999998</v>
      </c>
      <c r="E92" s="167"/>
      <c r="F92" s="168">
        <v>3.9E-2</v>
      </c>
      <c r="G92" s="168">
        <v>3.5000000000000003E-2</v>
      </c>
      <c r="H92" s="169"/>
      <c r="I92" s="170">
        <v>5</v>
      </c>
      <c r="J92" s="170">
        <v>4</v>
      </c>
      <c r="K92" s="167"/>
      <c r="L92" s="171">
        <v>2339.5276899999999</v>
      </c>
      <c r="M92" s="171">
        <v>2198.0561299999999</v>
      </c>
      <c r="N92" s="171">
        <v>4537.5838199999998</v>
      </c>
      <c r="O92" s="166">
        <v>1397.97016313004</v>
      </c>
      <c r="P92" s="172">
        <v>247.02500000000001</v>
      </c>
      <c r="Q92" s="178">
        <v>5.6592254351990299</v>
      </c>
      <c r="R92" s="179">
        <v>3594.6635151946598</v>
      </c>
      <c r="S92" s="168">
        <v>0.01</v>
      </c>
      <c r="T92" s="168">
        <v>0.01</v>
      </c>
      <c r="U92" s="175">
        <v>0</v>
      </c>
      <c r="V92" s="176">
        <v>0</v>
      </c>
      <c r="W92" s="167"/>
      <c r="X92" s="175">
        <v>1957.8344999999999</v>
      </c>
      <c r="Y92" s="166">
        <v>603.18317499347404</v>
      </c>
      <c r="Z92" s="177">
        <v>573</v>
      </c>
      <c r="AA92" s="182">
        <v>1.0526756980688901</v>
      </c>
      <c r="AB92" s="183">
        <v>-229.366530881328</v>
      </c>
      <c r="AC92" s="168">
        <v>7.0000000000000001E-3</v>
      </c>
      <c r="AD92" s="168">
        <v>5.0000000000000001E-3</v>
      </c>
      <c r="AE92" s="176">
        <v>0</v>
      </c>
      <c r="AF92" s="176">
        <v>275</v>
      </c>
      <c r="AG92" s="167"/>
      <c r="AH92" s="180">
        <v>204.3</v>
      </c>
      <c r="AI92" s="166">
        <v>62.942155044855298</v>
      </c>
      <c r="AJ92" s="181" t="s">
        <v>53</v>
      </c>
      <c r="AK92" s="182">
        <v>0.99908182610881502</v>
      </c>
      <c r="AL92" s="183">
        <v>-36.177600253968002</v>
      </c>
      <c r="AM92" s="168">
        <v>2E-3</v>
      </c>
      <c r="AN92" s="168">
        <v>0</v>
      </c>
      <c r="AO92" s="176">
        <v>1</v>
      </c>
      <c r="AP92" s="176">
        <v>42</v>
      </c>
      <c r="AQ92" s="167"/>
      <c r="AR92" s="180">
        <v>30.6</v>
      </c>
      <c r="AS92" s="166">
        <v>9.4274593459254703</v>
      </c>
      <c r="AT92" s="181" t="s">
        <v>54</v>
      </c>
      <c r="AU92" s="173">
        <v>0.589216209120342</v>
      </c>
      <c r="AV92" s="174">
        <v>-30.473676254975999</v>
      </c>
      <c r="AW92" s="168"/>
      <c r="AX92" s="168"/>
      <c r="AY92" s="176">
        <v>22</v>
      </c>
      <c r="AZ92" s="176">
        <v>32</v>
      </c>
      <c r="BA92" s="167"/>
      <c r="BB92" s="184">
        <v>148.6</v>
      </c>
      <c r="BC92" s="180">
        <v>45.781714340017203</v>
      </c>
      <c r="BD92" s="181" t="s">
        <v>55</v>
      </c>
      <c r="BE92" s="178">
        <v>1.43067857312554</v>
      </c>
      <c r="BF92" s="179">
        <v>26.452647490048001</v>
      </c>
      <c r="BG92" s="168">
        <v>0.02</v>
      </c>
      <c r="BH92" s="168">
        <v>0.02</v>
      </c>
      <c r="BI92" s="176">
        <v>0</v>
      </c>
      <c r="BJ92" s="176">
        <v>0</v>
      </c>
      <c r="BK92" s="169"/>
      <c r="BL92" s="185">
        <v>0.8</v>
      </c>
      <c r="BM92" s="188">
        <v>0.71</v>
      </c>
      <c r="BN92" s="186"/>
      <c r="BO92" s="187">
        <v>0.95</v>
      </c>
      <c r="BP92" s="178">
        <v>1</v>
      </c>
      <c r="BQ92" s="186">
        <v>2.5000000000000001E-3</v>
      </c>
    </row>
    <row r="93" spans="1:69" s="156" customFormat="1" ht="22.35" customHeight="1" x14ac:dyDescent="0.2">
      <c r="A93" s="165" t="s">
        <v>139</v>
      </c>
      <c r="B93" s="165" t="s">
        <v>140</v>
      </c>
      <c r="C93" s="165" t="s">
        <v>150</v>
      </c>
      <c r="D93" s="166">
        <v>5.9735728475555598</v>
      </c>
      <c r="E93" s="167"/>
      <c r="F93" s="168">
        <v>0.01</v>
      </c>
      <c r="G93" s="168">
        <v>0.01</v>
      </c>
      <c r="H93" s="169"/>
      <c r="I93" s="170">
        <v>2</v>
      </c>
      <c r="J93" s="170">
        <v>2</v>
      </c>
      <c r="K93" s="167"/>
      <c r="L93" s="171">
        <v>3053.6942600000002</v>
      </c>
      <c r="M93" s="171">
        <v>2994.8119499999998</v>
      </c>
      <c r="N93" s="171">
        <v>6048.5062099999996</v>
      </c>
      <c r="O93" s="166">
        <v>1012.54414474498</v>
      </c>
      <c r="P93" s="172">
        <v>287.5</v>
      </c>
      <c r="Q93" s="178">
        <v>3.5218926773738399</v>
      </c>
      <c r="R93" s="179">
        <v>4028.8412302414599</v>
      </c>
      <c r="S93" s="168">
        <v>0.01</v>
      </c>
      <c r="T93" s="168">
        <v>0.01</v>
      </c>
      <c r="U93" s="175">
        <v>0</v>
      </c>
      <c r="V93" s="176">
        <v>0</v>
      </c>
      <c r="W93" s="167"/>
      <c r="X93" s="175">
        <v>2316.2298350000001</v>
      </c>
      <c r="Y93" s="166">
        <v>387.74614357433097</v>
      </c>
      <c r="Z93" s="177">
        <v>573</v>
      </c>
      <c r="AA93" s="173">
        <v>0.67669484044385797</v>
      </c>
      <c r="AB93" s="174">
        <v>-1709.05028117962</v>
      </c>
      <c r="AC93" s="168"/>
      <c r="AD93" s="168"/>
      <c r="AE93" s="176">
        <v>1107</v>
      </c>
      <c r="AF93" s="176">
        <v>1792</v>
      </c>
      <c r="AG93" s="167"/>
      <c r="AH93" s="180">
        <v>331.6</v>
      </c>
      <c r="AI93" s="166">
        <v>55.511167012166602</v>
      </c>
      <c r="AJ93" s="181" t="s">
        <v>53</v>
      </c>
      <c r="AK93" s="188">
        <v>0.88112963511375497</v>
      </c>
      <c r="AL93" s="171">
        <v>-110.970065129696</v>
      </c>
      <c r="AM93" s="168"/>
      <c r="AN93" s="168"/>
      <c r="AO93" s="176">
        <v>45</v>
      </c>
      <c r="AP93" s="176">
        <v>121</v>
      </c>
      <c r="AQ93" s="167"/>
      <c r="AR93" s="180">
        <v>32.4</v>
      </c>
      <c r="AS93" s="166">
        <v>5.4238896598136197</v>
      </c>
      <c r="AT93" s="181" t="s">
        <v>54</v>
      </c>
      <c r="AU93" s="173">
        <v>0.33899310373835101</v>
      </c>
      <c r="AV93" s="174">
        <v>-79.998746699605405</v>
      </c>
      <c r="AW93" s="168"/>
      <c r="AX93" s="168"/>
      <c r="AY93" s="176">
        <v>64</v>
      </c>
      <c r="AZ93" s="176">
        <v>83</v>
      </c>
      <c r="BA93" s="167"/>
      <c r="BB93" s="184">
        <v>149.19999999999999</v>
      </c>
      <c r="BC93" s="180">
        <v>24.976677075438001</v>
      </c>
      <c r="BD93" s="181" t="s">
        <v>55</v>
      </c>
      <c r="BE93" s="188">
        <v>0.78052115860743898</v>
      </c>
      <c r="BF93" s="171">
        <v>-75.597493399210805</v>
      </c>
      <c r="BG93" s="168"/>
      <c r="BH93" s="168"/>
      <c r="BI93" s="176">
        <v>42</v>
      </c>
      <c r="BJ93" s="176">
        <v>81</v>
      </c>
      <c r="BK93" s="169"/>
      <c r="BL93" s="185">
        <v>0.8</v>
      </c>
      <c r="BM93" s="188">
        <v>0.76</v>
      </c>
      <c r="BN93" s="186"/>
      <c r="BO93" s="187">
        <v>0.95</v>
      </c>
      <c r="BP93" s="178">
        <v>1</v>
      </c>
      <c r="BQ93" s="186">
        <v>2.5000000000000001E-3</v>
      </c>
    </row>
    <row r="94" spans="1:69" s="156" customFormat="1" ht="22.35" customHeight="1" x14ac:dyDescent="0.2">
      <c r="A94" s="165" t="s">
        <v>139</v>
      </c>
      <c r="B94" s="165" t="s">
        <v>140</v>
      </c>
      <c r="C94" s="165" t="s">
        <v>151</v>
      </c>
      <c r="D94" s="166">
        <v>5.3472902687777797</v>
      </c>
      <c r="E94" s="167"/>
      <c r="F94" s="168">
        <v>8.9999999999999993E-3</v>
      </c>
      <c r="G94" s="168">
        <v>7.0000000000000001E-3</v>
      </c>
      <c r="H94" s="169"/>
      <c r="I94" s="170">
        <v>2</v>
      </c>
      <c r="J94" s="170">
        <v>2</v>
      </c>
      <c r="K94" s="167"/>
      <c r="L94" s="171">
        <v>2396.19931</v>
      </c>
      <c r="M94" s="171">
        <v>-1387.4469200000001</v>
      </c>
      <c r="N94" s="171">
        <v>1008.75239</v>
      </c>
      <c r="O94" s="166">
        <v>188.64739696103501</v>
      </c>
      <c r="P94" s="172">
        <v>287.5</v>
      </c>
      <c r="Q94" s="173">
        <v>0.65616485899490395</v>
      </c>
      <c r="R94" s="174">
        <v>-799.16644987376696</v>
      </c>
      <c r="S94" s="168"/>
      <c r="T94" s="168"/>
      <c r="U94" s="175">
        <v>529</v>
      </c>
      <c r="V94" s="176">
        <v>837</v>
      </c>
      <c r="W94" s="167"/>
      <c r="X94" s="175">
        <v>2534.1461450000002</v>
      </c>
      <c r="Y94" s="166">
        <v>473.91220929160897</v>
      </c>
      <c r="Z94" s="177">
        <v>573</v>
      </c>
      <c r="AA94" s="188">
        <v>0.82707191848448403</v>
      </c>
      <c r="AB94" s="171">
        <v>-1069.1147080353701</v>
      </c>
      <c r="AC94" s="168"/>
      <c r="AD94" s="168"/>
      <c r="AE94" s="176">
        <v>530</v>
      </c>
      <c r="AF94" s="176">
        <v>1143</v>
      </c>
      <c r="AG94" s="167"/>
      <c r="AH94" s="180">
        <v>315.45</v>
      </c>
      <c r="AI94" s="166">
        <v>58.992496038952098</v>
      </c>
      <c r="AJ94" s="181" t="s">
        <v>53</v>
      </c>
      <c r="AK94" s="188">
        <v>0.93638882601511197</v>
      </c>
      <c r="AL94" s="171">
        <v>-80.720041433208095</v>
      </c>
      <c r="AM94" s="168"/>
      <c r="AN94" s="168"/>
      <c r="AO94" s="176">
        <v>22</v>
      </c>
      <c r="AP94" s="176">
        <v>89</v>
      </c>
      <c r="AQ94" s="167"/>
      <c r="AR94" s="180">
        <v>19.100000000000001</v>
      </c>
      <c r="AS94" s="166">
        <v>3.5719025973814702</v>
      </c>
      <c r="AT94" s="181" t="s">
        <v>54</v>
      </c>
      <c r="AU94" s="173">
        <v>0.223243912336342</v>
      </c>
      <c r="AV94" s="174">
        <v>-81.514613697322702</v>
      </c>
      <c r="AW94" s="168"/>
      <c r="AX94" s="168"/>
      <c r="AY94" s="176">
        <v>67</v>
      </c>
      <c r="AZ94" s="176">
        <v>84</v>
      </c>
      <c r="BA94" s="167"/>
      <c r="BB94" s="184">
        <v>183</v>
      </c>
      <c r="BC94" s="180">
        <v>34.2229411162727</v>
      </c>
      <c r="BD94" s="181" t="s">
        <v>55</v>
      </c>
      <c r="BE94" s="182">
        <v>1.0694669098835199</v>
      </c>
      <c r="BF94" s="183">
        <v>-18.229227394645399</v>
      </c>
      <c r="BG94" s="168">
        <v>8.9999999999999993E-3</v>
      </c>
      <c r="BH94" s="168">
        <v>7.0000000000000001E-3</v>
      </c>
      <c r="BI94" s="176">
        <v>0</v>
      </c>
      <c r="BJ94" s="176">
        <v>23</v>
      </c>
      <c r="BK94" s="169"/>
      <c r="BL94" s="185">
        <v>0.8</v>
      </c>
      <c r="BM94" s="188">
        <v>0.7</v>
      </c>
      <c r="BN94" s="186"/>
      <c r="BO94" s="187">
        <v>0.95</v>
      </c>
      <c r="BP94" s="178">
        <v>1</v>
      </c>
      <c r="BQ94" s="186">
        <v>2.5000000000000001E-3</v>
      </c>
    </row>
    <row r="95" spans="1:69" s="156" customFormat="1" ht="22.35" customHeight="1" x14ac:dyDescent="0.2">
      <c r="A95" s="165" t="s">
        <v>139</v>
      </c>
      <c r="B95" s="165" t="s">
        <v>140</v>
      </c>
      <c r="C95" s="165" t="s">
        <v>152</v>
      </c>
      <c r="D95" s="166">
        <v>1.85767322355556</v>
      </c>
      <c r="E95" s="167"/>
      <c r="F95" s="168">
        <v>3.3000000000000002E-2</v>
      </c>
      <c r="G95" s="168">
        <v>3.1E-2</v>
      </c>
      <c r="H95" s="169"/>
      <c r="I95" s="170">
        <v>4</v>
      </c>
      <c r="J95" s="170">
        <v>4</v>
      </c>
      <c r="K95" s="167"/>
      <c r="L95" s="171">
        <v>2061.8902699999999</v>
      </c>
      <c r="M95" s="171">
        <v>611.26007000000004</v>
      </c>
      <c r="N95" s="171">
        <v>2673.1503400000001</v>
      </c>
      <c r="O95" s="166">
        <v>1438.97769860925</v>
      </c>
      <c r="P95" s="172">
        <v>247.02500000000001</v>
      </c>
      <c r="Q95" s="178">
        <v>5.8252310438589197</v>
      </c>
      <c r="R95" s="179">
        <v>2133.4936678146</v>
      </c>
      <c r="S95" s="168">
        <v>0.01</v>
      </c>
      <c r="T95" s="168">
        <v>0.01</v>
      </c>
      <c r="U95" s="175">
        <v>0</v>
      </c>
      <c r="V95" s="176">
        <v>0</v>
      </c>
      <c r="W95" s="167"/>
      <c r="X95" s="175">
        <v>1078.9677200000001</v>
      </c>
      <c r="Y95" s="166">
        <v>580.81674770273798</v>
      </c>
      <c r="Z95" s="177">
        <v>573</v>
      </c>
      <c r="AA95" s="182">
        <v>1.0136417935475399</v>
      </c>
      <c r="AB95" s="183">
        <v>-172.821666346467</v>
      </c>
      <c r="AC95" s="168">
        <v>3.0000000000000001E-3</v>
      </c>
      <c r="AD95" s="168">
        <v>1E-3</v>
      </c>
      <c r="AE95" s="176">
        <v>0</v>
      </c>
      <c r="AF95" s="176">
        <v>199</v>
      </c>
      <c r="AG95" s="167"/>
      <c r="AH95" s="180">
        <v>101.7</v>
      </c>
      <c r="AI95" s="166">
        <v>54.745904021455303</v>
      </c>
      <c r="AJ95" s="181" t="s">
        <v>53</v>
      </c>
      <c r="AK95" s="188">
        <v>0.86898260351516399</v>
      </c>
      <c r="AL95" s="171">
        <v>-35.931293786784302</v>
      </c>
      <c r="AM95" s="168"/>
      <c r="AN95" s="168"/>
      <c r="AO95" s="176">
        <v>16</v>
      </c>
      <c r="AP95" s="176">
        <v>39</v>
      </c>
      <c r="AQ95" s="167"/>
      <c r="AR95" s="180">
        <v>25.9</v>
      </c>
      <c r="AS95" s="166">
        <v>13.942172213920299</v>
      </c>
      <c r="AT95" s="181" t="s">
        <v>54</v>
      </c>
      <c r="AU95" s="188">
        <v>0.87138576337001705</v>
      </c>
      <c r="AV95" s="171">
        <v>-9.0539793744214094</v>
      </c>
      <c r="AW95" s="168"/>
      <c r="AX95" s="168"/>
      <c r="AY95" s="176">
        <v>4</v>
      </c>
      <c r="AZ95" s="176">
        <v>10</v>
      </c>
      <c r="BA95" s="167"/>
      <c r="BB95" s="184">
        <v>94</v>
      </c>
      <c r="BC95" s="180">
        <v>50.600933903803401</v>
      </c>
      <c r="BD95" s="181" t="s">
        <v>55</v>
      </c>
      <c r="BE95" s="178">
        <v>1.5812791844938501</v>
      </c>
      <c r="BF95" s="179">
        <v>24.092041251157202</v>
      </c>
      <c r="BG95" s="168">
        <v>0.02</v>
      </c>
      <c r="BH95" s="168">
        <v>0.02</v>
      </c>
      <c r="BI95" s="176">
        <v>0</v>
      </c>
      <c r="BJ95" s="176">
        <v>0</v>
      </c>
      <c r="BK95" s="169"/>
      <c r="BL95" s="185">
        <v>0.8</v>
      </c>
      <c r="BM95" s="188">
        <v>0.77</v>
      </c>
      <c r="BN95" s="186"/>
      <c r="BO95" s="187">
        <v>0.95</v>
      </c>
      <c r="BP95" s="178">
        <v>1</v>
      </c>
      <c r="BQ95" s="186">
        <v>2.5000000000000001E-3</v>
      </c>
    </row>
    <row r="96" spans="1:69" s="156" customFormat="1" ht="22.35" customHeight="1" x14ac:dyDescent="0.2">
      <c r="A96" s="165" t="s">
        <v>139</v>
      </c>
      <c r="B96" s="165" t="s">
        <v>140</v>
      </c>
      <c r="C96" s="165" t="s">
        <v>153</v>
      </c>
      <c r="D96" s="166">
        <v>3.3075077187777802</v>
      </c>
      <c r="E96" s="167"/>
      <c r="F96" s="168">
        <v>5.0999999999999997E-2</v>
      </c>
      <c r="G96" s="168">
        <v>4.5999999999999999E-2</v>
      </c>
      <c r="H96" s="169"/>
      <c r="I96" s="170">
        <v>5</v>
      </c>
      <c r="J96" s="170">
        <v>5</v>
      </c>
      <c r="K96" s="167"/>
      <c r="L96" s="171">
        <v>1923.9039399999999</v>
      </c>
      <c r="M96" s="171">
        <v>1108.07259</v>
      </c>
      <c r="N96" s="171">
        <v>3031.9765299999999</v>
      </c>
      <c r="O96" s="166">
        <v>916.69522425798095</v>
      </c>
      <c r="P96" s="172">
        <v>248.167</v>
      </c>
      <c r="Q96" s="178">
        <v>3.6938643101539701</v>
      </c>
      <c r="R96" s="179">
        <v>2066.6989507779899</v>
      </c>
      <c r="S96" s="168">
        <v>0.01</v>
      </c>
      <c r="T96" s="168">
        <v>0.01</v>
      </c>
      <c r="U96" s="175">
        <v>0</v>
      </c>
      <c r="V96" s="176">
        <v>0</v>
      </c>
      <c r="W96" s="167"/>
      <c r="X96" s="175">
        <v>2105.4034499999998</v>
      </c>
      <c r="Y96" s="166">
        <v>636.55284552986905</v>
      </c>
      <c r="Z96" s="177">
        <v>573</v>
      </c>
      <c r="AA96" s="182">
        <v>1.1109124703837201</v>
      </c>
      <c r="AB96" s="183">
        <v>-123.354011282969</v>
      </c>
      <c r="AC96" s="168">
        <v>1.2999999999999999E-2</v>
      </c>
      <c r="AD96" s="168">
        <v>1.0999999999999999E-2</v>
      </c>
      <c r="AE96" s="176">
        <v>0</v>
      </c>
      <c r="AF96" s="176">
        <v>169</v>
      </c>
      <c r="AG96" s="167"/>
      <c r="AH96" s="180">
        <v>219.75</v>
      </c>
      <c r="AI96" s="166">
        <v>66.439754245291397</v>
      </c>
      <c r="AJ96" s="181" t="s">
        <v>53</v>
      </c>
      <c r="AK96" s="182">
        <v>1.05459927373478</v>
      </c>
      <c r="AL96" s="183">
        <v>-25.296631868808198</v>
      </c>
      <c r="AM96" s="168">
        <v>8.0000000000000002E-3</v>
      </c>
      <c r="AN96" s="168">
        <v>5.0000000000000001E-3</v>
      </c>
      <c r="AO96" s="176">
        <v>0</v>
      </c>
      <c r="AP96" s="176">
        <v>31</v>
      </c>
      <c r="AQ96" s="167"/>
      <c r="AR96" s="180">
        <v>14.6</v>
      </c>
      <c r="AS96" s="166">
        <v>4.4141998269909202</v>
      </c>
      <c r="AT96" s="181" t="s">
        <v>54</v>
      </c>
      <c r="AU96" s="173">
        <v>0.27588748918693301</v>
      </c>
      <c r="AV96" s="174">
        <v>-47.634065236522702</v>
      </c>
      <c r="AW96" s="168"/>
      <c r="AX96" s="168"/>
      <c r="AY96" s="176">
        <v>39</v>
      </c>
      <c r="AZ96" s="176">
        <v>49</v>
      </c>
      <c r="BA96" s="167"/>
      <c r="BB96" s="184">
        <v>136.6</v>
      </c>
      <c r="BC96" s="180">
        <v>41.299979203216402</v>
      </c>
      <c r="BD96" s="181" t="s">
        <v>55</v>
      </c>
      <c r="BE96" s="178">
        <v>1.2906243501005099</v>
      </c>
      <c r="BF96" s="179">
        <v>12.131869526954601</v>
      </c>
      <c r="BG96" s="168">
        <v>0.02</v>
      </c>
      <c r="BH96" s="168">
        <v>0.02</v>
      </c>
      <c r="BI96" s="176">
        <v>0</v>
      </c>
      <c r="BJ96" s="176">
        <v>0</v>
      </c>
      <c r="BK96" s="169"/>
      <c r="BL96" s="185">
        <v>0.8</v>
      </c>
      <c r="BM96" s="188">
        <v>0.71</v>
      </c>
      <c r="BN96" s="186"/>
      <c r="BO96" s="187">
        <v>0.95</v>
      </c>
      <c r="BP96" s="178">
        <v>1</v>
      </c>
      <c r="BQ96" s="186">
        <v>2.5000000000000001E-3</v>
      </c>
    </row>
    <row r="97" spans="1:69" s="156" customFormat="1" ht="22.35" customHeight="1" x14ac:dyDescent="0.2">
      <c r="A97" s="165" t="s">
        <v>139</v>
      </c>
      <c r="B97" s="165" t="s">
        <v>140</v>
      </c>
      <c r="C97" s="165" t="s">
        <v>154</v>
      </c>
      <c r="D97" s="166">
        <v>3.0547893162222199</v>
      </c>
      <c r="E97" s="167"/>
      <c r="F97" s="168">
        <v>1.6E-2</v>
      </c>
      <c r="G97" s="168">
        <v>1.4E-2</v>
      </c>
      <c r="H97" s="169"/>
      <c r="I97" s="170">
        <v>3</v>
      </c>
      <c r="J97" s="170">
        <v>3</v>
      </c>
      <c r="K97" s="167"/>
      <c r="L97" s="171">
        <v>1526.53475</v>
      </c>
      <c r="M97" s="171">
        <v>1372.72128</v>
      </c>
      <c r="N97" s="171">
        <v>2899.25603</v>
      </c>
      <c r="O97" s="166">
        <v>949.08542942838199</v>
      </c>
      <c r="P97" s="172">
        <v>285.53899999999999</v>
      </c>
      <c r="Q97" s="178">
        <v>3.3238381777213699</v>
      </c>
      <c r="R97" s="179">
        <v>1873.4765217998199</v>
      </c>
      <c r="S97" s="168">
        <v>0.01</v>
      </c>
      <c r="T97" s="168">
        <v>0.01</v>
      </c>
      <c r="U97" s="175">
        <v>0</v>
      </c>
      <c r="V97" s="176">
        <v>0</v>
      </c>
      <c r="W97" s="167"/>
      <c r="X97" s="175">
        <v>1100.48451</v>
      </c>
      <c r="Y97" s="166">
        <v>360.24890625221298</v>
      </c>
      <c r="Z97" s="177">
        <v>573</v>
      </c>
      <c r="AA97" s="173">
        <v>0.62870664267401899</v>
      </c>
      <c r="AB97" s="174">
        <v>-957.97916115771</v>
      </c>
      <c r="AC97" s="168"/>
      <c r="AD97" s="168"/>
      <c r="AE97" s="176">
        <v>650</v>
      </c>
      <c r="AF97" s="176">
        <v>1000</v>
      </c>
      <c r="AG97" s="167"/>
      <c r="AH97" s="180">
        <v>143.5</v>
      </c>
      <c r="AI97" s="166">
        <v>46.975416352922998</v>
      </c>
      <c r="AJ97" s="181" t="s">
        <v>53</v>
      </c>
      <c r="AK97" s="173">
        <v>0.74564152941147699</v>
      </c>
      <c r="AL97" s="174">
        <v>-82.823230860271806</v>
      </c>
      <c r="AM97" s="168"/>
      <c r="AN97" s="168"/>
      <c r="AO97" s="176">
        <v>49</v>
      </c>
      <c r="AP97" s="176">
        <v>88</v>
      </c>
      <c r="AQ97" s="167"/>
      <c r="AR97" s="180">
        <v>17.399999999999999</v>
      </c>
      <c r="AS97" s="166">
        <v>5.69597382955304</v>
      </c>
      <c r="AT97" s="181" t="s">
        <v>54</v>
      </c>
      <c r="AU97" s="173">
        <v>0.355998364347065</v>
      </c>
      <c r="AV97" s="174">
        <v>-40.078915774037299</v>
      </c>
      <c r="AW97" s="168"/>
      <c r="AX97" s="168"/>
      <c r="AY97" s="176">
        <v>32</v>
      </c>
      <c r="AZ97" s="176">
        <v>42</v>
      </c>
      <c r="BA97" s="167"/>
      <c r="BB97" s="184">
        <v>101.6</v>
      </c>
      <c r="BC97" s="180">
        <v>33.259249487505102</v>
      </c>
      <c r="BD97" s="181" t="s">
        <v>55</v>
      </c>
      <c r="BE97" s="182">
        <v>1.03935154648453</v>
      </c>
      <c r="BF97" s="183">
        <v>-13.3578315480746</v>
      </c>
      <c r="BG97" s="168">
        <v>6.0000000000000001E-3</v>
      </c>
      <c r="BH97" s="168">
        <v>4.0000000000000001E-3</v>
      </c>
      <c r="BI97" s="176">
        <v>0</v>
      </c>
      <c r="BJ97" s="176">
        <v>16</v>
      </c>
      <c r="BK97" s="169"/>
      <c r="BL97" s="185">
        <v>0.8</v>
      </c>
      <c r="BM97" s="188">
        <v>0.78</v>
      </c>
      <c r="BN97" s="186"/>
      <c r="BO97" s="187">
        <v>0.95</v>
      </c>
      <c r="BP97" s="178">
        <v>1</v>
      </c>
      <c r="BQ97" s="186">
        <v>2.5000000000000001E-3</v>
      </c>
    </row>
    <row r="98" spans="1:69" s="156" customFormat="1" ht="22.35" customHeight="1" x14ac:dyDescent="0.2">
      <c r="A98" s="165" t="s">
        <v>139</v>
      </c>
      <c r="B98" s="165" t="s">
        <v>140</v>
      </c>
      <c r="C98" s="165" t="s">
        <v>155</v>
      </c>
      <c r="D98" s="166">
        <v>2.7451908808888899</v>
      </c>
      <c r="E98" s="167"/>
      <c r="F98" s="168">
        <v>2.6499999999999999E-2</v>
      </c>
      <c r="G98" s="168">
        <v>2.5000000000000001E-2</v>
      </c>
      <c r="H98" s="169"/>
      <c r="I98" s="170">
        <v>3</v>
      </c>
      <c r="J98" s="170">
        <v>3</v>
      </c>
      <c r="K98" s="167"/>
      <c r="L98" s="171">
        <v>479.52219000000002</v>
      </c>
      <c r="M98" s="171">
        <v>391.96629000000001</v>
      </c>
      <c r="N98" s="171">
        <v>871.48847999999998</v>
      </c>
      <c r="O98" s="166">
        <v>317.460066644915</v>
      </c>
      <c r="P98" s="172">
        <v>287.5</v>
      </c>
      <c r="Q98" s="182">
        <v>1.10420892746057</v>
      </c>
      <c r="R98" s="183">
        <v>-56.660556828533899</v>
      </c>
      <c r="S98" s="168">
        <v>6.4999999999999997E-3</v>
      </c>
      <c r="T98" s="168">
        <v>5.0000000000000001E-3</v>
      </c>
      <c r="U98" s="175">
        <v>0</v>
      </c>
      <c r="V98" s="176">
        <v>76</v>
      </c>
      <c r="W98" s="167"/>
      <c r="X98" s="175">
        <v>728.67929000000004</v>
      </c>
      <c r="Y98" s="166">
        <v>265.43847827589099</v>
      </c>
      <c r="Z98" s="177">
        <v>573</v>
      </c>
      <c r="AA98" s="173">
        <v>0.46324341758445198</v>
      </c>
      <c r="AB98" s="174">
        <v>-1121.1620947052199</v>
      </c>
      <c r="AC98" s="168"/>
      <c r="AD98" s="168"/>
      <c r="AE98" s="176">
        <v>845</v>
      </c>
      <c r="AF98" s="176">
        <v>1159</v>
      </c>
      <c r="AG98" s="167"/>
      <c r="AH98" s="180">
        <v>166.9</v>
      </c>
      <c r="AI98" s="166">
        <v>60.797229497556103</v>
      </c>
      <c r="AJ98" s="181" t="s">
        <v>53</v>
      </c>
      <c r="AK98" s="188">
        <v>0.96503538885009699</v>
      </c>
      <c r="AL98" s="171">
        <v>-36.485701983296103</v>
      </c>
      <c r="AM98" s="168"/>
      <c r="AN98" s="168"/>
      <c r="AO98" s="176">
        <v>7</v>
      </c>
      <c r="AP98" s="176">
        <v>41</v>
      </c>
      <c r="AQ98" s="167"/>
      <c r="AR98" s="180">
        <v>23.6</v>
      </c>
      <c r="AS98" s="166">
        <v>8.5968521039084695</v>
      </c>
      <c r="AT98" s="181" t="s">
        <v>54</v>
      </c>
      <c r="AU98" s="173">
        <v>0.53730325649427901</v>
      </c>
      <c r="AV98" s="174">
        <v>-28.053511614805402</v>
      </c>
      <c r="AW98" s="168"/>
      <c r="AX98" s="168"/>
      <c r="AY98" s="176">
        <v>21</v>
      </c>
      <c r="AZ98" s="176">
        <v>30</v>
      </c>
      <c r="BA98" s="167"/>
      <c r="BB98" s="184">
        <v>108.4</v>
      </c>
      <c r="BC98" s="180">
        <v>39.487235934901598</v>
      </c>
      <c r="BD98" s="181" t="s">
        <v>55</v>
      </c>
      <c r="BE98" s="178">
        <v>1.23397612296568</v>
      </c>
      <c r="BF98" s="179">
        <v>5.0929767703892797</v>
      </c>
      <c r="BG98" s="168">
        <v>0.02</v>
      </c>
      <c r="BH98" s="168">
        <v>0.02</v>
      </c>
      <c r="BI98" s="176">
        <v>0</v>
      </c>
      <c r="BJ98" s="176">
        <v>0</v>
      </c>
      <c r="BK98" s="169"/>
      <c r="BL98" s="185">
        <v>0.8</v>
      </c>
      <c r="BM98" s="188">
        <v>0.7</v>
      </c>
      <c r="BN98" s="186"/>
      <c r="BO98" s="187">
        <v>0.95</v>
      </c>
      <c r="BP98" s="178">
        <v>1</v>
      </c>
      <c r="BQ98" s="186">
        <v>2.5000000000000001E-3</v>
      </c>
    </row>
    <row r="99" spans="1:69" s="156" customFormat="1" ht="22.35" customHeight="1" x14ac:dyDescent="0.2">
      <c r="A99" s="165" t="s">
        <v>139</v>
      </c>
      <c r="B99" s="165" t="s">
        <v>140</v>
      </c>
      <c r="C99" s="165" t="s">
        <v>156</v>
      </c>
      <c r="D99" s="166">
        <v>3.756503602</v>
      </c>
      <c r="E99" s="167"/>
      <c r="F99" s="168">
        <v>3.9E-2</v>
      </c>
      <c r="G99" s="168">
        <v>3.6999999999999998E-2</v>
      </c>
      <c r="H99" s="169"/>
      <c r="I99" s="170">
        <v>4</v>
      </c>
      <c r="J99" s="170">
        <v>4</v>
      </c>
      <c r="K99" s="167"/>
      <c r="L99" s="171">
        <v>2429.1472800000001</v>
      </c>
      <c r="M99" s="171">
        <v>-81.278499999999994</v>
      </c>
      <c r="N99" s="171">
        <v>2347.8687799999998</v>
      </c>
      <c r="O99" s="166">
        <v>625.01438272279904</v>
      </c>
      <c r="P99" s="172">
        <v>261.89100000000002</v>
      </c>
      <c r="Q99" s="178">
        <v>2.3865439542511901</v>
      </c>
      <c r="R99" s="179">
        <v>1190.9264658382899</v>
      </c>
      <c r="S99" s="168">
        <v>0.01</v>
      </c>
      <c r="T99" s="168">
        <v>0.01</v>
      </c>
      <c r="U99" s="175">
        <v>0</v>
      </c>
      <c r="V99" s="176">
        <v>0</v>
      </c>
      <c r="W99" s="167"/>
      <c r="X99" s="175">
        <v>2300.223035</v>
      </c>
      <c r="Y99" s="166">
        <v>612.330847699797</v>
      </c>
      <c r="Z99" s="177">
        <v>573</v>
      </c>
      <c r="AA99" s="182">
        <v>1.06864022286177</v>
      </c>
      <c r="AB99" s="183">
        <v>-231.08940420049601</v>
      </c>
      <c r="AC99" s="168">
        <v>8.9999999999999993E-3</v>
      </c>
      <c r="AD99" s="168">
        <v>7.0000000000000001E-3</v>
      </c>
      <c r="AE99" s="176">
        <v>0</v>
      </c>
      <c r="AF99" s="176">
        <v>283</v>
      </c>
      <c r="AG99" s="167"/>
      <c r="AH99" s="180">
        <v>223.55</v>
      </c>
      <c r="AI99" s="166">
        <v>59.510125288041699</v>
      </c>
      <c r="AJ99" s="181" t="s">
        <v>53</v>
      </c>
      <c r="AK99" s="188">
        <v>0.94460516330224897</v>
      </c>
      <c r="AL99" s="171">
        <v>-54.761838864975999</v>
      </c>
      <c r="AM99" s="168"/>
      <c r="AN99" s="168"/>
      <c r="AO99" s="176">
        <v>14</v>
      </c>
      <c r="AP99" s="176">
        <v>61</v>
      </c>
      <c r="AQ99" s="167"/>
      <c r="AR99" s="180">
        <v>25</v>
      </c>
      <c r="AS99" s="166">
        <v>6.65512472467476</v>
      </c>
      <c r="AT99" s="181" t="s">
        <v>54</v>
      </c>
      <c r="AU99" s="173">
        <v>0.415945295292173</v>
      </c>
      <c r="AV99" s="174">
        <v>-45.682371775231999</v>
      </c>
      <c r="AW99" s="168"/>
      <c r="AX99" s="168"/>
      <c r="AY99" s="176">
        <v>36</v>
      </c>
      <c r="AZ99" s="176">
        <v>48</v>
      </c>
      <c r="BA99" s="167"/>
      <c r="BB99" s="184">
        <v>159</v>
      </c>
      <c r="BC99" s="180">
        <v>42.326593248931502</v>
      </c>
      <c r="BD99" s="181" t="s">
        <v>55</v>
      </c>
      <c r="BE99" s="178">
        <v>1.3227060390291101</v>
      </c>
      <c r="BF99" s="179">
        <v>17.635256449536001</v>
      </c>
      <c r="BG99" s="168">
        <v>0.02</v>
      </c>
      <c r="BH99" s="168">
        <v>0.02</v>
      </c>
      <c r="BI99" s="176">
        <v>0</v>
      </c>
      <c r="BJ99" s="176">
        <v>0</v>
      </c>
      <c r="BK99" s="169"/>
      <c r="BL99" s="185">
        <v>0.8</v>
      </c>
      <c r="BM99" s="188">
        <v>0.7</v>
      </c>
      <c r="BN99" s="186"/>
      <c r="BO99" s="187">
        <v>0.95</v>
      </c>
      <c r="BP99" s="178">
        <v>1</v>
      </c>
      <c r="BQ99" s="186">
        <v>2.5000000000000001E-3</v>
      </c>
    </row>
    <row r="100" spans="1:69" s="156" customFormat="1" ht="22.35" customHeight="1" x14ac:dyDescent="0.2">
      <c r="A100" s="165" t="s">
        <v>139</v>
      </c>
      <c r="B100" s="165" t="s">
        <v>140</v>
      </c>
      <c r="C100" s="165" t="s">
        <v>157</v>
      </c>
      <c r="D100" s="166">
        <v>2.8448773448888902</v>
      </c>
      <c r="E100" s="167"/>
      <c r="F100" s="168">
        <v>0.01</v>
      </c>
      <c r="G100" s="168">
        <v>0.01</v>
      </c>
      <c r="H100" s="169"/>
      <c r="I100" s="170">
        <v>2</v>
      </c>
      <c r="J100" s="170">
        <v>2</v>
      </c>
      <c r="K100" s="167"/>
      <c r="L100" s="171">
        <v>1193.30927</v>
      </c>
      <c r="M100" s="171">
        <v>-201.24996999999999</v>
      </c>
      <c r="N100" s="171">
        <v>992.05930000000001</v>
      </c>
      <c r="O100" s="166">
        <v>348.71777575308698</v>
      </c>
      <c r="P100" s="172">
        <v>228.56200000000001</v>
      </c>
      <c r="Q100" s="178">
        <v>1.5257032041769301</v>
      </c>
      <c r="R100" s="179">
        <v>227.38781369386601</v>
      </c>
      <c r="S100" s="168">
        <v>0.01</v>
      </c>
      <c r="T100" s="168">
        <v>0.01</v>
      </c>
      <c r="U100" s="175">
        <v>0</v>
      </c>
      <c r="V100" s="176">
        <v>0</v>
      </c>
      <c r="W100" s="167"/>
      <c r="X100" s="175">
        <v>991.26073499999995</v>
      </c>
      <c r="Y100" s="166">
        <v>348.43707296587002</v>
      </c>
      <c r="Z100" s="177">
        <v>573</v>
      </c>
      <c r="AA100" s="173">
        <v>0.608092622977085</v>
      </c>
      <c r="AB100" s="174">
        <v>-925.75417409868896</v>
      </c>
      <c r="AC100" s="168"/>
      <c r="AD100" s="168"/>
      <c r="AE100" s="176">
        <v>639</v>
      </c>
      <c r="AF100" s="176">
        <v>965</v>
      </c>
      <c r="AG100" s="167"/>
      <c r="AH100" s="180">
        <v>105</v>
      </c>
      <c r="AI100" s="166">
        <v>36.908445346033297</v>
      </c>
      <c r="AJ100" s="181" t="s">
        <v>53</v>
      </c>
      <c r="AK100" s="173">
        <v>0.58584833882592602</v>
      </c>
      <c r="AL100" s="174">
        <v>-105.771272728128</v>
      </c>
      <c r="AM100" s="168"/>
      <c r="AN100" s="168"/>
      <c r="AO100" s="176">
        <v>75</v>
      </c>
      <c r="AP100" s="176">
        <v>111</v>
      </c>
      <c r="AQ100" s="167"/>
      <c r="AR100" s="180">
        <v>1</v>
      </c>
      <c r="AS100" s="166">
        <v>0.35150900329555601</v>
      </c>
      <c r="AT100" s="181" t="s">
        <v>54</v>
      </c>
      <c r="AU100" s="173">
        <v>2.1969312705972199E-2</v>
      </c>
      <c r="AV100" s="174">
        <v>-52.529212121429403</v>
      </c>
      <c r="AW100" s="168"/>
      <c r="AX100" s="168"/>
      <c r="AY100" s="176">
        <v>45</v>
      </c>
      <c r="AZ100" s="176">
        <v>54</v>
      </c>
      <c r="BA100" s="167"/>
      <c r="BB100" s="184">
        <v>50.4</v>
      </c>
      <c r="BC100" s="180">
        <v>17.716053766096</v>
      </c>
      <c r="BD100" s="181" t="s">
        <v>55</v>
      </c>
      <c r="BE100" s="173">
        <v>0.55362668019049999</v>
      </c>
      <c r="BF100" s="174">
        <v>-56.6584242428587</v>
      </c>
      <c r="BG100" s="168"/>
      <c r="BH100" s="168"/>
      <c r="BI100" s="176">
        <v>41</v>
      </c>
      <c r="BJ100" s="176">
        <v>59</v>
      </c>
      <c r="BK100" s="169"/>
      <c r="BL100" s="185">
        <v>0.8</v>
      </c>
      <c r="BM100" s="188">
        <v>0.75</v>
      </c>
      <c r="BN100" s="186"/>
      <c r="BO100" s="187">
        <v>0.95</v>
      </c>
      <c r="BP100" s="178">
        <v>1</v>
      </c>
      <c r="BQ100" s="186">
        <v>2.5000000000000001E-3</v>
      </c>
    </row>
    <row r="101" spans="1:69" s="156" customFormat="1" ht="22.35" customHeight="1" x14ac:dyDescent="0.2">
      <c r="A101" s="165" t="s">
        <v>139</v>
      </c>
      <c r="B101" s="165" t="s">
        <v>140</v>
      </c>
      <c r="C101" s="165" t="s">
        <v>158</v>
      </c>
      <c r="D101" s="166">
        <v>2.4566604814444402</v>
      </c>
      <c r="E101" s="167"/>
      <c r="F101" s="168">
        <v>0.01</v>
      </c>
      <c r="G101" s="168">
        <v>0.01</v>
      </c>
      <c r="H101" s="169"/>
      <c r="I101" s="170">
        <v>2</v>
      </c>
      <c r="J101" s="170">
        <v>2</v>
      </c>
      <c r="K101" s="167"/>
      <c r="L101" s="171">
        <v>806.66012000000001</v>
      </c>
      <c r="M101" s="171">
        <v>320.62792999999999</v>
      </c>
      <c r="N101" s="171">
        <v>1127.2880500000001</v>
      </c>
      <c r="O101" s="166">
        <v>458.87010375043297</v>
      </c>
      <c r="P101" s="172">
        <v>287.5</v>
      </c>
      <c r="Q101" s="178">
        <v>1.5960699260884601</v>
      </c>
      <c r="R101" s="179">
        <v>296.69114122363499</v>
      </c>
      <c r="S101" s="168">
        <v>0.01</v>
      </c>
      <c r="T101" s="168">
        <v>0.01</v>
      </c>
      <c r="U101" s="175">
        <v>0</v>
      </c>
      <c r="V101" s="176">
        <v>0</v>
      </c>
      <c r="W101" s="167"/>
      <c r="X101" s="175">
        <v>743.36573499999997</v>
      </c>
      <c r="Y101" s="166">
        <v>302.591970121538</v>
      </c>
      <c r="Z101" s="177">
        <v>573</v>
      </c>
      <c r="AA101" s="173">
        <v>0.52808371748959504</v>
      </c>
      <c r="AB101" s="174">
        <v>-912.050017100373</v>
      </c>
      <c r="AC101" s="168"/>
      <c r="AD101" s="168"/>
      <c r="AE101" s="176">
        <v>665</v>
      </c>
      <c r="AF101" s="176">
        <v>946</v>
      </c>
      <c r="AG101" s="167"/>
      <c r="AH101" s="180">
        <v>88.8</v>
      </c>
      <c r="AI101" s="166">
        <v>36.146631034577602</v>
      </c>
      <c r="AJ101" s="181" t="s">
        <v>53</v>
      </c>
      <c r="AK101" s="173">
        <v>0.57375604816789805</v>
      </c>
      <c r="AL101" s="174">
        <v>-93.209061749255596</v>
      </c>
      <c r="AM101" s="168"/>
      <c r="AN101" s="168"/>
      <c r="AO101" s="176">
        <v>66</v>
      </c>
      <c r="AP101" s="176">
        <v>97</v>
      </c>
      <c r="AQ101" s="167"/>
      <c r="AR101" s="180">
        <v>1.5</v>
      </c>
      <c r="AS101" s="166">
        <v>0.61058498369218805</v>
      </c>
      <c r="AT101" s="181" t="s">
        <v>54</v>
      </c>
      <c r="AU101" s="173">
        <v>3.8161561480761802E-2</v>
      </c>
      <c r="AV101" s="174">
        <v>-44.724523618858598</v>
      </c>
      <c r="AW101" s="168"/>
      <c r="AX101" s="168"/>
      <c r="AY101" s="176">
        <v>38</v>
      </c>
      <c r="AZ101" s="176">
        <v>46</v>
      </c>
      <c r="BA101" s="167"/>
      <c r="BB101" s="184">
        <v>72.400000000000006</v>
      </c>
      <c r="BC101" s="180">
        <v>29.470901879543</v>
      </c>
      <c r="BD101" s="181" t="s">
        <v>55</v>
      </c>
      <c r="BE101" s="188">
        <v>0.92096568373571697</v>
      </c>
      <c r="BF101" s="171">
        <v>-20.049047237717101</v>
      </c>
      <c r="BG101" s="168"/>
      <c r="BH101" s="168"/>
      <c r="BI101" s="176">
        <v>7</v>
      </c>
      <c r="BJ101" s="176">
        <v>22</v>
      </c>
      <c r="BK101" s="169"/>
      <c r="BL101" s="185">
        <v>0.8</v>
      </c>
      <c r="BM101" s="188">
        <v>0.77</v>
      </c>
      <c r="BN101" s="186"/>
      <c r="BO101" s="187">
        <v>0.95</v>
      </c>
      <c r="BP101" s="178">
        <v>1</v>
      </c>
      <c r="BQ101" s="186">
        <v>2.5000000000000001E-3</v>
      </c>
    </row>
    <row r="102" spans="1:69" s="156" customFormat="1" ht="22.35" customHeight="1" x14ac:dyDescent="0.2">
      <c r="A102" s="165" t="s">
        <v>139</v>
      </c>
      <c r="B102" s="165" t="s">
        <v>159</v>
      </c>
      <c r="C102" s="165" t="s">
        <v>160</v>
      </c>
      <c r="D102" s="166">
        <v>3.9968760643333301</v>
      </c>
      <c r="E102" s="167"/>
      <c r="F102" s="168">
        <v>0.01</v>
      </c>
      <c r="G102" s="168">
        <v>0.01</v>
      </c>
      <c r="H102" s="169"/>
      <c r="I102" s="170">
        <v>2</v>
      </c>
      <c r="J102" s="170">
        <v>2</v>
      </c>
      <c r="K102" s="167"/>
      <c r="L102" s="171">
        <v>3825.2139900000002</v>
      </c>
      <c r="M102" s="171">
        <v>-502.98129</v>
      </c>
      <c r="N102" s="171">
        <v>3322.2327</v>
      </c>
      <c r="O102" s="166">
        <v>831.20733455970606</v>
      </c>
      <c r="P102" s="172">
        <v>274.60399999999998</v>
      </c>
      <c r="Q102" s="178">
        <v>3.0269309061765499</v>
      </c>
      <c r="R102" s="179">
        <v>2031.50430999026</v>
      </c>
      <c r="S102" s="168">
        <v>0.01</v>
      </c>
      <c r="T102" s="168">
        <v>0.01</v>
      </c>
      <c r="U102" s="175">
        <v>0</v>
      </c>
      <c r="V102" s="176">
        <v>0</v>
      </c>
      <c r="W102" s="167"/>
      <c r="X102" s="175">
        <v>1712.2072450000001</v>
      </c>
      <c r="Y102" s="166">
        <v>428.38637411830598</v>
      </c>
      <c r="Z102" s="177">
        <v>573</v>
      </c>
      <c r="AA102" s="173">
        <v>0.74762019915934597</v>
      </c>
      <c r="AB102" s="174">
        <v>-981.07969719888604</v>
      </c>
      <c r="AC102" s="168"/>
      <c r="AD102" s="168"/>
      <c r="AE102" s="176">
        <v>579</v>
      </c>
      <c r="AF102" s="176">
        <v>1037</v>
      </c>
      <c r="AG102" s="167"/>
      <c r="AH102" s="180">
        <v>132</v>
      </c>
      <c r="AI102" s="166">
        <v>33.0257926128658</v>
      </c>
      <c r="AJ102" s="181" t="s">
        <v>53</v>
      </c>
      <c r="AK102" s="173">
        <v>0.52421893036294898</v>
      </c>
      <c r="AL102" s="174">
        <v>-164.12055385432799</v>
      </c>
      <c r="AM102" s="168"/>
      <c r="AN102" s="168"/>
      <c r="AO102" s="176">
        <v>120</v>
      </c>
      <c r="AP102" s="176">
        <v>171</v>
      </c>
      <c r="AQ102" s="167"/>
      <c r="AR102" s="180">
        <v>8</v>
      </c>
      <c r="AS102" s="166">
        <v>2.0015631886585301</v>
      </c>
      <c r="AT102" s="181" t="s">
        <v>54</v>
      </c>
      <c r="AU102" s="173">
        <v>0.12509769929115799</v>
      </c>
      <c r="AV102" s="174">
        <v>-67.205220026495894</v>
      </c>
      <c r="AW102" s="168"/>
      <c r="AX102" s="168"/>
      <c r="AY102" s="176">
        <v>56</v>
      </c>
      <c r="AZ102" s="176">
        <v>69</v>
      </c>
      <c r="BA102" s="167"/>
      <c r="BB102" s="184">
        <v>101.2</v>
      </c>
      <c r="BC102" s="180">
        <v>25.3197743365305</v>
      </c>
      <c r="BD102" s="181" t="s">
        <v>55</v>
      </c>
      <c r="BE102" s="188">
        <v>0.79124294801657702</v>
      </c>
      <c r="BF102" s="171">
        <v>-49.210440052991899</v>
      </c>
      <c r="BG102" s="168"/>
      <c r="BH102" s="168"/>
      <c r="BI102" s="176">
        <v>27</v>
      </c>
      <c r="BJ102" s="176">
        <v>53</v>
      </c>
      <c r="BK102" s="169"/>
      <c r="BL102" s="185">
        <v>0.8</v>
      </c>
      <c r="BM102" s="188">
        <v>0.71</v>
      </c>
      <c r="BN102" s="186"/>
      <c r="BO102" s="187">
        <v>0.95</v>
      </c>
      <c r="BP102" s="178">
        <v>1</v>
      </c>
      <c r="BQ102" s="186">
        <v>2.5000000000000001E-3</v>
      </c>
    </row>
    <row r="103" spans="1:69" s="156" customFormat="1" ht="22.35" customHeight="1" x14ac:dyDescent="0.2">
      <c r="A103" s="165" t="s">
        <v>139</v>
      </c>
      <c r="B103" s="165" t="s">
        <v>159</v>
      </c>
      <c r="C103" s="165" t="s">
        <v>161</v>
      </c>
      <c r="D103" s="166">
        <v>3.1170158208888901</v>
      </c>
      <c r="E103" s="167"/>
      <c r="F103" s="168">
        <v>0.02</v>
      </c>
      <c r="G103" s="168">
        <v>1.7999999999999999E-2</v>
      </c>
      <c r="H103" s="169"/>
      <c r="I103" s="170">
        <v>3</v>
      </c>
      <c r="J103" s="170">
        <v>3</v>
      </c>
      <c r="K103" s="167"/>
      <c r="L103" s="171">
        <v>3081.0904700000001</v>
      </c>
      <c r="M103" s="171">
        <v>1776.3575599999999</v>
      </c>
      <c r="N103" s="171">
        <v>4857.4480299999996</v>
      </c>
      <c r="O103" s="166">
        <v>1558.36489421949</v>
      </c>
      <c r="P103" s="172">
        <v>254.25200000000001</v>
      </c>
      <c r="Q103" s="178">
        <v>6.1292139067519198</v>
      </c>
      <c r="R103" s="179">
        <v>3925.4592023646501</v>
      </c>
      <c r="S103" s="168">
        <v>0.01</v>
      </c>
      <c r="T103" s="168">
        <v>0.01</v>
      </c>
      <c r="U103" s="175">
        <v>0</v>
      </c>
      <c r="V103" s="176">
        <v>0</v>
      </c>
      <c r="W103" s="167"/>
      <c r="X103" s="175">
        <v>1452.343975</v>
      </c>
      <c r="Y103" s="166">
        <v>465.94052082348099</v>
      </c>
      <c r="Z103" s="177">
        <v>573</v>
      </c>
      <c r="AA103" s="188">
        <v>0.81315972220502897</v>
      </c>
      <c r="AB103" s="171">
        <v>-648.050901874337</v>
      </c>
      <c r="AC103" s="168"/>
      <c r="AD103" s="168"/>
      <c r="AE103" s="176">
        <v>334</v>
      </c>
      <c r="AF103" s="176">
        <v>691</v>
      </c>
      <c r="AG103" s="167"/>
      <c r="AH103" s="180">
        <v>99.3</v>
      </c>
      <c r="AI103" s="166">
        <v>31.8573936437969</v>
      </c>
      <c r="AJ103" s="181" t="s">
        <v>53</v>
      </c>
      <c r="AK103" s="173">
        <v>0.50567291498090305</v>
      </c>
      <c r="AL103" s="174">
        <v>-131.63346813801601</v>
      </c>
      <c r="AM103" s="168"/>
      <c r="AN103" s="168"/>
      <c r="AO103" s="176">
        <v>98</v>
      </c>
      <c r="AP103" s="176">
        <v>137</v>
      </c>
      <c r="AQ103" s="167"/>
      <c r="AR103" s="180">
        <v>32.4</v>
      </c>
      <c r="AS103" s="166">
        <v>10.394557442689001</v>
      </c>
      <c r="AT103" s="181" t="s">
        <v>54</v>
      </c>
      <c r="AU103" s="173">
        <v>0.649659840168063</v>
      </c>
      <c r="AV103" s="174">
        <v>-26.249769685845301</v>
      </c>
      <c r="AW103" s="168"/>
      <c r="AX103" s="168"/>
      <c r="AY103" s="176">
        <v>18</v>
      </c>
      <c r="AZ103" s="176">
        <v>28</v>
      </c>
      <c r="BA103" s="167"/>
      <c r="BB103" s="184">
        <v>107.8</v>
      </c>
      <c r="BC103" s="180">
        <v>34.584360874131903</v>
      </c>
      <c r="BD103" s="181" t="s">
        <v>55</v>
      </c>
      <c r="BE103" s="182">
        <v>1.08076127731662</v>
      </c>
      <c r="BF103" s="183">
        <v>-9.4995393716907</v>
      </c>
      <c r="BG103" s="168">
        <v>0.01</v>
      </c>
      <c r="BH103" s="168">
        <v>8.0000000000000002E-3</v>
      </c>
      <c r="BI103" s="176">
        <v>0</v>
      </c>
      <c r="BJ103" s="176">
        <v>12</v>
      </c>
      <c r="BK103" s="169"/>
      <c r="BL103" s="185">
        <v>0.8</v>
      </c>
      <c r="BM103" s="188">
        <v>0.74</v>
      </c>
      <c r="BN103" s="186"/>
      <c r="BO103" s="187">
        <v>0.95</v>
      </c>
      <c r="BP103" s="178">
        <v>1</v>
      </c>
      <c r="BQ103" s="186">
        <v>2.5000000000000001E-3</v>
      </c>
    </row>
    <row r="104" spans="1:69" s="156" customFormat="1" ht="22.35" customHeight="1" x14ac:dyDescent="0.2">
      <c r="A104" s="165" t="s">
        <v>139</v>
      </c>
      <c r="B104" s="165" t="s">
        <v>159</v>
      </c>
      <c r="C104" s="165" t="s">
        <v>162</v>
      </c>
      <c r="D104" s="166">
        <v>3.5189073529999999</v>
      </c>
      <c r="E104" s="167"/>
      <c r="F104" s="168">
        <v>4.3999999999999997E-2</v>
      </c>
      <c r="G104" s="168">
        <v>3.7999999999999999E-2</v>
      </c>
      <c r="H104" s="169"/>
      <c r="I104" s="170">
        <v>4</v>
      </c>
      <c r="J104" s="170">
        <v>4</v>
      </c>
      <c r="K104" s="167"/>
      <c r="L104" s="171">
        <v>1401.4790599999999</v>
      </c>
      <c r="M104" s="171">
        <v>1413.21549</v>
      </c>
      <c r="N104" s="171">
        <v>2814.6945500000002</v>
      </c>
      <c r="O104" s="166">
        <v>799.87742433751998</v>
      </c>
      <c r="P104" s="172">
        <v>274.60399999999998</v>
      </c>
      <c r="Q104" s="178">
        <v>2.9128396685318498</v>
      </c>
      <c r="R104" s="179">
        <v>1678.3186531184599</v>
      </c>
      <c r="S104" s="168">
        <v>0.01</v>
      </c>
      <c r="T104" s="168">
        <v>0.01</v>
      </c>
      <c r="U104" s="175">
        <v>0</v>
      </c>
      <c r="V104" s="176">
        <v>0</v>
      </c>
      <c r="W104" s="167"/>
      <c r="X104" s="175">
        <v>2362.3563650000001</v>
      </c>
      <c r="Y104" s="166">
        <v>671.33235633100799</v>
      </c>
      <c r="Z104" s="177">
        <v>573</v>
      </c>
      <c r="AA104" s="178">
        <v>1.1716096969127501</v>
      </c>
      <c r="AB104" s="179">
        <v>-8.8523170043440604</v>
      </c>
      <c r="AC104" s="168">
        <v>0.02</v>
      </c>
      <c r="AD104" s="168">
        <v>1.7000000000000001E-2</v>
      </c>
      <c r="AE104" s="176">
        <v>0</v>
      </c>
      <c r="AF104" s="176">
        <v>58</v>
      </c>
      <c r="AG104" s="167"/>
      <c r="AH104" s="180">
        <v>209.5</v>
      </c>
      <c r="AI104" s="166">
        <v>59.535525941424197</v>
      </c>
      <c r="AJ104" s="181" t="s">
        <v>53</v>
      </c>
      <c r="AK104" s="188">
        <v>0.94500834827657498</v>
      </c>
      <c r="AL104" s="171">
        <v>-51.208807969063997</v>
      </c>
      <c r="AM104" s="168"/>
      <c r="AN104" s="168"/>
      <c r="AO104" s="176">
        <v>13</v>
      </c>
      <c r="AP104" s="176">
        <v>57</v>
      </c>
      <c r="AQ104" s="167"/>
      <c r="AR104" s="180">
        <v>25.5</v>
      </c>
      <c r="AS104" s="166">
        <v>7.2465675966888696</v>
      </c>
      <c r="AT104" s="181" t="s">
        <v>54</v>
      </c>
      <c r="AU104" s="173">
        <v>0.45291047479305402</v>
      </c>
      <c r="AV104" s="174">
        <v>-40.711760754048001</v>
      </c>
      <c r="AW104" s="168"/>
      <c r="AX104" s="168"/>
      <c r="AY104" s="176">
        <v>31</v>
      </c>
      <c r="AZ104" s="176">
        <v>43</v>
      </c>
      <c r="BA104" s="167"/>
      <c r="BB104" s="184">
        <v>125.4</v>
      </c>
      <c r="BC104" s="180">
        <v>35.636061828422903</v>
      </c>
      <c r="BD104" s="181" t="s">
        <v>55</v>
      </c>
      <c r="BE104" s="182">
        <v>1.1136269321382199</v>
      </c>
      <c r="BF104" s="183">
        <v>-7.0235215080959996</v>
      </c>
      <c r="BG104" s="168">
        <v>1.4E-2</v>
      </c>
      <c r="BH104" s="168">
        <v>1.0999999999999999E-2</v>
      </c>
      <c r="BI104" s="176">
        <v>0</v>
      </c>
      <c r="BJ104" s="176">
        <v>10</v>
      </c>
      <c r="BK104" s="169"/>
      <c r="BL104" s="185">
        <v>0.8</v>
      </c>
      <c r="BM104" s="173">
        <v>0.68</v>
      </c>
      <c r="BN104" s="186"/>
      <c r="BO104" s="187">
        <v>0.95</v>
      </c>
      <c r="BP104" s="178">
        <v>1</v>
      </c>
      <c r="BQ104" s="186">
        <v>2.5000000000000001E-3</v>
      </c>
    </row>
    <row r="105" spans="1:69" s="156" customFormat="1" ht="22.35" customHeight="1" x14ac:dyDescent="0.2">
      <c r="A105" s="165" t="s">
        <v>139</v>
      </c>
      <c r="B105" s="165" t="s">
        <v>159</v>
      </c>
      <c r="C105" s="165" t="s">
        <v>163</v>
      </c>
      <c r="D105" s="166">
        <v>3.27682426844444</v>
      </c>
      <c r="E105" s="167"/>
      <c r="F105" s="168">
        <v>2.7E-2</v>
      </c>
      <c r="G105" s="168">
        <v>2.1999999999999999E-2</v>
      </c>
      <c r="H105" s="169"/>
      <c r="I105" s="170">
        <v>4</v>
      </c>
      <c r="J105" s="170">
        <v>4</v>
      </c>
      <c r="K105" s="167"/>
      <c r="L105" s="171">
        <v>3432.7529199999999</v>
      </c>
      <c r="M105" s="171">
        <v>2408.1294899999998</v>
      </c>
      <c r="N105" s="171">
        <v>5840.8824100000002</v>
      </c>
      <c r="O105" s="166">
        <v>1782.48265134241</v>
      </c>
      <c r="P105" s="172">
        <v>246.58500000000001</v>
      </c>
      <c r="Q105" s="178">
        <v>7.2286742962565</v>
      </c>
      <c r="R105" s="179">
        <v>4890.65593241238</v>
      </c>
      <c r="S105" s="168">
        <v>0.01</v>
      </c>
      <c r="T105" s="168">
        <v>0.01</v>
      </c>
      <c r="U105" s="175">
        <v>0</v>
      </c>
      <c r="V105" s="176">
        <v>0</v>
      </c>
      <c r="W105" s="167"/>
      <c r="X105" s="175">
        <v>1924.21136</v>
      </c>
      <c r="Y105" s="166">
        <v>587.21835605589297</v>
      </c>
      <c r="Z105" s="177">
        <v>573</v>
      </c>
      <c r="AA105" s="182">
        <v>1.0248138849143</v>
      </c>
      <c r="AB105" s="183">
        <v>-283.87011964274899</v>
      </c>
      <c r="AC105" s="168">
        <v>5.0000000000000001E-3</v>
      </c>
      <c r="AD105" s="168">
        <v>2E-3</v>
      </c>
      <c r="AE105" s="176">
        <v>0</v>
      </c>
      <c r="AF105" s="176">
        <v>329</v>
      </c>
      <c r="AG105" s="167"/>
      <c r="AH105" s="180">
        <v>127.9</v>
      </c>
      <c r="AI105" s="166">
        <v>39.031693347631297</v>
      </c>
      <c r="AJ105" s="181" t="s">
        <v>53</v>
      </c>
      <c r="AK105" s="173">
        <v>0.61955068805764002</v>
      </c>
      <c r="AL105" s="174">
        <v>-114.87335640051199</v>
      </c>
      <c r="AM105" s="168"/>
      <c r="AN105" s="168"/>
      <c r="AO105" s="176">
        <v>79</v>
      </c>
      <c r="AP105" s="176">
        <v>120</v>
      </c>
      <c r="AQ105" s="167"/>
      <c r="AR105" s="180">
        <v>12.8</v>
      </c>
      <c r="AS105" s="166">
        <v>3.9062210699740501</v>
      </c>
      <c r="AT105" s="181" t="s">
        <v>54</v>
      </c>
      <c r="AU105" s="173">
        <v>0.24413881687337799</v>
      </c>
      <c r="AV105" s="174">
        <v>-48.856725435050599</v>
      </c>
      <c r="AW105" s="168"/>
      <c r="AX105" s="168"/>
      <c r="AY105" s="176">
        <v>40</v>
      </c>
      <c r="AZ105" s="176">
        <v>51</v>
      </c>
      <c r="BA105" s="167"/>
      <c r="BB105" s="184">
        <v>115</v>
      </c>
      <c r="BC105" s="180">
        <v>35.094954925548102</v>
      </c>
      <c r="BD105" s="181" t="s">
        <v>55</v>
      </c>
      <c r="BE105" s="182">
        <v>1.09671734142338</v>
      </c>
      <c r="BF105" s="183">
        <v>-8.3134508701011605</v>
      </c>
      <c r="BG105" s="168">
        <v>1.2E-2</v>
      </c>
      <c r="BH105" s="168">
        <v>0.01</v>
      </c>
      <c r="BI105" s="176">
        <v>0</v>
      </c>
      <c r="BJ105" s="176">
        <v>11</v>
      </c>
      <c r="BK105" s="169"/>
      <c r="BL105" s="185">
        <v>0.8</v>
      </c>
      <c r="BM105" s="188">
        <v>0.75</v>
      </c>
      <c r="BN105" s="186"/>
      <c r="BO105" s="187">
        <v>0.95</v>
      </c>
      <c r="BP105" s="178">
        <v>1</v>
      </c>
      <c r="BQ105" s="186">
        <v>2.5000000000000001E-3</v>
      </c>
    </row>
    <row r="106" spans="1:69" s="156" customFormat="1" ht="22.35" customHeight="1" x14ac:dyDescent="0.2">
      <c r="A106" s="165" t="s">
        <v>139</v>
      </c>
      <c r="B106" s="165" t="s">
        <v>159</v>
      </c>
      <c r="C106" s="165" t="s">
        <v>164</v>
      </c>
      <c r="D106" s="166">
        <v>2.5224867724444402</v>
      </c>
      <c r="E106" s="167"/>
      <c r="F106" s="168">
        <v>0.01</v>
      </c>
      <c r="G106" s="168">
        <v>0.01</v>
      </c>
      <c r="H106" s="169"/>
      <c r="I106" s="170">
        <v>2</v>
      </c>
      <c r="J106" s="170">
        <v>2</v>
      </c>
      <c r="K106" s="167"/>
      <c r="L106" s="171">
        <v>737.25931000000003</v>
      </c>
      <c r="M106" s="171">
        <v>394.98446000000001</v>
      </c>
      <c r="N106" s="171">
        <v>1132.24377</v>
      </c>
      <c r="O106" s="166">
        <v>448.86014165409699</v>
      </c>
      <c r="P106" s="172">
        <v>260.82400000000001</v>
      </c>
      <c r="Q106" s="178">
        <v>1.7209311323118199</v>
      </c>
      <c r="R106" s="179">
        <v>358.52386423520699</v>
      </c>
      <c r="S106" s="168">
        <v>0.01</v>
      </c>
      <c r="T106" s="168">
        <v>0.01</v>
      </c>
      <c r="U106" s="175">
        <v>0</v>
      </c>
      <c r="V106" s="176">
        <v>0</v>
      </c>
      <c r="W106" s="167"/>
      <c r="X106" s="175">
        <v>1279.41563</v>
      </c>
      <c r="Y106" s="166">
        <v>507.204098739502</v>
      </c>
      <c r="Z106" s="177">
        <v>573</v>
      </c>
      <c r="AA106" s="188">
        <v>0.88517294718935802</v>
      </c>
      <c r="AB106" s="171">
        <v>-420.35703663814002</v>
      </c>
      <c r="AC106" s="168"/>
      <c r="AD106" s="168"/>
      <c r="AE106" s="176">
        <v>166</v>
      </c>
      <c r="AF106" s="176">
        <v>456</v>
      </c>
      <c r="AG106" s="167"/>
      <c r="AH106" s="180">
        <v>111.7</v>
      </c>
      <c r="AI106" s="166">
        <v>44.281699004413703</v>
      </c>
      <c r="AJ106" s="181" t="s">
        <v>53</v>
      </c>
      <c r="AK106" s="173">
        <v>0.70288411118117</v>
      </c>
      <c r="AL106" s="174">
        <v>-75.1859999968636</v>
      </c>
      <c r="AM106" s="168"/>
      <c r="AN106" s="168"/>
      <c r="AO106" s="176">
        <v>48</v>
      </c>
      <c r="AP106" s="176">
        <v>79</v>
      </c>
      <c r="AQ106" s="167"/>
      <c r="AR106" s="180">
        <v>5</v>
      </c>
      <c r="AS106" s="166">
        <v>1.9821709491680299</v>
      </c>
      <c r="AT106" s="181" t="s">
        <v>54</v>
      </c>
      <c r="AU106" s="173">
        <v>0.123885684323002</v>
      </c>
      <c r="AV106" s="174">
        <v>-42.4631111103146</v>
      </c>
      <c r="AW106" s="168"/>
      <c r="AX106" s="168"/>
      <c r="AY106" s="176">
        <v>36</v>
      </c>
      <c r="AZ106" s="176">
        <v>44</v>
      </c>
      <c r="BA106" s="167"/>
      <c r="BB106" s="184">
        <v>39.6</v>
      </c>
      <c r="BC106" s="180">
        <v>15.6987939174108</v>
      </c>
      <c r="BD106" s="181" t="s">
        <v>55</v>
      </c>
      <c r="BE106" s="173">
        <v>0.490587309919087</v>
      </c>
      <c r="BF106" s="174">
        <v>-55.326222220629198</v>
      </c>
      <c r="BG106" s="168"/>
      <c r="BH106" s="168"/>
      <c r="BI106" s="176">
        <v>42</v>
      </c>
      <c r="BJ106" s="176">
        <v>58</v>
      </c>
      <c r="BK106" s="169"/>
      <c r="BL106" s="185">
        <v>0.8</v>
      </c>
      <c r="BM106" s="188">
        <v>0.77</v>
      </c>
      <c r="BN106" s="186"/>
      <c r="BO106" s="187">
        <v>0.95</v>
      </c>
      <c r="BP106" s="178">
        <v>1</v>
      </c>
      <c r="BQ106" s="186">
        <v>2.5000000000000001E-3</v>
      </c>
    </row>
    <row r="107" spans="1:69" s="156" customFormat="1" ht="22.35" customHeight="1" x14ac:dyDescent="0.2">
      <c r="A107" s="165" t="s">
        <v>139</v>
      </c>
      <c r="B107" s="165" t="s">
        <v>159</v>
      </c>
      <c r="C107" s="165" t="s">
        <v>165</v>
      </c>
      <c r="D107" s="166">
        <v>5.5385385716666704</v>
      </c>
      <c r="E107" s="167"/>
      <c r="F107" s="168">
        <v>2.7E-2</v>
      </c>
      <c r="G107" s="168">
        <v>2.4E-2</v>
      </c>
      <c r="H107" s="169"/>
      <c r="I107" s="170">
        <v>3</v>
      </c>
      <c r="J107" s="170">
        <v>3</v>
      </c>
      <c r="K107" s="167"/>
      <c r="L107" s="171">
        <v>4912.6676299999999</v>
      </c>
      <c r="M107" s="171">
        <v>-1993.1780699999999</v>
      </c>
      <c r="N107" s="171">
        <v>2919.48956</v>
      </c>
      <c r="O107" s="166">
        <v>527.12272781400202</v>
      </c>
      <c r="P107" s="172">
        <v>236.32499999999999</v>
      </c>
      <c r="Q107" s="178">
        <v>2.2304992185084198</v>
      </c>
      <c r="R107" s="179">
        <v>1380.22888953183</v>
      </c>
      <c r="S107" s="168">
        <v>0.01</v>
      </c>
      <c r="T107" s="168">
        <v>0.01</v>
      </c>
      <c r="U107" s="175">
        <v>0</v>
      </c>
      <c r="V107" s="176">
        <v>0</v>
      </c>
      <c r="W107" s="167"/>
      <c r="X107" s="175">
        <v>2229.0601200000001</v>
      </c>
      <c r="Y107" s="166">
        <v>402.46359055855203</v>
      </c>
      <c r="Z107" s="177">
        <v>573</v>
      </c>
      <c r="AA107" s="173">
        <v>0.70237973919468</v>
      </c>
      <c r="AB107" s="174">
        <v>-1503.07301944044</v>
      </c>
      <c r="AC107" s="168"/>
      <c r="AD107" s="168"/>
      <c r="AE107" s="176">
        <v>945</v>
      </c>
      <c r="AF107" s="176">
        <v>1580</v>
      </c>
      <c r="AG107" s="167"/>
      <c r="AH107" s="180">
        <v>201.1</v>
      </c>
      <c r="AI107" s="166">
        <v>36.309217205556898</v>
      </c>
      <c r="AJ107" s="181" t="s">
        <v>53</v>
      </c>
      <c r="AK107" s="173">
        <v>0.57633678104058605</v>
      </c>
      <c r="AL107" s="174">
        <v>-209.23924569764</v>
      </c>
      <c r="AM107" s="168"/>
      <c r="AN107" s="168"/>
      <c r="AO107" s="176">
        <v>148</v>
      </c>
      <c r="AP107" s="176">
        <v>218</v>
      </c>
      <c r="AQ107" s="167"/>
      <c r="AR107" s="180">
        <v>37.6</v>
      </c>
      <c r="AS107" s="166">
        <v>6.7887944650867196</v>
      </c>
      <c r="AT107" s="181" t="s">
        <v>54</v>
      </c>
      <c r="AU107" s="173">
        <v>0.42429965406791997</v>
      </c>
      <c r="AV107" s="174">
        <v>-66.613141764480005</v>
      </c>
      <c r="AW107" s="168"/>
      <c r="AX107" s="168"/>
      <c r="AY107" s="176">
        <v>52</v>
      </c>
      <c r="AZ107" s="176">
        <v>69</v>
      </c>
      <c r="BA107" s="167"/>
      <c r="BB107" s="184">
        <v>202.6</v>
      </c>
      <c r="BC107" s="180">
        <v>36.580046771983199</v>
      </c>
      <c r="BD107" s="181" t="s">
        <v>55</v>
      </c>
      <c r="BE107" s="182">
        <v>1.1431264616244801</v>
      </c>
      <c r="BF107" s="183">
        <v>-5.8262835289600901</v>
      </c>
      <c r="BG107" s="168">
        <v>1.7000000000000001E-2</v>
      </c>
      <c r="BH107" s="168">
        <v>1.4E-2</v>
      </c>
      <c r="BI107" s="176">
        <v>0</v>
      </c>
      <c r="BJ107" s="176">
        <v>11</v>
      </c>
      <c r="BK107" s="169"/>
      <c r="BL107" s="185">
        <v>0.8</v>
      </c>
      <c r="BM107" s="188">
        <v>0.71</v>
      </c>
      <c r="BN107" s="186"/>
      <c r="BO107" s="187">
        <v>0.95</v>
      </c>
      <c r="BP107" s="178">
        <v>1</v>
      </c>
      <c r="BQ107" s="186">
        <v>2.5000000000000001E-3</v>
      </c>
    </row>
    <row r="108" spans="1:69" s="156" customFormat="1" ht="22.35" customHeight="1" x14ac:dyDescent="0.2">
      <c r="A108" s="165" t="s">
        <v>139</v>
      </c>
      <c r="B108" s="165" t="s">
        <v>159</v>
      </c>
      <c r="C108" s="165" t="s">
        <v>166</v>
      </c>
      <c r="D108" s="166">
        <v>4.7470153233333301</v>
      </c>
      <c r="E108" s="167"/>
      <c r="F108" s="168">
        <v>2.4500000000000001E-2</v>
      </c>
      <c r="G108" s="168">
        <v>2.3E-2</v>
      </c>
      <c r="H108" s="169"/>
      <c r="I108" s="170">
        <v>3</v>
      </c>
      <c r="J108" s="170">
        <v>3</v>
      </c>
      <c r="K108" s="167"/>
      <c r="L108" s="171">
        <v>4121.0306300000002</v>
      </c>
      <c r="M108" s="171">
        <v>-2669.4945499999999</v>
      </c>
      <c r="N108" s="171">
        <v>1451.5360800000001</v>
      </c>
      <c r="O108" s="166">
        <v>305.77868010350898</v>
      </c>
      <c r="P108" s="172">
        <v>287.5</v>
      </c>
      <c r="Q108" s="182">
        <v>1.0635780177513401</v>
      </c>
      <c r="R108" s="183">
        <v>-153.42980081899901</v>
      </c>
      <c r="S108" s="168">
        <v>4.4999999999999997E-3</v>
      </c>
      <c r="T108" s="168">
        <v>3.0000000000000001E-3</v>
      </c>
      <c r="U108" s="175">
        <v>0</v>
      </c>
      <c r="V108" s="176">
        <v>187</v>
      </c>
      <c r="W108" s="167"/>
      <c r="X108" s="175">
        <v>2037.02403</v>
      </c>
      <c r="Y108" s="166">
        <v>429.11680103227701</v>
      </c>
      <c r="Z108" s="177">
        <v>573</v>
      </c>
      <c r="AA108" s="173">
        <v>0.74889494071950602</v>
      </c>
      <c r="AB108" s="174">
        <v>-1161.7427515975201</v>
      </c>
      <c r="AC108" s="168"/>
      <c r="AD108" s="168"/>
      <c r="AE108" s="176">
        <v>684</v>
      </c>
      <c r="AF108" s="176">
        <v>1228</v>
      </c>
      <c r="AG108" s="167"/>
      <c r="AH108" s="180">
        <v>213.5</v>
      </c>
      <c r="AI108" s="166">
        <v>44.975628991667399</v>
      </c>
      <c r="AJ108" s="181" t="s">
        <v>53</v>
      </c>
      <c r="AK108" s="173">
        <v>0.71389887288360898</v>
      </c>
      <c r="AL108" s="174">
        <v>-138.19687127512</v>
      </c>
      <c r="AM108" s="168"/>
      <c r="AN108" s="168"/>
      <c r="AO108" s="176">
        <v>86</v>
      </c>
      <c r="AP108" s="176">
        <v>146</v>
      </c>
      <c r="AQ108" s="167"/>
      <c r="AR108" s="180">
        <v>40.700000000000003</v>
      </c>
      <c r="AS108" s="166">
        <v>8.5738084307300397</v>
      </c>
      <c r="AT108" s="181" t="s">
        <v>54</v>
      </c>
      <c r="AU108" s="173">
        <v>0.53586302692062804</v>
      </c>
      <c r="AV108" s="174">
        <v>-48.619840323839902</v>
      </c>
      <c r="AW108" s="168"/>
      <c r="AX108" s="168"/>
      <c r="AY108" s="176">
        <v>36</v>
      </c>
      <c r="AZ108" s="176">
        <v>51</v>
      </c>
      <c r="BA108" s="167"/>
      <c r="BB108" s="184">
        <v>186.8</v>
      </c>
      <c r="BC108" s="180">
        <v>39.351042134161403</v>
      </c>
      <c r="BD108" s="181" t="s">
        <v>55</v>
      </c>
      <c r="BE108" s="178">
        <v>1.2297200666925401</v>
      </c>
      <c r="BF108" s="179">
        <v>8.1603193523201298</v>
      </c>
      <c r="BG108" s="168">
        <v>0.02</v>
      </c>
      <c r="BH108" s="168">
        <v>0.02</v>
      </c>
      <c r="BI108" s="176">
        <v>0</v>
      </c>
      <c r="BJ108" s="176">
        <v>0</v>
      </c>
      <c r="BK108" s="169"/>
      <c r="BL108" s="185">
        <v>0.8</v>
      </c>
      <c r="BM108" s="173">
        <v>0.64</v>
      </c>
      <c r="BN108" s="186"/>
      <c r="BO108" s="187">
        <v>0.95</v>
      </c>
      <c r="BP108" s="178">
        <v>1</v>
      </c>
      <c r="BQ108" s="186">
        <v>2.5000000000000001E-3</v>
      </c>
    </row>
    <row r="109" spans="1:69" s="156" customFormat="1" ht="22.35" customHeight="1" x14ac:dyDescent="0.2">
      <c r="A109" s="165" t="s">
        <v>139</v>
      </c>
      <c r="B109" s="165" t="s">
        <v>159</v>
      </c>
      <c r="C109" s="165" t="s">
        <v>167</v>
      </c>
      <c r="D109" s="166">
        <v>5.8254724778888898</v>
      </c>
      <c r="E109" s="167"/>
      <c r="F109" s="168">
        <v>5.0000000000000001E-3</v>
      </c>
      <c r="G109" s="168">
        <v>3.0000000000000001E-3</v>
      </c>
      <c r="H109" s="169"/>
      <c r="I109" s="170">
        <v>2</v>
      </c>
      <c r="J109" s="170">
        <v>2</v>
      </c>
      <c r="K109" s="167"/>
      <c r="L109" s="171">
        <v>1730.2373</v>
      </c>
      <c r="M109" s="171">
        <v>-795.37324999999998</v>
      </c>
      <c r="N109" s="171">
        <v>934.86405000000002</v>
      </c>
      <c r="O109" s="166">
        <v>160.478665644437</v>
      </c>
      <c r="P109" s="172">
        <v>236.41900000000001</v>
      </c>
      <c r="Q109" s="173">
        <v>0.67878920748517202</v>
      </c>
      <c r="R109" s="174">
        <v>-684.78474623401598</v>
      </c>
      <c r="S109" s="168"/>
      <c r="T109" s="168"/>
      <c r="U109" s="175">
        <v>443</v>
      </c>
      <c r="V109" s="176">
        <v>718</v>
      </c>
      <c r="W109" s="167"/>
      <c r="X109" s="175">
        <v>2834.3791099999999</v>
      </c>
      <c r="Y109" s="166">
        <v>486.54922339057401</v>
      </c>
      <c r="Z109" s="177">
        <v>573</v>
      </c>
      <c r="AA109" s="188">
        <v>0.84912604431164695</v>
      </c>
      <c r="AB109" s="171">
        <v>-1091.1038682804699</v>
      </c>
      <c r="AC109" s="168"/>
      <c r="AD109" s="168"/>
      <c r="AE109" s="176">
        <v>504</v>
      </c>
      <c r="AF109" s="176">
        <v>1172</v>
      </c>
      <c r="AG109" s="167"/>
      <c r="AH109" s="180">
        <v>272.10000000000002</v>
      </c>
      <c r="AI109" s="166">
        <v>46.708657715366499</v>
      </c>
      <c r="AJ109" s="181" t="s">
        <v>53</v>
      </c>
      <c r="AK109" s="173">
        <v>0.74140726532327705</v>
      </c>
      <c r="AL109" s="174">
        <v>-159.49760494183201</v>
      </c>
      <c r="AM109" s="168"/>
      <c r="AN109" s="168"/>
      <c r="AO109" s="176">
        <v>95</v>
      </c>
      <c r="AP109" s="176">
        <v>169</v>
      </c>
      <c r="AQ109" s="167"/>
      <c r="AR109" s="180">
        <v>19.399999999999999</v>
      </c>
      <c r="AS109" s="166">
        <v>3.3302019833815102</v>
      </c>
      <c r="AT109" s="181" t="s">
        <v>54</v>
      </c>
      <c r="AU109" s="173">
        <v>0.208137623961344</v>
      </c>
      <c r="AV109" s="174">
        <v>-90.212090143957298</v>
      </c>
      <c r="AW109" s="168"/>
      <c r="AX109" s="168"/>
      <c r="AY109" s="176">
        <v>74</v>
      </c>
      <c r="AZ109" s="176">
        <v>93</v>
      </c>
      <c r="BA109" s="167"/>
      <c r="BB109" s="184">
        <v>191.4</v>
      </c>
      <c r="BC109" s="180">
        <v>32.8557041040836</v>
      </c>
      <c r="BD109" s="181" t="s">
        <v>55</v>
      </c>
      <c r="BE109" s="182">
        <v>1.02674075325261</v>
      </c>
      <c r="BF109" s="183">
        <v>-27.8241802879147</v>
      </c>
      <c r="BG109" s="168">
        <v>5.0000000000000001E-3</v>
      </c>
      <c r="BH109" s="168">
        <v>3.0000000000000001E-3</v>
      </c>
      <c r="BI109" s="176">
        <v>0</v>
      </c>
      <c r="BJ109" s="176">
        <v>33</v>
      </c>
      <c r="BK109" s="169"/>
      <c r="BL109" s="185">
        <v>0.8</v>
      </c>
      <c r="BM109" s="173">
        <v>0.63</v>
      </c>
      <c r="BN109" s="186"/>
      <c r="BO109" s="187">
        <v>0.95</v>
      </c>
      <c r="BP109" s="178">
        <v>1</v>
      </c>
      <c r="BQ109" s="186">
        <v>2.5000000000000001E-3</v>
      </c>
    </row>
    <row r="110" spans="1:69" s="156" customFormat="1" ht="22.35" customHeight="1" x14ac:dyDescent="0.2">
      <c r="A110" s="165" t="s">
        <v>139</v>
      </c>
      <c r="B110" s="165" t="s">
        <v>159</v>
      </c>
      <c r="C110" s="165" t="s">
        <v>168</v>
      </c>
      <c r="D110" s="166">
        <v>2.9978898042222202</v>
      </c>
      <c r="E110" s="167"/>
      <c r="F110" s="168">
        <v>4.1000000000000002E-2</v>
      </c>
      <c r="G110" s="168">
        <v>3.5999999999999997E-2</v>
      </c>
      <c r="H110" s="169"/>
      <c r="I110" s="170">
        <v>4</v>
      </c>
      <c r="J110" s="170">
        <v>4</v>
      </c>
      <c r="K110" s="167"/>
      <c r="L110" s="171">
        <v>2295.0004300000001</v>
      </c>
      <c r="M110" s="171">
        <v>-602.60153000000003</v>
      </c>
      <c r="N110" s="171">
        <v>1692.3988999999999</v>
      </c>
      <c r="O110" s="166">
        <v>564.53005631375402</v>
      </c>
      <c r="P110" s="172">
        <v>244.03100000000001</v>
      </c>
      <c r="Q110" s="178">
        <v>2.3133538620656999</v>
      </c>
      <c r="R110" s="179">
        <v>832.06311694655699</v>
      </c>
      <c r="S110" s="168">
        <v>0.01</v>
      </c>
      <c r="T110" s="168">
        <v>0.01</v>
      </c>
      <c r="U110" s="175">
        <v>0</v>
      </c>
      <c r="V110" s="176">
        <v>0</v>
      </c>
      <c r="W110" s="167"/>
      <c r="X110" s="175">
        <v>1948.52736</v>
      </c>
      <c r="Y110" s="166">
        <v>649.96630538444003</v>
      </c>
      <c r="Z110" s="177">
        <v>573</v>
      </c>
      <c r="AA110" s="182">
        <v>1.1343216498855799</v>
      </c>
      <c r="AB110" s="183">
        <v>-71.594688795534196</v>
      </c>
      <c r="AC110" s="168">
        <v>1.6E-2</v>
      </c>
      <c r="AD110" s="168">
        <v>1.2999999999999999E-2</v>
      </c>
      <c r="AE110" s="176">
        <v>0</v>
      </c>
      <c r="AF110" s="176">
        <v>113</v>
      </c>
      <c r="AG110" s="167"/>
      <c r="AH110" s="180">
        <v>131.35</v>
      </c>
      <c r="AI110" s="166">
        <v>43.814152146288698</v>
      </c>
      <c r="AJ110" s="181" t="s">
        <v>53</v>
      </c>
      <c r="AK110" s="173">
        <v>0.69546273248077295</v>
      </c>
      <c r="AL110" s="174">
        <v>-90.757659815215803</v>
      </c>
      <c r="AM110" s="168"/>
      <c r="AN110" s="168"/>
      <c r="AO110" s="176">
        <v>58</v>
      </c>
      <c r="AP110" s="176">
        <v>96</v>
      </c>
      <c r="AQ110" s="167"/>
      <c r="AR110" s="180">
        <v>6.8</v>
      </c>
      <c r="AS110" s="166">
        <v>2.2682621590769898</v>
      </c>
      <c r="AT110" s="181" t="s">
        <v>54</v>
      </c>
      <c r="AU110" s="173">
        <v>0.141766384942312</v>
      </c>
      <c r="AV110" s="174">
        <v>-49.608294556245298</v>
      </c>
      <c r="AW110" s="168"/>
      <c r="AX110" s="168"/>
      <c r="AY110" s="176">
        <v>42</v>
      </c>
      <c r="AZ110" s="176">
        <v>51</v>
      </c>
      <c r="BA110" s="167"/>
      <c r="BB110" s="184">
        <v>108.2</v>
      </c>
      <c r="BC110" s="180">
        <v>36.092053766489798</v>
      </c>
      <c r="BD110" s="181" t="s">
        <v>55</v>
      </c>
      <c r="BE110" s="182">
        <v>1.12787668020281</v>
      </c>
      <c r="BF110" s="183">
        <v>-4.6165891124905603</v>
      </c>
      <c r="BG110" s="168">
        <v>1.4999999999999999E-2</v>
      </c>
      <c r="BH110" s="168">
        <v>1.2999999999999999E-2</v>
      </c>
      <c r="BI110" s="176">
        <v>0</v>
      </c>
      <c r="BJ110" s="176">
        <v>7</v>
      </c>
      <c r="BK110" s="169"/>
      <c r="BL110" s="185">
        <v>0.8</v>
      </c>
      <c r="BM110" s="188">
        <v>0.72</v>
      </c>
      <c r="BN110" s="186"/>
      <c r="BO110" s="187">
        <v>0.95</v>
      </c>
      <c r="BP110" s="178">
        <v>1</v>
      </c>
      <c r="BQ110" s="186">
        <v>2.5000000000000001E-3</v>
      </c>
    </row>
    <row r="111" spans="1:69" s="156" customFormat="1" ht="22.35" customHeight="1" x14ac:dyDescent="0.2">
      <c r="A111" s="165" t="s">
        <v>139</v>
      </c>
      <c r="B111" s="165" t="s">
        <v>159</v>
      </c>
      <c r="C111" s="165" t="s">
        <v>169</v>
      </c>
      <c r="D111" s="166">
        <v>3.5180638414444401</v>
      </c>
      <c r="E111" s="167"/>
      <c r="F111" s="168">
        <v>2.1999999999999999E-2</v>
      </c>
      <c r="G111" s="168">
        <v>0.02</v>
      </c>
      <c r="H111" s="169"/>
      <c r="I111" s="170">
        <v>3</v>
      </c>
      <c r="J111" s="170">
        <v>3</v>
      </c>
      <c r="K111" s="167"/>
      <c r="L111" s="171">
        <v>3643.7562200000002</v>
      </c>
      <c r="M111" s="171">
        <v>453.00376999999997</v>
      </c>
      <c r="N111" s="171">
        <v>4096.7599899999996</v>
      </c>
      <c r="O111" s="166">
        <v>1164.4927933763599</v>
      </c>
      <c r="P111" s="172">
        <v>287.5</v>
      </c>
      <c r="Q111" s="178">
        <v>4.0504097160916901</v>
      </c>
      <c r="R111" s="179">
        <v>2907.3026052076402</v>
      </c>
      <c r="S111" s="168">
        <v>0.01</v>
      </c>
      <c r="T111" s="168">
        <v>0.01</v>
      </c>
      <c r="U111" s="175">
        <v>0</v>
      </c>
      <c r="V111" s="176">
        <v>0</v>
      </c>
      <c r="W111" s="167"/>
      <c r="X111" s="175">
        <v>1690.86365</v>
      </c>
      <c r="Y111" s="166">
        <v>480.62335597234801</v>
      </c>
      <c r="Z111" s="177">
        <v>573</v>
      </c>
      <c r="AA111" s="188">
        <v>0.83878421635662903</v>
      </c>
      <c r="AB111" s="171">
        <v>-679.77663342965297</v>
      </c>
      <c r="AC111" s="168"/>
      <c r="AD111" s="168"/>
      <c r="AE111" s="176">
        <v>325</v>
      </c>
      <c r="AF111" s="176">
        <v>729</v>
      </c>
      <c r="AG111" s="167"/>
      <c r="AH111" s="180">
        <v>165.5</v>
      </c>
      <c r="AI111" s="166">
        <v>47.0429211802049</v>
      </c>
      <c r="AJ111" s="181" t="s">
        <v>53</v>
      </c>
      <c r="AK111" s="173">
        <v>0.74671303460642802</v>
      </c>
      <c r="AL111" s="174">
        <v>-95.146313884935594</v>
      </c>
      <c r="AM111" s="168"/>
      <c r="AN111" s="168"/>
      <c r="AO111" s="176">
        <v>57</v>
      </c>
      <c r="AP111" s="176">
        <v>101</v>
      </c>
      <c r="AQ111" s="167"/>
      <c r="AR111" s="180">
        <v>39.700000000000003</v>
      </c>
      <c r="AS111" s="166">
        <v>11.284616138091399</v>
      </c>
      <c r="AT111" s="181" t="s">
        <v>54</v>
      </c>
      <c r="AU111" s="173">
        <v>0.70528850863071602</v>
      </c>
      <c r="AV111" s="174">
        <v>-26.495889240618599</v>
      </c>
      <c r="AW111" s="168"/>
      <c r="AX111" s="168"/>
      <c r="AY111" s="176">
        <v>17</v>
      </c>
      <c r="AZ111" s="176">
        <v>28</v>
      </c>
      <c r="BA111" s="167"/>
      <c r="BB111" s="184">
        <v>124</v>
      </c>
      <c r="BC111" s="180">
        <v>35.246659977917901</v>
      </c>
      <c r="BD111" s="181" t="s">
        <v>55</v>
      </c>
      <c r="BE111" s="182">
        <v>1.10145812430993</v>
      </c>
      <c r="BF111" s="183">
        <v>-8.3917784812371394</v>
      </c>
      <c r="BG111" s="168">
        <v>1.2E-2</v>
      </c>
      <c r="BH111" s="168">
        <v>0.01</v>
      </c>
      <c r="BI111" s="176">
        <v>0</v>
      </c>
      <c r="BJ111" s="176">
        <v>12</v>
      </c>
      <c r="BK111" s="169"/>
      <c r="BL111" s="185">
        <v>0.8</v>
      </c>
      <c r="BM111" s="188">
        <v>0.76</v>
      </c>
      <c r="BN111" s="186"/>
      <c r="BO111" s="187">
        <v>0.95</v>
      </c>
      <c r="BP111" s="178">
        <v>1</v>
      </c>
      <c r="BQ111" s="186">
        <v>2.5000000000000001E-3</v>
      </c>
    </row>
    <row r="112" spans="1:69" s="156" customFormat="1" ht="22.35" customHeight="1" x14ac:dyDescent="0.2">
      <c r="A112" s="165" t="s">
        <v>139</v>
      </c>
      <c r="B112" s="165" t="s">
        <v>159</v>
      </c>
      <c r="C112" s="165" t="s">
        <v>170</v>
      </c>
      <c r="D112" s="166">
        <v>3.33057645111111</v>
      </c>
      <c r="E112" s="167"/>
      <c r="F112" s="168">
        <v>0.01</v>
      </c>
      <c r="G112" s="168">
        <v>0.01</v>
      </c>
      <c r="H112" s="169"/>
      <c r="I112" s="170">
        <v>2</v>
      </c>
      <c r="J112" s="170">
        <v>2</v>
      </c>
      <c r="K112" s="167"/>
      <c r="L112" s="171">
        <v>1752.0404799999999</v>
      </c>
      <c r="M112" s="171">
        <v>1264.5308500000001</v>
      </c>
      <c r="N112" s="171">
        <v>3016.5713300000002</v>
      </c>
      <c r="O112" s="166">
        <v>905.72048841384299</v>
      </c>
      <c r="P112" s="172">
        <v>287.5</v>
      </c>
      <c r="Q112" s="178">
        <v>3.1503321336133698</v>
      </c>
      <c r="R112" s="179">
        <v>1890.50343187933</v>
      </c>
      <c r="S112" s="168">
        <v>0.01</v>
      </c>
      <c r="T112" s="168">
        <v>0.01</v>
      </c>
      <c r="U112" s="175">
        <v>0</v>
      </c>
      <c r="V112" s="176">
        <v>0</v>
      </c>
      <c r="W112" s="167"/>
      <c r="X112" s="175">
        <v>1789.500315</v>
      </c>
      <c r="Y112" s="166">
        <v>537.29447177319901</v>
      </c>
      <c r="Z112" s="177">
        <v>573</v>
      </c>
      <c r="AA112" s="188">
        <v>0.93768668721326198</v>
      </c>
      <c r="AB112" s="171">
        <v>-454.80196542831902</v>
      </c>
      <c r="AC112" s="168"/>
      <c r="AD112" s="168"/>
      <c r="AE112" s="176">
        <v>119</v>
      </c>
      <c r="AF112" s="176">
        <v>501</v>
      </c>
      <c r="AG112" s="167"/>
      <c r="AH112" s="180">
        <v>87.5</v>
      </c>
      <c r="AI112" s="166">
        <v>26.271728418306999</v>
      </c>
      <c r="AJ112" s="181" t="s">
        <v>53</v>
      </c>
      <c r="AK112" s="173">
        <v>0.41701156219535002</v>
      </c>
      <c r="AL112" s="174">
        <v>-159.25574810992001</v>
      </c>
      <c r="AM112" s="168"/>
      <c r="AN112" s="168"/>
      <c r="AO112" s="176">
        <v>123</v>
      </c>
      <c r="AP112" s="176">
        <v>165</v>
      </c>
      <c r="AQ112" s="167"/>
      <c r="AR112" s="180">
        <v>16.600000000000001</v>
      </c>
      <c r="AS112" s="166">
        <v>4.9841221913588196</v>
      </c>
      <c r="AT112" s="181" t="s">
        <v>54</v>
      </c>
      <c r="AU112" s="173">
        <v>0.311507636959926</v>
      </c>
      <c r="AV112" s="174">
        <v>-46.068126504106601</v>
      </c>
      <c r="AW112" s="168"/>
      <c r="AX112" s="168"/>
      <c r="AY112" s="176">
        <v>37</v>
      </c>
      <c r="AZ112" s="176">
        <v>48</v>
      </c>
      <c r="BA112" s="167"/>
      <c r="BB112" s="184">
        <v>102.8</v>
      </c>
      <c r="BC112" s="180">
        <v>30.865527787451001</v>
      </c>
      <c r="BD112" s="181" t="s">
        <v>55</v>
      </c>
      <c r="BE112" s="188">
        <v>0.96454774335784399</v>
      </c>
      <c r="BF112" s="171">
        <v>-22.536253008213301</v>
      </c>
      <c r="BG112" s="168"/>
      <c r="BH112" s="168"/>
      <c r="BI112" s="176">
        <v>4</v>
      </c>
      <c r="BJ112" s="176">
        <v>26</v>
      </c>
      <c r="BK112" s="169"/>
      <c r="BL112" s="185">
        <v>0.8</v>
      </c>
      <c r="BM112" s="188">
        <v>0.74</v>
      </c>
      <c r="BN112" s="186"/>
      <c r="BO112" s="187">
        <v>0.95</v>
      </c>
      <c r="BP112" s="178">
        <v>1</v>
      </c>
      <c r="BQ112" s="186">
        <v>2.5000000000000001E-3</v>
      </c>
    </row>
    <row r="113" spans="1:69" s="156" customFormat="1" ht="22.35" customHeight="1" x14ac:dyDescent="0.2">
      <c r="A113" s="165" t="s">
        <v>139</v>
      </c>
      <c r="B113" s="165" t="s">
        <v>159</v>
      </c>
      <c r="C113" s="165" t="s">
        <v>171</v>
      </c>
      <c r="D113" s="166">
        <v>7.6444229506666703</v>
      </c>
      <c r="E113" s="167"/>
      <c r="F113" s="168">
        <v>1.0999999999999999E-2</v>
      </c>
      <c r="G113" s="168">
        <v>0.01</v>
      </c>
      <c r="H113" s="169"/>
      <c r="I113" s="170">
        <v>3</v>
      </c>
      <c r="J113" s="170">
        <v>2</v>
      </c>
      <c r="K113" s="167"/>
      <c r="L113" s="171">
        <v>5850.23675</v>
      </c>
      <c r="M113" s="171">
        <v>136.65934999999999</v>
      </c>
      <c r="N113" s="171">
        <v>5986.8960999999999</v>
      </c>
      <c r="O113" s="166">
        <v>783.17174999819804</v>
      </c>
      <c r="P113" s="172">
        <v>287.5</v>
      </c>
      <c r="Q113" s="178">
        <v>2.7240756521676399</v>
      </c>
      <c r="R113" s="179">
        <v>3402.3167003796002</v>
      </c>
      <c r="S113" s="168">
        <v>0.01</v>
      </c>
      <c r="T113" s="168">
        <v>0.01</v>
      </c>
      <c r="U113" s="175">
        <v>0</v>
      </c>
      <c r="V113" s="176">
        <v>0</v>
      </c>
      <c r="W113" s="167"/>
      <c r="X113" s="175">
        <v>4315.3844799999997</v>
      </c>
      <c r="Y113" s="166">
        <v>564.51409188755804</v>
      </c>
      <c r="Z113" s="177">
        <v>573</v>
      </c>
      <c r="AA113" s="182">
        <v>0.98519038723832097</v>
      </c>
      <c r="AB113" s="183">
        <v>-835.79463646083298</v>
      </c>
      <c r="AC113" s="168">
        <v>1E-3</v>
      </c>
      <c r="AD113" s="168"/>
      <c r="AE113" s="176">
        <v>65</v>
      </c>
      <c r="AF113" s="176">
        <v>941</v>
      </c>
      <c r="AG113" s="167"/>
      <c r="AH113" s="180">
        <v>357.05</v>
      </c>
      <c r="AI113" s="166">
        <v>46.707253419155997</v>
      </c>
      <c r="AJ113" s="181" t="s">
        <v>53</v>
      </c>
      <c r="AK113" s="173">
        <v>0.74138497490723698</v>
      </c>
      <c r="AL113" s="174">
        <v>-209.31000756899201</v>
      </c>
      <c r="AM113" s="168"/>
      <c r="AN113" s="168"/>
      <c r="AO113" s="176">
        <v>125</v>
      </c>
      <c r="AP113" s="176">
        <v>221</v>
      </c>
      <c r="AQ113" s="167"/>
      <c r="AR113" s="180">
        <v>30.8</v>
      </c>
      <c r="AS113" s="166">
        <v>4.0290810959529599</v>
      </c>
      <c r="AT113" s="181" t="s">
        <v>54</v>
      </c>
      <c r="AU113" s="173">
        <v>0.25181756849706</v>
      </c>
      <c r="AV113" s="174">
        <v>-113.037462239744</v>
      </c>
      <c r="AW113" s="168"/>
      <c r="AX113" s="168"/>
      <c r="AY113" s="176">
        <v>92</v>
      </c>
      <c r="AZ113" s="176">
        <v>116</v>
      </c>
      <c r="BA113" s="167"/>
      <c r="BB113" s="184">
        <v>220.4</v>
      </c>
      <c r="BC113" s="180">
        <v>28.8314764138971</v>
      </c>
      <c r="BD113" s="181" t="s">
        <v>55</v>
      </c>
      <c r="BE113" s="188">
        <v>0.90098363793428604</v>
      </c>
      <c r="BF113" s="171">
        <v>-67.274924479488106</v>
      </c>
      <c r="BG113" s="168"/>
      <c r="BH113" s="168"/>
      <c r="BI113" s="176">
        <v>25</v>
      </c>
      <c r="BJ113" s="176">
        <v>74</v>
      </c>
      <c r="BK113" s="169"/>
      <c r="BL113" s="185">
        <v>0.8</v>
      </c>
      <c r="BM113" s="173">
        <v>0.69</v>
      </c>
      <c r="BN113" s="186"/>
      <c r="BO113" s="187">
        <v>0.95</v>
      </c>
      <c r="BP113" s="178">
        <v>1</v>
      </c>
      <c r="BQ113" s="186">
        <v>2.5000000000000001E-3</v>
      </c>
    </row>
    <row r="114" spans="1:69" s="156" customFormat="1" ht="22.35" customHeight="1" x14ac:dyDescent="0.2">
      <c r="A114" s="165" t="s">
        <v>139</v>
      </c>
      <c r="B114" s="165" t="s">
        <v>159</v>
      </c>
      <c r="C114" s="165" t="s">
        <v>172</v>
      </c>
      <c r="D114" s="166">
        <v>6.0447914316666704</v>
      </c>
      <c r="E114" s="167"/>
      <c r="F114" s="168">
        <v>4.2000000000000003E-2</v>
      </c>
      <c r="G114" s="168">
        <v>3.7999999999999999E-2</v>
      </c>
      <c r="H114" s="169"/>
      <c r="I114" s="170">
        <v>4</v>
      </c>
      <c r="J114" s="170">
        <v>4</v>
      </c>
      <c r="K114" s="167"/>
      <c r="L114" s="171">
        <v>3686.4754699999999</v>
      </c>
      <c r="M114" s="171">
        <v>-407.39415000000002</v>
      </c>
      <c r="N114" s="171">
        <v>3279.0813199999998</v>
      </c>
      <c r="O114" s="166">
        <v>542.463930653087</v>
      </c>
      <c r="P114" s="172">
        <v>260.82400000000001</v>
      </c>
      <c r="Q114" s="178">
        <v>2.07980834069367</v>
      </c>
      <c r="R114" s="179">
        <v>1424.9683438813199</v>
      </c>
      <c r="S114" s="168">
        <v>0.01</v>
      </c>
      <c r="T114" s="168">
        <v>0.01</v>
      </c>
      <c r="U114" s="175">
        <v>0</v>
      </c>
      <c r="V114" s="176">
        <v>0</v>
      </c>
      <c r="W114" s="167"/>
      <c r="X114" s="175">
        <v>4086.9340149999998</v>
      </c>
      <c r="Y114" s="166">
        <v>676.10835894021102</v>
      </c>
      <c r="Z114" s="177">
        <v>573</v>
      </c>
      <c r="AA114" s="178">
        <v>1.17994478000037</v>
      </c>
      <c r="AB114" s="179">
        <v>13.663398354278799</v>
      </c>
      <c r="AC114" s="168">
        <v>0.02</v>
      </c>
      <c r="AD114" s="168">
        <v>1.7999999999999999E-2</v>
      </c>
      <c r="AE114" s="176">
        <v>0</v>
      </c>
      <c r="AF114" s="176">
        <v>70</v>
      </c>
      <c r="AG114" s="167"/>
      <c r="AH114" s="180">
        <v>239.1</v>
      </c>
      <c r="AI114" s="166">
        <v>39.554714617188303</v>
      </c>
      <c r="AJ114" s="181" t="s">
        <v>53</v>
      </c>
      <c r="AK114" s="173">
        <v>0.62785261297124195</v>
      </c>
      <c r="AL114" s="174">
        <v>-208.74650758932</v>
      </c>
      <c r="AM114" s="168"/>
      <c r="AN114" s="168"/>
      <c r="AO114" s="176">
        <v>142</v>
      </c>
      <c r="AP114" s="176">
        <v>218</v>
      </c>
      <c r="AQ114" s="167"/>
      <c r="AR114" s="180">
        <v>38.799999999999997</v>
      </c>
      <c r="AS114" s="166">
        <v>6.4187491725090098</v>
      </c>
      <c r="AT114" s="181" t="s">
        <v>54</v>
      </c>
      <c r="AU114" s="173">
        <v>0.401171823281813</v>
      </c>
      <c r="AV114" s="174">
        <v>-74.938795578240104</v>
      </c>
      <c r="AW114" s="168"/>
      <c r="AX114" s="168"/>
      <c r="AY114" s="176">
        <v>58</v>
      </c>
      <c r="AZ114" s="176">
        <v>78</v>
      </c>
      <c r="BA114" s="167"/>
      <c r="BB114" s="184">
        <v>213.2</v>
      </c>
      <c r="BC114" s="180">
        <v>35.270034112858802</v>
      </c>
      <c r="BD114" s="181" t="s">
        <v>55</v>
      </c>
      <c r="BE114" s="182">
        <v>1.10218856602684</v>
      </c>
      <c r="BF114" s="183">
        <v>-14.277591156480099</v>
      </c>
      <c r="BG114" s="168">
        <v>1.2E-2</v>
      </c>
      <c r="BH114" s="168">
        <v>0.01</v>
      </c>
      <c r="BI114" s="176">
        <v>0</v>
      </c>
      <c r="BJ114" s="176">
        <v>19</v>
      </c>
      <c r="BK114" s="169"/>
      <c r="BL114" s="185">
        <v>0.8</v>
      </c>
      <c r="BM114" s="188">
        <v>0.72</v>
      </c>
      <c r="BN114" s="186"/>
      <c r="BO114" s="187">
        <v>0.95</v>
      </c>
      <c r="BP114" s="178">
        <v>1</v>
      </c>
      <c r="BQ114" s="186">
        <v>2.5000000000000001E-3</v>
      </c>
    </row>
    <row r="115" spans="1:69" s="156" customFormat="1" ht="22.35" customHeight="1" x14ac:dyDescent="0.2">
      <c r="A115" s="165" t="s">
        <v>139</v>
      </c>
      <c r="B115" s="165" t="s">
        <v>159</v>
      </c>
      <c r="C115" s="165" t="s">
        <v>173</v>
      </c>
      <c r="D115" s="166">
        <v>4.01034421888889</v>
      </c>
      <c r="E115" s="167"/>
      <c r="F115" s="168">
        <v>4.2000000000000003E-2</v>
      </c>
      <c r="G115" s="168">
        <v>3.7999999999999999E-2</v>
      </c>
      <c r="H115" s="169"/>
      <c r="I115" s="170">
        <v>5</v>
      </c>
      <c r="J115" s="170">
        <v>5</v>
      </c>
      <c r="K115" s="167"/>
      <c r="L115" s="171">
        <v>2702.5806200000002</v>
      </c>
      <c r="M115" s="171">
        <v>439.71485999999999</v>
      </c>
      <c r="N115" s="171">
        <v>3142.2954800000002</v>
      </c>
      <c r="O115" s="166">
        <v>783.54757309850299</v>
      </c>
      <c r="P115" s="172">
        <v>234.23500000000001</v>
      </c>
      <c r="Q115" s="178">
        <v>3.3451344722116798</v>
      </c>
      <c r="R115" s="179">
        <v>2037.6046177409501</v>
      </c>
      <c r="S115" s="168">
        <v>0.01</v>
      </c>
      <c r="T115" s="168">
        <v>0.01</v>
      </c>
      <c r="U115" s="175">
        <v>0</v>
      </c>
      <c r="V115" s="176">
        <v>0</v>
      </c>
      <c r="W115" s="167"/>
      <c r="X115" s="175">
        <v>3414.3165650000001</v>
      </c>
      <c r="Y115" s="166">
        <v>851.37743261998003</v>
      </c>
      <c r="Z115" s="177">
        <v>573</v>
      </c>
      <c r="AA115" s="178">
        <v>1.48582448973818</v>
      </c>
      <c r="AB115" s="179">
        <v>711.95413379015997</v>
      </c>
      <c r="AC115" s="168">
        <v>0.02</v>
      </c>
      <c r="AD115" s="168">
        <v>0.02</v>
      </c>
      <c r="AE115" s="176">
        <v>0</v>
      </c>
      <c r="AF115" s="176">
        <v>0</v>
      </c>
      <c r="AG115" s="167"/>
      <c r="AH115" s="180">
        <v>267.05</v>
      </c>
      <c r="AI115" s="166">
        <v>66.590293856119203</v>
      </c>
      <c r="AJ115" s="181" t="s">
        <v>53</v>
      </c>
      <c r="AK115" s="182">
        <v>1.05698879136697</v>
      </c>
      <c r="AL115" s="183">
        <v>-30.068382489040101</v>
      </c>
      <c r="AM115" s="168">
        <v>8.0000000000000002E-3</v>
      </c>
      <c r="AN115" s="168">
        <v>6.0000000000000001E-3</v>
      </c>
      <c r="AO115" s="176">
        <v>0</v>
      </c>
      <c r="AP115" s="176">
        <v>37</v>
      </c>
      <c r="AQ115" s="167"/>
      <c r="AR115" s="180">
        <v>29.8</v>
      </c>
      <c r="AS115" s="166">
        <v>7.4307835870149903</v>
      </c>
      <c r="AT115" s="181" t="s">
        <v>54</v>
      </c>
      <c r="AU115" s="173">
        <v>0.46442397418843701</v>
      </c>
      <c r="AV115" s="174">
        <v>-45.658636822613403</v>
      </c>
      <c r="AW115" s="168"/>
      <c r="AX115" s="168"/>
      <c r="AY115" s="176">
        <v>35</v>
      </c>
      <c r="AZ115" s="176">
        <v>48</v>
      </c>
      <c r="BA115" s="167"/>
      <c r="BB115" s="184">
        <v>130.4</v>
      </c>
      <c r="BC115" s="180">
        <v>32.515912072038702</v>
      </c>
      <c r="BD115" s="181" t="s">
        <v>55</v>
      </c>
      <c r="BE115" s="182">
        <v>1.0161222522512099</v>
      </c>
      <c r="BF115" s="183">
        <v>-20.517273645226702</v>
      </c>
      <c r="BG115" s="168">
        <v>4.0000000000000001E-3</v>
      </c>
      <c r="BH115" s="168">
        <v>2E-3</v>
      </c>
      <c r="BI115" s="176">
        <v>0</v>
      </c>
      <c r="BJ115" s="176">
        <v>24</v>
      </c>
      <c r="BK115" s="169"/>
      <c r="BL115" s="185">
        <v>0.8</v>
      </c>
      <c r="BM115" s="188">
        <v>0.74</v>
      </c>
      <c r="BN115" s="186"/>
      <c r="BO115" s="187">
        <v>0.95</v>
      </c>
      <c r="BP115" s="178">
        <v>1</v>
      </c>
      <c r="BQ115" s="186">
        <v>2.5000000000000001E-3</v>
      </c>
    </row>
    <row r="116" spans="1:69" s="156" customFormat="1" ht="22.35" customHeight="1" x14ac:dyDescent="0.2">
      <c r="A116" s="165" t="s">
        <v>139</v>
      </c>
      <c r="B116" s="165" t="s">
        <v>159</v>
      </c>
      <c r="C116" s="165" t="s">
        <v>174</v>
      </c>
      <c r="D116" s="166">
        <v>2.3561526822222199</v>
      </c>
      <c r="E116" s="167"/>
      <c r="F116" s="168">
        <v>2.4E-2</v>
      </c>
      <c r="G116" s="168">
        <v>2.1000000000000001E-2</v>
      </c>
      <c r="H116" s="169"/>
      <c r="I116" s="170">
        <v>3</v>
      </c>
      <c r="J116" s="170">
        <v>3</v>
      </c>
      <c r="K116" s="167"/>
      <c r="L116" s="171">
        <v>2098.7437799999998</v>
      </c>
      <c r="M116" s="171">
        <v>827.56439</v>
      </c>
      <c r="N116" s="171">
        <v>2926.3081699999998</v>
      </c>
      <c r="O116" s="166">
        <v>1241.98579832273</v>
      </c>
      <c r="P116" s="172">
        <v>258.77999999999997</v>
      </c>
      <c r="Q116" s="178">
        <v>4.7993886634312197</v>
      </c>
      <c r="R116" s="179">
        <v>2209.2713452599701</v>
      </c>
      <c r="S116" s="168">
        <v>0.01</v>
      </c>
      <c r="T116" s="168">
        <v>0.01</v>
      </c>
      <c r="U116" s="175">
        <v>0</v>
      </c>
      <c r="V116" s="176">
        <v>0</v>
      </c>
      <c r="W116" s="167"/>
      <c r="X116" s="175">
        <v>1503.561645</v>
      </c>
      <c r="Y116" s="166">
        <v>638.14270456441898</v>
      </c>
      <c r="Z116" s="177">
        <v>573</v>
      </c>
      <c r="AA116" s="182">
        <v>1.11368709348066</v>
      </c>
      <c r="AB116" s="183">
        <v>-84.127127610078304</v>
      </c>
      <c r="AC116" s="168">
        <v>1.4E-2</v>
      </c>
      <c r="AD116" s="168">
        <v>1.0999999999999999E-2</v>
      </c>
      <c r="AE116" s="176">
        <v>0</v>
      </c>
      <c r="AF116" s="176">
        <v>117</v>
      </c>
      <c r="AG116" s="167"/>
      <c r="AH116" s="180">
        <v>135.5</v>
      </c>
      <c r="AI116" s="166">
        <v>57.509006535265002</v>
      </c>
      <c r="AJ116" s="181" t="s">
        <v>53</v>
      </c>
      <c r="AK116" s="188">
        <v>0.912841373575635</v>
      </c>
      <c r="AL116" s="171">
        <v>-39.062639920479803</v>
      </c>
      <c r="AM116" s="168"/>
      <c r="AN116" s="168"/>
      <c r="AO116" s="176">
        <v>13</v>
      </c>
      <c r="AP116" s="176">
        <v>43</v>
      </c>
      <c r="AQ116" s="167"/>
      <c r="AR116" s="180">
        <v>9</v>
      </c>
      <c r="AS116" s="166">
        <v>3.8197864119364202</v>
      </c>
      <c r="AT116" s="181" t="s">
        <v>54</v>
      </c>
      <c r="AU116" s="173">
        <v>0.23873665074602601</v>
      </c>
      <c r="AV116" s="174">
        <v>-35.333368868693299</v>
      </c>
      <c r="AW116" s="168"/>
      <c r="AX116" s="168"/>
      <c r="AY116" s="176">
        <v>29</v>
      </c>
      <c r="AZ116" s="176">
        <v>37</v>
      </c>
      <c r="BA116" s="167"/>
      <c r="BB116" s="184">
        <v>64.2</v>
      </c>
      <c r="BC116" s="180">
        <v>27.247809738479798</v>
      </c>
      <c r="BD116" s="181" t="s">
        <v>55</v>
      </c>
      <c r="BE116" s="188">
        <v>0.85149405432749403</v>
      </c>
      <c r="BF116" s="171">
        <v>-24.466737737386602</v>
      </c>
      <c r="BG116" s="168"/>
      <c r="BH116" s="168"/>
      <c r="BI116" s="176">
        <v>12</v>
      </c>
      <c r="BJ116" s="176">
        <v>27</v>
      </c>
      <c r="BK116" s="169"/>
      <c r="BL116" s="185">
        <v>0.8</v>
      </c>
      <c r="BM116" s="188">
        <v>0.73</v>
      </c>
      <c r="BN116" s="186"/>
      <c r="BO116" s="187">
        <v>0.95</v>
      </c>
      <c r="BP116" s="178">
        <v>1</v>
      </c>
      <c r="BQ116" s="186">
        <v>2.5000000000000001E-3</v>
      </c>
    </row>
    <row r="117" spans="1:69" s="156" customFormat="1" ht="22.35" customHeight="1" x14ac:dyDescent="0.2">
      <c r="A117" s="165" t="s">
        <v>175</v>
      </c>
      <c r="B117" s="165" t="s">
        <v>176</v>
      </c>
      <c r="C117" s="165" t="s">
        <v>177</v>
      </c>
      <c r="D117" s="166">
        <v>5.36114939544444</v>
      </c>
      <c r="E117" s="167"/>
      <c r="F117" s="168">
        <v>3.3000000000000002E-2</v>
      </c>
      <c r="G117" s="168">
        <v>0.03</v>
      </c>
      <c r="H117" s="169"/>
      <c r="I117" s="170">
        <v>6</v>
      </c>
      <c r="J117" s="170">
        <v>4</v>
      </c>
      <c r="K117" s="167"/>
      <c r="L117" s="171">
        <v>3651.5404899999999</v>
      </c>
      <c r="M117" s="171">
        <v>2561.9886999999999</v>
      </c>
      <c r="N117" s="171">
        <v>6213.5291900000002</v>
      </c>
      <c r="O117" s="166">
        <v>1158.99198691979</v>
      </c>
      <c r="P117" s="172">
        <v>227.6</v>
      </c>
      <c r="Q117" s="178">
        <v>5.0922319284700803</v>
      </c>
      <c r="R117" s="179">
        <v>4778.5768095738904</v>
      </c>
      <c r="S117" s="168">
        <v>0.01</v>
      </c>
      <c r="T117" s="168">
        <v>0.01</v>
      </c>
      <c r="U117" s="175">
        <v>0</v>
      </c>
      <c r="V117" s="176">
        <v>0</v>
      </c>
      <c r="W117" s="167"/>
      <c r="X117" s="175">
        <v>3013.1934099999999</v>
      </c>
      <c r="Y117" s="166">
        <v>562.04242555904398</v>
      </c>
      <c r="Z117" s="177">
        <v>573</v>
      </c>
      <c r="AA117" s="182">
        <v>0.98087683343637699</v>
      </c>
      <c r="AB117" s="183">
        <v>-599.40638782144504</v>
      </c>
      <c r="AC117" s="168">
        <v>1E-3</v>
      </c>
      <c r="AD117" s="168"/>
      <c r="AE117" s="176">
        <v>59</v>
      </c>
      <c r="AF117" s="176">
        <v>674</v>
      </c>
      <c r="AG117" s="167"/>
      <c r="AH117" s="180">
        <v>336.85</v>
      </c>
      <c r="AI117" s="166">
        <v>62.831675663848003</v>
      </c>
      <c r="AJ117" s="181" t="s">
        <v>53</v>
      </c>
      <c r="AK117" s="182">
        <v>0.99732818514044397</v>
      </c>
      <c r="AL117" s="183">
        <v>-60.346836409687597</v>
      </c>
      <c r="AM117" s="168">
        <v>2E-3</v>
      </c>
      <c r="AN117" s="168">
        <v>0</v>
      </c>
      <c r="AO117" s="176">
        <v>1</v>
      </c>
      <c r="AP117" s="176">
        <v>69</v>
      </c>
      <c r="AQ117" s="167"/>
      <c r="AR117" s="180">
        <v>54.6</v>
      </c>
      <c r="AS117" s="166">
        <v>10.1843832306549</v>
      </c>
      <c r="AT117" s="181" t="s">
        <v>54</v>
      </c>
      <c r="AU117" s="173">
        <v>0.63652395191593003</v>
      </c>
      <c r="AV117" s="174">
        <v>-46.275387024682601</v>
      </c>
      <c r="AW117" s="168"/>
      <c r="AX117" s="168"/>
      <c r="AY117" s="176">
        <v>32</v>
      </c>
      <c r="AZ117" s="176">
        <v>49</v>
      </c>
      <c r="BA117" s="167"/>
      <c r="BB117" s="184">
        <v>217.4</v>
      </c>
      <c r="BC117" s="180">
        <v>40.551005757222903</v>
      </c>
      <c r="BD117" s="181" t="s">
        <v>55</v>
      </c>
      <c r="BE117" s="178">
        <v>1.2672189299132199</v>
      </c>
      <c r="BF117" s="179">
        <v>15.649225950634801</v>
      </c>
      <c r="BG117" s="168">
        <v>0.02</v>
      </c>
      <c r="BH117" s="168">
        <v>0.02</v>
      </c>
      <c r="BI117" s="176">
        <v>0</v>
      </c>
      <c r="BJ117" s="176">
        <v>0</v>
      </c>
      <c r="BK117" s="169"/>
      <c r="BL117" s="185">
        <v>0.8</v>
      </c>
      <c r="BM117" s="182">
        <v>0.83</v>
      </c>
      <c r="BN117" s="186">
        <v>1.1249999999999999E-3</v>
      </c>
      <c r="BO117" s="187">
        <v>0.95</v>
      </c>
      <c r="BP117" s="178">
        <v>1</v>
      </c>
      <c r="BQ117" s="186">
        <v>2.5000000000000001E-3</v>
      </c>
    </row>
    <row r="118" spans="1:69" s="156" customFormat="1" ht="22.35" customHeight="1" x14ac:dyDescent="0.2">
      <c r="A118" s="165" t="s">
        <v>175</v>
      </c>
      <c r="B118" s="165" t="s">
        <v>176</v>
      </c>
      <c r="C118" s="165" t="s">
        <v>178</v>
      </c>
      <c r="D118" s="166">
        <v>9.7145609433333302</v>
      </c>
      <c r="E118" s="167"/>
      <c r="F118" s="168">
        <v>7.6999999999999999E-2</v>
      </c>
      <c r="G118" s="168">
        <v>7.5499999999999998E-2</v>
      </c>
      <c r="H118" s="169"/>
      <c r="I118" s="170">
        <v>6</v>
      </c>
      <c r="J118" s="170">
        <v>6</v>
      </c>
      <c r="K118" s="167"/>
      <c r="L118" s="171">
        <v>5710.6198299999996</v>
      </c>
      <c r="M118" s="171">
        <v>2373.9783699999998</v>
      </c>
      <c r="N118" s="171">
        <v>8084.5982000000004</v>
      </c>
      <c r="O118" s="166">
        <v>832.21447136508004</v>
      </c>
      <c r="P118" s="172">
        <v>242.374</v>
      </c>
      <c r="Q118" s="178">
        <v>3.4335963072156201</v>
      </c>
      <c r="R118" s="179">
        <v>5315.63917496254</v>
      </c>
      <c r="S118" s="168">
        <v>0.01</v>
      </c>
      <c r="T118" s="168">
        <v>0.01</v>
      </c>
      <c r="U118" s="175">
        <v>0</v>
      </c>
      <c r="V118" s="176">
        <v>0</v>
      </c>
      <c r="W118" s="167"/>
      <c r="X118" s="175">
        <v>6897.0737550000003</v>
      </c>
      <c r="Y118" s="166">
        <v>709.97277131017995</v>
      </c>
      <c r="Z118" s="177">
        <v>573</v>
      </c>
      <c r="AA118" s="178">
        <v>1.23904497610852</v>
      </c>
      <c r="AB118" s="179">
        <v>350.93629245672298</v>
      </c>
      <c r="AC118" s="168">
        <v>0.02</v>
      </c>
      <c r="AD118" s="168">
        <v>0.02</v>
      </c>
      <c r="AE118" s="176">
        <v>0</v>
      </c>
      <c r="AF118" s="176">
        <v>0</v>
      </c>
      <c r="AG118" s="167"/>
      <c r="AH118" s="180">
        <v>765.9</v>
      </c>
      <c r="AI118" s="166">
        <v>78.840413320542595</v>
      </c>
      <c r="AJ118" s="181" t="s">
        <v>53</v>
      </c>
      <c r="AK118" s="178">
        <v>1.2514351320721</v>
      </c>
      <c r="AL118" s="179">
        <v>46.167608830320397</v>
      </c>
      <c r="AM118" s="168">
        <v>0.02</v>
      </c>
      <c r="AN118" s="168">
        <v>0.02</v>
      </c>
      <c r="AO118" s="176">
        <v>0</v>
      </c>
      <c r="AP118" s="176">
        <v>0</v>
      </c>
      <c r="AQ118" s="167"/>
      <c r="AR118" s="180">
        <v>173.1</v>
      </c>
      <c r="AS118" s="166">
        <v>17.818612802958501</v>
      </c>
      <c r="AT118" s="181" t="s">
        <v>54</v>
      </c>
      <c r="AU118" s="182">
        <v>1.1136633001849101</v>
      </c>
      <c r="AV118" s="183">
        <v>-9.6891787097599202</v>
      </c>
      <c r="AW118" s="168">
        <v>7.0000000000000001E-3</v>
      </c>
      <c r="AX118" s="168">
        <v>5.4999999999999997E-3</v>
      </c>
      <c r="AY118" s="176">
        <v>0</v>
      </c>
      <c r="AZ118" s="176">
        <v>14</v>
      </c>
      <c r="BA118" s="167"/>
      <c r="BB118" s="184">
        <v>503.2</v>
      </c>
      <c r="BC118" s="180">
        <v>51.798532423158399</v>
      </c>
      <c r="BD118" s="181" t="s">
        <v>55</v>
      </c>
      <c r="BE118" s="178">
        <v>1.6187041382237</v>
      </c>
      <c r="BF118" s="179">
        <v>137.62164258048</v>
      </c>
      <c r="BG118" s="168">
        <v>0.02</v>
      </c>
      <c r="BH118" s="168">
        <v>0.02</v>
      </c>
      <c r="BI118" s="176">
        <v>0</v>
      </c>
      <c r="BJ118" s="176">
        <v>0</v>
      </c>
      <c r="BK118" s="169"/>
      <c r="BL118" s="185">
        <v>0.8</v>
      </c>
      <c r="BM118" s="188">
        <v>0.77</v>
      </c>
      <c r="BN118" s="186"/>
      <c r="BO118" s="187">
        <v>0.95</v>
      </c>
      <c r="BP118" s="178">
        <v>1</v>
      </c>
      <c r="BQ118" s="186">
        <v>2.5000000000000001E-3</v>
      </c>
    </row>
    <row r="119" spans="1:69" s="156" customFormat="1" ht="22.35" customHeight="1" x14ac:dyDescent="0.2">
      <c r="A119" s="165" t="s">
        <v>175</v>
      </c>
      <c r="B119" s="165" t="s">
        <v>176</v>
      </c>
      <c r="C119" s="165" t="s">
        <v>179</v>
      </c>
      <c r="D119" s="166">
        <v>2.7303992304444402</v>
      </c>
      <c r="E119" s="167"/>
      <c r="F119" s="168">
        <v>0.08</v>
      </c>
      <c r="G119" s="168">
        <v>0.08</v>
      </c>
      <c r="H119" s="169"/>
      <c r="I119" s="170">
        <v>7</v>
      </c>
      <c r="J119" s="170">
        <v>7</v>
      </c>
      <c r="K119" s="167"/>
      <c r="L119" s="171">
        <v>597.04618000000005</v>
      </c>
      <c r="M119" s="171">
        <v>2877.7980400000001</v>
      </c>
      <c r="N119" s="171">
        <v>3474.84422</v>
      </c>
      <c r="O119" s="166">
        <v>1272.65060041581</v>
      </c>
      <c r="P119" s="172">
        <v>212.5</v>
      </c>
      <c r="Q119" s="178">
        <v>5.9889440019567504</v>
      </c>
      <c r="R119" s="179">
        <v>2792.5174523119299</v>
      </c>
      <c r="S119" s="168">
        <v>0.01</v>
      </c>
      <c r="T119" s="168">
        <v>0.01</v>
      </c>
      <c r="U119" s="175">
        <v>0</v>
      </c>
      <c r="V119" s="176">
        <v>0</v>
      </c>
      <c r="W119" s="167"/>
      <c r="X119" s="175">
        <v>1971.4059</v>
      </c>
      <c r="Y119" s="166">
        <v>722.02111618640504</v>
      </c>
      <c r="Z119" s="177">
        <v>573</v>
      </c>
      <c r="AA119" s="178">
        <v>1.2600717559972201</v>
      </c>
      <c r="AB119" s="179">
        <v>131.531839363475</v>
      </c>
      <c r="AC119" s="168">
        <v>0.02</v>
      </c>
      <c r="AD119" s="168">
        <v>0.02</v>
      </c>
      <c r="AE119" s="176">
        <v>0</v>
      </c>
      <c r="AF119" s="176">
        <v>0</v>
      </c>
      <c r="AG119" s="167"/>
      <c r="AH119" s="180">
        <v>227.75</v>
      </c>
      <c r="AI119" s="166">
        <v>83.412710295456506</v>
      </c>
      <c r="AJ119" s="181" t="s">
        <v>53</v>
      </c>
      <c r="AK119" s="178">
        <v>1.3240112745310599</v>
      </c>
      <c r="AL119" s="179">
        <v>25.460181814832399</v>
      </c>
      <c r="AM119" s="168">
        <v>0.02</v>
      </c>
      <c r="AN119" s="168">
        <v>0.02</v>
      </c>
      <c r="AO119" s="176">
        <v>0</v>
      </c>
      <c r="AP119" s="176">
        <v>0</v>
      </c>
      <c r="AQ119" s="167"/>
      <c r="AR119" s="180">
        <v>66.599999999999994</v>
      </c>
      <c r="AS119" s="166">
        <v>24.392037346552801</v>
      </c>
      <c r="AT119" s="181" t="s">
        <v>54</v>
      </c>
      <c r="AU119" s="178">
        <v>1.5245023341595501</v>
      </c>
      <c r="AV119" s="179">
        <v>15.2248080799574</v>
      </c>
      <c r="AW119" s="168">
        <v>0.01</v>
      </c>
      <c r="AX119" s="168">
        <v>0.01</v>
      </c>
      <c r="AY119" s="176">
        <v>0</v>
      </c>
      <c r="AZ119" s="176">
        <v>0</v>
      </c>
      <c r="BA119" s="167"/>
      <c r="BB119" s="184">
        <v>160</v>
      </c>
      <c r="BC119" s="180">
        <v>58.599489120847601</v>
      </c>
      <c r="BD119" s="181" t="s">
        <v>55</v>
      </c>
      <c r="BE119" s="178">
        <v>1.83123403502649</v>
      </c>
      <c r="BF119" s="179">
        <v>57.2496161599149</v>
      </c>
      <c r="BG119" s="168">
        <v>0.02</v>
      </c>
      <c r="BH119" s="168">
        <v>0.02</v>
      </c>
      <c r="BI119" s="176">
        <v>0</v>
      </c>
      <c r="BJ119" s="176">
        <v>0</v>
      </c>
      <c r="BK119" s="169"/>
      <c r="BL119" s="185">
        <v>0.8</v>
      </c>
      <c r="BM119" s="182">
        <v>0.87</v>
      </c>
      <c r="BN119" s="186">
        <v>2.6250000000000002E-3</v>
      </c>
      <c r="BO119" s="187">
        <v>0.95</v>
      </c>
      <c r="BP119" s="178">
        <v>1</v>
      </c>
      <c r="BQ119" s="186">
        <v>2.5000000000000001E-3</v>
      </c>
    </row>
    <row r="120" spans="1:69" s="156" customFormat="1" ht="22.35" customHeight="1" x14ac:dyDescent="0.2">
      <c r="A120" s="165" t="s">
        <v>175</v>
      </c>
      <c r="B120" s="165" t="s">
        <v>176</v>
      </c>
      <c r="C120" s="165" t="s">
        <v>180</v>
      </c>
      <c r="D120" s="166">
        <v>3.1380264342222199</v>
      </c>
      <c r="E120" s="167"/>
      <c r="F120" s="168">
        <v>2.8000000000000001E-2</v>
      </c>
      <c r="G120" s="168">
        <v>2.5000000000000001E-2</v>
      </c>
      <c r="H120" s="169"/>
      <c r="I120" s="170">
        <v>5</v>
      </c>
      <c r="J120" s="170">
        <v>5</v>
      </c>
      <c r="K120" s="167"/>
      <c r="L120" s="171">
        <v>1366.1096500000001</v>
      </c>
      <c r="M120" s="171">
        <v>1389.5113899999999</v>
      </c>
      <c r="N120" s="171">
        <v>2755.62104</v>
      </c>
      <c r="O120" s="166">
        <v>878.13824955333598</v>
      </c>
      <c r="P120" s="172">
        <v>212.5</v>
      </c>
      <c r="Q120" s="178">
        <v>4.1324152920156996</v>
      </c>
      <c r="R120" s="179">
        <v>1971.4282340878699</v>
      </c>
      <c r="S120" s="168">
        <v>0.01</v>
      </c>
      <c r="T120" s="168">
        <v>0.01</v>
      </c>
      <c r="U120" s="175">
        <v>0</v>
      </c>
      <c r="V120" s="176">
        <v>0</v>
      </c>
      <c r="W120" s="167"/>
      <c r="X120" s="175">
        <v>1655.532655</v>
      </c>
      <c r="Y120" s="166">
        <v>527.57129033246395</v>
      </c>
      <c r="Z120" s="177">
        <v>573</v>
      </c>
      <c r="AA120" s="188">
        <v>0.92071778417533101</v>
      </c>
      <c r="AB120" s="171">
        <v>-459.020181647774</v>
      </c>
      <c r="AC120" s="168"/>
      <c r="AD120" s="168"/>
      <c r="AE120" s="176">
        <v>143</v>
      </c>
      <c r="AF120" s="176">
        <v>503</v>
      </c>
      <c r="AG120" s="167"/>
      <c r="AH120" s="180">
        <v>170.9</v>
      </c>
      <c r="AI120" s="166">
        <v>54.460981633623</v>
      </c>
      <c r="AJ120" s="181" t="s">
        <v>53</v>
      </c>
      <c r="AK120" s="188">
        <v>0.86446002593052396</v>
      </c>
      <c r="AL120" s="171">
        <v>-61.590102458655799</v>
      </c>
      <c r="AM120" s="168"/>
      <c r="AN120" s="168"/>
      <c r="AO120" s="176">
        <v>27</v>
      </c>
      <c r="AP120" s="176">
        <v>67</v>
      </c>
      <c r="AQ120" s="167"/>
      <c r="AR120" s="180">
        <v>58.1</v>
      </c>
      <c r="AS120" s="166">
        <v>18.514821725649501</v>
      </c>
      <c r="AT120" s="181" t="s">
        <v>54</v>
      </c>
      <c r="AU120" s="182">
        <v>1.15717635785309</v>
      </c>
      <c r="AV120" s="183">
        <v>-0.94510538632528795</v>
      </c>
      <c r="AW120" s="168">
        <v>8.9999999999999993E-3</v>
      </c>
      <c r="AX120" s="168">
        <v>8.0000000000000002E-3</v>
      </c>
      <c r="AY120" s="176">
        <v>0</v>
      </c>
      <c r="AZ120" s="176">
        <v>3</v>
      </c>
      <c r="BA120" s="167"/>
      <c r="BB120" s="184">
        <v>107.2</v>
      </c>
      <c r="BC120" s="180">
        <v>34.161598777790402</v>
      </c>
      <c r="BD120" s="181" t="s">
        <v>55</v>
      </c>
      <c r="BE120" s="182">
        <v>1.0675499618059501</v>
      </c>
      <c r="BF120" s="183">
        <v>-10.890210772650599</v>
      </c>
      <c r="BG120" s="168">
        <v>8.9999999999999993E-3</v>
      </c>
      <c r="BH120" s="168">
        <v>7.0000000000000001E-3</v>
      </c>
      <c r="BI120" s="176">
        <v>0</v>
      </c>
      <c r="BJ120" s="176">
        <v>14</v>
      </c>
      <c r="BK120" s="169"/>
      <c r="BL120" s="185">
        <v>0.8</v>
      </c>
      <c r="BM120" s="182">
        <v>0.86</v>
      </c>
      <c r="BN120" s="186">
        <v>2.2499999999999998E-3</v>
      </c>
      <c r="BO120" s="187">
        <v>0.95</v>
      </c>
      <c r="BP120" s="178">
        <v>1</v>
      </c>
      <c r="BQ120" s="186">
        <v>2.5000000000000001E-3</v>
      </c>
    </row>
    <row r="121" spans="1:69" s="156" customFormat="1" ht="22.35" customHeight="1" x14ac:dyDescent="0.2">
      <c r="A121" s="165" t="s">
        <v>175</v>
      </c>
      <c r="B121" s="165" t="s">
        <v>176</v>
      </c>
      <c r="C121" s="165" t="s">
        <v>181</v>
      </c>
      <c r="D121" s="166">
        <v>2.9645688838888899</v>
      </c>
      <c r="E121" s="167"/>
      <c r="F121" s="168">
        <v>0.08</v>
      </c>
      <c r="G121" s="168">
        <v>0.08</v>
      </c>
      <c r="H121" s="169"/>
      <c r="I121" s="170">
        <v>7</v>
      </c>
      <c r="J121" s="170">
        <v>7</v>
      </c>
      <c r="K121" s="167"/>
      <c r="L121" s="171">
        <v>1068.9679799999999</v>
      </c>
      <c r="M121" s="171">
        <v>-182.91369</v>
      </c>
      <c r="N121" s="171">
        <v>886.05429000000004</v>
      </c>
      <c r="O121" s="166">
        <v>298.88132969866598</v>
      </c>
      <c r="P121" s="172">
        <v>221.85</v>
      </c>
      <c r="Q121" s="178">
        <v>1.3472225814679499</v>
      </c>
      <c r="R121" s="179">
        <v>112.611312296478</v>
      </c>
      <c r="S121" s="168">
        <v>0.01</v>
      </c>
      <c r="T121" s="168">
        <v>0.01</v>
      </c>
      <c r="U121" s="175">
        <v>0</v>
      </c>
      <c r="V121" s="176">
        <v>0</v>
      </c>
      <c r="W121" s="167"/>
      <c r="X121" s="175">
        <v>2334.4388100000001</v>
      </c>
      <c r="Y121" s="166">
        <v>787.44630380715205</v>
      </c>
      <c r="Z121" s="177">
        <v>573</v>
      </c>
      <c r="AA121" s="178">
        <v>1.3742518391049801</v>
      </c>
      <c r="AB121" s="179">
        <v>336.76999672923898</v>
      </c>
      <c r="AC121" s="168">
        <v>0.02</v>
      </c>
      <c r="AD121" s="168">
        <v>0.02</v>
      </c>
      <c r="AE121" s="176">
        <v>0</v>
      </c>
      <c r="AF121" s="176">
        <v>0</v>
      </c>
      <c r="AG121" s="167"/>
      <c r="AH121" s="180">
        <v>266.89999999999998</v>
      </c>
      <c r="AI121" s="166">
        <v>90.029953916902599</v>
      </c>
      <c r="AJ121" s="181" t="s">
        <v>53</v>
      </c>
      <c r="AK121" s="178">
        <v>1.4290468875698801</v>
      </c>
      <c r="AL121" s="179">
        <v>47.2610205304399</v>
      </c>
      <c r="AM121" s="168">
        <v>0.02</v>
      </c>
      <c r="AN121" s="168">
        <v>0.02</v>
      </c>
      <c r="AO121" s="176">
        <v>0</v>
      </c>
      <c r="AP121" s="176">
        <v>0</v>
      </c>
      <c r="AQ121" s="167"/>
      <c r="AR121" s="180">
        <v>73.5</v>
      </c>
      <c r="AS121" s="166">
        <v>24.792812337550899</v>
      </c>
      <c r="AT121" s="181" t="s">
        <v>54</v>
      </c>
      <c r="AU121" s="178">
        <v>1.5495507710969301</v>
      </c>
      <c r="AV121" s="179">
        <v>17.718671880746601</v>
      </c>
      <c r="AW121" s="168">
        <v>0.01</v>
      </c>
      <c r="AX121" s="168">
        <v>0.01</v>
      </c>
      <c r="AY121" s="176">
        <v>0</v>
      </c>
      <c r="AZ121" s="176">
        <v>0</v>
      </c>
      <c r="BA121" s="167"/>
      <c r="BB121" s="184">
        <v>198</v>
      </c>
      <c r="BC121" s="180">
        <v>66.788800582790202</v>
      </c>
      <c r="BD121" s="181" t="s">
        <v>55</v>
      </c>
      <c r="BE121" s="178">
        <v>2.0871500182121898</v>
      </c>
      <c r="BF121" s="179">
        <v>86.437343761493295</v>
      </c>
      <c r="BG121" s="168">
        <v>0.02</v>
      </c>
      <c r="BH121" s="168">
        <v>0.02</v>
      </c>
      <c r="BI121" s="176">
        <v>0</v>
      </c>
      <c r="BJ121" s="176">
        <v>0</v>
      </c>
      <c r="BK121" s="169"/>
      <c r="BL121" s="185">
        <v>0.8</v>
      </c>
      <c r="BM121" s="182">
        <v>0.86</v>
      </c>
      <c r="BN121" s="186">
        <v>2.2499999999999998E-3</v>
      </c>
      <c r="BO121" s="187">
        <v>0.95</v>
      </c>
      <c r="BP121" s="178">
        <v>1</v>
      </c>
      <c r="BQ121" s="186">
        <v>2.5000000000000001E-3</v>
      </c>
    </row>
    <row r="122" spans="1:69" s="156" customFormat="1" ht="22.35" customHeight="1" x14ac:dyDescent="0.2">
      <c r="A122" s="165" t="s">
        <v>175</v>
      </c>
      <c r="B122" s="165" t="s">
        <v>176</v>
      </c>
      <c r="C122" s="165" t="s">
        <v>182</v>
      </c>
      <c r="D122" s="166">
        <v>3.25939735288889</v>
      </c>
      <c r="E122" s="167"/>
      <c r="F122" s="168">
        <v>0.03</v>
      </c>
      <c r="G122" s="168">
        <v>0.03</v>
      </c>
      <c r="H122" s="169"/>
      <c r="I122" s="170">
        <v>3</v>
      </c>
      <c r="J122" s="170">
        <v>3</v>
      </c>
      <c r="K122" s="167"/>
      <c r="L122" s="171">
        <v>1166.70171</v>
      </c>
      <c r="M122" s="171">
        <v>590.83091999999999</v>
      </c>
      <c r="N122" s="171">
        <v>1757.5326299999999</v>
      </c>
      <c r="O122" s="166">
        <v>539.22011946234602</v>
      </c>
      <c r="P122" s="172">
        <v>225.95400000000001</v>
      </c>
      <c r="Q122" s="178">
        <v>2.3864154627151799</v>
      </c>
      <c r="R122" s="179">
        <v>891.43935949780496</v>
      </c>
      <c r="S122" s="168">
        <v>0.01</v>
      </c>
      <c r="T122" s="168">
        <v>0.01</v>
      </c>
      <c r="U122" s="175">
        <v>0</v>
      </c>
      <c r="V122" s="176">
        <v>0</v>
      </c>
      <c r="W122" s="167"/>
      <c r="X122" s="175">
        <v>1743.5379</v>
      </c>
      <c r="Y122" s="166">
        <v>534.92646376933999</v>
      </c>
      <c r="Z122" s="177">
        <v>573</v>
      </c>
      <c r="AA122" s="188">
        <v>0.93355403799186698</v>
      </c>
      <c r="AB122" s="171">
        <v>-452.800487449473</v>
      </c>
      <c r="AC122" s="168"/>
      <c r="AD122" s="168"/>
      <c r="AE122" s="176">
        <v>125</v>
      </c>
      <c r="AF122" s="176">
        <v>498</v>
      </c>
      <c r="AG122" s="167"/>
      <c r="AH122" s="180">
        <v>176.75</v>
      </c>
      <c r="AI122" s="166">
        <v>54.227816023517903</v>
      </c>
      <c r="AJ122" s="181" t="s">
        <v>53</v>
      </c>
      <c r="AK122" s="188">
        <v>0.86075898450028399</v>
      </c>
      <c r="AL122" s="171">
        <v>-64.732231080832094</v>
      </c>
      <c r="AM122" s="168"/>
      <c r="AN122" s="168"/>
      <c r="AO122" s="176">
        <v>29</v>
      </c>
      <c r="AP122" s="176">
        <v>70</v>
      </c>
      <c r="AQ122" s="167"/>
      <c r="AR122" s="180">
        <v>29.1</v>
      </c>
      <c r="AS122" s="166">
        <v>8.9280308134900803</v>
      </c>
      <c r="AT122" s="181" t="s">
        <v>54</v>
      </c>
      <c r="AU122" s="173">
        <v>0.55800192584313002</v>
      </c>
      <c r="AV122" s="174">
        <v>-32.228820591957401</v>
      </c>
      <c r="AW122" s="168"/>
      <c r="AX122" s="168"/>
      <c r="AY122" s="176">
        <v>24</v>
      </c>
      <c r="AZ122" s="176">
        <v>34</v>
      </c>
      <c r="BA122" s="167"/>
      <c r="BB122" s="184">
        <v>126</v>
      </c>
      <c r="BC122" s="180">
        <v>38.657453006864301</v>
      </c>
      <c r="BD122" s="181" t="s">
        <v>55</v>
      </c>
      <c r="BE122" s="178">
        <v>1.2080454064645101</v>
      </c>
      <c r="BF122" s="179">
        <v>3.34235881608529</v>
      </c>
      <c r="BG122" s="168">
        <v>0.02</v>
      </c>
      <c r="BH122" s="168">
        <v>0.02</v>
      </c>
      <c r="BI122" s="176">
        <v>0</v>
      </c>
      <c r="BJ122" s="176">
        <v>0</v>
      </c>
      <c r="BK122" s="169"/>
      <c r="BL122" s="185">
        <v>0.8</v>
      </c>
      <c r="BM122" s="188">
        <v>0.79</v>
      </c>
      <c r="BN122" s="186"/>
      <c r="BO122" s="187">
        <v>0.95</v>
      </c>
      <c r="BP122" s="178">
        <v>1</v>
      </c>
      <c r="BQ122" s="186">
        <v>2.5000000000000001E-3</v>
      </c>
    </row>
    <row r="123" spans="1:69" s="156" customFormat="1" ht="22.35" customHeight="1" x14ac:dyDescent="0.2">
      <c r="A123" s="165" t="s">
        <v>175</v>
      </c>
      <c r="B123" s="165" t="s">
        <v>176</v>
      </c>
      <c r="C123" s="165" t="s">
        <v>183</v>
      </c>
      <c r="D123" s="166">
        <v>2.4762819977777801</v>
      </c>
      <c r="E123" s="167"/>
      <c r="F123" s="168">
        <v>2.5999999999999999E-2</v>
      </c>
      <c r="G123" s="168">
        <v>2.1999999999999999E-2</v>
      </c>
      <c r="H123" s="169"/>
      <c r="I123" s="170">
        <v>5</v>
      </c>
      <c r="J123" s="170">
        <v>5</v>
      </c>
      <c r="K123" s="167"/>
      <c r="L123" s="171">
        <v>292.65922999999998</v>
      </c>
      <c r="M123" s="171">
        <v>2009.62114</v>
      </c>
      <c r="N123" s="171">
        <v>2302.2803699999999</v>
      </c>
      <c r="O123" s="166">
        <v>929.73270898309295</v>
      </c>
      <c r="P123" s="172">
        <v>224.404</v>
      </c>
      <c r="Q123" s="178">
        <v>4.1431200378919</v>
      </c>
      <c r="R123" s="179">
        <v>1648.79176953511</v>
      </c>
      <c r="S123" s="168">
        <v>0.01</v>
      </c>
      <c r="T123" s="168">
        <v>0.01</v>
      </c>
      <c r="U123" s="175">
        <v>0</v>
      </c>
      <c r="V123" s="176">
        <v>0</v>
      </c>
      <c r="W123" s="167"/>
      <c r="X123" s="175">
        <v>1150.0958800000001</v>
      </c>
      <c r="Y123" s="166">
        <v>464.44463152100599</v>
      </c>
      <c r="Z123" s="177">
        <v>573</v>
      </c>
      <c r="AA123" s="188">
        <v>0.81054909515009699</v>
      </c>
      <c r="AB123" s="171">
        <v>-518.54179163856202</v>
      </c>
      <c r="AC123" s="168"/>
      <c r="AD123" s="168"/>
      <c r="AE123" s="176">
        <v>269</v>
      </c>
      <c r="AF123" s="176">
        <v>553</v>
      </c>
      <c r="AG123" s="167"/>
      <c r="AH123" s="180">
        <v>159</v>
      </c>
      <c r="AI123" s="166">
        <v>64.209165249631099</v>
      </c>
      <c r="AJ123" s="181" t="s">
        <v>53</v>
      </c>
      <c r="AK123" s="182">
        <v>1.0191930992004901</v>
      </c>
      <c r="AL123" s="183">
        <v>-24.462780651360202</v>
      </c>
      <c r="AM123" s="168">
        <v>4.0000000000000001E-3</v>
      </c>
      <c r="AN123" s="168">
        <v>2E-3</v>
      </c>
      <c r="AO123" s="176">
        <v>0</v>
      </c>
      <c r="AP123" s="176">
        <v>29</v>
      </c>
      <c r="AQ123" s="167"/>
      <c r="AR123" s="180">
        <v>33.9</v>
      </c>
      <c r="AS123" s="166">
        <v>13.689878628694901</v>
      </c>
      <c r="AT123" s="181" t="s">
        <v>54</v>
      </c>
      <c r="AU123" s="188">
        <v>0.85561741429343297</v>
      </c>
      <c r="AV123" s="171">
        <v>-12.6937220701867</v>
      </c>
      <c r="AW123" s="168"/>
      <c r="AX123" s="168"/>
      <c r="AY123" s="176">
        <v>6</v>
      </c>
      <c r="AZ123" s="176">
        <v>14</v>
      </c>
      <c r="BA123" s="167"/>
      <c r="BB123" s="184">
        <v>87.2</v>
      </c>
      <c r="BC123" s="180">
        <v>35.214083080300803</v>
      </c>
      <c r="BD123" s="181" t="s">
        <v>55</v>
      </c>
      <c r="BE123" s="182">
        <v>1.1004400962594001</v>
      </c>
      <c r="BF123" s="183">
        <v>-5.9874441403734098</v>
      </c>
      <c r="BG123" s="168">
        <v>1.2E-2</v>
      </c>
      <c r="BH123" s="168">
        <v>0.01</v>
      </c>
      <c r="BI123" s="176">
        <v>0</v>
      </c>
      <c r="BJ123" s="176">
        <v>8</v>
      </c>
      <c r="BK123" s="169"/>
      <c r="BL123" s="185">
        <v>0.8</v>
      </c>
      <c r="BM123" s="182">
        <v>0.84</v>
      </c>
      <c r="BN123" s="186">
        <v>1.5E-3</v>
      </c>
      <c r="BO123" s="187">
        <v>0.95</v>
      </c>
      <c r="BP123" s="178">
        <v>1</v>
      </c>
      <c r="BQ123" s="186">
        <v>2.5000000000000001E-3</v>
      </c>
    </row>
    <row r="124" spans="1:69" s="156" customFormat="1" ht="22.35" customHeight="1" x14ac:dyDescent="0.2">
      <c r="A124" s="165" t="s">
        <v>175</v>
      </c>
      <c r="B124" s="165" t="s">
        <v>176</v>
      </c>
      <c r="C124" s="165" t="s">
        <v>184</v>
      </c>
      <c r="D124" s="166">
        <v>6.49187964211111</v>
      </c>
      <c r="E124" s="167"/>
      <c r="F124" s="168">
        <v>1.2999999999999999E-2</v>
      </c>
      <c r="G124" s="168">
        <v>8.9999999999999993E-3</v>
      </c>
      <c r="H124" s="169"/>
      <c r="I124" s="170">
        <v>4</v>
      </c>
      <c r="J124" s="170">
        <v>4</v>
      </c>
      <c r="K124" s="167"/>
      <c r="L124" s="171">
        <v>2527.58772</v>
      </c>
      <c r="M124" s="171">
        <v>-864.38458000000003</v>
      </c>
      <c r="N124" s="171">
        <v>1663.2031400000001</v>
      </c>
      <c r="O124" s="166">
        <v>256.197470022586</v>
      </c>
      <c r="P124" s="172">
        <v>272.23099999999999</v>
      </c>
      <c r="Q124" s="188">
        <v>0.94110321757105697</v>
      </c>
      <c r="R124" s="171">
        <v>-415.13094293742199</v>
      </c>
      <c r="S124" s="168"/>
      <c r="T124" s="168"/>
      <c r="U124" s="175">
        <v>105</v>
      </c>
      <c r="V124" s="176">
        <v>458</v>
      </c>
      <c r="W124" s="167"/>
      <c r="X124" s="175">
        <v>3814.8952049999998</v>
      </c>
      <c r="Y124" s="166">
        <v>587.64108629706902</v>
      </c>
      <c r="Z124" s="177">
        <v>573</v>
      </c>
      <c r="AA124" s="182">
        <v>1.0255516340263</v>
      </c>
      <c r="AB124" s="183">
        <v>-559.64490807728703</v>
      </c>
      <c r="AC124" s="168">
        <v>5.0000000000000001E-3</v>
      </c>
      <c r="AD124" s="168">
        <v>3.0000000000000001E-3</v>
      </c>
      <c r="AE124" s="176">
        <v>0</v>
      </c>
      <c r="AF124" s="176">
        <v>649</v>
      </c>
      <c r="AG124" s="167"/>
      <c r="AH124" s="180">
        <v>229.4</v>
      </c>
      <c r="AI124" s="166">
        <v>35.336453022317698</v>
      </c>
      <c r="AJ124" s="181" t="s">
        <v>53</v>
      </c>
      <c r="AK124" s="173">
        <v>0.56089607971932898</v>
      </c>
      <c r="AL124" s="174">
        <v>-251.570378924728</v>
      </c>
      <c r="AM124" s="168"/>
      <c r="AN124" s="168"/>
      <c r="AO124" s="176">
        <v>180</v>
      </c>
      <c r="AP124" s="176">
        <v>262</v>
      </c>
      <c r="AQ124" s="167"/>
      <c r="AR124" s="180">
        <v>56.8</v>
      </c>
      <c r="AS124" s="166">
        <v>8.7493920299374306</v>
      </c>
      <c r="AT124" s="181" t="s">
        <v>54</v>
      </c>
      <c r="AU124" s="173">
        <v>0.54683700187108897</v>
      </c>
      <c r="AV124" s="174">
        <v>-65.351207345962607</v>
      </c>
      <c r="AW124" s="168"/>
      <c r="AX124" s="168"/>
      <c r="AY124" s="176">
        <v>48</v>
      </c>
      <c r="AZ124" s="176">
        <v>68</v>
      </c>
      <c r="BA124" s="167"/>
      <c r="BB124" s="184">
        <v>220.6</v>
      </c>
      <c r="BC124" s="180">
        <v>33.980913412045702</v>
      </c>
      <c r="BD124" s="181" t="s">
        <v>55</v>
      </c>
      <c r="BE124" s="182">
        <v>1.06190354412643</v>
      </c>
      <c r="BF124" s="183">
        <v>-23.702414691925298</v>
      </c>
      <c r="BG124" s="168">
        <v>8.0000000000000002E-3</v>
      </c>
      <c r="BH124" s="168">
        <v>6.0000000000000001E-3</v>
      </c>
      <c r="BI124" s="176">
        <v>0</v>
      </c>
      <c r="BJ124" s="176">
        <v>29</v>
      </c>
      <c r="BK124" s="169"/>
      <c r="BL124" s="185">
        <v>0.8</v>
      </c>
      <c r="BM124" s="182">
        <v>0.81</v>
      </c>
      <c r="BN124" s="186">
        <v>3.7500000000000001E-4</v>
      </c>
      <c r="BO124" s="187">
        <v>0.95</v>
      </c>
      <c r="BP124" s="178">
        <v>1</v>
      </c>
      <c r="BQ124" s="186">
        <v>2.5000000000000001E-3</v>
      </c>
    </row>
    <row r="125" spans="1:69" s="156" customFormat="1" ht="22.35" customHeight="1" x14ac:dyDescent="0.2">
      <c r="A125" s="165" t="s">
        <v>175</v>
      </c>
      <c r="B125" s="165" t="s">
        <v>176</v>
      </c>
      <c r="C125" s="165" t="s">
        <v>185</v>
      </c>
      <c r="D125" s="166">
        <v>2.7823128829999999</v>
      </c>
      <c r="E125" s="167"/>
      <c r="F125" s="168">
        <v>0.03</v>
      </c>
      <c r="G125" s="168">
        <v>2.9000000000000001E-2</v>
      </c>
      <c r="H125" s="169"/>
      <c r="I125" s="170">
        <v>4</v>
      </c>
      <c r="J125" s="170">
        <v>4</v>
      </c>
      <c r="K125" s="167"/>
      <c r="L125" s="171">
        <v>387.42970000000003</v>
      </c>
      <c r="M125" s="171">
        <v>765.93589999999995</v>
      </c>
      <c r="N125" s="171">
        <v>1153.3656000000001</v>
      </c>
      <c r="O125" s="166">
        <v>414.53483073276601</v>
      </c>
      <c r="P125" s="172">
        <v>278.23599999999999</v>
      </c>
      <c r="Q125" s="178">
        <v>1.4898677048719999</v>
      </c>
      <c r="R125" s="179">
        <v>242.97742179828001</v>
      </c>
      <c r="S125" s="168">
        <v>0.01</v>
      </c>
      <c r="T125" s="168">
        <v>0.01</v>
      </c>
      <c r="U125" s="175">
        <v>0</v>
      </c>
      <c r="V125" s="176">
        <v>0</v>
      </c>
      <c r="W125" s="167"/>
      <c r="X125" s="175">
        <v>1358.782275</v>
      </c>
      <c r="Y125" s="166">
        <v>488.36429694956098</v>
      </c>
      <c r="Z125" s="177">
        <v>573</v>
      </c>
      <c r="AA125" s="188">
        <v>0.85229371195385795</v>
      </c>
      <c r="AB125" s="171">
        <v>-516.073696583784</v>
      </c>
      <c r="AC125" s="168"/>
      <c r="AD125" s="168"/>
      <c r="AE125" s="176">
        <v>236</v>
      </c>
      <c r="AF125" s="176">
        <v>555</v>
      </c>
      <c r="AG125" s="167"/>
      <c r="AH125" s="180">
        <v>139.85</v>
      </c>
      <c r="AI125" s="166">
        <v>50.263937192142201</v>
      </c>
      <c r="AJ125" s="181" t="s">
        <v>53</v>
      </c>
      <c r="AK125" s="188">
        <v>0.79784027289114501</v>
      </c>
      <c r="AL125" s="171">
        <v>-66.285996875704001</v>
      </c>
      <c r="AM125" s="168"/>
      <c r="AN125" s="168"/>
      <c r="AO125" s="176">
        <v>36</v>
      </c>
      <c r="AP125" s="176">
        <v>71</v>
      </c>
      <c r="AQ125" s="167"/>
      <c r="AR125" s="180">
        <v>21.1</v>
      </c>
      <c r="AS125" s="166">
        <v>7.5836186968480499</v>
      </c>
      <c r="AT125" s="181" t="s">
        <v>54</v>
      </c>
      <c r="AU125" s="173">
        <v>0.47397616855300301</v>
      </c>
      <c r="AV125" s="174">
        <v>-31.251999206528001</v>
      </c>
      <c r="AW125" s="168"/>
      <c r="AX125" s="168"/>
      <c r="AY125" s="176">
        <v>24</v>
      </c>
      <c r="AZ125" s="176">
        <v>33</v>
      </c>
      <c r="BA125" s="167"/>
      <c r="BB125" s="184">
        <v>106</v>
      </c>
      <c r="BC125" s="180">
        <v>38.097800088431001</v>
      </c>
      <c r="BD125" s="181" t="s">
        <v>55</v>
      </c>
      <c r="BE125" s="178">
        <v>1.1905562527634701</v>
      </c>
      <c r="BF125" s="179">
        <v>1.29600158694399</v>
      </c>
      <c r="BG125" s="168">
        <v>0.02</v>
      </c>
      <c r="BH125" s="168">
        <v>1.9E-2</v>
      </c>
      <c r="BI125" s="176">
        <v>0</v>
      </c>
      <c r="BJ125" s="176">
        <v>1</v>
      </c>
      <c r="BK125" s="169"/>
      <c r="BL125" s="185">
        <v>0.8</v>
      </c>
      <c r="BM125" s="182">
        <v>0.84</v>
      </c>
      <c r="BN125" s="186">
        <v>1.5E-3</v>
      </c>
      <c r="BO125" s="187">
        <v>0.95</v>
      </c>
      <c r="BP125" s="178">
        <v>1</v>
      </c>
      <c r="BQ125" s="186">
        <v>2.5000000000000001E-3</v>
      </c>
    </row>
    <row r="126" spans="1:69" s="156" customFormat="1" ht="22.35" customHeight="1" x14ac:dyDescent="0.2">
      <c r="A126" s="165" t="s">
        <v>175</v>
      </c>
      <c r="B126" s="165" t="s">
        <v>176</v>
      </c>
      <c r="C126" s="165" t="s">
        <v>186</v>
      </c>
      <c r="D126" s="166">
        <v>6.3293904736666704</v>
      </c>
      <c r="E126" s="167"/>
      <c r="F126" s="168">
        <v>2.3E-2</v>
      </c>
      <c r="G126" s="168">
        <v>2.1000000000000001E-2</v>
      </c>
      <c r="H126" s="169"/>
      <c r="I126" s="170">
        <v>3</v>
      </c>
      <c r="J126" s="170">
        <v>3</v>
      </c>
      <c r="K126" s="167"/>
      <c r="L126" s="171">
        <v>2434.8150999999998</v>
      </c>
      <c r="M126" s="171">
        <v>893.31460000000004</v>
      </c>
      <c r="N126" s="171">
        <v>3328.1297</v>
      </c>
      <c r="O126" s="166">
        <v>525.8215169133</v>
      </c>
      <c r="P126" s="172">
        <v>213.245</v>
      </c>
      <c r="Q126" s="178">
        <v>2.4658093597191</v>
      </c>
      <c r="R126" s="179">
        <v>1740.8697150489099</v>
      </c>
      <c r="S126" s="168">
        <v>0.01</v>
      </c>
      <c r="T126" s="168">
        <v>0.01</v>
      </c>
      <c r="U126" s="175">
        <v>0</v>
      </c>
      <c r="V126" s="176">
        <v>0</v>
      </c>
      <c r="W126" s="167"/>
      <c r="X126" s="175">
        <v>3158.5967049999999</v>
      </c>
      <c r="Y126" s="166">
        <v>499.03647407144399</v>
      </c>
      <c r="Z126" s="177">
        <v>573</v>
      </c>
      <c r="AA126" s="188">
        <v>0.87091880291700496</v>
      </c>
      <c r="AB126" s="171">
        <v>-1106.4504068993399</v>
      </c>
      <c r="AC126" s="168"/>
      <c r="AD126" s="168"/>
      <c r="AE126" s="176">
        <v>469</v>
      </c>
      <c r="AF126" s="176">
        <v>1194</v>
      </c>
      <c r="AG126" s="167"/>
      <c r="AH126" s="180">
        <v>259.2</v>
      </c>
      <c r="AI126" s="166">
        <v>40.951810617214697</v>
      </c>
      <c r="AJ126" s="181" t="s">
        <v>53</v>
      </c>
      <c r="AK126" s="173">
        <v>0.65002873995578803</v>
      </c>
      <c r="AL126" s="174">
        <v>-209.731881413016</v>
      </c>
      <c r="AM126" s="168"/>
      <c r="AN126" s="168"/>
      <c r="AO126" s="176">
        <v>140</v>
      </c>
      <c r="AP126" s="176">
        <v>220</v>
      </c>
      <c r="AQ126" s="167"/>
      <c r="AR126" s="180">
        <v>85.9</v>
      </c>
      <c r="AS126" s="166">
        <v>13.571606990813001</v>
      </c>
      <c r="AT126" s="181" t="s">
        <v>54</v>
      </c>
      <c r="AU126" s="188">
        <v>0.84822543692581498</v>
      </c>
      <c r="AV126" s="171">
        <v>-33.193811152511998</v>
      </c>
      <c r="AW126" s="168"/>
      <c r="AX126" s="168"/>
      <c r="AY126" s="176">
        <v>16</v>
      </c>
      <c r="AZ126" s="176">
        <v>36</v>
      </c>
      <c r="BA126" s="167"/>
      <c r="BB126" s="184">
        <v>224.6</v>
      </c>
      <c r="BC126" s="180">
        <v>35.485249477725397</v>
      </c>
      <c r="BD126" s="181" t="s">
        <v>55</v>
      </c>
      <c r="BE126" s="182">
        <v>1.10891404617892</v>
      </c>
      <c r="BF126" s="183">
        <v>-13.5876223050241</v>
      </c>
      <c r="BG126" s="168">
        <v>1.2999999999999999E-2</v>
      </c>
      <c r="BH126" s="168">
        <v>1.0999999999999999E-2</v>
      </c>
      <c r="BI126" s="176">
        <v>0</v>
      </c>
      <c r="BJ126" s="176">
        <v>19</v>
      </c>
      <c r="BK126" s="169"/>
      <c r="BL126" s="185">
        <v>0.8</v>
      </c>
      <c r="BM126" s="188">
        <v>0.74</v>
      </c>
      <c r="BN126" s="186"/>
      <c r="BO126" s="187">
        <v>0.95</v>
      </c>
      <c r="BP126" s="178">
        <v>1</v>
      </c>
      <c r="BQ126" s="186">
        <v>2.5000000000000001E-3</v>
      </c>
    </row>
    <row r="127" spans="1:69" s="156" customFormat="1" ht="22.35" customHeight="1" x14ac:dyDescent="0.2">
      <c r="A127" s="165" t="s">
        <v>175</v>
      </c>
      <c r="B127" s="165" t="s">
        <v>187</v>
      </c>
      <c r="C127" s="165" t="s">
        <v>188</v>
      </c>
      <c r="D127" s="166">
        <v>2.9213564213333298</v>
      </c>
      <c r="E127" s="167"/>
      <c r="F127" s="168">
        <v>5.5E-2</v>
      </c>
      <c r="G127" s="168">
        <v>5.0999999999999997E-2</v>
      </c>
      <c r="H127" s="169"/>
      <c r="I127" s="170">
        <v>6</v>
      </c>
      <c r="J127" s="170">
        <v>6</v>
      </c>
      <c r="K127" s="167"/>
      <c r="L127" s="171">
        <v>1450.0682099999999</v>
      </c>
      <c r="M127" s="171">
        <v>1117.6569400000001</v>
      </c>
      <c r="N127" s="171">
        <v>2567.7251500000002</v>
      </c>
      <c r="O127" s="166">
        <v>878.94963149620298</v>
      </c>
      <c r="P127" s="172">
        <v>212.5</v>
      </c>
      <c r="Q127" s="178">
        <v>4.1362335599821298</v>
      </c>
      <c r="R127" s="179">
        <v>1837.6781803087999</v>
      </c>
      <c r="S127" s="168">
        <v>0.01</v>
      </c>
      <c r="T127" s="168">
        <v>0.01</v>
      </c>
      <c r="U127" s="175">
        <v>0</v>
      </c>
      <c r="V127" s="176">
        <v>0</v>
      </c>
      <c r="W127" s="167"/>
      <c r="X127" s="175">
        <v>1976.26314</v>
      </c>
      <c r="Y127" s="166">
        <v>676.48819759487503</v>
      </c>
      <c r="Z127" s="177">
        <v>573</v>
      </c>
      <c r="AA127" s="178">
        <v>1.18060767468565</v>
      </c>
      <c r="AB127" s="179">
        <v>7.7129581973786099</v>
      </c>
      <c r="AC127" s="168">
        <v>0.02</v>
      </c>
      <c r="AD127" s="168">
        <v>1.7999999999999999E-2</v>
      </c>
      <c r="AE127" s="176">
        <v>0</v>
      </c>
      <c r="AF127" s="176">
        <v>33</v>
      </c>
      <c r="AG127" s="167"/>
      <c r="AH127" s="180">
        <v>190</v>
      </c>
      <c r="AI127" s="166">
        <v>65.038281057565101</v>
      </c>
      <c r="AJ127" s="181" t="s">
        <v>53</v>
      </c>
      <c r="AK127" s="182">
        <v>1.0323536675803999</v>
      </c>
      <c r="AL127" s="183">
        <v>-26.437454543743701</v>
      </c>
      <c r="AM127" s="168">
        <v>5.0000000000000001E-3</v>
      </c>
      <c r="AN127" s="168">
        <v>3.0000000000000001E-3</v>
      </c>
      <c r="AO127" s="176">
        <v>0</v>
      </c>
      <c r="AP127" s="176">
        <v>31</v>
      </c>
      <c r="AQ127" s="167"/>
      <c r="AR127" s="180">
        <v>17.399999999999999</v>
      </c>
      <c r="AS127" s="166">
        <v>5.9561373179033303</v>
      </c>
      <c r="AT127" s="181" t="s">
        <v>54</v>
      </c>
      <c r="AU127" s="173">
        <v>0.37225858236895798</v>
      </c>
      <c r="AV127" s="174">
        <v>-37.568242423807902</v>
      </c>
      <c r="AW127" s="168"/>
      <c r="AX127" s="168"/>
      <c r="AY127" s="176">
        <v>30</v>
      </c>
      <c r="AZ127" s="176">
        <v>39</v>
      </c>
      <c r="BA127" s="167"/>
      <c r="BB127" s="184">
        <v>126.4</v>
      </c>
      <c r="BC127" s="180">
        <v>43.267572240401201</v>
      </c>
      <c r="BD127" s="181" t="s">
        <v>55</v>
      </c>
      <c r="BE127" s="178">
        <v>1.35211163251254</v>
      </c>
      <c r="BF127" s="179">
        <v>16.463515152384101</v>
      </c>
      <c r="BG127" s="168">
        <v>0.02</v>
      </c>
      <c r="BH127" s="168">
        <v>0.02</v>
      </c>
      <c r="BI127" s="176">
        <v>0</v>
      </c>
      <c r="BJ127" s="176">
        <v>0</v>
      </c>
      <c r="BK127" s="169"/>
      <c r="BL127" s="185">
        <v>0.8</v>
      </c>
      <c r="BM127" s="182">
        <v>0.85</v>
      </c>
      <c r="BN127" s="186">
        <v>1.8749999999999999E-3</v>
      </c>
      <c r="BO127" s="187">
        <v>0.95</v>
      </c>
      <c r="BP127" s="178">
        <v>1</v>
      </c>
      <c r="BQ127" s="186">
        <v>2.5000000000000001E-3</v>
      </c>
    </row>
    <row r="128" spans="1:69" s="156" customFormat="1" ht="22.35" customHeight="1" x14ac:dyDescent="0.2">
      <c r="A128" s="165" t="s">
        <v>175</v>
      </c>
      <c r="B128" s="165" t="s">
        <v>187</v>
      </c>
      <c r="C128" s="165" t="s">
        <v>189</v>
      </c>
      <c r="D128" s="166">
        <v>8.5281722426666704</v>
      </c>
      <c r="E128" s="167"/>
      <c r="F128" s="168">
        <v>0.04</v>
      </c>
      <c r="G128" s="168">
        <v>0.04</v>
      </c>
      <c r="H128" s="169"/>
      <c r="I128" s="170">
        <v>5</v>
      </c>
      <c r="J128" s="170">
        <v>5</v>
      </c>
      <c r="K128" s="167"/>
      <c r="L128" s="171">
        <v>9000.1027400000003</v>
      </c>
      <c r="M128" s="171">
        <v>3131.3516399999999</v>
      </c>
      <c r="N128" s="171">
        <v>12131.454379999999</v>
      </c>
      <c r="O128" s="166">
        <v>1422.5151691127901</v>
      </c>
      <c r="P128" s="172">
        <v>246.12100000000001</v>
      </c>
      <c r="Q128" s="178">
        <v>5.7797391084579903</v>
      </c>
      <c r="R128" s="179">
        <v>9663.0747380880603</v>
      </c>
      <c r="S128" s="168">
        <v>0.01</v>
      </c>
      <c r="T128" s="168">
        <v>0.01</v>
      </c>
      <c r="U128" s="175">
        <v>0</v>
      </c>
      <c r="V128" s="176">
        <v>0</v>
      </c>
      <c r="W128" s="167"/>
      <c r="X128" s="175">
        <v>4402.8476149999997</v>
      </c>
      <c r="Y128" s="166">
        <v>516.27095346086503</v>
      </c>
      <c r="Z128" s="177">
        <v>573</v>
      </c>
      <c r="AA128" s="188">
        <v>0.90099642837847205</v>
      </c>
      <c r="AB128" s="171">
        <v>-1343.8441943764501</v>
      </c>
      <c r="AC128" s="168"/>
      <c r="AD128" s="168"/>
      <c r="AE128" s="176">
        <v>484</v>
      </c>
      <c r="AF128" s="176">
        <v>1462</v>
      </c>
      <c r="AG128" s="167"/>
      <c r="AH128" s="180">
        <v>406.05</v>
      </c>
      <c r="AI128" s="166">
        <v>47.612781314209499</v>
      </c>
      <c r="AJ128" s="181" t="s">
        <v>53</v>
      </c>
      <c r="AK128" s="173">
        <v>0.75575843355888195</v>
      </c>
      <c r="AL128" s="174">
        <v>-225.78522511468799</v>
      </c>
      <c r="AM128" s="168"/>
      <c r="AN128" s="168"/>
      <c r="AO128" s="176">
        <v>132</v>
      </c>
      <c r="AP128" s="176">
        <v>239</v>
      </c>
      <c r="AQ128" s="167"/>
      <c r="AR128" s="180">
        <v>205.6</v>
      </c>
      <c r="AS128" s="166">
        <v>24.1083310878007</v>
      </c>
      <c r="AT128" s="181" t="s">
        <v>54</v>
      </c>
      <c r="AU128" s="178">
        <v>1.50677069298755</v>
      </c>
      <c r="AV128" s="179">
        <v>45.133911081983896</v>
      </c>
      <c r="AW128" s="168">
        <v>0.01</v>
      </c>
      <c r="AX128" s="168">
        <v>0.01</v>
      </c>
      <c r="AY128" s="176">
        <v>0</v>
      </c>
      <c r="AZ128" s="176">
        <v>0</v>
      </c>
      <c r="BA128" s="167"/>
      <c r="BB128" s="184">
        <v>436.2</v>
      </c>
      <c r="BC128" s="180">
        <v>51.1481226677951</v>
      </c>
      <c r="BD128" s="181" t="s">
        <v>55</v>
      </c>
      <c r="BE128" s="178">
        <v>1.5983788333686</v>
      </c>
      <c r="BF128" s="179">
        <v>115.26782216396801</v>
      </c>
      <c r="BG128" s="168">
        <v>0.02</v>
      </c>
      <c r="BH128" s="168">
        <v>0.02</v>
      </c>
      <c r="BI128" s="176">
        <v>0</v>
      </c>
      <c r="BJ128" s="176">
        <v>0</v>
      </c>
      <c r="BK128" s="169"/>
      <c r="BL128" s="185">
        <v>0.8</v>
      </c>
      <c r="BM128" s="182">
        <v>0.81</v>
      </c>
      <c r="BN128" s="186">
        <v>3.7500000000000001E-4</v>
      </c>
      <c r="BO128" s="187">
        <v>0.95</v>
      </c>
      <c r="BP128" s="178">
        <v>1</v>
      </c>
      <c r="BQ128" s="186">
        <v>2.5000000000000001E-3</v>
      </c>
    </row>
    <row r="129" spans="1:69" s="156" customFormat="1" ht="22.35" customHeight="1" x14ac:dyDescent="0.2">
      <c r="A129" s="165" t="s">
        <v>175</v>
      </c>
      <c r="B129" s="165" t="s">
        <v>187</v>
      </c>
      <c r="C129" s="165" t="s">
        <v>187</v>
      </c>
      <c r="D129" s="166">
        <v>4.1541729739999997</v>
      </c>
      <c r="E129" s="167"/>
      <c r="F129" s="168">
        <v>0.08</v>
      </c>
      <c r="G129" s="168">
        <v>7.6999999999999999E-2</v>
      </c>
      <c r="H129" s="169"/>
      <c r="I129" s="170">
        <v>7</v>
      </c>
      <c r="J129" s="170">
        <v>7</v>
      </c>
      <c r="K129" s="167"/>
      <c r="L129" s="171">
        <v>2166.03784</v>
      </c>
      <c r="M129" s="171">
        <v>2773.3206700000001</v>
      </c>
      <c r="N129" s="171">
        <v>4939.35851</v>
      </c>
      <c r="O129" s="166">
        <v>1189.01127635134</v>
      </c>
      <c r="P129" s="172">
        <v>212.5</v>
      </c>
      <c r="Q129" s="178">
        <v>5.5953471828298396</v>
      </c>
      <c r="R129" s="179">
        <v>3901.2306837974002</v>
      </c>
      <c r="S129" s="168">
        <v>0.01</v>
      </c>
      <c r="T129" s="168">
        <v>0.01</v>
      </c>
      <c r="U129" s="175">
        <v>0</v>
      </c>
      <c r="V129" s="176">
        <v>0</v>
      </c>
      <c r="W129" s="167"/>
      <c r="X129" s="175">
        <v>2879.62228</v>
      </c>
      <c r="Y129" s="166">
        <v>693.18786146433604</v>
      </c>
      <c r="Z129" s="177">
        <v>573</v>
      </c>
      <c r="AA129" s="178">
        <v>1.2097519397283301</v>
      </c>
      <c r="AB129" s="179">
        <v>80.3411298160472</v>
      </c>
      <c r="AC129" s="168">
        <v>0.02</v>
      </c>
      <c r="AD129" s="168">
        <v>0.02</v>
      </c>
      <c r="AE129" s="176">
        <v>0</v>
      </c>
      <c r="AF129" s="176">
        <v>0</v>
      </c>
      <c r="AG129" s="167"/>
      <c r="AH129" s="180">
        <v>307</v>
      </c>
      <c r="AI129" s="166">
        <v>73.9015929094531</v>
      </c>
      <c r="AJ129" s="181" t="s">
        <v>53</v>
      </c>
      <c r="AK129" s="178">
        <v>1.17304115729291</v>
      </c>
      <c r="AL129" s="179">
        <v>-0.77436729771204704</v>
      </c>
      <c r="AM129" s="168">
        <v>0.02</v>
      </c>
      <c r="AN129" s="168">
        <v>1.7000000000000001E-2</v>
      </c>
      <c r="AO129" s="176">
        <v>0</v>
      </c>
      <c r="AP129" s="176">
        <v>8</v>
      </c>
      <c r="AQ129" s="167"/>
      <c r="AR129" s="180">
        <v>105.8</v>
      </c>
      <c r="AS129" s="166">
        <v>25.468366546645399</v>
      </c>
      <c r="AT129" s="181" t="s">
        <v>54</v>
      </c>
      <c r="AU129" s="178">
        <v>1.5917729091653401</v>
      </c>
      <c r="AV129" s="179">
        <v>27.635081321215999</v>
      </c>
      <c r="AW129" s="168">
        <v>0.01</v>
      </c>
      <c r="AX129" s="168">
        <v>0.01</v>
      </c>
      <c r="AY129" s="176">
        <v>0</v>
      </c>
      <c r="AZ129" s="176">
        <v>0</v>
      </c>
      <c r="BA129" s="167"/>
      <c r="BB129" s="184">
        <v>248.8</v>
      </c>
      <c r="BC129" s="180">
        <v>59.891584090788001</v>
      </c>
      <c r="BD129" s="181" t="s">
        <v>55</v>
      </c>
      <c r="BE129" s="178">
        <v>1.8716120028371299</v>
      </c>
      <c r="BF129" s="179">
        <v>92.470162642432001</v>
      </c>
      <c r="BG129" s="168">
        <v>0.02</v>
      </c>
      <c r="BH129" s="168">
        <v>0.02</v>
      </c>
      <c r="BI129" s="176">
        <v>0</v>
      </c>
      <c r="BJ129" s="176">
        <v>0</v>
      </c>
      <c r="BK129" s="169"/>
      <c r="BL129" s="185">
        <v>0.8</v>
      </c>
      <c r="BM129" s="182">
        <v>0.83</v>
      </c>
      <c r="BN129" s="186">
        <v>1.1249999999999999E-3</v>
      </c>
      <c r="BO129" s="187">
        <v>0.95</v>
      </c>
      <c r="BP129" s="178">
        <v>1</v>
      </c>
      <c r="BQ129" s="186">
        <v>2.5000000000000001E-3</v>
      </c>
    </row>
    <row r="130" spans="1:69" s="156" customFormat="1" ht="22.35" customHeight="1" x14ac:dyDescent="0.2">
      <c r="A130" s="165" t="s">
        <v>175</v>
      </c>
      <c r="B130" s="165" t="s">
        <v>187</v>
      </c>
      <c r="C130" s="165" t="s">
        <v>190</v>
      </c>
      <c r="D130" s="166">
        <v>3.1974210582222198</v>
      </c>
      <c r="E130" s="167"/>
      <c r="F130" s="168">
        <v>0.03</v>
      </c>
      <c r="G130" s="168">
        <v>0.03</v>
      </c>
      <c r="H130" s="169"/>
      <c r="I130" s="170">
        <v>4</v>
      </c>
      <c r="J130" s="170">
        <v>4</v>
      </c>
      <c r="K130" s="167"/>
      <c r="L130" s="171">
        <v>1131.03747</v>
      </c>
      <c r="M130" s="171">
        <v>2315.1093000000001</v>
      </c>
      <c r="N130" s="171">
        <v>3446.1467699999998</v>
      </c>
      <c r="O130" s="166">
        <v>1077.78947697182</v>
      </c>
      <c r="P130" s="172">
        <v>212.5</v>
      </c>
      <c r="Q130" s="178">
        <v>5.0719504798673896</v>
      </c>
      <c r="R130" s="179">
        <v>2647.11124755027</v>
      </c>
      <c r="S130" s="168">
        <v>0.01</v>
      </c>
      <c r="T130" s="168">
        <v>0.01</v>
      </c>
      <c r="U130" s="175">
        <v>0</v>
      </c>
      <c r="V130" s="176">
        <v>0</v>
      </c>
      <c r="W130" s="167"/>
      <c r="X130" s="175">
        <v>1338.0501650000001</v>
      </c>
      <c r="Y130" s="166">
        <v>418.47793601007999</v>
      </c>
      <c r="Z130" s="177">
        <v>573</v>
      </c>
      <c r="AA130" s="173">
        <v>0.73032798605598503</v>
      </c>
      <c r="AB130" s="174">
        <v>-816.52562024092595</v>
      </c>
      <c r="AC130" s="168"/>
      <c r="AD130" s="168"/>
      <c r="AE130" s="176">
        <v>495</v>
      </c>
      <c r="AF130" s="176">
        <v>861</v>
      </c>
      <c r="AG130" s="167"/>
      <c r="AH130" s="180">
        <v>111.5</v>
      </c>
      <c r="AI130" s="166">
        <v>34.871853900278701</v>
      </c>
      <c r="AJ130" s="181" t="s">
        <v>53</v>
      </c>
      <c r="AK130" s="173">
        <v>0.55352149048061505</v>
      </c>
      <c r="AL130" s="174">
        <v>-125.39053136156799</v>
      </c>
      <c r="AM130" s="168"/>
      <c r="AN130" s="168"/>
      <c r="AO130" s="176">
        <v>90</v>
      </c>
      <c r="AP130" s="176">
        <v>131</v>
      </c>
      <c r="AQ130" s="167"/>
      <c r="AR130" s="180">
        <v>28</v>
      </c>
      <c r="AS130" s="166">
        <v>8.7570574816843507</v>
      </c>
      <c r="AT130" s="181" t="s">
        <v>54</v>
      </c>
      <c r="AU130" s="173">
        <v>0.54731609260527203</v>
      </c>
      <c r="AV130" s="174">
        <v>-32.162674631509297</v>
      </c>
      <c r="AW130" s="168"/>
      <c r="AX130" s="168"/>
      <c r="AY130" s="176">
        <v>24</v>
      </c>
      <c r="AZ130" s="176">
        <v>34</v>
      </c>
      <c r="BA130" s="167"/>
      <c r="BB130" s="184">
        <v>127</v>
      </c>
      <c r="BC130" s="180">
        <v>39.719510720496899</v>
      </c>
      <c r="BD130" s="181" t="s">
        <v>55</v>
      </c>
      <c r="BE130" s="178">
        <v>1.2412347100155301</v>
      </c>
      <c r="BF130" s="179">
        <v>6.6746507369814303</v>
      </c>
      <c r="BG130" s="168">
        <v>0.02</v>
      </c>
      <c r="BH130" s="168">
        <v>0.02</v>
      </c>
      <c r="BI130" s="176">
        <v>0</v>
      </c>
      <c r="BJ130" s="176">
        <v>0</v>
      </c>
      <c r="BK130" s="169"/>
      <c r="BL130" s="185">
        <v>0.8</v>
      </c>
      <c r="BM130" s="182">
        <v>0.81</v>
      </c>
      <c r="BN130" s="186">
        <v>3.7500000000000001E-4</v>
      </c>
      <c r="BO130" s="187">
        <v>0.95</v>
      </c>
      <c r="BP130" s="178">
        <v>1</v>
      </c>
      <c r="BQ130" s="186">
        <v>2.5000000000000001E-3</v>
      </c>
    </row>
    <row r="131" spans="1:69" s="156" customFormat="1" ht="22.35" customHeight="1" x14ac:dyDescent="0.2">
      <c r="A131" s="165" t="s">
        <v>175</v>
      </c>
      <c r="B131" s="165" t="s">
        <v>187</v>
      </c>
      <c r="C131" s="165" t="s">
        <v>191</v>
      </c>
      <c r="D131" s="166">
        <v>3.6646238142222201</v>
      </c>
      <c r="E131" s="167"/>
      <c r="F131" s="168">
        <v>3.5999999999999997E-2</v>
      </c>
      <c r="G131" s="168">
        <v>3.1E-2</v>
      </c>
      <c r="H131" s="169"/>
      <c r="I131" s="170">
        <v>5</v>
      </c>
      <c r="J131" s="170">
        <v>5</v>
      </c>
      <c r="K131" s="167"/>
      <c r="L131" s="171">
        <v>568.03377</v>
      </c>
      <c r="M131" s="171">
        <v>1243.75821</v>
      </c>
      <c r="N131" s="171">
        <v>1811.79198</v>
      </c>
      <c r="O131" s="166">
        <v>494.40053654853301</v>
      </c>
      <c r="P131" s="172">
        <v>212.5</v>
      </c>
      <c r="Q131" s="178">
        <v>2.32659076022839</v>
      </c>
      <c r="R131" s="179">
        <v>896.00248882586698</v>
      </c>
      <c r="S131" s="168">
        <v>0.01</v>
      </c>
      <c r="T131" s="168">
        <v>0.01</v>
      </c>
      <c r="U131" s="175">
        <v>0</v>
      </c>
      <c r="V131" s="176">
        <v>0</v>
      </c>
      <c r="W131" s="167"/>
      <c r="X131" s="175">
        <v>2022.1221700000001</v>
      </c>
      <c r="Y131" s="166">
        <v>551.79529264429402</v>
      </c>
      <c r="Z131" s="177">
        <v>573</v>
      </c>
      <c r="AA131" s="188">
        <v>0.96299352992023401</v>
      </c>
      <c r="AB131" s="171">
        <v>-447.27725796601402</v>
      </c>
      <c r="AC131" s="168"/>
      <c r="AD131" s="168"/>
      <c r="AE131" s="176">
        <v>78</v>
      </c>
      <c r="AF131" s="176">
        <v>498</v>
      </c>
      <c r="AG131" s="167"/>
      <c r="AH131" s="180">
        <v>245.8</v>
      </c>
      <c r="AI131" s="166">
        <v>67.073733201771603</v>
      </c>
      <c r="AJ131" s="181" t="s">
        <v>53</v>
      </c>
      <c r="AK131" s="182">
        <v>1.06466243177415</v>
      </c>
      <c r="AL131" s="183">
        <v>-25.7046491480958</v>
      </c>
      <c r="AM131" s="168">
        <v>8.9999999999999993E-3</v>
      </c>
      <c r="AN131" s="168">
        <v>6.0000000000000001E-3</v>
      </c>
      <c r="AO131" s="176">
        <v>0</v>
      </c>
      <c r="AP131" s="176">
        <v>32</v>
      </c>
      <c r="AQ131" s="167"/>
      <c r="AR131" s="180">
        <v>43.9</v>
      </c>
      <c r="AS131" s="166">
        <v>11.979401495353001</v>
      </c>
      <c r="AT131" s="181" t="s">
        <v>54</v>
      </c>
      <c r="AU131" s="173">
        <v>0.74871259345956398</v>
      </c>
      <c r="AV131" s="174">
        <v>-25.053561688405299</v>
      </c>
      <c r="AW131" s="168"/>
      <c r="AX131" s="168"/>
      <c r="AY131" s="176">
        <v>15</v>
      </c>
      <c r="AZ131" s="176">
        <v>27</v>
      </c>
      <c r="BA131" s="167"/>
      <c r="BB131" s="184">
        <v>134.6</v>
      </c>
      <c r="BC131" s="180">
        <v>36.7295544709457</v>
      </c>
      <c r="BD131" s="181" t="s">
        <v>55</v>
      </c>
      <c r="BE131" s="182">
        <v>1.14779857721705</v>
      </c>
      <c r="BF131" s="183">
        <v>-3.3071233768105799</v>
      </c>
      <c r="BG131" s="168">
        <v>1.7000000000000001E-2</v>
      </c>
      <c r="BH131" s="168">
        <v>1.4999999999999999E-2</v>
      </c>
      <c r="BI131" s="176">
        <v>0</v>
      </c>
      <c r="BJ131" s="176">
        <v>7</v>
      </c>
      <c r="BK131" s="169"/>
      <c r="BL131" s="185">
        <v>0.8</v>
      </c>
      <c r="BM131" s="182">
        <v>0.84</v>
      </c>
      <c r="BN131" s="186">
        <v>1.5E-3</v>
      </c>
      <c r="BO131" s="187">
        <v>0.95</v>
      </c>
      <c r="BP131" s="178">
        <v>1</v>
      </c>
      <c r="BQ131" s="186">
        <v>2.5000000000000001E-3</v>
      </c>
    </row>
    <row r="132" spans="1:69" s="156" customFormat="1" ht="22.35" customHeight="1" x14ac:dyDescent="0.2">
      <c r="A132" s="165" t="s">
        <v>175</v>
      </c>
      <c r="B132" s="165" t="s">
        <v>187</v>
      </c>
      <c r="C132" s="165" t="s">
        <v>192</v>
      </c>
      <c r="D132" s="166">
        <v>2.8205915805555599</v>
      </c>
      <c r="E132" s="167"/>
      <c r="F132" s="168">
        <v>0.05</v>
      </c>
      <c r="G132" s="168">
        <v>0.05</v>
      </c>
      <c r="H132" s="169"/>
      <c r="I132" s="170">
        <v>4</v>
      </c>
      <c r="J132" s="170">
        <v>4</v>
      </c>
      <c r="K132" s="167"/>
      <c r="L132" s="171">
        <v>1173.58097</v>
      </c>
      <c r="M132" s="171">
        <v>520.91251999999997</v>
      </c>
      <c r="N132" s="171">
        <v>1694.4934900000001</v>
      </c>
      <c r="O132" s="166">
        <v>600.75818905559004</v>
      </c>
      <c r="P132" s="172">
        <v>212.5</v>
      </c>
      <c r="Q132" s="178">
        <v>2.8270973602615999</v>
      </c>
      <c r="R132" s="179">
        <v>989.62765401916602</v>
      </c>
      <c r="S132" s="168">
        <v>0.01</v>
      </c>
      <c r="T132" s="168">
        <v>0.01</v>
      </c>
      <c r="U132" s="175">
        <v>0</v>
      </c>
      <c r="V132" s="176">
        <v>0</v>
      </c>
      <c r="W132" s="167"/>
      <c r="X132" s="175">
        <v>1490.257165</v>
      </c>
      <c r="Y132" s="166">
        <v>528.34915032486595</v>
      </c>
      <c r="Z132" s="177">
        <v>573</v>
      </c>
      <c r="AA132" s="188">
        <v>0.92207530597707899</v>
      </c>
      <c r="AB132" s="171">
        <v>-410.39283037420302</v>
      </c>
      <c r="AC132" s="168"/>
      <c r="AD132" s="168"/>
      <c r="AE132" s="176">
        <v>126</v>
      </c>
      <c r="AF132" s="176">
        <v>450</v>
      </c>
      <c r="AG132" s="167"/>
      <c r="AH132" s="180">
        <v>230.15</v>
      </c>
      <c r="AI132" s="166">
        <v>81.596357865702998</v>
      </c>
      <c r="AJ132" s="181" t="s">
        <v>53</v>
      </c>
      <c r="AK132" s="178">
        <v>1.2951802835825901</v>
      </c>
      <c r="AL132" s="179">
        <v>21.178010979799701</v>
      </c>
      <c r="AM132" s="168">
        <v>0.02</v>
      </c>
      <c r="AN132" s="168">
        <v>0.02</v>
      </c>
      <c r="AO132" s="176">
        <v>0</v>
      </c>
      <c r="AP132" s="176">
        <v>0</v>
      </c>
      <c r="AQ132" s="167"/>
      <c r="AR132" s="180">
        <v>44.2</v>
      </c>
      <c r="AS132" s="166">
        <v>15.6704715084252</v>
      </c>
      <c r="AT132" s="181" t="s">
        <v>54</v>
      </c>
      <c r="AU132" s="188">
        <v>0.97940446927657798</v>
      </c>
      <c r="AV132" s="171">
        <v>-8.8722511797334107</v>
      </c>
      <c r="AW132" s="168">
        <v>0</v>
      </c>
      <c r="AX132" s="168"/>
      <c r="AY132" s="176">
        <v>1</v>
      </c>
      <c r="AZ132" s="176">
        <v>10</v>
      </c>
      <c r="BA132" s="167"/>
      <c r="BB132" s="184">
        <v>141</v>
      </c>
      <c r="BC132" s="180">
        <v>49.989513182985597</v>
      </c>
      <c r="BD132" s="181" t="s">
        <v>55</v>
      </c>
      <c r="BE132" s="178">
        <v>1.5621722869682999</v>
      </c>
      <c r="BF132" s="179">
        <v>34.855497640533201</v>
      </c>
      <c r="BG132" s="168">
        <v>0.02</v>
      </c>
      <c r="BH132" s="168">
        <v>0.02</v>
      </c>
      <c r="BI132" s="176">
        <v>0</v>
      </c>
      <c r="BJ132" s="176">
        <v>0</v>
      </c>
      <c r="BK132" s="169"/>
      <c r="BL132" s="185">
        <v>0.8</v>
      </c>
      <c r="BM132" s="188">
        <v>0.8</v>
      </c>
      <c r="BN132" s="186">
        <v>0</v>
      </c>
      <c r="BO132" s="187">
        <v>0.95</v>
      </c>
      <c r="BP132" s="178">
        <v>1</v>
      </c>
      <c r="BQ132" s="186">
        <v>2.5000000000000001E-3</v>
      </c>
    </row>
    <row r="133" spans="1:69" s="156" customFormat="1" ht="22.35" customHeight="1" x14ac:dyDescent="0.2">
      <c r="A133" s="165" t="s">
        <v>175</v>
      </c>
      <c r="B133" s="165" t="s">
        <v>187</v>
      </c>
      <c r="C133" s="165" t="s">
        <v>193</v>
      </c>
      <c r="D133" s="166">
        <v>1.9545245414444401</v>
      </c>
      <c r="E133" s="167"/>
      <c r="F133" s="168">
        <v>6.2E-2</v>
      </c>
      <c r="G133" s="168">
        <v>0.06</v>
      </c>
      <c r="H133" s="169"/>
      <c r="I133" s="170">
        <v>6</v>
      </c>
      <c r="J133" s="170">
        <v>6</v>
      </c>
      <c r="K133" s="167"/>
      <c r="L133" s="171">
        <v>910.93538000000001</v>
      </c>
      <c r="M133" s="171">
        <v>665.45952999999997</v>
      </c>
      <c r="N133" s="171">
        <v>1576.39491</v>
      </c>
      <c r="O133" s="166">
        <v>806.53625808914296</v>
      </c>
      <c r="P133" s="172">
        <v>212.5</v>
      </c>
      <c r="Q133" s="178">
        <v>3.79546474394891</v>
      </c>
      <c r="R133" s="179">
        <v>1087.95922709303</v>
      </c>
      <c r="S133" s="168">
        <v>0.01</v>
      </c>
      <c r="T133" s="168">
        <v>0.01</v>
      </c>
      <c r="U133" s="175">
        <v>0</v>
      </c>
      <c r="V133" s="176">
        <v>0</v>
      </c>
      <c r="W133" s="167"/>
      <c r="X133" s="175">
        <v>1852.24875</v>
      </c>
      <c r="Y133" s="166">
        <v>947.672290996735</v>
      </c>
      <c r="Z133" s="177">
        <v>573</v>
      </c>
      <c r="AA133" s="178">
        <v>1.65387834379884</v>
      </c>
      <c r="AB133" s="179">
        <v>535.19629679674699</v>
      </c>
      <c r="AC133" s="168">
        <v>0.02</v>
      </c>
      <c r="AD133" s="168">
        <v>0.02</v>
      </c>
      <c r="AE133" s="176">
        <v>0</v>
      </c>
      <c r="AF133" s="176">
        <v>0</v>
      </c>
      <c r="AG133" s="167"/>
      <c r="AH133" s="180">
        <v>135.30000000000001</v>
      </c>
      <c r="AI133" s="166">
        <v>69.2239964917554</v>
      </c>
      <c r="AJ133" s="181" t="s">
        <v>53</v>
      </c>
      <c r="AK133" s="182">
        <v>1.0987935951072301</v>
      </c>
      <c r="AL133" s="183">
        <v>-9.5068142265356208</v>
      </c>
      <c r="AM133" s="168">
        <v>1.2E-2</v>
      </c>
      <c r="AN133" s="168">
        <v>0.01</v>
      </c>
      <c r="AO133" s="176">
        <v>0</v>
      </c>
      <c r="AP133" s="176">
        <v>13</v>
      </c>
      <c r="AQ133" s="167"/>
      <c r="AR133" s="180">
        <v>29.7</v>
      </c>
      <c r="AS133" s="166">
        <v>15.1955114250195</v>
      </c>
      <c r="AT133" s="181" t="s">
        <v>54</v>
      </c>
      <c r="AU133" s="188">
        <v>0.94971946406371699</v>
      </c>
      <c r="AV133" s="171">
        <v>-7.0763337718185797</v>
      </c>
      <c r="AW133" s="168"/>
      <c r="AX133" s="168"/>
      <c r="AY133" s="176">
        <v>2</v>
      </c>
      <c r="AZ133" s="176">
        <v>8</v>
      </c>
      <c r="BA133" s="167"/>
      <c r="BB133" s="184">
        <v>104.6</v>
      </c>
      <c r="BC133" s="180">
        <v>53.516851685422097</v>
      </c>
      <c r="BD133" s="181" t="s">
        <v>55</v>
      </c>
      <c r="BE133" s="178">
        <v>1.6724016151694401</v>
      </c>
      <c r="BF133" s="179">
        <v>31.047332456362899</v>
      </c>
      <c r="BG133" s="168">
        <v>0.02</v>
      </c>
      <c r="BH133" s="168">
        <v>0.02</v>
      </c>
      <c r="BI133" s="176">
        <v>0</v>
      </c>
      <c r="BJ133" s="176">
        <v>0</v>
      </c>
      <c r="BK133" s="169"/>
      <c r="BL133" s="185">
        <v>0.8</v>
      </c>
      <c r="BM133" s="182">
        <v>0.89</v>
      </c>
      <c r="BN133" s="186">
        <v>3.375E-3</v>
      </c>
      <c r="BO133" s="187">
        <v>0.95</v>
      </c>
      <c r="BP133" s="178">
        <v>1</v>
      </c>
      <c r="BQ133" s="186">
        <v>2.5000000000000001E-3</v>
      </c>
    </row>
    <row r="134" spans="1:69" s="156" customFormat="1" ht="22.35" customHeight="1" x14ac:dyDescent="0.2">
      <c r="A134" s="165" t="s">
        <v>175</v>
      </c>
      <c r="B134" s="165" t="s">
        <v>187</v>
      </c>
      <c r="C134" s="165" t="s">
        <v>194</v>
      </c>
      <c r="D134" s="166">
        <v>5.99043692788889</v>
      </c>
      <c r="E134" s="167"/>
      <c r="F134" s="168">
        <v>3.3000000000000002E-2</v>
      </c>
      <c r="G134" s="168">
        <v>2.9000000000000001E-2</v>
      </c>
      <c r="H134" s="169"/>
      <c r="I134" s="170">
        <v>5</v>
      </c>
      <c r="J134" s="170">
        <v>5</v>
      </c>
      <c r="K134" s="167"/>
      <c r="L134" s="171">
        <v>3021.2061600000002</v>
      </c>
      <c r="M134" s="171">
        <v>-370.25308000000001</v>
      </c>
      <c r="N134" s="171">
        <v>2650.9530800000002</v>
      </c>
      <c r="O134" s="166">
        <v>442.53083905421101</v>
      </c>
      <c r="P134" s="172">
        <v>212.5</v>
      </c>
      <c r="Q134" s="178">
        <v>2.0824980661374601</v>
      </c>
      <c r="R134" s="179">
        <v>1153.9428917205701</v>
      </c>
      <c r="S134" s="168">
        <v>0.01</v>
      </c>
      <c r="T134" s="168">
        <v>0.01</v>
      </c>
      <c r="U134" s="175">
        <v>0</v>
      </c>
      <c r="V134" s="176">
        <v>0</v>
      </c>
      <c r="W134" s="167"/>
      <c r="X134" s="175">
        <v>2470.6591400000002</v>
      </c>
      <c r="Y134" s="166">
        <v>412.43387915456998</v>
      </c>
      <c r="Z134" s="177">
        <v>573</v>
      </c>
      <c r="AA134" s="173">
        <v>0.71977989381251295</v>
      </c>
      <c r="AB134" s="174">
        <v>-1565.98480298407</v>
      </c>
      <c r="AC134" s="168"/>
      <c r="AD134" s="168"/>
      <c r="AE134" s="176">
        <v>962</v>
      </c>
      <c r="AF134" s="176">
        <v>1649</v>
      </c>
      <c r="AG134" s="167"/>
      <c r="AH134" s="180">
        <v>386.4</v>
      </c>
      <c r="AI134" s="166">
        <v>64.502807499915093</v>
      </c>
      <c r="AJ134" s="181" t="s">
        <v>53</v>
      </c>
      <c r="AK134" s="182">
        <v>1.02385408730024</v>
      </c>
      <c r="AL134" s="183">
        <v>-57.419491113432002</v>
      </c>
      <c r="AM134" s="168">
        <v>4.0000000000000001E-3</v>
      </c>
      <c r="AN134" s="168">
        <v>2E-3</v>
      </c>
      <c r="AO134" s="176">
        <v>0</v>
      </c>
      <c r="AP134" s="176">
        <v>67</v>
      </c>
      <c r="AQ134" s="167"/>
      <c r="AR134" s="180">
        <v>65.900000000000006</v>
      </c>
      <c r="AS134" s="166">
        <v>11.000867014090099</v>
      </c>
      <c r="AT134" s="181" t="s">
        <v>54</v>
      </c>
      <c r="AU134" s="173">
        <v>0.68755418838062998</v>
      </c>
      <c r="AV134" s="174">
        <v>-46.816061235157299</v>
      </c>
      <c r="AW134" s="168"/>
      <c r="AX134" s="168"/>
      <c r="AY134" s="176">
        <v>30</v>
      </c>
      <c r="AZ134" s="176">
        <v>50</v>
      </c>
      <c r="BA134" s="167"/>
      <c r="BB134" s="184">
        <v>224.2</v>
      </c>
      <c r="BC134" s="180">
        <v>37.426318430333801</v>
      </c>
      <c r="BD134" s="181" t="s">
        <v>55</v>
      </c>
      <c r="BE134" s="182">
        <v>1.1695724509479299</v>
      </c>
      <c r="BF134" s="183">
        <v>-1.23212247031469</v>
      </c>
      <c r="BG134" s="168">
        <v>1.9E-2</v>
      </c>
      <c r="BH134" s="168">
        <v>1.7000000000000001E-2</v>
      </c>
      <c r="BI134" s="176">
        <v>0</v>
      </c>
      <c r="BJ134" s="176">
        <v>6</v>
      </c>
      <c r="BK134" s="169"/>
      <c r="BL134" s="185">
        <v>0.8</v>
      </c>
      <c r="BM134" s="182">
        <v>0.84</v>
      </c>
      <c r="BN134" s="186">
        <v>1.5E-3</v>
      </c>
      <c r="BO134" s="187">
        <v>0.95</v>
      </c>
      <c r="BP134" s="178">
        <v>1</v>
      </c>
      <c r="BQ134" s="186">
        <v>2.5000000000000001E-3</v>
      </c>
    </row>
    <row r="135" spans="1:69" s="156" customFormat="1" ht="22.35" customHeight="1" x14ac:dyDescent="0.2">
      <c r="A135" s="165" t="s">
        <v>175</v>
      </c>
      <c r="B135" s="165" t="s">
        <v>187</v>
      </c>
      <c r="C135" s="165" t="s">
        <v>195</v>
      </c>
      <c r="D135" s="166">
        <v>3.8731675344444398</v>
      </c>
      <c r="E135" s="167"/>
      <c r="F135" s="168">
        <v>6.6000000000000003E-2</v>
      </c>
      <c r="G135" s="168">
        <v>6.25E-2</v>
      </c>
      <c r="H135" s="169"/>
      <c r="I135" s="170">
        <v>6</v>
      </c>
      <c r="J135" s="170">
        <v>6</v>
      </c>
      <c r="K135" s="167"/>
      <c r="L135" s="171">
        <v>884.96117000000004</v>
      </c>
      <c r="M135" s="171">
        <v>91.92653</v>
      </c>
      <c r="N135" s="171">
        <v>976.8877</v>
      </c>
      <c r="O135" s="166">
        <v>252.21932470321701</v>
      </c>
      <c r="P135" s="172">
        <v>212.5</v>
      </c>
      <c r="Q135" s="178">
        <v>1.18691446919161</v>
      </c>
      <c r="R135" s="179">
        <v>8.9831331423345109</v>
      </c>
      <c r="S135" s="168">
        <v>0.01</v>
      </c>
      <c r="T135" s="168">
        <v>9.4999999999999998E-3</v>
      </c>
      <c r="U135" s="175">
        <v>0</v>
      </c>
      <c r="V135" s="176">
        <v>11</v>
      </c>
      <c r="W135" s="167"/>
      <c r="X135" s="175">
        <v>2671.8047750000001</v>
      </c>
      <c r="Y135" s="166">
        <v>689.82422041891698</v>
      </c>
      <c r="Z135" s="177">
        <v>573</v>
      </c>
      <c r="AA135" s="178">
        <v>1.20388171102778</v>
      </c>
      <c r="AB135" s="179">
        <v>61.8785782496834</v>
      </c>
      <c r="AC135" s="168">
        <v>0.02</v>
      </c>
      <c r="AD135" s="168">
        <v>0.02</v>
      </c>
      <c r="AE135" s="176">
        <v>0</v>
      </c>
      <c r="AF135" s="176">
        <v>0</v>
      </c>
      <c r="AG135" s="167"/>
      <c r="AH135" s="180">
        <v>276.7</v>
      </c>
      <c r="AI135" s="166">
        <v>71.440235295602605</v>
      </c>
      <c r="AJ135" s="181" t="s">
        <v>53</v>
      </c>
      <c r="AK135" s="182">
        <v>1.13397198881909</v>
      </c>
      <c r="AL135" s="183">
        <v>-10.2552362919196</v>
      </c>
      <c r="AM135" s="168">
        <v>1.6E-2</v>
      </c>
      <c r="AN135" s="168">
        <v>1.2999999999999999E-2</v>
      </c>
      <c r="AO135" s="176">
        <v>0</v>
      </c>
      <c r="AP135" s="176">
        <v>17</v>
      </c>
      <c r="AQ135" s="167"/>
      <c r="AR135" s="180">
        <v>59.8</v>
      </c>
      <c r="AS135" s="166">
        <v>15.4395593446947</v>
      </c>
      <c r="AT135" s="181" t="s">
        <v>54</v>
      </c>
      <c r="AU135" s="188">
        <v>0.96497245904342099</v>
      </c>
      <c r="AV135" s="171">
        <v>-13.077520328106599</v>
      </c>
      <c r="AW135" s="168"/>
      <c r="AX135" s="168"/>
      <c r="AY135" s="176">
        <v>3</v>
      </c>
      <c r="AZ135" s="176">
        <v>15</v>
      </c>
      <c r="BA135" s="167"/>
      <c r="BB135" s="184">
        <v>214.8</v>
      </c>
      <c r="BC135" s="180">
        <v>55.458484067565699</v>
      </c>
      <c r="BD135" s="181" t="s">
        <v>55</v>
      </c>
      <c r="BE135" s="178">
        <v>1.7330776271114301</v>
      </c>
      <c r="BF135" s="179">
        <v>69.0449593437869</v>
      </c>
      <c r="BG135" s="168">
        <v>0.02</v>
      </c>
      <c r="BH135" s="168">
        <v>0.02</v>
      </c>
      <c r="BI135" s="176">
        <v>0</v>
      </c>
      <c r="BJ135" s="176">
        <v>0</v>
      </c>
      <c r="BK135" s="169"/>
      <c r="BL135" s="185">
        <v>0.8</v>
      </c>
      <c r="BM135" s="182">
        <v>0.87</v>
      </c>
      <c r="BN135" s="186">
        <v>2.6250000000000002E-3</v>
      </c>
      <c r="BO135" s="187">
        <v>0.95</v>
      </c>
      <c r="BP135" s="178">
        <v>1</v>
      </c>
      <c r="BQ135" s="186">
        <v>2.5000000000000001E-3</v>
      </c>
    </row>
    <row r="136" spans="1:69" s="156" customFormat="1" ht="22.35" customHeight="1" x14ac:dyDescent="0.2">
      <c r="A136" s="165" t="s">
        <v>175</v>
      </c>
      <c r="B136" s="165" t="s">
        <v>187</v>
      </c>
      <c r="C136" s="165" t="s">
        <v>196</v>
      </c>
      <c r="D136" s="166">
        <v>2.7806430641111102</v>
      </c>
      <c r="E136" s="167"/>
      <c r="F136" s="168">
        <v>3.1E-2</v>
      </c>
      <c r="G136" s="168">
        <v>2.8000000000000001E-2</v>
      </c>
      <c r="H136" s="169"/>
      <c r="I136" s="170">
        <v>4</v>
      </c>
      <c r="J136" s="170">
        <v>4</v>
      </c>
      <c r="K136" s="167"/>
      <c r="L136" s="171">
        <v>965.81035999999995</v>
      </c>
      <c r="M136" s="171">
        <v>-483.12119999999999</v>
      </c>
      <c r="N136" s="171">
        <v>482.68916000000002</v>
      </c>
      <c r="O136" s="166">
        <v>173.589039970616</v>
      </c>
      <c r="P136" s="172">
        <v>212.5</v>
      </c>
      <c r="Q136" s="188">
        <v>0.81688959986172205</v>
      </c>
      <c r="R136" s="171">
        <v>-212.19354172136599</v>
      </c>
      <c r="S136" s="168"/>
      <c r="T136" s="168"/>
      <c r="U136" s="175">
        <v>109</v>
      </c>
      <c r="V136" s="176">
        <v>227</v>
      </c>
      <c r="W136" s="167"/>
      <c r="X136" s="175">
        <v>1726.07482</v>
      </c>
      <c r="Y136" s="166">
        <v>620.74663313602002</v>
      </c>
      <c r="Z136" s="177">
        <v>573</v>
      </c>
      <c r="AA136" s="182">
        <v>1.0833274574799701</v>
      </c>
      <c r="AB136" s="183">
        <v>-147.65594746514299</v>
      </c>
      <c r="AC136" s="168">
        <v>1.0999999999999999E-2</v>
      </c>
      <c r="AD136" s="168">
        <v>8.0000000000000002E-3</v>
      </c>
      <c r="AE136" s="176">
        <v>0</v>
      </c>
      <c r="AF136" s="176">
        <v>186</v>
      </c>
      <c r="AG136" s="167"/>
      <c r="AH136" s="180">
        <v>149.85</v>
      </c>
      <c r="AI136" s="166">
        <v>53.890411874169303</v>
      </c>
      <c r="AJ136" s="181" t="s">
        <v>53</v>
      </c>
      <c r="AK136" s="188">
        <v>0.855403363082053</v>
      </c>
      <c r="AL136" s="171">
        <v>-56.162283333863897</v>
      </c>
      <c r="AM136" s="168"/>
      <c r="AN136" s="168"/>
      <c r="AO136" s="176">
        <v>26</v>
      </c>
      <c r="AP136" s="176">
        <v>61</v>
      </c>
      <c r="AQ136" s="167"/>
      <c r="AR136" s="180">
        <v>12</v>
      </c>
      <c r="AS136" s="166">
        <v>4.3155484984319799</v>
      </c>
      <c r="AT136" s="181" t="s">
        <v>54</v>
      </c>
      <c r="AU136" s="173">
        <v>0.26972178115199902</v>
      </c>
      <c r="AV136" s="174">
        <v>-40.320579894314598</v>
      </c>
      <c r="AW136" s="168"/>
      <c r="AX136" s="168"/>
      <c r="AY136" s="176">
        <v>33</v>
      </c>
      <c r="AZ136" s="176">
        <v>42</v>
      </c>
      <c r="BA136" s="167"/>
      <c r="BB136" s="184">
        <v>109.6</v>
      </c>
      <c r="BC136" s="180">
        <v>39.415342952345398</v>
      </c>
      <c r="BD136" s="181" t="s">
        <v>55</v>
      </c>
      <c r="BE136" s="178">
        <v>1.2317294672607899</v>
      </c>
      <c r="BF136" s="179">
        <v>4.9588402113707097</v>
      </c>
      <c r="BG136" s="168">
        <v>0.02</v>
      </c>
      <c r="BH136" s="168">
        <v>0.02</v>
      </c>
      <c r="BI136" s="176">
        <v>0</v>
      </c>
      <c r="BJ136" s="176">
        <v>0</v>
      </c>
      <c r="BK136" s="169"/>
      <c r="BL136" s="185">
        <v>0.8</v>
      </c>
      <c r="BM136" s="182">
        <v>0.81</v>
      </c>
      <c r="BN136" s="186">
        <v>3.7500000000000001E-4</v>
      </c>
      <c r="BO136" s="187">
        <v>0.95</v>
      </c>
      <c r="BP136" s="178">
        <v>1</v>
      </c>
      <c r="BQ136" s="186">
        <v>2.5000000000000001E-3</v>
      </c>
    </row>
    <row r="137" spans="1:69" s="156" customFormat="1" ht="22.35" customHeight="1" x14ac:dyDescent="0.2">
      <c r="A137" s="165" t="s">
        <v>175</v>
      </c>
      <c r="B137" s="165" t="s">
        <v>187</v>
      </c>
      <c r="C137" s="165" t="s">
        <v>197</v>
      </c>
      <c r="D137" s="166">
        <v>8.6991771745555599</v>
      </c>
      <c r="E137" s="167"/>
      <c r="F137" s="168">
        <v>2.4E-2</v>
      </c>
      <c r="G137" s="168">
        <v>2.1000000000000001E-2</v>
      </c>
      <c r="H137" s="169"/>
      <c r="I137" s="170">
        <v>4</v>
      </c>
      <c r="J137" s="170">
        <v>4</v>
      </c>
      <c r="K137" s="167"/>
      <c r="L137" s="171">
        <v>5962.80278</v>
      </c>
      <c r="M137" s="171">
        <v>2765.9605299999998</v>
      </c>
      <c r="N137" s="171">
        <v>8728.7633100000003</v>
      </c>
      <c r="O137" s="166">
        <v>1003.40102688459</v>
      </c>
      <c r="P137" s="172">
        <v>226.98400000000001</v>
      </c>
      <c r="Q137" s="178">
        <v>4.42058042366242</v>
      </c>
      <c r="R137" s="179">
        <v>6406.6642486157598</v>
      </c>
      <c r="S137" s="168">
        <v>0.01</v>
      </c>
      <c r="T137" s="168">
        <v>0.01</v>
      </c>
      <c r="U137" s="175">
        <v>0</v>
      </c>
      <c r="V137" s="176">
        <v>0</v>
      </c>
      <c r="W137" s="167"/>
      <c r="X137" s="175">
        <v>4702.1999249999999</v>
      </c>
      <c r="Y137" s="166">
        <v>540.53387241653002</v>
      </c>
      <c r="Z137" s="177">
        <v>573</v>
      </c>
      <c r="AA137" s="188">
        <v>0.94334009147736397</v>
      </c>
      <c r="AB137" s="171">
        <v>-1159.7232157199201</v>
      </c>
      <c r="AC137" s="168"/>
      <c r="AD137" s="168"/>
      <c r="AE137" s="176">
        <v>283</v>
      </c>
      <c r="AF137" s="176">
        <v>1280</v>
      </c>
      <c r="AG137" s="167"/>
      <c r="AH137" s="180">
        <v>410.5</v>
      </c>
      <c r="AI137" s="166">
        <v>47.188371010614901</v>
      </c>
      <c r="AJ137" s="181" t="s">
        <v>53</v>
      </c>
      <c r="AK137" s="173">
        <v>0.749021762073252</v>
      </c>
      <c r="AL137" s="174">
        <v>-234.004638508472</v>
      </c>
      <c r="AM137" s="168"/>
      <c r="AN137" s="168"/>
      <c r="AO137" s="176">
        <v>138</v>
      </c>
      <c r="AP137" s="176">
        <v>248</v>
      </c>
      <c r="AQ137" s="167"/>
      <c r="AR137" s="180">
        <v>83.4</v>
      </c>
      <c r="AS137" s="166">
        <v>9.5871136231066494</v>
      </c>
      <c r="AT137" s="181" t="s">
        <v>54</v>
      </c>
      <c r="AU137" s="173">
        <v>0.59919460144416603</v>
      </c>
      <c r="AV137" s="174">
        <v>-80.283717716437394</v>
      </c>
      <c r="AW137" s="168"/>
      <c r="AX137" s="168"/>
      <c r="AY137" s="176">
        <v>56</v>
      </c>
      <c r="AZ137" s="176">
        <v>84</v>
      </c>
      <c r="BA137" s="167"/>
      <c r="BB137" s="184">
        <v>309.8</v>
      </c>
      <c r="BC137" s="180">
        <v>35.612563554417797</v>
      </c>
      <c r="BD137" s="181" t="s">
        <v>55</v>
      </c>
      <c r="BE137" s="182">
        <v>1.1128926110755499</v>
      </c>
      <c r="BF137" s="183">
        <v>-17.567435432874799</v>
      </c>
      <c r="BG137" s="168">
        <v>1.4E-2</v>
      </c>
      <c r="BH137" s="168">
        <v>1.0999999999999999E-2</v>
      </c>
      <c r="BI137" s="176">
        <v>0</v>
      </c>
      <c r="BJ137" s="176">
        <v>25</v>
      </c>
      <c r="BK137" s="169"/>
      <c r="BL137" s="185">
        <v>0.8</v>
      </c>
      <c r="BM137" s="182">
        <v>0.84</v>
      </c>
      <c r="BN137" s="186">
        <v>1.5E-3</v>
      </c>
      <c r="BO137" s="187">
        <v>0.95</v>
      </c>
      <c r="BP137" s="178">
        <v>1</v>
      </c>
      <c r="BQ137" s="186">
        <v>2.5000000000000001E-3</v>
      </c>
    </row>
    <row r="138" spans="1:69" s="156" customFormat="1" ht="22.35" customHeight="1" x14ac:dyDescent="0.2">
      <c r="A138" s="165" t="s">
        <v>175</v>
      </c>
      <c r="B138" s="165" t="s">
        <v>187</v>
      </c>
      <c r="C138" s="165" t="s">
        <v>198</v>
      </c>
      <c r="D138" s="166">
        <v>2.92608844211111</v>
      </c>
      <c r="E138" s="167"/>
      <c r="F138" s="168">
        <v>0.08</v>
      </c>
      <c r="G138" s="168">
        <v>7.9500000000000001E-2</v>
      </c>
      <c r="H138" s="169"/>
      <c r="I138" s="170">
        <v>6</v>
      </c>
      <c r="J138" s="170">
        <v>6</v>
      </c>
      <c r="K138" s="167"/>
      <c r="L138" s="171">
        <v>5235.9536200000002</v>
      </c>
      <c r="M138" s="171">
        <v>623.87639000000001</v>
      </c>
      <c r="N138" s="171">
        <v>5859.8300099999997</v>
      </c>
      <c r="O138" s="166">
        <v>2002.61547999289</v>
      </c>
      <c r="P138" s="172">
        <v>212.5</v>
      </c>
      <c r="Q138" s="178">
        <v>9.4240728470253696</v>
      </c>
      <c r="R138" s="179">
        <v>5128.60050831643</v>
      </c>
      <c r="S138" s="168">
        <v>0.01</v>
      </c>
      <c r="T138" s="168">
        <v>0.01</v>
      </c>
      <c r="U138" s="175">
        <v>0</v>
      </c>
      <c r="V138" s="176">
        <v>0</v>
      </c>
      <c r="W138" s="167"/>
      <c r="X138" s="175">
        <v>2065.0716200000002</v>
      </c>
      <c r="Y138" s="166">
        <v>705.74477185320302</v>
      </c>
      <c r="Z138" s="177">
        <v>573</v>
      </c>
      <c r="AA138" s="178">
        <v>1.2316662685047199</v>
      </c>
      <c r="AB138" s="179">
        <v>93.332775460313101</v>
      </c>
      <c r="AC138" s="168">
        <v>0.02</v>
      </c>
      <c r="AD138" s="168">
        <v>0.02</v>
      </c>
      <c r="AE138" s="176">
        <v>0</v>
      </c>
      <c r="AF138" s="176">
        <v>0</v>
      </c>
      <c r="AG138" s="167"/>
      <c r="AH138" s="180">
        <v>265</v>
      </c>
      <c r="AI138" s="166">
        <v>90.564589978287898</v>
      </c>
      <c r="AJ138" s="181" t="s">
        <v>53</v>
      </c>
      <c r="AK138" s="178">
        <v>1.43753317425854</v>
      </c>
      <c r="AL138" s="179">
        <v>48.211959500872098</v>
      </c>
      <c r="AM138" s="168">
        <v>0.02</v>
      </c>
      <c r="AN138" s="168">
        <v>0.02</v>
      </c>
      <c r="AO138" s="176">
        <v>0</v>
      </c>
      <c r="AP138" s="176">
        <v>0</v>
      </c>
      <c r="AQ138" s="167"/>
      <c r="AR138" s="180">
        <v>55.9</v>
      </c>
      <c r="AS138" s="166">
        <v>19.104002187872801</v>
      </c>
      <c r="AT138" s="181" t="s">
        <v>54</v>
      </c>
      <c r="AU138" s="178">
        <v>1.1940001367420501</v>
      </c>
      <c r="AV138" s="179">
        <v>0.84271987323735698</v>
      </c>
      <c r="AW138" s="168">
        <v>0.01</v>
      </c>
      <c r="AX138" s="168">
        <v>9.4999999999999998E-3</v>
      </c>
      <c r="AY138" s="176">
        <v>0</v>
      </c>
      <c r="AZ138" s="176">
        <v>1</v>
      </c>
      <c r="BA138" s="167"/>
      <c r="BB138" s="184">
        <v>155.80000000000001</v>
      </c>
      <c r="BC138" s="180">
        <v>53.245143843838697</v>
      </c>
      <c r="BD138" s="181" t="s">
        <v>55</v>
      </c>
      <c r="BE138" s="178">
        <v>1.66391074511996</v>
      </c>
      <c r="BF138" s="179">
        <v>45.6854397464747</v>
      </c>
      <c r="BG138" s="168">
        <v>0.02</v>
      </c>
      <c r="BH138" s="168">
        <v>0.02</v>
      </c>
      <c r="BI138" s="176">
        <v>0</v>
      </c>
      <c r="BJ138" s="176">
        <v>0</v>
      </c>
      <c r="BK138" s="169"/>
      <c r="BL138" s="185">
        <v>0.8</v>
      </c>
      <c r="BM138" s="188">
        <v>0.8</v>
      </c>
      <c r="BN138" s="186">
        <v>0</v>
      </c>
      <c r="BO138" s="187">
        <v>0.95</v>
      </c>
      <c r="BP138" s="178">
        <v>1</v>
      </c>
      <c r="BQ138" s="186">
        <v>2.5000000000000001E-3</v>
      </c>
    </row>
    <row r="139" spans="1:69" s="156" customFormat="1" ht="22.35" customHeight="1" x14ac:dyDescent="0.2">
      <c r="A139" s="165" t="s">
        <v>175</v>
      </c>
      <c r="B139" s="165" t="s">
        <v>187</v>
      </c>
      <c r="C139" s="165" t="s">
        <v>199</v>
      </c>
      <c r="D139" s="166">
        <v>2.8460876042222201</v>
      </c>
      <c r="E139" s="167"/>
      <c r="F139" s="168">
        <v>7.6499999999999999E-2</v>
      </c>
      <c r="G139" s="168">
        <v>7.5499999999999998E-2</v>
      </c>
      <c r="H139" s="169"/>
      <c r="I139" s="170">
        <v>6</v>
      </c>
      <c r="J139" s="170">
        <v>6</v>
      </c>
      <c r="K139" s="167"/>
      <c r="L139" s="171">
        <v>1658.2786699999999</v>
      </c>
      <c r="M139" s="171">
        <v>187.33198999999999</v>
      </c>
      <c r="N139" s="171">
        <v>1845.6106600000001</v>
      </c>
      <c r="O139" s="166">
        <v>648.47289214218301</v>
      </c>
      <c r="P139" s="172">
        <v>212.5</v>
      </c>
      <c r="Q139" s="178">
        <v>3.0516371394926201</v>
      </c>
      <c r="R139" s="179">
        <v>1134.3733677048699</v>
      </c>
      <c r="S139" s="168">
        <v>0.01</v>
      </c>
      <c r="T139" s="168">
        <v>0.01</v>
      </c>
      <c r="U139" s="175">
        <v>0</v>
      </c>
      <c r="V139" s="176">
        <v>0</v>
      </c>
      <c r="W139" s="167"/>
      <c r="X139" s="175">
        <v>2514.6544399999998</v>
      </c>
      <c r="Y139" s="166">
        <v>883.547799536973</v>
      </c>
      <c r="Z139" s="177">
        <v>573</v>
      </c>
      <c r="AA139" s="178">
        <v>1.54196823653922</v>
      </c>
      <c r="AB139" s="179">
        <v>596.82400007006595</v>
      </c>
      <c r="AC139" s="168">
        <v>0.02</v>
      </c>
      <c r="AD139" s="168">
        <v>0.02</v>
      </c>
      <c r="AE139" s="176">
        <v>0</v>
      </c>
      <c r="AF139" s="176">
        <v>0</v>
      </c>
      <c r="AG139" s="167"/>
      <c r="AH139" s="180">
        <v>282.2</v>
      </c>
      <c r="AI139" s="166">
        <v>99.1536590726692</v>
      </c>
      <c r="AJ139" s="181" t="s">
        <v>53</v>
      </c>
      <c r="AK139" s="178">
        <v>1.5738676043280799</v>
      </c>
      <c r="AL139" s="179">
        <v>71.339061578384204</v>
      </c>
      <c r="AM139" s="168">
        <v>0.02</v>
      </c>
      <c r="AN139" s="168">
        <v>0.02</v>
      </c>
      <c r="AO139" s="176">
        <v>0</v>
      </c>
      <c r="AP139" s="176">
        <v>0</v>
      </c>
      <c r="AQ139" s="167"/>
      <c r="AR139" s="180">
        <v>50.6</v>
      </c>
      <c r="AS139" s="166">
        <v>17.778792165404202</v>
      </c>
      <c r="AT139" s="181" t="s">
        <v>54</v>
      </c>
      <c r="AU139" s="182">
        <v>1.1111745103377599</v>
      </c>
      <c r="AV139" s="183">
        <v>-2.9519843610452798</v>
      </c>
      <c r="AW139" s="168">
        <v>6.4999999999999997E-3</v>
      </c>
      <c r="AX139" s="168">
        <v>5.4999999999999997E-3</v>
      </c>
      <c r="AY139" s="176">
        <v>0</v>
      </c>
      <c r="AZ139" s="176">
        <v>5</v>
      </c>
      <c r="BA139" s="167"/>
      <c r="BB139" s="184">
        <v>166.4</v>
      </c>
      <c r="BC139" s="180">
        <v>58.466225619036699</v>
      </c>
      <c r="BD139" s="181" t="s">
        <v>55</v>
      </c>
      <c r="BE139" s="178">
        <v>1.8270695505948999</v>
      </c>
      <c r="BF139" s="179">
        <v>59.2960312779094</v>
      </c>
      <c r="BG139" s="168">
        <v>0.02</v>
      </c>
      <c r="BH139" s="168">
        <v>0.02</v>
      </c>
      <c r="BI139" s="176">
        <v>0</v>
      </c>
      <c r="BJ139" s="176">
        <v>0</v>
      </c>
      <c r="BK139" s="169"/>
      <c r="BL139" s="185">
        <v>0.8</v>
      </c>
      <c r="BM139" s="188">
        <v>0.78</v>
      </c>
      <c r="BN139" s="186"/>
      <c r="BO139" s="187">
        <v>0.95</v>
      </c>
      <c r="BP139" s="178">
        <v>1</v>
      </c>
      <c r="BQ139" s="186">
        <v>2.5000000000000001E-3</v>
      </c>
    </row>
    <row r="140" spans="1:69" s="156" customFormat="1" ht="22.35" customHeight="1" x14ac:dyDescent="0.2">
      <c r="A140" s="165" t="s">
        <v>175</v>
      </c>
      <c r="B140" s="165" t="s">
        <v>187</v>
      </c>
      <c r="C140" s="165" t="s">
        <v>200</v>
      </c>
      <c r="D140" s="166">
        <v>0.62457229755555599</v>
      </c>
      <c r="E140" s="167"/>
      <c r="F140" s="168">
        <v>6.0999999999999999E-2</v>
      </c>
      <c r="G140" s="168">
        <v>5.8999999999999997E-2</v>
      </c>
      <c r="H140" s="169"/>
      <c r="I140" s="170">
        <v>5</v>
      </c>
      <c r="J140" s="170">
        <v>5</v>
      </c>
      <c r="K140" s="167"/>
      <c r="L140" s="171"/>
      <c r="M140" s="171">
        <v>368.28228000000001</v>
      </c>
      <c r="N140" s="171">
        <v>368.28228000000001</v>
      </c>
      <c r="O140" s="166">
        <v>589.65516312743796</v>
      </c>
      <c r="P140" s="172">
        <v>226.98400000000001</v>
      </c>
      <c r="Q140" s="178">
        <v>2.5977829412092399</v>
      </c>
      <c r="R140" s="179">
        <v>201.5632079753</v>
      </c>
      <c r="S140" s="168">
        <v>0.01</v>
      </c>
      <c r="T140" s="168">
        <v>0.01</v>
      </c>
      <c r="U140" s="175">
        <v>0</v>
      </c>
      <c r="V140" s="176">
        <v>0</v>
      </c>
      <c r="W140" s="167"/>
      <c r="X140" s="175">
        <v>389.79370999999998</v>
      </c>
      <c r="Y140" s="166">
        <v>624.09702051399097</v>
      </c>
      <c r="Z140" s="177">
        <v>573</v>
      </c>
      <c r="AA140" s="182">
        <v>1.0891745558708401</v>
      </c>
      <c r="AB140" s="183">
        <v>-31.073083563215999</v>
      </c>
      <c r="AC140" s="168">
        <v>1.0999999999999999E-2</v>
      </c>
      <c r="AD140" s="168">
        <v>8.9999999999999993E-3</v>
      </c>
      <c r="AE140" s="176">
        <v>0</v>
      </c>
      <c r="AF140" s="176">
        <v>40</v>
      </c>
      <c r="AG140" s="167"/>
      <c r="AH140" s="180">
        <v>51.6</v>
      </c>
      <c r="AI140" s="166">
        <v>82.616536471360504</v>
      </c>
      <c r="AJ140" s="181" t="s">
        <v>53</v>
      </c>
      <c r="AK140" s="178">
        <v>1.3113735947834999</v>
      </c>
      <c r="AL140" s="179">
        <v>5.3266876187040104</v>
      </c>
      <c r="AM140" s="168">
        <v>0.02</v>
      </c>
      <c r="AN140" s="168">
        <v>0.02</v>
      </c>
      <c r="AO140" s="176">
        <v>0</v>
      </c>
      <c r="AP140" s="176">
        <v>0</v>
      </c>
      <c r="AQ140" s="167"/>
      <c r="AR140" s="180">
        <v>1</v>
      </c>
      <c r="AS140" s="166">
        <v>1.60109566804962</v>
      </c>
      <c r="AT140" s="181" t="s">
        <v>54</v>
      </c>
      <c r="AU140" s="173">
        <v>0.100068479253101</v>
      </c>
      <c r="AV140" s="174">
        <v>-10.751952350805301</v>
      </c>
      <c r="AW140" s="168"/>
      <c r="AX140" s="168"/>
      <c r="AY140" s="176">
        <v>9</v>
      </c>
      <c r="AZ140" s="176">
        <v>11</v>
      </c>
      <c r="BA140" s="167"/>
      <c r="BB140" s="184">
        <v>26.2</v>
      </c>
      <c r="BC140" s="180">
        <v>41.948706502900102</v>
      </c>
      <c r="BD140" s="181" t="s">
        <v>55</v>
      </c>
      <c r="BE140" s="178">
        <v>1.31089707821563</v>
      </c>
      <c r="BF140" s="179">
        <v>2.6960952983893298</v>
      </c>
      <c r="BG140" s="168">
        <v>0.02</v>
      </c>
      <c r="BH140" s="168">
        <v>0.02</v>
      </c>
      <c r="BI140" s="176">
        <v>0</v>
      </c>
      <c r="BJ140" s="176">
        <v>0</v>
      </c>
      <c r="BK140" s="169"/>
      <c r="BL140" s="185">
        <v>0.8</v>
      </c>
      <c r="BM140" s="173"/>
      <c r="BN140" s="186"/>
      <c r="BO140" s="187">
        <v>0.95</v>
      </c>
      <c r="BP140" s="178">
        <v>1</v>
      </c>
      <c r="BQ140" s="186">
        <v>2.5000000000000001E-3</v>
      </c>
    </row>
    <row r="141" spans="1:69" s="156" customFormat="1" ht="22.35" customHeight="1" x14ac:dyDescent="0.2">
      <c r="A141" s="165" t="s">
        <v>175</v>
      </c>
      <c r="B141" s="165" t="s">
        <v>201</v>
      </c>
      <c r="C141" s="165" t="s">
        <v>202</v>
      </c>
      <c r="D141" s="166">
        <v>2.7066750453333301</v>
      </c>
      <c r="E141" s="167"/>
      <c r="F141" s="168">
        <v>7.5999999999999998E-2</v>
      </c>
      <c r="G141" s="168">
        <v>7.3999999999999996E-2</v>
      </c>
      <c r="H141" s="169"/>
      <c r="I141" s="170">
        <v>7</v>
      </c>
      <c r="J141" s="170">
        <v>7</v>
      </c>
      <c r="K141" s="167"/>
      <c r="L141" s="171">
        <v>891.60798</v>
      </c>
      <c r="M141" s="171">
        <v>513.91945999999996</v>
      </c>
      <c r="N141" s="171">
        <v>1405.5274400000001</v>
      </c>
      <c r="O141" s="166">
        <v>519.28192947406603</v>
      </c>
      <c r="P141" s="172">
        <v>287.5</v>
      </c>
      <c r="Q141" s="178">
        <v>1.8061980155619699</v>
      </c>
      <c r="R141" s="179">
        <v>490.40060717280102</v>
      </c>
      <c r="S141" s="168">
        <v>0.01</v>
      </c>
      <c r="T141" s="168">
        <v>0.01</v>
      </c>
      <c r="U141" s="175">
        <v>0</v>
      </c>
      <c r="V141" s="176">
        <v>0</v>
      </c>
      <c r="W141" s="167"/>
      <c r="X141" s="175">
        <v>1910.87799</v>
      </c>
      <c r="Y141" s="166">
        <v>705.98721974202499</v>
      </c>
      <c r="Z141" s="177">
        <v>573</v>
      </c>
      <c r="AA141" s="178">
        <v>1.2320893887295401</v>
      </c>
      <c r="AB141" s="179">
        <v>86.990424052226501</v>
      </c>
      <c r="AC141" s="168">
        <v>0.02</v>
      </c>
      <c r="AD141" s="168">
        <v>0.02</v>
      </c>
      <c r="AE141" s="176">
        <v>0</v>
      </c>
      <c r="AF141" s="176">
        <v>0</v>
      </c>
      <c r="AG141" s="167"/>
      <c r="AH141" s="180">
        <v>194.45</v>
      </c>
      <c r="AI141" s="166">
        <v>71.840910616609705</v>
      </c>
      <c r="AJ141" s="181" t="s">
        <v>53</v>
      </c>
      <c r="AK141" s="182">
        <v>1.14033191454936</v>
      </c>
      <c r="AL141" s="183">
        <v>-6.0821407586556999</v>
      </c>
      <c r="AM141" s="168">
        <v>1.6E-2</v>
      </c>
      <c r="AN141" s="168">
        <v>1.4E-2</v>
      </c>
      <c r="AO141" s="176">
        <v>0</v>
      </c>
      <c r="AP141" s="176">
        <v>11</v>
      </c>
      <c r="AQ141" s="167"/>
      <c r="AR141" s="180">
        <v>66.099999999999994</v>
      </c>
      <c r="AS141" s="166">
        <v>24.421106668850101</v>
      </c>
      <c r="AT141" s="181" t="s">
        <v>54</v>
      </c>
      <c r="AU141" s="178">
        <v>1.52631916680313</v>
      </c>
      <c r="AV141" s="179">
        <v>15.1712023470081</v>
      </c>
      <c r="AW141" s="168">
        <v>0.01</v>
      </c>
      <c r="AX141" s="168">
        <v>0.01</v>
      </c>
      <c r="AY141" s="176">
        <v>0</v>
      </c>
      <c r="AZ141" s="176">
        <v>0</v>
      </c>
      <c r="BA141" s="167"/>
      <c r="BB141" s="184">
        <v>145.4</v>
      </c>
      <c r="BC141" s="180">
        <v>53.7190455317822</v>
      </c>
      <c r="BD141" s="181" t="s">
        <v>55</v>
      </c>
      <c r="BE141" s="178">
        <v>1.67872017286819</v>
      </c>
      <c r="BF141" s="179">
        <v>43.542404694016099</v>
      </c>
      <c r="BG141" s="168">
        <v>0.02</v>
      </c>
      <c r="BH141" s="168">
        <v>0.02</v>
      </c>
      <c r="BI141" s="176">
        <v>0</v>
      </c>
      <c r="BJ141" s="176">
        <v>0</v>
      </c>
      <c r="BK141" s="169"/>
      <c r="BL141" s="185">
        <v>0.8</v>
      </c>
      <c r="BM141" s="182">
        <v>0.88</v>
      </c>
      <c r="BN141" s="186">
        <v>3.0000000000000001E-3</v>
      </c>
      <c r="BO141" s="187">
        <v>0.95</v>
      </c>
      <c r="BP141" s="178">
        <v>1</v>
      </c>
      <c r="BQ141" s="186">
        <v>2.5000000000000001E-3</v>
      </c>
    </row>
    <row r="142" spans="1:69" s="156" customFormat="1" ht="22.35" customHeight="1" x14ac:dyDescent="0.2">
      <c r="A142" s="165" t="s">
        <v>175</v>
      </c>
      <c r="B142" s="165" t="s">
        <v>201</v>
      </c>
      <c r="C142" s="165" t="s">
        <v>203</v>
      </c>
      <c r="D142" s="166">
        <v>2.9894179894444401</v>
      </c>
      <c r="E142" s="167"/>
      <c r="F142" s="168">
        <v>0.08</v>
      </c>
      <c r="G142" s="168">
        <v>7.8E-2</v>
      </c>
      <c r="H142" s="169"/>
      <c r="I142" s="170">
        <v>7</v>
      </c>
      <c r="J142" s="170">
        <v>7</v>
      </c>
      <c r="K142" s="167"/>
      <c r="L142" s="171">
        <v>2045.1310699999999</v>
      </c>
      <c r="M142" s="171">
        <v>2856.1975600000001</v>
      </c>
      <c r="N142" s="171">
        <v>4901.32863</v>
      </c>
      <c r="O142" s="166">
        <v>1639.5594886049601</v>
      </c>
      <c r="P142" s="172">
        <v>273.93400000000003</v>
      </c>
      <c r="Q142" s="178">
        <v>5.9852354530834404</v>
      </c>
      <c r="R142" s="179">
        <v>3938.2984344359202</v>
      </c>
      <c r="S142" s="168">
        <v>0.01</v>
      </c>
      <c r="T142" s="168">
        <v>0.01</v>
      </c>
      <c r="U142" s="175">
        <v>0</v>
      </c>
      <c r="V142" s="176">
        <v>0</v>
      </c>
      <c r="W142" s="167"/>
      <c r="X142" s="175">
        <v>2070.3073599999998</v>
      </c>
      <c r="Y142" s="166">
        <v>692.54529386997797</v>
      </c>
      <c r="Z142" s="177">
        <v>573</v>
      </c>
      <c r="AA142" s="178">
        <v>1.2086305303141001</v>
      </c>
      <c r="AB142" s="179">
        <v>55.894026648843202</v>
      </c>
      <c r="AC142" s="168">
        <v>0.02</v>
      </c>
      <c r="AD142" s="168">
        <v>0.02</v>
      </c>
      <c r="AE142" s="176">
        <v>0</v>
      </c>
      <c r="AF142" s="176">
        <v>0</v>
      </c>
      <c r="AG142" s="167"/>
      <c r="AH142" s="180">
        <v>222.2</v>
      </c>
      <c r="AI142" s="166">
        <v>74.328849556864299</v>
      </c>
      <c r="AJ142" s="181" t="s">
        <v>53</v>
      </c>
      <c r="AK142" s="178">
        <v>1.1798230088391199</v>
      </c>
      <c r="AL142" s="179">
        <v>0.71999999804034998</v>
      </c>
      <c r="AM142" s="168">
        <v>0.02</v>
      </c>
      <c r="AN142" s="168">
        <v>1.7999999999999999E-2</v>
      </c>
      <c r="AO142" s="176">
        <v>0</v>
      </c>
      <c r="AP142" s="176">
        <v>4</v>
      </c>
      <c r="AQ142" s="167"/>
      <c r="AR142" s="180">
        <v>74.400000000000006</v>
      </c>
      <c r="AS142" s="166">
        <v>24.887787610399201</v>
      </c>
      <c r="AT142" s="181" t="s">
        <v>54</v>
      </c>
      <c r="AU142" s="178">
        <v>1.5554867256499501</v>
      </c>
      <c r="AV142" s="179">
        <v>18.1511111106134</v>
      </c>
      <c r="AW142" s="168">
        <v>0.01</v>
      </c>
      <c r="AX142" s="168">
        <v>0.01</v>
      </c>
      <c r="AY142" s="176">
        <v>0</v>
      </c>
      <c r="AZ142" s="176">
        <v>0</v>
      </c>
      <c r="BA142" s="167"/>
      <c r="BB142" s="184">
        <v>140.80000000000001</v>
      </c>
      <c r="BC142" s="180">
        <v>47.099469026131899</v>
      </c>
      <c r="BD142" s="181" t="s">
        <v>55</v>
      </c>
      <c r="BE142" s="178">
        <v>1.4718584070666201</v>
      </c>
      <c r="BF142" s="179">
        <v>28.302222221226799</v>
      </c>
      <c r="BG142" s="168">
        <v>0.02</v>
      </c>
      <c r="BH142" s="168">
        <v>0.02</v>
      </c>
      <c r="BI142" s="176">
        <v>0</v>
      </c>
      <c r="BJ142" s="176">
        <v>0</v>
      </c>
      <c r="BK142" s="169"/>
      <c r="BL142" s="185">
        <v>0.8</v>
      </c>
      <c r="BM142" s="182">
        <v>0.83</v>
      </c>
      <c r="BN142" s="186">
        <v>1.1249999999999999E-3</v>
      </c>
      <c r="BO142" s="187">
        <v>0.95</v>
      </c>
      <c r="BP142" s="178">
        <v>1</v>
      </c>
      <c r="BQ142" s="186">
        <v>2.5000000000000001E-3</v>
      </c>
    </row>
    <row r="143" spans="1:69" s="156" customFormat="1" ht="22.35" customHeight="1" x14ac:dyDescent="0.2">
      <c r="A143" s="165" t="s">
        <v>175</v>
      </c>
      <c r="B143" s="165" t="s">
        <v>201</v>
      </c>
      <c r="C143" s="165" t="s">
        <v>204</v>
      </c>
      <c r="D143" s="166">
        <v>2.92477570733333</v>
      </c>
      <c r="E143" s="167"/>
      <c r="F143" s="168">
        <v>0.06</v>
      </c>
      <c r="G143" s="168">
        <v>0.06</v>
      </c>
      <c r="H143" s="169"/>
      <c r="I143" s="170">
        <v>6</v>
      </c>
      <c r="J143" s="170">
        <v>6</v>
      </c>
      <c r="K143" s="167"/>
      <c r="L143" s="171">
        <v>2288.3770399999999</v>
      </c>
      <c r="M143" s="171">
        <v>-45.901330000000002</v>
      </c>
      <c r="N143" s="171">
        <v>2242.4757100000002</v>
      </c>
      <c r="O143" s="166">
        <v>766.71715522575198</v>
      </c>
      <c r="P143" s="172">
        <v>287.5</v>
      </c>
      <c r="Q143" s="178">
        <v>2.6668422790460902</v>
      </c>
      <c r="R143" s="179">
        <v>1253.6090433505999</v>
      </c>
      <c r="S143" s="168">
        <v>0.01</v>
      </c>
      <c r="T143" s="168">
        <v>0.01</v>
      </c>
      <c r="U143" s="175">
        <v>0</v>
      </c>
      <c r="V143" s="176">
        <v>0</v>
      </c>
      <c r="W143" s="167"/>
      <c r="X143" s="175">
        <v>2355.2183799999998</v>
      </c>
      <c r="Y143" s="166">
        <v>805.26461365728903</v>
      </c>
      <c r="Z143" s="177">
        <v>573</v>
      </c>
      <c r="AA143" s="178">
        <v>1.40534836589405</v>
      </c>
      <c r="AB143" s="179">
        <v>384.36411916485002</v>
      </c>
      <c r="AC143" s="168">
        <v>0.02</v>
      </c>
      <c r="AD143" s="168">
        <v>0.02</v>
      </c>
      <c r="AE143" s="176">
        <v>0</v>
      </c>
      <c r="AF143" s="176">
        <v>0</v>
      </c>
      <c r="AG143" s="167"/>
      <c r="AH143" s="180">
        <v>158.1</v>
      </c>
      <c r="AI143" s="166">
        <v>54.055427089193003</v>
      </c>
      <c r="AJ143" s="181" t="s">
        <v>53</v>
      </c>
      <c r="AK143" s="188">
        <v>0.85802265220941298</v>
      </c>
      <c r="AL143" s="171">
        <v>-58.590782604911702</v>
      </c>
      <c r="AM143" s="168"/>
      <c r="AN143" s="168"/>
      <c r="AO143" s="176">
        <v>27</v>
      </c>
      <c r="AP143" s="176">
        <v>64</v>
      </c>
      <c r="AQ143" s="167"/>
      <c r="AR143" s="180">
        <v>66.7</v>
      </c>
      <c r="AS143" s="166">
        <v>22.805167532252799</v>
      </c>
      <c r="AT143" s="181" t="s">
        <v>54</v>
      </c>
      <c r="AU143" s="178">
        <v>1.4253229707657999</v>
      </c>
      <c r="AV143" s="179">
        <v>11.6674202908161</v>
      </c>
      <c r="AW143" s="168">
        <v>0.01</v>
      </c>
      <c r="AX143" s="168">
        <v>0.01</v>
      </c>
      <c r="AY143" s="176">
        <v>0</v>
      </c>
      <c r="AZ143" s="176">
        <v>0</v>
      </c>
      <c r="BA143" s="167"/>
      <c r="BB143" s="184">
        <v>158</v>
      </c>
      <c r="BC143" s="180">
        <v>54.021236433222597</v>
      </c>
      <c r="BD143" s="181" t="s">
        <v>55</v>
      </c>
      <c r="BE143" s="178">
        <v>1.6881636385382099</v>
      </c>
      <c r="BF143" s="179">
        <v>47.934840581632102</v>
      </c>
      <c r="BG143" s="168">
        <v>0.02</v>
      </c>
      <c r="BH143" s="168">
        <v>0.02</v>
      </c>
      <c r="BI143" s="176">
        <v>0</v>
      </c>
      <c r="BJ143" s="176">
        <v>0</v>
      </c>
      <c r="BK143" s="169"/>
      <c r="BL143" s="185">
        <v>0.8</v>
      </c>
      <c r="BM143" s="182">
        <v>0.84</v>
      </c>
      <c r="BN143" s="186">
        <v>1.5E-3</v>
      </c>
      <c r="BO143" s="187">
        <v>0.95</v>
      </c>
      <c r="BP143" s="178">
        <v>1</v>
      </c>
      <c r="BQ143" s="186">
        <v>2.5000000000000001E-3</v>
      </c>
    </row>
    <row r="144" spans="1:69" s="156" customFormat="1" ht="22.35" customHeight="1" x14ac:dyDescent="0.2">
      <c r="A144" s="165" t="s">
        <v>175</v>
      </c>
      <c r="B144" s="165" t="s">
        <v>201</v>
      </c>
      <c r="C144" s="165" t="s">
        <v>205</v>
      </c>
      <c r="D144" s="166">
        <v>2.6681531807777801</v>
      </c>
      <c r="E144" s="167"/>
      <c r="F144" s="168">
        <v>0.04</v>
      </c>
      <c r="G144" s="168">
        <v>0.04</v>
      </c>
      <c r="H144" s="169"/>
      <c r="I144" s="170">
        <v>4</v>
      </c>
      <c r="J144" s="170">
        <v>4</v>
      </c>
      <c r="K144" s="167"/>
      <c r="L144" s="171">
        <v>1131.4666</v>
      </c>
      <c r="M144" s="171">
        <v>411.97717999999998</v>
      </c>
      <c r="N144" s="171">
        <v>1543.4437800000001</v>
      </c>
      <c r="O144" s="166">
        <v>578.46895415130496</v>
      </c>
      <c r="P144" s="172">
        <v>265.91699999999997</v>
      </c>
      <c r="Q144" s="178">
        <v>2.17537409850181</v>
      </c>
      <c r="R144" s="179">
        <v>709.06320769748697</v>
      </c>
      <c r="S144" s="168">
        <v>0.01</v>
      </c>
      <c r="T144" s="168">
        <v>0.01</v>
      </c>
      <c r="U144" s="175">
        <v>0</v>
      </c>
      <c r="V144" s="176">
        <v>0</v>
      </c>
      <c r="W144" s="167"/>
      <c r="X144" s="175">
        <v>1102.8725750000001</v>
      </c>
      <c r="Y144" s="166">
        <v>413.34679843175599</v>
      </c>
      <c r="Z144" s="177">
        <v>573</v>
      </c>
      <c r="AA144" s="173">
        <v>0.72137312117234897</v>
      </c>
      <c r="AB144" s="174">
        <v>-695.05710956074597</v>
      </c>
      <c r="AC144" s="168"/>
      <c r="AD144" s="168"/>
      <c r="AE144" s="176">
        <v>426</v>
      </c>
      <c r="AF144" s="176">
        <v>732</v>
      </c>
      <c r="AG144" s="167"/>
      <c r="AH144" s="180">
        <v>121.1</v>
      </c>
      <c r="AI144" s="166">
        <v>45.387199232953598</v>
      </c>
      <c r="AJ144" s="181" t="s">
        <v>53</v>
      </c>
      <c r="AK144" s="173">
        <v>0.72043173385640702</v>
      </c>
      <c r="AL144" s="174">
        <v>-76.578132857464198</v>
      </c>
      <c r="AM144" s="168"/>
      <c r="AN144" s="168"/>
      <c r="AO144" s="176">
        <v>47</v>
      </c>
      <c r="AP144" s="176">
        <v>81</v>
      </c>
      <c r="AQ144" s="167"/>
      <c r="AR144" s="180">
        <v>61</v>
      </c>
      <c r="AS144" s="166">
        <v>22.862255600414301</v>
      </c>
      <c r="AT144" s="181" t="s">
        <v>54</v>
      </c>
      <c r="AU144" s="178">
        <v>1.42889097502589</v>
      </c>
      <c r="AV144" s="179">
        <v>10.7960297504853</v>
      </c>
      <c r="AW144" s="168">
        <v>0.01</v>
      </c>
      <c r="AX144" s="168">
        <v>0.01</v>
      </c>
      <c r="AY144" s="176">
        <v>0</v>
      </c>
      <c r="AZ144" s="176">
        <v>0</v>
      </c>
      <c r="BA144" s="167"/>
      <c r="BB144" s="184">
        <v>107.8</v>
      </c>
      <c r="BC144" s="180">
        <v>40.4024779299125</v>
      </c>
      <c r="BD144" s="181" t="s">
        <v>55</v>
      </c>
      <c r="BE144" s="178">
        <v>1.2625774353097701</v>
      </c>
      <c r="BF144" s="179">
        <v>7.3920595009705901</v>
      </c>
      <c r="BG144" s="168">
        <v>0.02</v>
      </c>
      <c r="BH144" s="168">
        <v>0.02</v>
      </c>
      <c r="BI144" s="176">
        <v>0</v>
      </c>
      <c r="BJ144" s="176">
        <v>0</v>
      </c>
      <c r="BK144" s="169"/>
      <c r="BL144" s="185">
        <v>0.8</v>
      </c>
      <c r="BM144" s="188">
        <v>0.79</v>
      </c>
      <c r="BN144" s="186"/>
      <c r="BO144" s="187">
        <v>0.95</v>
      </c>
      <c r="BP144" s="178">
        <v>1</v>
      </c>
      <c r="BQ144" s="186">
        <v>2.5000000000000001E-3</v>
      </c>
    </row>
    <row r="145" spans="1:69" s="156" customFormat="1" ht="22.35" customHeight="1" x14ac:dyDescent="0.2">
      <c r="A145" s="165" t="s">
        <v>175</v>
      </c>
      <c r="B145" s="165" t="s">
        <v>201</v>
      </c>
      <c r="C145" s="165" t="s">
        <v>206</v>
      </c>
      <c r="D145" s="166">
        <v>10.628939992444399</v>
      </c>
      <c r="E145" s="167"/>
      <c r="F145" s="168">
        <v>5.1499999999999997E-2</v>
      </c>
      <c r="G145" s="168">
        <v>4.65E-2</v>
      </c>
      <c r="H145" s="169"/>
      <c r="I145" s="170">
        <v>6</v>
      </c>
      <c r="J145" s="170">
        <v>6</v>
      </c>
      <c r="K145" s="167"/>
      <c r="L145" s="171">
        <v>8197.7455499999996</v>
      </c>
      <c r="M145" s="171">
        <v>3369.9423200000001</v>
      </c>
      <c r="N145" s="171">
        <v>11567.68787</v>
      </c>
      <c r="O145" s="166">
        <v>1088.31999034926</v>
      </c>
      <c r="P145" s="172">
        <v>287.5</v>
      </c>
      <c r="Q145" s="178">
        <v>3.78546083599743</v>
      </c>
      <c r="R145" s="179">
        <v>7974.0432585545304</v>
      </c>
      <c r="S145" s="168">
        <v>0.01</v>
      </c>
      <c r="T145" s="168">
        <v>0.01</v>
      </c>
      <c r="U145" s="175">
        <v>0</v>
      </c>
      <c r="V145" s="176">
        <v>0</v>
      </c>
      <c r="W145" s="167"/>
      <c r="X145" s="175">
        <v>6561.4659499999998</v>
      </c>
      <c r="Y145" s="166">
        <v>617.32081982438501</v>
      </c>
      <c r="Z145" s="177">
        <v>573</v>
      </c>
      <c r="AA145" s="182">
        <v>1.07734872569701</v>
      </c>
      <c r="AB145" s="183">
        <v>-600.82400602869996</v>
      </c>
      <c r="AC145" s="168">
        <v>0.01</v>
      </c>
      <c r="AD145" s="168">
        <v>8.0000000000000002E-3</v>
      </c>
      <c r="AE145" s="176">
        <v>0</v>
      </c>
      <c r="AF145" s="176">
        <v>747</v>
      </c>
      <c r="AG145" s="167"/>
      <c r="AH145" s="180">
        <v>708.45</v>
      </c>
      <c r="AI145" s="166">
        <v>66.652930631238803</v>
      </c>
      <c r="AJ145" s="181" t="s">
        <v>53</v>
      </c>
      <c r="AK145" s="182">
        <v>1.0579830258926799</v>
      </c>
      <c r="AL145" s="183">
        <v>-79.026906160223504</v>
      </c>
      <c r="AM145" s="168">
        <v>8.0000000000000002E-3</v>
      </c>
      <c r="AN145" s="168">
        <v>6.0000000000000001E-3</v>
      </c>
      <c r="AO145" s="176">
        <v>0</v>
      </c>
      <c r="AP145" s="176">
        <v>96</v>
      </c>
      <c r="AQ145" s="167"/>
      <c r="AR145" s="180">
        <v>179.1</v>
      </c>
      <c r="AS145" s="166">
        <v>16.850222141371798</v>
      </c>
      <c r="AT145" s="181" t="s">
        <v>54</v>
      </c>
      <c r="AU145" s="182">
        <v>1.0531388838357401</v>
      </c>
      <c r="AV145" s="183">
        <v>-20.894134897834601</v>
      </c>
      <c r="AW145" s="168">
        <v>3.5000000000000001E-3</v>
      </c>
      <c r="AX145" s="168">
        <v>2.5000000000000001E-3</v>
      </c>
      <c r="AY145" s="176">
        <v>0</v>
      </c>
      <c r="AZ145" s="176">
        <v>25</v>
      </c>
      <c r="BA145" s="167"/>
      <c r="BB145" s="184">
        <v>431.8</v>
      </c>
      <c r="BC145" s="180">
        <v>40.624935346981403</v>
      </c>
      <c r="BD145" s="181" t="s">
        <v>55</v>
      </c>
      <c r="BE145" s="178">
        <v>1.2695292295931699</v>
      </c>
      <c r="BF145" s="179">
        <v>31.8117302043309</v>
      </c>
      <c r="BG145" s="168">
        <v>0.02</v>
      </c>
      <c r="BH145" s="168">
        <v>0.02</v>
      </c>
      <c r="BI145" s="176">
        <v>0</v>
      </c>
      <c r="BJ145" s="176">
        <v>0</v>
      </c>
      <c r="BK145" s="169"/>
      <c r="BL145" s="185">
        <v>0.8</v>
      </c>
      <c r="BM145" s="188">
        <v>0.79</v>
      </c>
      <c r="BN145" s="186"/>
      <c r="BO145" s="187">
        <v>0.95</v>
      </c>
      <c r="BP145" s="178">
        <v>1</v>
      </c>
      <c r="BQ145" s="186">
        <v>2.5000000000000001E-3</v>
      </c>
    </row>
    <row r="146" spans="1:69" s="156" customFormat="1" ht="22.35" customHeight="1" x14ac:dyDescent="0.2">
      <c r="A146" s="165" t="s">
        <v>175</v>
      </c>
      <c r="B146" s="165" t="s">
        <v>201</v>
      </c>
      <c r="C146" s="165" t="s">
        <v>207</v>
      </c>
      <c r="D146" s="166">
        <v>2.3655582742222201</v>
      </c>
      <c r="E146" s="167"/>
      <c r="F146" s="168">
        <v>5.7000000000000002E-2</v>
      </c>
      <c r="G146" s="168">
        <v>5.5E-2</v>
      </c>
      <c r="H146" s="169"/>
      <c r="I146" s="170">
        <v>5</v>
      </c>
      <c r="J146" s="170">
        <v>5</v>
      </c>
      <c r="K146" s="167"/>
      <c r="L146" s="171">
        <v>1723.18011</v>
      </c>
      <c r="M146" s="171">
        <v>66.516260000000003</v>
      </c>
      <c r="N146" s="171">
        <v>1789.6963699999999</v>
      </c>
      <c r="O146" s="166">
        <v>756.56405910712101</v>
      </c>
      <c r="P146" s="172">
        <v>212.5</v>
      </c>
      <c r="Q146" s="178">
        <v>3.5603014546217402</v>
      </c>
      <c r="R146" s="179">
        <v>1198.54335727187</v>
      </c>
      <c r="S146" s="168">
        <v>0.01</v>
      </c>
      <c r="T146" s="168">
        <v>0.01</v>
      </c>
      <c r="U146" s="175">
        <v>0</v>
      </c>
      <c r="V146" s="176">
        <v>0</v>
      </c>
      <c r="W146" s="167"/>
      <c r="X146" s="175">
        <v>1559.6367299999999</v>
      </c>
      <c r="Y146" s="166">
        <v>659.31021315160694</v>
      </c>
      <c r="Z146" s="177">
        <v>573</v>
      </c>
      <c r="AA146" s="182">
        <v>1.15062864424364</v>
      </c>
      <c r="AB146" s="183">
        <v>-34.389981968094602</v>
      </c>
      <c r="AC146" s="168">
        <v>1.7000000000000001E-2</v>
      </c>
      <c r="AD146" s="168">
        <v>1.4999999999999999E-2</v>
      </c>
      <c r="AE146" s="176">
        <v>0</v>
      </c>
      <c r="AF146" s="176">
        <v>67</v>
      </c>
      <c r="AG146" s="167"/>
      <c r="AH146" s="180">
        <v>142.1</v>
      </c>
      <c r="AI146" s="166">
        <v>60.070386575752998</v>
      </c>
      <c r="AJ146" s="181" t="s">
        <v>53</v>
      </c>
      <c r="AK146" s="188">
        <v>0.95349819961512705</v>
      </c>
      <c r="AL146" s="171">
        <v>-33.159481420575801</v>
      </c>
      <c r="AM146" s="168"/>
      <c r="AN146" s="168"/>
      <c r="AO146" s="176">
        <v>7</v>
      </c>
      <c r="AP146" s="176">
        <v>37</v>
      </c>
      <c r="AQ146" s="167"/>
      <c r="AR146" s="180">
        <v>91.1</v>
      </c>
      <c r="AS146" s="166">
        <v>38.510993786425701</v>
      </c>
      <c r="AT146" s="181" t="s">
        <v>54</v>
      </c>
      <c r="AU146" s="178">
        <v>2.4069371116516098</v>
      </c>
      <c r="AV146" s="179">
        <v>46.5896555122347</v>
      </c>
      <c r="AW146" s="168">
        <v>0.01</v>
      </c>
      <c r="AX146" s="168">
        <v>0.01</v>
      </c>
      <c r="AY146" s="176">
        <v>0</v>
      </c>
      <c r="AZ146" s="176">
        <v>0</v>
      </c>
      <c r="BA146" s="167"/>
      <c r="BB146" s="184">
        <v>159</v>
      </c>
      <c r="BC146" s="180">
        <v>67.214577519667301</v>
      </c>
      <c r="BD146" s="181" t="s">
        <v>55</v>
      </c>
      <c r="BE146" s="178">
        <v>2.1004555474896001</v>
      </c>
      <c r="BF146" s="179">
        <v>69.979311024469396</v>
      </c>
      <c r="BG146" s="168">
        <v>0.02</v>
      </c>
      <c r="BH146" s="168">
        <v>0.02</v>
      </c>
      <c r="BI146" s="176">
        <v>0</v>
      </c>
      <c r="BJ146" s="176">
        <v>0</v>
      </c>
      <c r="BK146" s="169"/>
      <c r="BL146" s="185">
        <v>0.8</v>
      </c>
      <c r="BM146" s="188">
        <v>0.78</v>
      </c>
      <c r="BN146" s="186"/>
      <c r="BO146" s="187">
        <v>0.95</v>
      </c>
      <c r="BP146" s="178">
        <v>1</v>
      </c>
      <c r="BQ146" s="186">
        <v>2.5000000000000001E-3</v>
      </c>
    </row>
    <row r="147" spans="1:69" s="156" customFormat="1" ht="22.35" customHeight="1" x14ac:dyDescent="0.2">
      <c r="A147" s="165" t="s">
        <v>175</v>
      </c>
      <c r="B147" s="165" t="s">
        <v>201</v>
      </c>
      <c r="C147" s="165" t="s">
        <v>208</v>
      </c>
      <c r="D147" s="166">
        <v>1.8899021605555599</v>
      </c>
      <c r="E147" s="167"/>
      <c r="F147" s="168">
        <v>5.8999999999999997E-2</v>
      </c>
      <c r="G147" s="168">
        <v>5.5E-2</v>
      </c>
      <c r="H147" s="169"/>
      <c r="I147" s="170">
        <v>7</v>
      </c>
      <c r="J147" s="170">
        <v>6</v>
      </c>
      <c r="K147" s="167"/>
      <c r="L147" s="171">
        <v>320.28152</v>
      </c>
      <c r="M147" s="171">
        <v>1632.9655600000001</v>
      </c>
      <c r="N147" s="171">
        <v>1953.2470800000001</v>
      </c>
      <c r="O147" s="166">
        <v>1033.5175654944101</v>
      </c>
      <c r="P147" s="172">
        <v>273.64299999999997</v>
      </c>
      <c r="Q147" s="178">
        <v>3.7768828930190401</v>
      </c>
      <c r="R147" s="179">
        <v>1345.06868762102</v>
      </c>
      <c r="S147" s="168">
        <v>0.01</v>
      </c>
      <c r="T147" s="168">
        <v>0.01</v>
      </c>
      <c r="U147" s="175">
        <v>0</v>
      </c>
      <c r="V147" s="176">
        <v>0</v>
      </c>
      <c r="W147" s="167"/>
      <c r="X147" s="175">
        <v>1246.8568399999999</v>
      </c>
      <c r="Y147" s="166">
        <v>659.74676680271898</v>
      </c>
      <c r="Z147" s="177">
        <v>573</v>
      </c>
      <c r="AA147" s="182">
        <v>1.1513905179803099</v>
      </c>
      <c r="AB147" s="183">
        <v>-26.649951086042599</v>
      </c>
      <c r="AC147" s="168">
        <v>1.7000000000000001E-2</v>
      </c>
      <c r="AD147" s="168">
        <v>1.4999999999999999E-2</v>
      </c>
      <c r="AE147" s="176">
        <v>0</v>
      </c>
      <c r="AF147" s="176">
        <v>53</v>
      </c>
      <c r="AG147" s="167"/>
      <c r="AH147" s="180">
        <v>119</v>
      </c>
      <c r="AI147" s="166">
        <v>62.966222529222797</v>
      </c>
      <c r="AJ147" s="181" t="s">
        <v>53</v>
      </c>
      <c r="AK147" s="182">
        <v>0.99946384967020196</v>
      </c>
      <c r="AL147" s="183">
        <v>-21.0190712712403</v>
      </c>
      <c r="AM147" s="168">
        <v>2E-3</v>
      </c>
      <c r="AN147" s="168">
        <v>0</v>
      </c>
      <c r="AO147" s="176">
        <v>1</v>
      </c>
      <c r="AP147" s="176">
        <v>24</v>
      </c>
      <c r="AQ147" s="167"/>
      <c r="AR147" s="180">
        <v>61.5</v>
      </c>
      <c r="AS147" s="166">
        <v>32.541367105438702</v>
      </c>
      <c r="AT147" s="181" t="s">
        <v>54</v>
      </c>
      <c r="AU147" s="178">
        <v>2.0338354440899198</v>
      </c>
      <c r="AV147" s="179">
        <v>25.939600946986602</v>
      </c>
      <c r="AW147" s="168">
        <v>0.01</v>
      </c>
      <c r="AX147" s="168">
        <v>0.01</v>
      </c>
      <c r="AY147" s="176">
        <v>0</v>
      </c>
      <c r="AZ147" s="176">
        <v>0</v>
      </c>
      <c r="BA147" s="167"/>
      <c r="BB147" s="184">
        <v>87.6</v>
      </c>
      <c r="BC147" s="180">
        <v>46.351605828234597</v>
      </c>
      <c r="BD147" s="181" t="s">
        <v>55</v>
      </c>
      <c r="BE147" s="178">
        <v>1.44848768213233</v>
      </c>
      <c r="BF147" s="179">
        <v>16.479201893973201</v>
      </c>
      <c r="BG147" s="168">
        <v>0.02</v>
      </c>
      <c r="BH147" s="168">
        <v>0.02</v>
      </c>
      <c r="BI147" s="176">
        <v>0</v>
      </c>
      <c r="BJ147" s="176">
        <v>0</v>
      </c>
      <c r="BK147" s="169"/>
      <c r="BL147" s="185">
        <v>0.8</v>
      </c>
      <c r="BM147" s="182">
        <v>0.88</v>
      </c>
      <c r="BN147" s="186">
        <v>3.0000000000000001E-3</v>
      </c>
      <c r="BO147" s="187">
        <v>0.95</v>
      </c>
      <c r="BP147" s="178">
        <v>1</v>
      </c>
      <c r="BQ147" s="186">
        <v>2.5000000000000001E-3</v>
      </c>
    </row>
    <row r="148" spans="1:69" s="156" customFormat="1" ht="22.35" customHeight="1" x14ac:dyDescent="0.2">
      <c r="A148" s="165" t="s">
        <v>175</v>
      </c>
      <c r="B148" s="165" t="s">
        <v>201</v>
      </c>
      <c r="C148" s="165" t="s">
        <v>209</v>
      </c>
      <c r="D148" s="166">
        <v>8.0221390946666702</v>
      </c>
      <c r="E148" s="167"/>
      <c r="F148" s="168">
        <v>0.04</v>
      </c>
      <c r="G148" s="168">
        <v>3.6999999999999998E-2</v>
      </c>
      <c r="H148" s="169"/>
      <c r="I148" s="170">
        <v>4</v>
      </c>
      <c r="J148" s="170">
        <v>4</v>
      </c>
      <c r="K148" s="167"/>
      <c r="L148" s="171">
        <v>5249.6984199999997</v>
      </c>
      <c r="M148" s="171">
        <v>-3835.9917999999998</v>
      </c>
      <c r="N148" s="171">
        <v>1413.7066199999999</v>
      </c>
      <c r="O148" s="166">
        <v>176.225642975933</v>
      </c>
      <c r="P148" s="172">
        <v>287.5</v>
      </c>
      <c r="Q148" s="173">
        <v>0.61295875817715695</v>
      </c>
      <c r="R148" s="174">
        <v>-1298.5786079068</v>
      </c>
      <c r="S148" s="168"/>
      <c r="T148" s="168"/>
      <c r="U148" s="175">
        <v>893</v>
      </c>
      <c r="V148" s="176">
        <v>1354</v>
      </c>
      <c r="W148" s="167"/>
      <c r="X148" s="175">
        <v>4933.2632649999996</v>
      </c>
      <c r="Y148" s="166">
        <v>614.95608674745699</v>
      </c>
      <c r="Z148" s="177">
        <v>573</v>
      </c>
      <c r="AA148" s="182">
        <v>1.0732217918803799</v>
      </c>
      <c r="AB148" s="183">
        <v>-472.43911966294701</v>
      </c>
      <c r="AC148" s="168">
        <v>0.01</v>
      </c>
      <c r="AD148" s="168">
        <v>7.0000000000000001E-3</v>
      </c>
      <c r="AE148" s="176">
        <v>0</v>
      </c>
      <c r="AF148" s="176">
        <v>583</v>
      </c>
      <c r="AG148" s="167"/>
      <c r="AH148" s="180">
        <v>470.05</v>
      </c>
      <c r="AI148" s="166">
        <v>58.594097466161102</v>
      </c>
      <c r="AJ148" s="181" t="s">
        <v>53</v>
      </c>
      <c r="AK148" s="188">
        <v>0.93006503914541405</v>
      </c>
      <c r="AL148" s="171">
        <v>-124.294241245664</v>
      </c>
      <c r="AM148" s="168"/>
      <c r="AN148" s="168"/>
      <c r="AO148" s="176">
        <v>36</v>
      </c>
      <c r="AP148" s="176">
        <v>137</v>
      </c>
      <c r="AQ148" s="167"/>
      <c r="AR148" s="180">
        <v>157.69999999999999</v>
      </c>
      <c r="AS148" s="166">
        <v>19.658098437216498</v>
      </c>
      <c r="AT148" s="181" t="s">
        <v>54</v>
      </c>
      <c r="AU148" s="178">
        <v>1.22863115232603</v>
      </c>
      <c r="AV148" s="179">
        <v>6.7554307947519598</v>
      </c>
      <c r="AW148" s="168">
        <v>0.01</v>
      </c>
      <c r="AX148" s="168">
        <v>0.01</v>
      </c>
      <c r="AY148" s="176">
        <v>0</v>
      </c>
      <c r="AZ148" s="176">
        <v>0</v>
      </c>
      <c r="BA148" s="167"/>
      <c r="BB148" s="184">
        <v>365.6</v>
      </c>
      <c r="BC148" s="180">
        <v>45.573879446077001</v>
      </c>
      <c r="BD148" s="181" t="s">
        <v>55</v>
      </c>
      <c r="BE148" s="178">
        <v>1.4241837326899101</v>
      </c>
      <c r="BF148" s="179">
        <v>63.710861589503899</v>
      </c>
      <c r="BG148" s="168">
        <v>0.02</v>
      </c>
      <c r="BH148" s="168">
        <v>0.02</v>
      </c>
      <c r="BI148" s="176">
        <v>0</v>
      </c>
      <c r="BJ148" s="176">
        <v>0</v>
      </c>
      <c r="BK148" s="169"/>
      <c r="BL148" s="185">
        <v>0.8</v>
      </c>
      <c r="BM148" s="188">
        <v>0.77</v>
      </c>
      <c r="BN148" s="186"/>
      <c r="BO148" s="187">
        <v>0.95</v>
      </c>
      <c r="BP148" s="178">
        <v>1</v>
      </c>
      <c r="BQ148" s="186">
        <v>2.5000000000000001E-3</v>
      </c>
    </row>
    <row r="149" spans="1:69" s="156" customFormat="1" ht="22.35" customHeight="1" x14ac:dyDescent="0.2">
      <c r="A149" s="165" t="s">
        <v>175</v>
      </c>
      <c r="B149" s="165" t="s">
        <v>201</v>
      </c>
      <c r="C149" s="165" t="s">
        <v>210</v>
      </c>
      <c r="D149" s="166">
        <v>3.69585255633333</v>
      </c>
      <c r="E149" s="167"/>
      <c r="F149" s="168">
        <v>7.0000000000000007E-2</v>
      </c>
      <c r="G149" s="168">
        <v>6.8000000000000005E-2</v>
      </c>
      <c r="H149" s="169"/>
      <c r="I149" s="170">
        <v>6</v>
      </c>
      <c r="J149" s="170">
        <v>6</v>
      </c>
      <c r="K149" s="167"/>
      <c r="L149" s="171">
        <v>2364.5979499999999</v>
      </c>
      <c r="M149" s="171">
        <v>425.75058000000001</v>
      </c>
      <c r="N149" s="171">
        <v>2790.3485300000002</v>
      </c>
      <c r="O149" s="166">
        <v>754.994547934107</v>
      </c>
      <c r="P149" s="172">
        <v>239.22399999999999</v>
      </c>
      <c r="Q149" s="178">
        <v>3.15601506510261</v>
      </c>
      <c r="R149" s="179">
        <v>1750.6038508429299</v>
      </c>
      <c r="S149" s="168">
        <v>0.01</v>
      </c>
      <c r="T149" s="168">
        <v>0.01</v>
      </c>
      <c r="U149" s="175">
        <v>0</v>
      </c>
      <c r="V149" s="176">
        <v>0</v>
      </c>
      <c r="W149" s="167"/>
      <c r="X149" s="175">
        <v>2540.845335</v>
      </c>
      <c r="Y149" s="166">
        <v>687.48557911108298</v>
      </c>
      <c r="Z149" s="177">
        <v>573</v>
      </c>
      <c r="AA149" s="178">
        <v>1.19980031258479</v>
      </c>
      <c r="AB149" s="179">
        <v>50.402481619898502</v>
      </c>
      <c r="AC149" s="168">
        <v>0.02</v>
      </c>
      <c r="AD149" s="168">
        <v>0.02</v>
      </c>
      <c r="AE149" s="176">
        <v>0</v>
      </c>
      <c r="AF149" s="176">
        <v>1</v>
      </c>
      <c r="AG149" s="167"/>
      <c r="AH149" s="180">
        <v>251.4</v>
      </c>
      <c r="AI149" s="166">
        <v>68.022194113018003</v>
      </c>
      <c r="AJ149" s="181" t="s">
        <v>53</v>
      </c>
      <c r="AK149" s="182">
        <v>1.0797173668733</v>
      </c>
      <c r="AL149" s="183">
        <v>-22.4183241936237</v>
      </c>
      <c r="AM149" s="168">
        <v>0.01</v>
      </c>
      <c r="AN149" s="168">
        <v>8.0000000000000002E-3</v>
      </c>
      <c r="AO149" s="176">
        <v>0</v>
      </c>
      <c r="AP149" s="176">
        <v>29</v>
      </c>
      <c r="AQ149" s="167"/>
      <c r="AR149" s="180">
        <v>110.7</v>
      </c>
      <c r="AS149" s="166">
        <v>29.952493589145199</v>
      </c>
      <c r="AT149" s="181" t="s">
        <v>54</v>
      </c>
      <c r="AU149" s="178">
        <v>1.87203084932157</v>
      </c>
      <c r="AV149" s="179">
        <v>41.158838300032102</v>
      </c>
      <c r="AW149" s="168">
        <v>0.01</v>
      </c>
      <c r="AX149" s="168">
        <v>0.01</v>
      </c>
      <c r="AY149" s="176">
        <v>0</v>
      </c>
      <c r="AZ149" s="176">
        <v>0</v>
      </c>
      <c r="BA149" s="167"/>
      <c r="BB149" s="184">
        <v>207</v>
      </c>
      <c r="BC149" s="180">
        <v>56.008727849621103</v>
      </c>
      <c r="BD149" s="181" t="s">
        <v>55</v>
      </c>
      <c r="BE149" s="178">
        <v>1.7502727453006599</v>
      </c>
      <c r="BF149" s="179">
        <v>67.917676600064098</v>
      </c>
      <c r="BG149" s="168">
        <v>0.02</v>
      </c>
      <c r="BH149" s="168">
        <v>0.02</v>
      </c>
      <c r="BI149" s="176">
        <v>0</v>
      </c>
      <c r="BJ149" s="176">
        <v>0</v>
      </c>
      <c r="BK149" s="169"/>
      <c r="BL149" s="185">
        <v>0.8</v>
      </c>
      <c r="BM149" s="188">
        <v>0.77</v>
      </c>
      <c r="BN149" s="186"/>
      <c r="BO149" s="187">
        <v>0.95</v>
      </c>
      <c r="BP149" s="178">
        <v>1</v>
      </c>
      <c r="BQ149" s="186">
        <v>2.5000000000000001E-3</v>
      </c>
    </row>
    <row r="150" spans="1:69" s="156" customFormat="1" ht="22.35" customHeight="1" x14ac:dyDescent="0.2">
      <c r="A150" s="165" t="s">
        <v>175</v>
      </c>
      <c r="B150" s="165" t="s">
        <v>201</v>
      </c>
      <c r="C150" s="165" t="s">
        <v>211</v>
      </c>
      <c r="D150" s="166">
        <v>2.8061909415555601</v>
      </c>
      <c r="E150" s="167"/>
      <c r="F150" s="168">
        <v>5.6000000000000001E-2</v>
      </c>
      <c r="G150" s="168">
        <v>5.1999999999999998E-2</v>
      </c>
      <c r="H150" s="169"/>
      <c r="I150" s="170">
        <v>7</v>
      </c>
      <c r="J150" s="170">
        <v>7</v>
      </c>
      <c r="K150" s="167"/>
      <c r="L150" s="171">
        <v>2016.1551099999999</v>
      </c>
      <c r="M150" s="171">
        <v>1565.2537</v>
      </c>
      <c r="N150" s="171">
        <v>3581.4088099999999</v>
      </c>
      <c r="O150" s="166">
        <v>1276.2527157238701</v>
      </c>
      <c r="P150" s="172">
        <v>229.53</v>
      </c>
      <c r="Q150" s="178">
        <v>5.5602871769436204</v>
      </c>
      <c r="R150" s="179">
        <v>2823.94132198527</v>
      </c>
      <c r="S150" s="168">
        <v>0.01</v>
      </c>
      <c r="T150" s="168">
        <v>0.01</v>
      </c>
      <c r="U150" s="175">
        <v>0</v>
      </c>
      <c r="V150" s="176">
        <v>0</v>
      </c>
      <c r="W150" s="167"/>
      <c r="X150" s="175">
        <v>1785.2129600000001</v>
      </c>
      <c r="Y150" s="166">
        <v>636.16945431746103</v>
      </c>
      <c r="Z150" s="177">
        <v>573</v>
      </c>
      <c r="AA150" s="182">
        <v>1.1102433757721799</v>
      </c>
      <c r="AB150" s="183">
        <v>-105.73319358533099</v>
      </c>
      <c r="AC150" s="168">
        <v>1.2999999999999999E-2</v>
      </c>
      <c r="AD150" s="168">
        <v>1.0999999999999999E-2</v>
      </c>
      <c r="AE150" s="176">
        <v>0</v>
      </c>
      <c r="AF150" s="176">
        <v>145</v>
      </c>
      <c r="AG150" s="167"/>
      <c r="AH150" s="180">
        <v>177.65</v>
      </c>
      <c r="AI150" s="166">
        <v>63.306454799374201</v>
      </c>
      <c r="AJ150" s="181" t="s">
        <v>53</v>
      </c>
      <c r="AK150" s="182">
        <v>1.0048643618948301</v>
      </c>
      <c r="AL150" s="183">
        <v>-30.2550744779683</v>
      </c>
      <c r="AM150" s="168">
        <v>3.0000000000000001E-3</v>
      </c>
      <c r="AN150" s="168">
        <v>1E-3</v>
      </c>
      <c r="AO150" s="176">
        <v>0</v>
      </c>
      <c r="AP150" s="176">
        <v>35</v>
      </c>
      <c r="AQ150" s="167"/>
      <c r="AR150" s="180">
        <v>65.400000000000006</v>
      </c>
      <c r="AS150" s="166">
        <v>23.305612968641</v>
      </c>
      <c r="AT150" s="181" t="s">
        <v>54</v>
      </c>
      <c r="AU150" s="178">
        <v>1.4566008105400601</v>
      </c>
      <c r="AV150" s="179">
        <v>12.5987112436906</v>
      </c>
      <c r="AW150" s="168">
        <v>0.01</v>
      </c>
      <c r="AX150" s="168">
        <v>0.01</v>
      </c>
      <c r="AY150" s="176">
        <v>0</v>
      </c>
      <c r="AZ150" s="176">
        <v>0</v>
      </c>
      <c r="BA150" s="167"/>
      <c r="BB150" s="184">
        <v>164.4</v>
      </c>
      <c r="BC150" s="180">
        <v>58.584751866125004</v>
      </c>
      <c r="BD150" s="181" t="s">
        <v>55</v>
      </c>
      <c r="BE150" s="178">
        <v>1.8307734958164099</v>
      </c>
      <c r="BF150" s="179">
        <v>58.797422487381198</v>
      </c>
      <c r="BG150" s="168">
        <v>0.02</v>
      </c>
      <c r="BH150" s="168">
        <v>0.02</v>
      </c>
      <c r="BI150" s="176">
        <v>0</v>
      </c>
      <c r="BJ150" s="176">
        <v>0</v>
      </c>
      <c r="BK150" s="169"/>
      <c r="BL150" s="185">
        <v>0.8</v>
      </c>
      <c r="BM150" s="182">
        <v>0.84</v>
      </c>
      <c r="BN150" s="186">
        <v>1.5E-3</v>
      </c>
      <c r="BO150" s="187">
        <v>0.95</v>
      </c>
      <c r="BP150" s="178">
        <v>1</v>
      </c>
      <c r="BQ150" s="186">
        <v>2.5000000000000001E-3</v>
      </c>
    </row>
    <row r="151" spans="1:69" s="156" customFormat="1" ht="22.35" customHeight="1" x14ac:dyDescent="0.2">
      <c r="A151" s="165" t="s">
        <v>175</v>
      </c>
      <c r="B151" s="165" t="s">
        <v>201</v>
      </c>
      <c r="C151" s="165" t="s">
        <v>212</v>
      </c>
      <c r="D151" s="166">
        <v>3.7250110427777798</v>
      </c>
      <c r="E151" s="167"/>
      <c r="F151" s="168">
        <v>0.04</v>
      </c>
      <c r="G151" s="168">
        <v>0.04</v>
      </c>
      <c r="H151" s="169"/>
      <c r="I151" s="170">
        <v>4</v>
      </c>
      <c r="J151" s="170">
        <v>4</v>
      </c>
      <c r="K151" s="167"/>
      <c r="L151" s="171">
        <v>2309.8305599999999</v>
      </c>
      <c r="M151" s="171">
        <v>3829.0872399999998</v>
      </c>
      <c r="N151" s="171">
        <v>6138.9178000000002</v>
      </c>
      <c r="O151" s="166">
        <v>1648.0267385790501</v>
      </c>
      <c r="P151" s="172">
        <v>247.43600000000001</v>
      </c>
      <c r="Q151" s="178">
        <v>6.6604161826858297</v>
      </c>
      <c r="R151" s="179">
        <v>5054.9964451202204</v>
      </c>
      <c r="S151" s="168">
        <v>0.01</v>
      </c>
      <c r="T151" s="168">
        <v>0.01</v>
      </c>
      <c r="U151" s="175">
        <v>0</v>
      </c>
      <c r="V151" s="176">
        <v>0</v>
      </c>
      <c r="W151" s="167"/>
      <c r="X151" s="175">
        <v>1870.709255</v>
      </c>
      <c r="Y151" s="166">
        <v>502.20233806474698</v>
      </c>
      <c r="Z151" s="177">
        <v>573</v>
      </c>
      <c r="AA151" s="188">
        <v>0.87644387096814402</v>
      </c>
      <c r="AB151" s="171">
        <v>-639.38198615372198</v>
      </c>
      <c r="AC151" s="168"/>
      <c r="AD151" s="168"/>
      <c r="AE151" s="176">
        <v>264</v>
      </c>
      <c r="AF151" s="176">
        <v>691</v>
      </c>
      <c r="AG151" s="167"/>
      <c r="AH151" s="180">
        <v>222.95</v>
      </c>
      <c r="AI151" s="166">
        <v>59.8521715612805</v>
      </c>
      <c r="AJ151" s="181" t="s">
        <v>53</v>
      </c>
      <c r="AK151" s="188">
        <v>0.950034469226675</v>
      </c>
      <c r="AL151" s="171">
        <v>-53.028618137320102</v>
      </c>
      <c r="AM151" s="168"/>
      <c r="AN151" s="168"/>
      <c r="AO151" s="176">
        <v>12</v>
      </c>
      <c r="AP151" s="176">
        <v>59</v>
      </c>
      <c r="AQ151" s="167"/>
      <c r="AR151" s="180">
        <v>108.6</v>
      </c>
      <c r="AS151" s="166">
        <v>29.1542759881366</v>
      </c>
      <c r="AT151" s="181" t="s">
        <v>54</v>
      </c>
      <c r="AU151" s="178">
        <v>1.82214224925854</v>
      </c>
      <c r="AV151" s="179">
        <v>38.510192219093298</v>
      </c>
      <c r="AW151" s="168">
        <v>0.01</v>
      </c>
      <c r="AX151" s="168">
        <v>0.01</v>
      </c>
      <c r="AY151" s="176">
        <v>0</v>
      </c>
      <c r="AZ151" s="176">
        <v>0</v>
      </c>
      <c r="BA151" s="167"/>
      <c r="BB151" s="184">
        <v>196.2</v>
      </c>
      <c r="BC151" s="180">
        <v>52.670984796246898</v>
      </c>
      <c r="BD151" s="181" t="s">
        <v>55</v>
      </c>
      <c r="BE151" s="178">
        <v>1.64596827488271</v>
      </c>
      <c r="BF151" s="179">
        <v>56.020384438186603</v>
      </c>
      <c r="BG151" s="168">
        <v>0.02</v>
      </c>
      <c r="BH151" s="168">
        <v>0.02</v>
      </c>
      <c r="BI151" s="176">
        <v>0</v>
      </c>
      <c r="BJ151" s="176">
        <v>0</v>
      </c>
      <c r="BK151" s="169"/>
      <c r="BL151" s="185">
        <v>0.8</v>
      </c>
      <c r="BM151" s="188">
        <v>0.8</v>
      </c>
      <c r="BN151" s="186">
        <v>0</v>
      </c>
      <c r="BO151" s="187">
        <v>0.95</v>
      </c>
      <c r="BP151" s="178">
        <v>1</v>
      </c>
      <c r="BQ151" s="186">
        <v>2.5000000000000001E-3</v>
      </c>
    </row>
    <row r="152" spans="1:69" s="156" customFormat="1" ht="22.35" customHeight="1" x14ac:dyDescent="0.2">
      <c r="A152" s="165" t="s">
        <v>175</v>
      </c>
      <c r="B152" s="165" t="s">
        <v>201</v>
      </c>
      <c r="C152" s="165" t="s">
        <v>213</v>
      </c>
      <c r="D152" s="166">
        <v>7.9314378249999997</v>
      </c>
      <c r="E152" s="167"/>
      <c r="F152" s="168">
        <v>1.4999999999999999E-2</v>
      </c>
      <c r="G152" s="168">
        <v>1.2999999999999999E-2</v>
      </c>
      <c r="H152" s="169"/>
      <c r="I152" s="170">
        <v>3</v>
      </c>
      <c r="J152" s="170">
        <v>3</v>
      </c>
      <c r="K152" s="167"/>
      <c r="L152" s="171">
        <v>5742.8224600000003</v>
      </c>
      <c r="M152" s="171">
        <v>1229.0456200000001</v>
      </c>
      <c r="N152" s="171">
        <v>6971.8680800000002</v>
      </c>
      <c r="O152" s="166">
        <v>879.01692402159097</v>
      </c>
      <c r="P152" s="172">
        <v>287.5</v>
      </c>
      <c r="Q152" s="178">
        <v>3.0574501705098802</v>
      </c>
      <c r="R152" s="179">
        <v>4290.2489513675</v>
      </c>
      <c r="S152" s="168">
        <v>0.01</v>
      </c>
      <c r="T152" s="168">
        <v>0.01</v>
      </c>
      <c r="U152" s="175">
        <v>0</v>
      </c>
      <c r="V152" s="176">
        <v>0</v>
      </c>
      <c r="W152" s="167"/>
      <c r="X152" s="175">
        <v>3201.4128350000001</v>
      </c>
      <c r="Y152" s="166">
        <v>403.63587354982502</v>
      </c>
      <c r="Z152" s="177">
        <v>573</v>
      </c>
      <c r="AA152" s="173">
        <v>0.70442560828939804</v>
      </c>
      <c r="AB152" s="174">
        <v>-2143.1706805006002</v>
      </c>
      <c r="AC152" s="168"/>
      <c r="AD152" s="168"/>
      <c r="AE152" s="176">
        <v>1344</v>
      </c>
      <c r="AF152" s="176">
        <v>2253</v>
      </c>
      <c r="AG152" s="167"/>
      <c r="AH152" s="180">
        <v>299.2</v>
      </c>
      <c r="AI152" s="166">
        <v>37.723298927833397</v>
      </c>
      <c r="AJ152" s="181" t="s">
        <v>53</v>
      </c>
      <c r="AK152" s="173">
        <v>0.59878252266402299</v>
      </c>
      <c r="AL152" s="174">
        <v>-288.42436557859997</v>
      </c>
      <c r="AM152" s="168"/>
      <c r="AN152" s="168"/>
      <c r="AO152" s="176">
        <v>201</v>
      </c>
      <c r="AP152" s="176">
        <v>301</v>
      </c>
      <c r="AQ152" s="167"/>
      <c r="AR152" s="180">
        <v>75.400000000000006</v>
      </c>
      <c r="AS152" s="166">
        <v>9.5064730586852999</v>
      </c>
      <c r="AT152" s="181" t="s">
        <v>54</v>
      </c>
      <c r="AU152" s="173">
        <v>0.59415456616783102</v>
      </c>
      <c r="AV152" s="174">
        <v>-73.837934115199999</v>
      </c>
      <c r="AW152" s="168"/>
      <c r="AX152" s="168"/>
      <c r="AY152" s="176">
        <v>52</v>
      </c>
      <c r="AZ152" s="176">
        <v>77</v>
      </c>
      <c r="BA152" s="167"/>
      <c r="BB152" s="184">
        <v>261.39999999999998</v>
      </c>
      <c r="BC152" s="180">
        <v>32.9574543440363</v>
      </c>
      <c r="BD152" s="181" t="s">
        <v>55</v>
      </c>
      <c r="BE152" s="182">
        <v>1.0299204482511299</v>
      </c>
      <c r="BF152" s="183">
        <v>-37.075868230399998</v>
      </c>
      <c r="BG152" s="168">
        <v>5.0000000000000001E-3</v>
      </c>
      <c r="BH152" s="168">
        <v>3.0000000000000001E-3</v>
      </c>
      <c r="BI152" s="176">
        <v>0</v>
      </c>
      <c r="BJ152" s="176">
        <v>44</v>
      </c>
      <c r="BK152" s="169"/>
      <c r="BL152" s="185">
        <v>0.8</v>
      </c>
      <c r="BM152" s="188">
        <v>0.76</v>
      </c>
      <c r="BN152" s="186"/>
      <c r="BO152" s="187">
        <v>0.95</v>
      </c>
      <c r="BP152" s="178">
        <v>1</v>
      </c>
      <c r="BQ152" s="186">
        <v>2.5000000000000001E-3</v>
      </c>
    </row>
    <row r="153" spans="1:69" s="156" customFormat="1" ht="22.35" customHeight="1" x14ac:dyDescent="0.2">
      <c r="A153" s="165" t="s">
        <v>175</v>
      </c>
      <c r="B153" s="165" t="s">
        <v>201</v>
      </c>
      <c r="C153" s="165" t="s">
        <v>214</v>
      </c>
      <c r="D153" s="166">
        <v>4.0442520443333301</v>
      </c>
      <c r="E153" s="167"/>
      <c r="F153" s="168">
        <v>5.8999999999999997E-2</v>
      </c>
      <c r="G153" s="168">
        <v>5.5E-2</v>
      </c>
      <c r="H153" s="169"/>
      <c r="I153" s="170">
        <v>7</v>
      </c>
      <c r="J153" s="170">
        <v>7</v>
      </c>
      <c r="K153" s="167"/>
      <c r="L153" s="171">
        <v>975.77193</v>
      </c>
      <c r="M153" s="171">
        <v>2095.1510400000002</v>
      </c>
      <c r="N153" s="171">
        <v>3070.9229700000001</v>
      </c>
      <c r="O153" s="166">
        <v>759.330263380313</v>
      </c>
      <c r="P153" s="172">
        <v>232.012</v>
      </c>
      <c r="Q153" s="178">
        <v>3.2728059901225501</v>
      </c>
      <c r="R153" s="179">
        <v>1967.4645237556001</v>
      </c>
      <c r="S153" s="168">
        <v>0.01</v>
      </c>
      <c r="T153" s="168">
        <v>0.01</v>
      </c>
      <c r="U153" s="175">
        <v>0</v>
      </c>
      <c r="V153" s="176">
        <v>0</v>
      </c>
      <c r="W153" s="167"/>
      <c r="X153" s="175">
        <v>2553.4404650000001</v>
      </c>
      <c r="Y153" s="166">
        <v>631.37520535541103</v>
      </c>
      <c r="Z153" s="177">
        <v>573</v>
      </c>
      <c r="AA153" s="182">
        <v>1.10187644913684</v>
      </c>
      <c r="AB153" s="183">
        <v>-171.770686569926</v>
      </c>
      <c r="AC153" s="168">
        <v>1.2E-2</v>
      </c>
      <c r="AD153" s="168">
        <v>0.01</v>
      </c>
      <c r="AE153" s="176">
        <v>0</v>
      </c>
      <c r="AF153" s="176">
        <v>228</v>
      </c>
      <c r="AG153" s="167"/>
      <c r="AH153" s="180">
        <v>267.7</v>
      </c>
      <c r="AI153" s="166">
        <v>66.192709323122401</v>
      </c>
      <c r="AJ153" s="181" t="s">
        <v>53</v>
      </c>
      <c r="AK153" s="182">
        <v>1.0506779257638501</v>
      </c>
      <c r="AL153" s="183">
        <v>-31.930545460567799</v>
      </c>
      <c r="AM153" s="168">
        <v>7.0000000000000001E-3</v>
      </c>
      <c r="AN153" s="168">
        <v>5.0000000000000001E-3</v>
      </c>
      <c r="AO153" s="176">
        <v>0</v>
      </c>
      <c r="AP153" s="176">
        <v>39</v>
      </c>
      <c r="AQ153" s="167"/>
      <c r="AR153" s="180">
        <v>85.1</v>
      </c>
      <c r="AS153" s="166">
        <v>21.042209799767299</v>
      </c>
      <c r="AT153" s="181" t="s">
        <v>54</v>
      </c>
      <c r="AU153" s="178">
        <v>1.31513811248546</v>
      </c>
      <c r="AV153" s="179">
        <v>9.00335353382407</v>
      </c>
      <c r="AW153" s="168">
        <v>0.01</v>
      </c>
      <c r="AX153" s="168">
        <v>0.01</v>
      </c>
      <c r="AY153" s="176">
        <v>0</v>
      </c>
      <c r="AZ153" s="176">
        <v>0</v>
      </c>
      <c r="BA153" s="167"/>
      <c r="BB153" s="184">
        <v>205.4</v>
      </c>
      <c r="BC153" s="180">
        <v>50.788130351024797</v>
      </c>
      <c r="BD153" s="181" t="s">
        <v>55</v>
      </c>
      <c r="BE153" s="178">
        <v>1.58712907346953</v>
      </c>
      <c r="BF153" s="179">
        <v>53.206707067648097</v>
      </c>
      <c r="BG153" s="168">
        <v>0.02</v>
      </c>
      <c r="BH153" s="168">
        <v>0.02</v>
      </c>
      <c r="BI153" s="176">
        <v>0</v>
      </c>
      <c r="BJ153" s="176">
        <v>0</v>
      </c>
      <c r="BK153" s="169"/>
      <c r="BL153" s="185">
        <v>0.8</v>
      </c>
      <c r="BM153" s="182">
        <v>0.83</v>
      </c>
      <c r="BN153" s="186">
        <v>1.1249999999999999E-3</v>
      </c>
      <c r="BO153" s="187">
        <v>0.95</v>
      </c>
      <c r="BP153" s="178">
        <v>1</v>
      </c>
      <c r="BQ153" s="186">
        <v>2.5000000000000001E-3</v>
      </c>
    </row>
    <row r="154" spans="1:69" s="156" customFormat="1" ht="22.35" customHeight="1" x14ac:dyDescent="0.2">
      <c r="A154" s="165" t="s">
        <v>175</v>
      </c>
      <c r="B154" s="165" t="s">
        <v>201</v>
      </c>
      <c r="C154" s="165" t="s">
        <v>215</v>
      </c>
      <c r="D154" s="166">
        <v>2.8994516252222202</v>
      </c>
      <c r="E154" s="167"/>
      <c r="F154" s="168">
        <v>7.85E-2</v>
      </c>
      <c r="G154" s="168">
        <v>7.4999999999999997E-2</v>
      </c>
      <c r="H154" s="169"/>
      <c r="I154" s="170">
        <v>6</v>
      </c>
      <c r="J154" s="170">
        <v>6</v>
      </c>
      <c r="K154" s="167"/>
      <c r="L154" s="171">
        <v>2014.65408</v>
      </c>
      <c r="M154" s="171">
        <v>-851.21006</v>
      </c>
      <c r="N154" s="171">
        <v>1163.4440199999999</v>
      </c>
      <c r="O154" s="166">
        <v>401.263469919361</v>
      </c>
      <c r="P154" s="172">
        <v>221.65100000000001</v>
      </c>
      <c r="Q154" s="178">
        <v>1.81033909127124</v>
      </c>
      <c r="R154" s="179">
        <v>407.66838983381501</v>
      </c>
      <c r="S154" s="168">
        <v>0.01</v>
      </c>
      <c r="T154" s="168">
        <v>0.01</v>
      </c>
      <c r="U154" s="175">
        <v>0</v>
      </c>
      <c r="V154" s="176">
        <v>0</v>
      </c>
      <c r="W154" s="167"/>
      <c r="X154" s="175">
        <v>1965.57529</v>
      </c>
      <c r="Y154" s="166">
        <v>677.912772505509</v>
      </c>
      <c r="Z154" s="177">
        <v>573</v>
      </c>
      <c r="AA154" s="178">
        <v>1.1830938438141501</v>
      </c>
      <c r="AB154" s="179">
        <v>11.785611247257499</v>
      </c>
      <c r="AC154" s="168">
        <v>0.02</v>
      </c>
      <c r="AD154" s="168">
        <v>1.7999999999999999E-2</v>
      </c>
      <c r="AE154" s="176">
        <v>0</v>
      </c>
      <c r="AF154" s="176">
        <v>29</v>
      </c>
      <c r="AG154" s="167"/>
      <c r="AH154" s="180">
        <v>224.95</v>
      </c>
      <c r="AI154" s="166">
        <v>77.583636175602393</v>
      </c>
      <c r="AJ154" s="181" t="s">
        <v>53</v>
      </c>
      <c r="AK154" s="178">
        <v>1.23148628850163</v>
      </c>
      <c r="AL154" s="179">
        <v>10.135427990536201</v>
      </c>
      <c r="AM154" s="168">
        <v>0.02</v>
      </c>
      <c r="AN154" s="168">
        <v>0.02</v>
      </c>
      <c r="AO154" s="176">
        <v>0</v>
      </c>
      <c r="AP154" s="176">
        <v>0</v>
      </c>
      <c r="AQ154" s="167"/>
      <c r="AR154" s="180">
        <v>53</v>
      </c>
      <c r="AS154" s="166">
        <v>18.279318592162401</v>
      </c>
      <c r="AT154" s="181" t="s">
        <v>54</v>
      </c>
      <c r="AU154" s="182">
        <v>1.1424574120101501</v>
      </c>
      <c r="AV154" s="183">
        <v>-1.5560817801812901</v>
      </c>
      <c r="AW154" s="168">
        <v>8.5000000000000006E-3</v>
      </c>
      <c r="AX154" s="168">
        <v>7.0000000000000001E-3</v>
      </c>
      <c r="AY154" s="176">
        <v>0</v>
      </c>
      <c r="AZ154" s="176">
        <v>3</v>
      </c>
      <c r="BA154" s="167"/>
      <c r="BB154" s="184">
        <v>150.4</v>
      </c>
      <c r="BC154" s="180">
        <v>51.871877665306101</v>
      </c>
      <c r="BD154" s="181" t="s">
        <v>55</v>
      </c>
      <c r="BE154" s="178">
        <v>1.6209961770408099</v>
      </c>
      <c r="BF154" s="179">
        <v>41.287836439637402</v>
      </c>
      <c r="BG154" s="168">
        <v>0.02</v>
      </c>
      <c r="BH154" s="168">
        <v>0.02</v>
      </c>
      <c r="BI154" s="176">
        <v>0</v>
      </c>
      <c r="BJ154" s="176">
        <v>0</v>
      </c>
      <c r="BK154" s="169"/>
      <c r="BL154" s="185">
        <v>0.8</v>
      </c>
      <c r="BM154" s="188">
        <v>0.73</v>
      </c>
      <c r="BN154" s="186"/>
      <c r="BO154" s="187">
        <v>0.95</v>
      </c>
      <c r="BP154" s="178">
        <v>1</v>
      </c>
      <c r="BQ154" s="186">
        <v>2.5000000000000001E-3</v>
      </c>
    </row>
    <row r="155" spans="1:69" s="156" customFormat="1" ht="22.35" customHeight="1" x14ac:dyDescent="0.2">
      <c r="A155" s="165" t="s">
        <v>175</v>
      </c>
      <c r="B155" s="165" t="s">
        <v>201</v>
      </c>
      <c r="C155" s="165" t="s">
        <v>216</v>
      </c>
      <c r="D155" s="166">
        <v>4.91139505655556</v>
      </c>
      <c r="E155" s="167"/>
      <c r="F155" s="168">
        <v>3.5000000000000003E-2</v>
      </c>
      <c r="G155" s="168">
        <v>2.9499999999999998E-2</v>
      </c>
      <c r="H155" s="169"/>
      <c r="I155" s="170">
        <v>6</v>
      </c>
      <c r="J155" s="170">
        <v>6</v>
      </c>
      <c r="K155" s="167"/>
      <c r="L155" s="171">
        <v>2252.8888299999999</v>
      </c>
      <c r="M155" s="171">
        <v>2098.95228</v>
      </c>
      <c r="N155" s="171">
        <v>4351.8411100000003</v>
      </c>
      <c r="O155" s="166">
        <v>886.07026311013601</v>
      </c>
      <c r="P155" s="172">
        <v>287.5</v>
      </c>
      <c r="Q155" s="178">
        <v>3.0819835238613398</v>
      </c>
      <c r="R155" s="179">
        <v>2691.2984413785698</v>
      </c>
      <c r="S155" s="168">
        <v>0.01</v>
      </c>
      <c r="T155" s="168">
        <v>0.01</v>
      </c>
      <c r="U155" s="175">
        <v>0</v>
      </c>
      <c r="V155" s="176">
        <v>0</v>
      </c>
      <c r="W155" s="167"/>
      <c r="X155" s="175">
        <v>2821.732645</v>
      </c>
      <c r="Y155" s="166">
        <v>574.52772837600401</v>
      </c>
      <c r="Z155" s="177">
        <v>573</v>
      </c>
      <c r="AA155" s="182">
        <v>1.0026661926282801</v>
      </c>
      <c r="AB155" s="183">
        <v>-487.80109106984997</v>
      </c>
      <c r="AC155" s="168">
        <v>2E-3</v>
      </c>
      <c r="AD155" s="168">
        <v>1E-3</v>
      </c>
      <c r="AE155" s="176">
        <v>0</v>
      </c>
      <c r="AF155" s="176">
        <v>556</v>
      </c>
      <c r="AG155" s="167"/>
      <c r="AH155" s="180">
        <v>233.6</v>
      </c>
      <c r="AI155" s="166">
        <v>47.562860920381297</v>
      </c>
      <c r="AJ155" s="181" t="s">
        <v>53</v>
      </c>
      <c r="AK155" s="173">
        <v>0.75496604635525799</v>
      </c>
      <c r="AL155" s="174">
        <v>-130.27543695008799</v>
      </c>
      <c r="AM155" s="168"/>
      <c r="AN155" s="168"/>
      <c r="AO155" s="176">
        <v>76</v>
      </c>
      <c r="AP155" s="176">
        <v>138</v>
      </c>
      <c r="AQ155" s="167"/>
      <c r="AR155" s="180">
        <v>92.2</v>
      </c>
      <c r="AS155" s="166">
        <v>18.772670277650501</v>
      </c>
      <c r="AT155" s="181" t="s">
        <v>54</v>
      </c>
      <c r="AU155" s="178">
        <v>1.1732918923531499</v>
      </c>
      <c r="AV155" s="179">
        <v>-0.21280938414939499</v>
      </c>
      <c r="AW155" s="168">
        <v>0.01</v>
      </c>
      <c r="AX155" s="168">
        <v>8.5000000000000006E-3</v>
      </c>
      <c r="AY155" s="176">
        <v>0</v>
      </c>
      <c r="AZ155" s="176">
        <v>3</v>
      </c>
      <c r="BA155" s="167"/>
      <c r="BB155" s="184">
        <v>173.4</v>
      </c>
      <c r="BC155" s="180">
        <v>35.305651042782998</v>
      </c>
      <c r="BD155" s="181" t="s">
        <v>55</v>
      </c>
      <c r="BE155" s="182">
        <v>1.10330159508697</v>
      </c>
      <c r="BF155" s="183">
        <v>-11.425618768298801</v>
      </c>
      <c r="BG155" s="168">
        <v>1.2999999999999999E-2</v>
      </c>
      <c r="BH155" s="168">
        <v>0.01</v>
      </c>
      <c r="BI155" s="176">
        <v>0</v>
      </c>
      <c r="BJ155" s="176">
        <v>16</v>
      </c>
      <c r="BK155" s="169"/>
      <c r="BL155" s="185">
        <v>0.8</v>
      </c>
      <c r="BM155" s="182">
        <v>0.81</v>
      </c>
      <c r="BN155" s="186">
        <v>3.7500000000000001E-4</v>
      </c>
      <c r="BO155" s="187">
        <v>0.95</v>
      </c>
      <c r="BP155" s="178">
        <v>1</v>
      </c>
      <c r="BQ155" s="186">
        <v>2.5000000000000001E-3</v>
      </c>
    </row>
    <row r="156" spans="1:69" s="156" customFormat="1" ht="22.35" customHeight="1" x14ac:dyDescent="0.2">
      <c r="A156" s="165" t="s">
        <v>175</v>
      </c>
      <c r="B156" s="165" t="s">
        <v>201</v>
      </c>
      <c r="C156" s="165" t="s">
        <v>217</v>
      </c>
      <c r="D156" s="166">
        <v>2.8078154285555601</v>
      </c>
      <c r="E156" s="167"/>
      <c r="F156" s="168">
        <v>5.6000000000000001E-2</v>
      </c>
      <c r="G156" s="168">
        <v>5.0999999999999997E-2</v>
      </c>
      <c r="H156" s="169"/>
      <c r="I156" s="170">
        <v>7</v>
      </c>
      <c r="J156" s="170">
        <v>7</v>
      </c>
      <c r="K156" s="167"/>
      <c r="L156" s="171">
        <v>1794.2928400000001</v>
      </c>
      <c r="M156" s="171">
        <v>1978.19551</v>
      </c>
      <c r="N156" s="171">
        <v>3772.4883500000001</v>
      </c>
      <c r="O156" s="166">
        <v>1343.56707055375</v>
      </c>
      <c r="P156" s="172">
        <v>264.61399999999998</v>
      </c>
      <c r="Q156" s="178">
        <v>5.07746026496614</v>
      </c>
      <c r="R156" s="179">
        <v>2898.7353183493201</v>
      </c>
      <c r="S156" s="168">
        <v>0.01</v>
      </c>
      <c r="T156" s="168">
        <v>0.01</v>
      </c>
      <c r="U156" s="175">
        <v>0</v>
      </c>
      <c r="V156" s="176">
        <v>0</v>
      </c>
      <c r="W156" s="167"/>
      <c r="X156" s="175">
        <v>1774.1372449999999</v>
      </c>
      <c r="Y156" s="166">
        <v>631.856790498755</v>
      </c>
      <c r="Z156" s="177">
        <v>573</v>
      </c>
      <c r="AA156" s="182">
        <v>1.1027169118651901</v>
      </c>
      <c r="AB156" s="183">
        <v>-117.903565901307</v>
      </c>
      <c r="AC156" s="168">
        <v>1.2999999999999999E-2</v>
      </c>
      <c r="AD156" s="168">
        <v>0.01</v>
      </c>
      <c r="AE156" s="176">
        <v>0</v>
      </c>
      <c r="AF156" s="176">
        <v>157</v>
      </c>
      <c r="AG156" s="167"/>
      <c r="AH156" s="180">
        <v>177.8</v>
      </c>
      <c r="AI156" s="166">
        <v>63.3232505925316</v>
      </c>
      <c r="AJ156" s="181" t="s">
        <v>53</v>
      </c>
      <c r="AK156" s="182">
        <v>1.0051309617862201</v>
      </c>
      <c r="AL156" s="183">
        <v>-30.225429470824299</v>
      </c>
      <c r="AM156" s="168">
        <v>3.0000000000000001E-3</v>
      </c>
      <c r="AN156" s="168">
        <v>1E-3</v>
      </c>
      <c r="AO156" s="176">
        <v>0</v>
      </c>
      <c r="AP156" s="176">
        <v>35</v>
      </c>
      <c r="AQ156" s="167"/>
      <c r="AR156" s="180">
        <v>90.4</v>
      </c>
      <c r="AS156" s="166">
        <v>32.195848445246703</v>
      </c>
      <c r="AT156" s="181" t="s">
        <v>54</v>
      </c>
      <c r="AU156" s="178">
        <v>2.0122405278279198</v>
      </c>
      <c r="AV156" s="179">
        <v>37.568144896298598</v>
      </c>
      <c r="AW156" s="168">
        <v>0.01</v>
      </c>
      <c r="AX156" s="168">
        <v>0.01</v>
      </c>
      <c r="AY156" s="176">
        <v>0</v>
      </c>
      <c r="AZ156" s="176">
        <v>0</v>
      </c>
      <c r="BA156" s="167"/>
      <c r="BB156" s="184">
        <v>190.2</v>
      </c>
      <c r="BC156" s="180">
        <v>67.739495290773405</v>
      </c>
      <c r="BD156" s="181" t="s">
        <v>55</v>
      </c>
      <c r="BE156" s="178">
        <v>2.1168592278366698</v>
      </c>
      <c r="BF156" s="179">
        <v>84.536289792597202</v>
      </c>
      <c r="BG156" s="168">
        <v>0.02</v>
      </c>
      <c r="BH156" s="168">
        <v>0.02</v>
      </c>
      <c r="BI156" s="176">
        <v>0</v>
      </c>
      <c r="BJ156" s="176">
        <v>0</v>
      </c>
      <c r="BK156" s="169"/>
      <c r="BL156" s="185">
        <v>0.8</v>
      </c>
      <c r="BM156" s="182">
        <v>0.82</v>
      </c>
      <c r="BN156" s="186">
        <v>7.5000000000000002E-4</v>
      </c>
      <c r="BO156" s="187">
        <v>0.95</v>
      </c>
      <c r="BP156" s="178">
        <v>1</v>
      </c>
      <c r="BQ156" s="186">
        <v>2.5000000000000001E-3</v>
      </c>
    </row>
    <row r="157" spans="1:69" s="156" customFormat="1" ht="22.35" customHeight="1" x14ac:dyDescent="0.2">
      <c r="A157" s="165" t="s">
        <v>175</v>
      </c>
      <c r="B157" s="165" t="s">
        <v>201</v>
      </c>
      <c r="C157" s="165" t="s">
        <v>218</v>
      </c>
      <c r="D157" s="166">
        <v>8.1451756455555593</v>
      </c>
      <c r="E157" s="167"/>
      <c r="F157" s="168">
        <v>4.9500000000000002E-2</v>
      </c>
      <c r="G157" s="168">
        <v>4.5999999999999999E-2</v>
      </c>
      <c r="H157" s="169"/>
      <c r="I157" s="170">
        <v>6</v>
      </c>
      <c r="J157" s="170">
        <v>6</v>
      </c>
      <c r="K157" s="167"/>
      <c r="L157" s="171">
        <v>3420.64077</v>
      </c>
      <c r="M157" s="171">
        <v>5069.7222300000003</v>
      </c>
      <c r="N157" s="171">
        <v>8490.3629999999994</v>
      </c>
      <c r="O157" s="166">
        <v>1042.3793628849201</v>
      </c>
      <c r="P157" s="172">
        <v>241.934</v>
      </c>
      <c r="Q157" s="178">
        <v>4.30852779222813</v>
      </c>
      <c r="R157" s="179">
        <v>6172.9433686329603</v>
      </c>
      <c r="S157" s="168">
        <v>0.01</v>
      </c>
      <c r="T157" s="168">
        <v>0.01</v>
      </c>
      <c r="U157" s="175">
        <v>0</v>
      </c>
      <c r="V157" s="176">
        <v>0</v>
      </c>
      <c r="W157" s="167"/>
      <c r="X157" s="175">
        <v>5219.7546300000004</v>
      </c>
      <c r="Y157" s="166">
        <v>640.84003306278305</v>
      </c>
      <c r="Z157" s="177">
        <v>573</v>
      </c>
      <c r="AA157" s="182">
        <v>1.1183944730589599</v>
      </c>
      <c r="AB157" s="183">
        <v>-268.85568840632402</v>
      </c>
      <c r="AC157" s="168">
        <v>1.4E-2</v>
      </c>
      <c r="AD157" s="168">
        <v>1.2E-2</v>
      </c>
      <c r="AE157" s="176">
        <v>0</v>
      </c>
      <c r="AF157" s="176">
        <v>381</v>
      </c>
      <c r="AG157" s="167"/>
      <c r="AH157" s="180">
        <v>464.15</v>
      </c>
      <c r="AI157" s="166">
        <v>56.984652044092499</v>
      </c>
      <c r="AJ157" s="181" t="s">
        <v>53</v>
      </c>
      <c r="AK157" s="188">
        <v>0.90451828641416698</v>
      </c>
      <c r="AL157" s="171">
        <v>-139.30977322792</v>
      </c>
      <c r="AM157" s="168"/>
      <c r="AN157" s="168"/>
      <c r="AO157" s="176">
        <v>49</v>
      </c>
      <c r="AP157" s="176">
        <v>152</v>
      </c>
      <c r="AQ157" s="167"/>
      <c r="AR157" s="180">
        <v>141.4</v>
      </c>
      <c r="AS157" s="166">
        <v>17.359969404362101</v>
      </c>
      <c r="AT157" s="181" t="s">
        <v>54</v>
      </c>
      <c r="AU157" s="182">
        <v>1.08499808777263</v>
      </c>
      <c r="AV157" s="183">
        <v>-11.859624946773399</v>
      </c>
      <c r="AW157" s="168">
        <v>5.4999999999999997E-3</v>
      </c>
      <c r="AX157" s="168">
        <v>4.0000000000000001E-3</v>
      </c>
      <c r="AY157" s="176">
        <v>0</v>
      </c>
      <c r="AZ157" s="176">
        <v>15</v>
      </c>
      <c r="BA157" s="167"/>
      <c r="BB157" s="184">
        <v>339.2</v>
      </c>
      <c r="BC157" s="180">
        <v>41.644283040732901</v>
      </c>
      <c r="BD157" s="181" t="s">
        <v>55</v>
      </c>
      <c r="BE157" s="178">
        <v>1.3013838450229001</v>
      </c>
      <c r="BF157" s="179">
        <v>32.680750106453097</v>
      </c>
      <c r="BG157" s="168">
        <v>0.02</v>
      </c>
      <c r="BH157" s="168">
        <v>0.02</v>
      </c>
      <c r="BI157" s="176">
        <v>0</v>
      </c>
      <c r="BJ157" s="176">
        <v>0</v>
      </c>
      <c r="BK157" s="169"/>
      <c r="BL157" s="185">
        <v>0.8</v>
      </c>
      <c r="BM157" s="182">
        <v>0.81</v>
      </c>
      <c r="BN157" s="186">
        <v>3.7500000000000001E-4</v>
      </c>
      <c r="BO157" s="187">
        <v>0.95</v>
      </c>
      <c r="BP157" s="178">
        <v>1</v>
      </c>
      <c r="BQ157" s="186">
        <v>2.5000000000000001E-3</v>
      </c>
    </row>
    <row r="158" spans="1:69" s="156" customFormat="1" ht="22.35" customHeight="1" x14ac:dyDescent="0.2">
      <c r="A158" s="165" t="s">
        <v>175</v>
      </c>
      <c r="B158" s="165" t="s">
        <v>201</v>
      </c>
      <c r="C158" s="165" t="s">
        <v>219</v>
      </c>
      <c r="D158" s="166">
        <v>4.9912352884444404</v>
      </c>
      <c r="E158" s="167"/>
      <c r="F158" s="168">
        <v>0.05</v>
      </c>
      <c r="G158" s="168">
        <v>0.05</v>
      </c>
      <c r="H158" s="169"/>
      <c r="I158" s="170">
        <v>5</v>
      </c>
      <c r="J158" s="170">
        <v>5</v>
      </c>
      <c r="K158" s="167"/>
      <c r="L158" s="171">
        <v>6271.41309</v>
      </c>
      <c r="M158" s="171">
        <v>8351.9718599999997</v>
      </c>
      <c r="N158" s="171">
        <v>14623.38495</v>
      </c>
      <c r="O158" s="166">
        <v>2929.8127827905901</v>
      </c>
      <c r="P158" s="172">
        <v>267.06299999999999</v>
      </c>
      <c r="Q158" s="178">
        <v>10.970493040183699</v>
      </c>
      <c r="R158" s="179">
        <v>13055.8072086707</v>
      </c>
      <c r="S158" s="168">
        <v>0.01</v>
      </c>
      <c r="T158" s="168">
        <v>0.01</v>
      </c>
      <c r="U158" s="175">
        <v>0</v>
      </c>
      <c r="V158" s="176">
        <v>0</v>
      </c>
      <c r="W158" s="167"/>
      <c r="X158" s="175">
        <v>3490.3972600000002</v>
      </c>
      <c r="Y158" s="166">
        <v>699.30529383795204</v>
      </c>
      <c r="Z158" s="177">
        <v>573</v>
      </c>
      <c r="AA158" s="178">
        <v>1.2204280869772299</v>
      </c>
      <c r="AB158" s="179">
        <v>127.06334335229199</v>
      </c>
      <c r="AC158" s="168">
        <v>0.02</v>
      </c>
      <c r="AD158" s="168">
        <v>0.02</v>
      </c>
      <c r="AE158" s="176">
        <v>0</v>
      </c>
      <c r="AF158" s="176">
        <v>0</v>
      </c>
      <c r="AG158" s="167"/>
      <c r="AH158" s="180">
        <v>287.10000000000002</v>
      </c>
      <c r="AI158" s="166">
        <v>57.5208306979006</v>
      </c>
      <c r="AJ158" s="181" t="s">
        <v>53</v>
      </c>
      <c r="AK158" s="188">
        <v>0.91302905869683504</v>
      </c>
      <c r="AL158" s="171">
        <v>-82.690640050271597</v>
      </c>
      <c r="AM158" s="168"/>
      <c r="AN158" s="168"/>
      <c r="AO158" s="176">
        <v>28</v>
      </c>
      <c r="AP158" s="176">
        <v>91</v>
      </c>
      <c r="AQ158" s="167"/>
      <c r="AR158" s="180">
        <v>64.400000000000006</v>
      </c>
      <c r="AS158" s="166">
        <v>12.9026175442173</v>
      </c>
      <c r="AT158" s="181" t="s">
        <v>54</v>
      </c>
      <c r="AU158" s="188">
        <v>0.80641359651358402</v>
      </c>
      <c r="AV158" s="171">
        <v>-29.5150831873706</v>
      </c>
      <c r="AW158" s="168"/>
      <c r="AX158" s="168"/>
      <c r="AY158" s="176">
        <v>16</v>
      </c>
      <c r="AZ158" s="176">
        <v>32</v>
      </c>
      <c r="BA158" s="167"/>
      <c r="BB158" s="184">
        <v>245</v>
      </c>
      <c r="BC158" s="180">
        <v>49.086045005174697</v>
      </c>
      <c r="BD158" s="181" t="s">
        <v>55</v>
      </c>
      <c r="BE158" s="178">
        <v>1.5339389064117099</v>
      </c>
      <c r="BF158" s="179">
        <v>57.169833625258903</v>
      </c>
      <c r="BG158" s="168">
        <v>0.02</v>
      </c>
      <c r="BH158" s="168">
        <v>0.02</v>
      </c>
      <c r="BI158" s="176">
        <v>0</v>
      </c>
      <c r="BJ158" s="176">
        <v>0</v>
      </c>
      <c r="BK158" s="169"/>
      <c r="BL158" s="185">
        <v>0.8</v>
      </c>
      <c r="BM158" s="182">
        <v>0.82</v>
      </c>
      <c r="BN158" s="186">
        <v>7.5000000000000002E-4</v>
      </c>
      <c r="BO158" s="187">
        <v>0.95</v>
      </c>
      <c r="BP158" s="178">
        <v>1</v>
      </c>
      <c r="BQ158" s="186">
        <v>2.5000000000000001E-3</v>
      </c>
    </row>
    <row r="159" spans="1:69" s="156" customFormat="1" ht="22.35" customHeight="1" x14ac:dyDescent="0.2">
      <c r="A159" s="165" t="s">
        <v>220</v>
      </c>
      <c r="B159" s="165" t="s">
        <v>221</v>
      </c>
      <c r="C159" s="165" t="s">
        <v>222</v>
      </c>
      <c r="D159" s="166">
        <v>2.5021163648888902</v>
      </c>
      <c r="E159" s="167"/>
      <c r="F159" s="168">
        <v>1.2E-2</v>
      </c>
      <c r="G159" s="168">
        <v>1.0999999999999999E-2</v>
      </c>
      <c r="H159" s="169"/>
      <c r="I159" s="170">
        <v>3</v>
      </c>
      <c r="J159" s="170">
        <v>3</v>
      </c>
      <c r="K159" s="167"/>
      <c r="L159" s="171">
        <v>787.56478000000004</v>
      </c>
      <c r="M159" s="171">
        <v>1057.09583</v>
      </c>
      <c r="N159" s="171">
        <v>1844.6606099999999</v>
      </c>
      <c r="O159" s="166">
        <v>737.24013634430503</v>
      </c>
      <c r="P159" s="172">
        <v>242.67599999999999</v>
      </c>
      <c r="Q159" s="178">
        <v>3.0379606402953101</v>
      </c>
      <c r="R159" s="179">
        <v>1130.5891870242499</v>
      </c>
      <c r="S159" s="168">
        <v>0.01</v>
      </c>
      <c r="T159" s="168">
        <v>0.01</v>
      </c>
      <c r="U159" s="175">
        <v>0</v>
      </c>
      <c r="V159" s="176">
        <v>0</v>
      </c>
      <c r="W159" s="167"/>
      <c r="X159" s="175">
        <v>1435.7353900000001</v>
      </c>
      <c r="Y159" s="166">
        <v>573.80840081902295</v>
      </c>
      <c r="Z159" s="177">
        <v>573</v>
      </c>
      <c r="AA159" s="182">
        <v>1.0014108216736901</v>
      </c>
      <c r="AB159" s="183">
        <v>-250.31071824764899</v>
      </c>
      <c r="AC159" s="168">
        <v>2E-3</v>
      </c>
      <c r="AD159" s="168">
        <v>1E-3</v>
      </c>
      <c r="AE159" s="176">
        <v>0</v>
      </c>
      <c r="AF159" s="176">
        <v>285</v>
      </c>
      <c r="AG159" s="167"/>
      <c r="AH159" s="180">
        <v>123.7</v>
      </c>
      <c r="AI159" s="166">
        <v>49.438148335476399</v>
      </c>
      <c r="AJ159" s="181" t="s">
        <v>53</v>
      </c>
      <c r="AK159" s="188">
        <v>0.78473251326153104</v>
      </c>
      <c r="AL159" s="171">
        <v>-61.676797241888103</v>
      </c>
      <c r="AM159" s="168"/>
      <c r="AN159" s="168"/>
      <c r="AO159" s="176">
        <v>34</v>
      </c>
      <c r="AP159" s="176">
        <v>66</v>
      </c>
      <c r="AQ159" s="167"/>
      <c r="AR159" s="180">
        <v>20.399999999999999</v>
      </c>
      <c r="AS159" s="166">
        <v>8.1530980278392793</v>
      </c>
      <c r="AT159" s="181" t="s">
        <v>54</v>
      </c>
      <c r="AU159" s="173">
        <v>0.50956862673995496</v>
      </c>
      <c r="AV159" s="174">
        <v>-26.6798215217494</v>
      </c>
      <c r="AW159" s="168"/>
      <c r="AX159" s="168"/>
      <c r="AY159" s="176">
        <v>20</v>
      </c>
      <c r="AZ159" s="176">
        <v>28</v>
      </c>
      <c r="BA159" s="167"/>
      <c r="BB159" s="184">
        <v>60</v>
      </c>
      <c r="BC159" s="180">
        <v>23.9797000818802</v>
      </c>
      <c r="BD159" s="181" t="s">
        <v>55</v>
      </c>
      <c r="BE159" s="173">
        <v>0.74936562755875702</v>
      </c>
      <c r="BF159" s="174">
        <v>-34.159643043498697</v>
      </c>
      <c r="BG159" s="168"/>
      <c r="BH159" s="168"/>
      <c r="BI159" s="176">
        <v>21</v>
      </c>
      <c r="BJ159" s="176">
        <v>37</v>
      </c>
      <c r="BK159" s="169"/>
      <c r="BL159" s="185">
        <v>0.8</v>
      </c>
      <c r="BM159" s="188">
        <v>0.78</v>
      </c>
      <c r="BN159" s="186"/>
      <c r="BO159" s="187">
        <v>0.95</v>
      </c>
      <c r="BP159" s="178">
        <v>1</v>
      </c>
      <c r="BQ159" s="186">
        <v>2.5000000000000001E-3</v>
      </c>
    </row>
    <row r="160" spans="1:69" s="156" customFormat="1" ht="22.35" customHeight="1" x14ac:dyDescent="0.2">
      <c r="A160" s="165" t="s">
        <v>220</v>
      </c>
      <c r="B160" s="165" t="s">
        <v>221</v>
      </c>
      <c r="C160" s="165" t="s">
        <v>223</v>
      </c>
      <c r="D160" s="166">
        <v>1.37464506811111</v>
      </c>
      <c r="E160" s="167"/>
      <c r="F160" s="168">
        <v>1.7000000000000001E-2</v>
      </c>
      <c r="G160" s="168">
        <v>1.4999999999999999E-2</v>
      </c>
      <c r="H160" s="169"/>
      <c r="I160" s="170">
        <v>3</v>
      </c>
      <c r="J160" s="170">
        <v>3</v>
      </c>
      <c r="K160" s="167"/>
      <c r="L160" s="171">
        <v>982.87054999999998</v>
      </c>
      <c r="M160" s="171">
        <v>-189.86632</v>
      </c>
      <c r="N160" s="171">
        <v>793.00423000000001</v>
      </c>
      <c r="O160" s="166">
        <v>576.87926025127399</v>
      </c>
      <c r="P160" s="172">
        <v>219.79400000000001</v>
      </c>
      <c r="Q160" s="178">
        <v>2.6246360694617401</v>
      </c>
      <c r="R160" s="179">
        <v>437.68907399391401</v>
      </c>
      <c r="S160" s="168">
        <v>0.01</v>
      </c>
      <c r="T160" s="168">
        <v>0.01</v>
      </c>
      <c r="U160" s="175">
        <v>0</v>
      </c>
      <c r="V160" s="176">
        <v>0</v>
      </c>
      <c r="W160" s="167"/>
      <c r="X160" s="175">
        <v>825.39783499999999</v>
      </c>
      <c r="Y160" s="166">
        <v>600.44432861071004</v>
      </c>
      <c r="Z160" s="177">
        <v>573</v>
      </c>
      <c r="AA160" s="182">
        <v>1.04789586144976</v>
      </c>
      <c r="AB160" s="183">
        <v>-100.90399485653499</v>
      </c>
      <c r="AC160" s="168">
        <v>7.0000000000000001E-3</v>
      </c>
      <c r="AD160" s="168">
        <v>5.0000000000000001E-3</v>
      </c>
      <c r="AE160" s="176">
        <v>0</v>
      </c>
      <c r="AF160" s="176">
        <v>120</v>
      </c>
      <c r="AG160" s="167"/>
      <c r="AH160" s="180">
        <v>72.7</v>
      </c>
      <c r="AI160" s="166">
        <v>52.8863789544573</v>
      </c>
      <c r="AJ160" s="181" t="s">
        <v>53</v>
      </c>
      <c r="AK160" s="188">
        <v>0.83946633261043302</v>
      </c>
      <c r="AL160" s="171">
        <v>-29.144703806215901</v>
      </c>
      <c r="AM160" s="168"/>
      <c r="AN160" s="168"/>
      <c r="AO160" s="176">
        <v>14</v>
      </c>
      <c r="AP160" s="176">
        <v>32</v>
      </c>
      <c r="AQ160" s="167"/>
      <c r="AR160" s="180">
        <v>10.6</v>
      </c>
      <c r="AS160" s="166">
        <v>7.7110813881327003</v>
      </c>
      <c r="AT160" s="181" t="s">
        <v>54</v>
      </c>
      <c r="AU160" s="173">
        <v>0.48194258675829399</v>
      </c>
      <c r="AV160" s="174">
        <v>-15.2653216015786</v>
      </c>
      <c r="AW160" s="168"/>
      <c r="AX160" s="168"/>
      <c r="AY160" s="176">
        <v>12</v>
      </c>
      <c r="AZ160" s="176">
        <v>16</v>
      </c>
      <c r="BA160" s="167"/>
      <c r="BB160" s="184">
        <v>31.8</v>
      </c>
      <c r="BC160" s="180">
        <v>23.1332441643981</v>
      </c>
      <c r="BD160" s="181" t="s">
        <v>55</v>
      </c>
      <c r="BE160" s="173">
        <v>0.72291388013744096</v>
      </c>
      <c r="BF160" s="174">
        <v>-19.930643203157299</v>
      </c>
      <c r="BG160" s="168"/>
      <c r="BH160" s="168"/>
      <c r="BI160" s="176">
        <v>13</v>
      </c>
      <c r="BJ160" s="176">
        <v>21</v>
      </c>
      <c r="BK160" s="169"/>
      <c r="BL160" s="185">
        <v>0.8</v>
      </c>
      <c r="BM160" s="188">
        <v>0.77</v>
      </c>
      <c r="BN160" s="186"/>
      <c r="BO160" s="187">
        <v>0.95</v>
      </c>
      <c r="BP160" s="178">
        <v>1</v>
      </c>
      <c r="BQ160" s="186">
        <v>2.5000000000000001E-3</v>
      </c>
    </row>
    <row r="161" spans="1:69" s="156" customFormat="1" ht="22.35" customHeight="1" x14ac:dyDescent="0.2">
      <c r="A161" s="165" t="s">
        <v>220</v>
      </c>
      <c r="B161" s="165" t="s">
        <v>221</v>
      </c>
      <c r="C161" s="165" t="s">
        <v>224</v>
      </c>
      <c r="D161" s="166">
        <v>2.7294855338888899</v>
      </c>
      <c r="E161" s="167"/>
      <c r="F161" s="168">
        <v>3.5999999999999997E-2</v>
      </c>
      <c r="G161" s="168">
        <v>3.1E-2</v>
      </c>
      <c r="H161" s="169"/>
      <c r="I161" s="170">
        <v>4</v>
      </c>
      <c r="J161" s="170">
        <v>4</v>
      </c>
      <c r="K161" s="167"/>
      <c r="L161" s="171">
        <v>1355.4406200000001</v>
      </c>
      <c r="M161" s="171">
        <v>777.58928000000003</v>
      </c>
      <c r="N161" s="171">
        <v>2133.0299</v>
      </c>
      <c r="O161" s="166">
        <v>781.47690233804701</v>
      </c>
      <c r="P161" s="172">
        <v>219.79400000000001</v>
      </c>
      <c r="Q161" s="178">
        <v>3.5554969759777202</v>
      </c>
      <c r="R161" s="179">
        <v>1427.51863691976</v>
      </c>
      <c r="S161" s="168">
        <v>0.01</v>
      </c>
      <c r="T161" s="168">
        <v>0.01</v>
      </c>
      <c r="U161" s="175">
        <v>0</v>
      </c>
      <c r="V161" s="176">
        <v>0</v>
      </c>
      <c r="W161" s="167"/>
      <c r="X161" s="175">
        <v>1650.8910350000001</v>
      </c>
      <c r="Y161" s="166">
        <v>604.83597165208596</v>
      </c>
      <c r="Z161" s="177">
        <v>573</v>
      </c>
      <c r="AA161" s="182">
        <v>1.05556015995129</v>
      </c>
      <c r="AB161" s="183">
        <v>-188.36733303996101</v>
      </c>
      <c r="AC161" s="168">
        <v>8.0000000000000002E-3</v>
      </c>
      <c r="AD161" s="168">
        <v>6.0000000000000001E-3</v>
      </c>
      <c r="AE161" s="176">
        <v>0</v>
      </c>
      <c r="AF161" s="176">
        <v>226</v>
      </c>
      <c r="AG161" s="167"/>
      <c r="AH161" s="180">
        <v>71.2</v>
      </c>
      <c r="AI161" s="166">
        <v>26.0855018705874</v>
      </c>
      <c r="AJ161" s="181" t="s">
        <v>53</v>
      </c>
      <c r="AK161" s="173">
        <v>0.41405558524741998</v>
      </c>
      <c r="AL161" s="174">
        <v>-131.02212423476001</v>
      </c>
      <c r="AM161" s="168"/>
      <c r="AN161" s="168"/>
      <c r="AO161" s="176">
        <v>101</v>
      </c>
      <c r="AP161" s="176">
        <v>136</v>
      </c>
      <c r="AQ161" s="167"/>
      <c r="AR161" s="180">
        <v>21.6</v>
      </c>
      <c r="AS161" s="166">
        <v>7.91357921916698</v>
      </c>
      <c r="AT161" s="181" t="s">
        <v>54</v>
      </c>
      <c r="AU161" s="173">
        <v>0.49459870119793597</v>
      </c>
      <c r="AV161" s="174">
        <v>-29.757999805653402</v>
      </c>
      <c r="AW161" s="168"/>
      <c r="AX161" s="168"/>
      <c r="AY161" s="176">
        <v>23</v>
      </c>
      <c r="AZ161" s="176">
        <v>31</v>
      </c>
      <c r="BA161" s="167"/>
      <c r="BB161" s="184">
        <v>100.6</v>
      </c>
      <c r="BC161" s="180">
        <v>36.856762474453603</v>
      </c>
      <c r="BD161" s="181" t="s">
        <v>55</v>
      </c>
      <c r="BE161" s="182">
        <v>1.15177382732668</v>
      </c>
      <c r="BF161" s="183">
        <v>-2.1159996113067101</v>
      </c>
      <c r="BG161" s="168">
        <v>1.7999999999999999E-2</v>
      </c>
      <c r="BH161" s="168">
        <v>1.4999999999999999E-2</v>
      </c>
      <c r="BI161" s="176">
        <v>0</v>
      </c>
      <c r="BJ161" s="176">
        <v>5</v>
      </c>
      <c r="BK161" s="169"/>
      <c r="BL161" s="185">
        <v>0.8</v>
      </c>
      <c r="BM161" s="188">
        <v>0.8</v>
      </c>
      <c r="BN161" s="186">
        <v>0</v>
      </c>
      <c r="BO161" s="187">
        <v>0.95</v>
      </c>
      <c r="BP161" s="178">
        <v>1</v>
      </c>
      <c r="BQ161" s="186">
        <v>2.5000000000000001E-3</v>
      </c>
    </row>
    <row r="162" spans="1:69" s="156" customFormat="1" ht="22.35" customHeight="1" x14ac:dyDescent="0.2">
      <c r="A162" s="165" t="s">
        <v>220</v>
      </c>
      <c r="B162" s="165" t="s">
        <v>221</v>
      </c>
      <c r="C162" s="165" t="s">
        <v>225</v>
      </c>
      <c r="D162" s="166">
        <v>1.1783439328888901</v>
      </c>
      <c r="E162" s="167"/>
      <c r="F162" s="168">
        <v>4.7E-2</v>
      </c>
      <c r="G162" s="168">
        <v>4.4999999999999998E-2</v>
      </c>
      <c r="H162" s="169"/>
      <c r="I162" s="170">
        <v>5</v>
      </c>
      <c r="J162" s="170">
        <v>5</v>
      </c>
      <c r="K162" s="167"/>
      <c r="L162" s="171">
        <v>955.99843999999996</v>
      </c>
      <c r="M162" s="171">
        <v>597.37900999999999</v>
      </c>
      <c r="N162" s="171">
        <v>1553.37745</v>
      </c>
      <c r="O162" s="166">
        <v>1318.2716918579599</v>
      </c>
      <c r="P162" s="172">
        <v>224.79599999999999</v>
      </c>
      <c r="Q162" s="178">
        <v>5.8643022645330003</v>
      </c>
      <c r="R162" s="179">
        <v>1241.8703347804801</v>
      </c>
      <c r="S162" s="168">
        <v>0.01</v>
      </c>
      <c r="T162" s="168">
        <v>0.01</v>
      </c>
      <c r="U162" s="175">
        <v>0</v>
      </c>
      <c r="V162" s="176">
        <v>0</v>
      </c>
      <c r="W162" s="167"/>
      <c r="X162" s="175">
        <v>619.43449499999997</v>
      </c>
      <c r="Y162" s="166">
        <v>525.68225431548001</v>
      </c>
      <c r="Z162" s="177">
        <v>573</v>
      </c>
      <c r="AA162" s="188">
        <v>0.91742103719979096</v>
      </c>
      <c r="AB162" s="171">
        <v>-174.590207489313</v>
      </c>
      <c r="AC162" s="168"/>
      <c r="AD162" s="168"/>
      <c r="AE162" s="176">
        <v>56</v>
      </c>
      <c r="AF162" s="176">
        <v>191</v>
      </c>
      <c r="AG162" s="167"/>
      <c r="AH162" s="180">
        <v>85.4</v>
      </c>
      <c r="AI162" s="166">
        <v>72.474595588258296</v>
      </c>
      <c r="AJ162" s="181" t="s">
        <v>53</v>
      </c>
      <c r="AK162" s="182">
        <v>1.1503904061628301</v>
      </c>
      <c r="AL162" s="183">
        <v>-1.9011452998720599</v>
      </c>
      <c r="AM162" s="168">
        <v>1.7000000000000001E-2</v>
      </c>
      <c r="AN162" s="168">
        <v>1.4999999999999999E-2</v>
      </c>
      <c r="AO162" s="176">
        <v>0</v>
      </c>
      <c r="AP162" s="176">
        <v>4</v>
      </c>
      <c r="AQ162" s="167"/>
      <c r="AR162" s="180">
        <v>9.6</v>
      </c>
      <c r="AS162" s="166">
        <v>8.14702713872693</v>
      </c>
      <c r="AT162" s="181" t="s">
        <v>54</v>
      </c>
      <c r="AU162" s="173">
        <v>0.50918919617043301</v>
      </c>
      <c r="AV162" s="174">
        <v>-12.5717194412374</v>
      </c>
      <c r="AW162" s="168"/>
      <c r="AX162" s="168"/>
      <c r="AY162" s="176">
        <v>10</v>
      </c>
      <c r="AZ162" s="176">
        <v>14</v>
      </c>
      <c r="BA162" s="167"/>
      <c r="BB162" s="184">
        <v>50.4</v>
      </c>
      <c r="BC162" s="180">
        <v>42.771892478316403</v>
      </c>
      <c r="BD162" s="181" t="s">
        <v>55</v>
      </c>
      <c r="BE162" s="178">
        <v>1.33662163994739</v>
      </c>
      <c r="BF162" s="179">
        <v>6.0565611175253</v>
      </c>
      <c r="BG162" s="168">
        <v>0.02</v>
      </c>
      <c r="BH162" s="168">
        <v>0.02</v>
      </c>
      <c r="BI162" s="176">
        <v>0</v>
      </c>
      <c r="BJ162" s="176">
        <v>0</v>
      </c>
      <c r="BK162" s="169"/>
      <c r="BL162" s="185">
        <v>0.8</v>
      </c>
      <c r="BM162" s="182">
        <v>0.83</v>
      </c>
      <c r="BN162" s="186">
        <v>1.1249999999999999E-3</v>
      </c>
      <c r="BO162" s="187">
        <v>0.95</v>
      </c>
      <c r="BP162" s="178">
        <v>1</v>
      </c>
      <c r="BQ162" s="186">
        <v>2.5000000000000001E-3</v>
      </c>
    </row>
    <row r="163" spans="1:69" s="156" customFormat="1" ht="22.35" customHeight="1" x14ac:dyDescent="0.2">
      <c r="A163" s="165" t="s">
        <v>220</v>
      </c>
      <c r="B163" s="165" t="s">
        <v>221</v>
      </c>
      <c r="C163" s="165" t="s">
        <v>226</v>
      </c>
      <c r="D163" s="166">
        <v>3.1786816065555601</v>
      </c>
      <c r="E163" s="167"/>
      <c r="F163" s="168">
        <v>0.08</v>
      </c>
      <c r="G163" s="168">
        <v>0.08</v>
      </c>
      <c r="H163" s="169"/>
      <c r="I163" s="170">
        <v>6</v>
      </c>
      <c r="J163" s="170">
        <v>6</v>
      </c>
      <c r="K163" s="167"/>
      <c r="L163" s="171">
        <v>3207.3896500000001</v>
      </c>
      <c r="M163" s="171">
        <v>-330.82089000000002</v>
      </c>
      <c r="N163" s="171">
        <v>2876.5687600000001</v>
      </c>
      <c r="O163" s="166">
        <v>904.95655622365803</v>
      </c>
      <c r="P163" s="172">
        <v>239.25899999999999</v>
      </c>
      <c r="Q163" s="178">
        <v>3.7823302622833701</v>
      </c>
      <c r="R163" s="179">
        <v>1982.18761737662</v>
      </c>
      <c r="S163" s="168">
        <v>0.01</v>
      </c>
      <c r="T163" s="168">
        <v>0.01</v>
      </c>
      <c r="U163" s="175">
        <v>0</v>
      </c>
      <c r="V163" s="176">
        <v>0</v>
      </c>
      <c r="W163" s="167"/>
      <c r="X163" s="175">
        <v>2558.0620800000002</v>
      </c>
      <c r="Y163" s="166">
        <v>804.755680696166</v>
      </c>
      <c r="Z163" s="177">
        <v>573</v>
      </c>
      <c r="AA163" s="178">
        <v>1.4044601757350199</v>
      </c>
      <c r="AB163" s="179">
        <v>416.11383678574998</v>
      </c>
      <c r="AC163" s="168">
        <v>0.02</v>
      </c>
      <c r="AD163" s="168">
        <v>0.02</v>
      </c>
      <c r="AE163" s="176">
        <v>0</v>
      </c>
      <c r="AF163" s="176">
        <v>0</v>
      </c>
      <c r="AG163" s="167"/>
      <c r="AH163" s="180">
        <v>307.89999999999998</v>
      </c>
      <c r="AI163" s="166">
        <v>96.864058157005203</v>
      </c>
      <c r="AJ163" s="181" t="s">
        <v>53</v>
      </c>
      <c r="AK163" s="178">
        <v>1.5375247326508801</v>
      </c>
      <c r="AL163" s="179">
        <v>72.3978371335118</v>
      </c>
      <c r="AM163" s="168">
        <v>0.02</v>
      </c>
      <c r="AN163" s="168">
        <v>0.02</v>
      </c>
      <c r="AO163" s="176">
        <v>0</v>
      </c>
      <c r="AP163" s="176">
        <v>0</v>
      </c>
      <c r="AQ163" s="167"/>
      <c r="AR163" s="180">
        <v>64.3</v>
      </c>
      <c r="AS163" s="166">
        <v>20.228512307552599</v>
      </c>
      <c r="AT163" s="181" t="s">
        <v>54</v>
      </c>
      <c r="AU163" s="178">
        <v>1.2642820192220301</v>
      </c>
      <c r="AV163" s="179">
        <v>4.4899268910505903</v>
      </c>
      <c r="AW163" s="168">
        <v>0.01</v>
      </c>
      <c r="AX163" s="168">
        <v>0.01</v>
      </c>
      <c r="AY163" s="176">
        <v>0</v>
      </c>
      <c r="AZ163" s="176">
        <v>0</v>
      </c>
      <c r="BA163" s="167"/>
      <c r="BB163" s="184">
        <v>201.2</v>
      </c>
      <c r="BC163" s="180">
        <v>63.296682368267099</v>
      </c>
      <c r="BD163" s="181" t="s">
        <v>55</v>
      </c>
      <c r="BE163" s="178">
        <v>1.97802132400835</v>
      </c>
      <c r="BF163" s="179">
        <v>81.579853782101196</v>
      </c>
      <c r="BG163" s="168">
        <v>0.02</v>
      </c>
      <c r="BH163" s="168">
        <v>0.02</v>
      </c>
      <c r="BI163" s="176">
        <v>0</v>
      </c>
      <c r="BJ163" s="176">
        <v>0</v>
      </c>
      <c r="BK163" s="169"/>
      <c r="BL163" s="185">
        <v>0.8</v>
      </c>
      <c r="BM163" s="188">
        <v>0.78</v>
      </c>
      <c r="BN163" s="186"/>
      <c r="BO163" s="187">
        <v>0.95</v>
      </c>
      <c r="BP163" s="178">
        <v>1</v>
      </c>
      <c r="BQ163" s="186">
        <v>2.5000000000000001E-3</v>
      </c>
    </row>
    <row r="164" spans="1:69" s="156" customFormat="1" ht="22.35" customHeight="1" x14ac:dyDescent="0.2">
      <c r="A164" s="165" t="s">
        <v>220</v>
      </c>
      <c r="B164" s="165" t="s">
        <v>221</v>
      </c>
      <c r="C164" s="165" t="s">
        <v>227</v>
      </c>
      <c r="D164" s="166">
        <v>3.7074923414444401</v>
      </c>
      <c r="E164" s="167"/>
      <c r="F164" s="168">
        <v>2.5999999999999999E-2</v>
      </c>
      <c r="G164" s="168">
        <v>2.4E-2</v>
      </c>
      <c r="H164" s="169"/>
      <c r="I164" s="170">
        <v>3</v>
      </c>
      <c r="J164" s="170">
        <v>3</v>
      </c>
      <c r="K164" s="167"/>
      <c r="L164" s="171">
        <v>2243.84944</v>
      </c>
      <c r="M164" s="171">
        <v>-567.83866999999998</v>
      </c>
      <c r="N164" s="171">
        <v>1676.0107700000001</v>
      </c>
      <c r="O164" s="166">
        <v>452.06048068248299</v>
      </c>
      <c r="P164" s="172">
        <v>272.85399999999998</v>
      </c>
      <c r="Q164" s="178">
        <v>1.65678524295954</v>
      </c>
      <c r="R164" s="179">
        <v>486.364330369002</v>
      </c>
      <c r="S164" s="168">
        <v>0.01</v>
      </c>
      <c r="T164" s="168">
        <v>0.01</v>
      </c>
      <c r="U164" s="175">
        <v>0</v>
      </c>
      <c r="V164" s="176">
        <v>0</v>
      </c>
      <c r="W164" s="167"/>
      <c r="X164" s="175">
        <v>1859.05547</v>
      </c>
      <c r="Y164" s="166">
        <v>501.43204591913201</v>
      </c>
      <c r="Z164" s="177">
        <v>573</v>
      </c>
      <c r="AA164" s="188">
        <v>0.87509955657789096</v>
      </c>
      <c r="AB164" s="171">
        <v>-639.23082929765201</v>
      </c>
      <c r="AC164" s="168"/>
      <c r="AD164" s="168"/>
      <c r="AE164" s="176">
        <v>266</v>
      </c>
      <c r="AF164" s="176">
        <v>691</v>
      </c>
      <c r="AG164" s="167"/>
      <c r="AH164" s="180">
        <v>97.2</v>
      </c>
      <c r="AI164" s="166">
        <v>26.217181601009301</v>
      </c>
      <c r="AJ164" s="181" t="s">
        <v>53</v>
      </c>
      <c r="AK164" s="173">
        <v>0.41614573969856</v>
      </c>
      <c r="AL164" s="174">
        <v>-177.48069259293601</v>
      </c>
      <c r="AM164" s="168"/>
      <c r="AN164" s="168"/>
      <c r="AO164" s="176">
        <v>137</v>
      </c>
      <c r="AP164" s="176">
        <v>184</v>
      </c>
      <c r="AQ164" s="167"/>
      <c r="AR164" s="180">
        <v>32.799999999999997</v>
      </c>
      <c r="AS164" s="166">
        <v>8.8469501698879007</v>
      </c>
      <c r="AT164" s="181" t="s">
        <v>54</v>
      </c>
      <c r="AU164" s="173">
        <v>0.55293438561799402</v>
      </c>
      <c r="AV164" s="174">
        <v>-36.960175896618601</v>
      </c>
      <c r="AW164" s="168"/>
      <c r="AX164" s="168"/>
      <c r="AY164" s="176">
        <v>27</v>
      </c>
      <c r="AZ164" s="176">
        <v>39</v>
      </c>
      <c r="BA164" s="167"/>
      <c r="BB164" s="184">
        <v>135</v>
      </c>
      <c r="BC164" s="180">
        <v>36.412752223623997</v>
      </c>
      <c r="BD164" s="181" t="s">
        <v>55</v>
      </c>
      <c r="BE164" s="182">
        <v>1.1378985069882499</v>
      </c>
      <c r="BF164" s="183">
        <v>-4.5203517932371504</v>
      </c>
      <c r="BG164" s="168">
        <v>1.6E-2</v>
      </c>
      <c r="BH164" s="168">
        <v>1.4E-2</v>
      </c>
      <c r="BI164" s="176">
        <v>0</v>
      </c>
      <c r="BJ164" s="176">
        <v>8</v>
      </c>
      <c r="BK164" s="169"/>
      <c r="BL164" s="185">
        <v>0.8</v>
      </c>
      <c r="BM164" s="188">
        <v>0.73</v>
      </c>
      <c r="BN164" s="186"/>
      <c r="BO164" s="187">
        <v>0.95</v>
      </c>
      <c r="BP164" s="178">
        <v>1</v>
      </c>
      <c r="BQ164" s="186">
        <v>2.5000000000000001E-3</v>
      </c>
    </row>
    <row r="165" spans="1:69" s="156" customFormat="1" ht="22.35" customHeight="1" x14ac:dyDescent="0.2">
      <c r="A165" s="165" t="s">
        <v>220</v>
      </c>
      <c r="B165" s="165" t="s">
        <v>221</v>
      </c>
      <c r="C165" s="165" t="s">
        <v>228</v>
      </c>
      <c r="D165" s="166">
        <v>3.59068721</v>
      </c>
      <c r="E165" s="167"/>
      <c r="F165" s="168">
        <v>1.7999999999999999E-2</v>
      </c>
      <c r="G165" s="168">
        <v>1.6E-2</v>
      </c>
      <c r="H165" s="169"/>
      <c r="I165" s="170">
        <v>3</v>
      </c>
      <c r="J165" s="170">
        <v>3</v>
      </c>
      <c r="K165" s="167"/>
      <c r="L165" s="171">
        <v>1149.9147399999999</v>
      </c>
      <c r="M165" s="171">
        <v>665.13494000000003</v>
      </c>
      <c r="N165" s="171">
        <v>1815.0496800000001</v>
      </c>
      <c r="O165" s="166">
        <v>505.48810682955599</v>
      </c>
      <c r="P165" s="172">
        <v>244.22499999999999</v>
      </c>
      <c r="Q165" s="178">
        <v>2.06976397514405</v>
      </c>
      <c r="R165" s="179">
        <v>783.77343337799402</v>
      </c>
      <c r="S165" s="168">
        <v>0.01</v>
      </c>
      <c r="T165" s="168">
        <v>0.01</v>
      </c>
      <c r="U165" s="175">
        <v>0</v>
      </c>
      <c r="V165" s="176">
        <v>0</v>
      </c>
      <c r="W165" s="167"/>
      <c r="X165" s="175">
        <v>1826.071535</v>
      </c>
      <c r="Y165" s="166">
        <v>508.55767383870801</v>
      </c>
      <c r="Z165" s="177">
        <v>573</v>
      </c>
      <c r="AA165" s="188">
        <v>0.887535207397396</v>
      </c>
      <c r="AB165" s="171">
        <v>-593.50586008408004</v>
      </c>
      <c r="AC165" s="168"/>
      <c r="AD165" s="168"/>
      <c r="AE165" s="176">
        <v>232</v>
      </c>
      <c r="AF165" s="176">
        <v>643</v>
      </c>
      <c r="AG165" s="167"/>
      <c r="AH165" s="180">
        <v>176.8</v>
      </c>
      <c r="AI165" s="166">
        <v>49.238485465293401</v>
      </c>
      <c r="AJ165" s="181" t="s">
        <v>53</v>
      </c>
      <c r="AK165" s="188">
        <v>0.781563261353864</v>
      </c>
      <c r="AL165" s="171">
        <v>-89.226834014480005</v>
      </c>
      <c r="AM165" s="168"/>
      <c r="AN165" s="168"/>
      <c r="AO165" s="176">
        <v>50</v>
      </c>
      <c r="AP165" s="176">
        <v>95</v>
      </c>
      <c r="AQ165" s="167"/>
      <c r="AR165" s="180">
        <v>32.4</v>
      </c>
      <c r="AS165" s="166">
        <v>9.02334235902436</v>
      </c>
      <c r="AT165" s="181" t="s">
        <v>54</v>
      </c>
      <c r="AU165" s="173">
        <v>0.56395889743902206</v>
      </c>
      <c r="AV165" s="174">
        <v>-35.162370543359998</v>
      </c>
      <c r="AW165" s="168"/>
      <c r="AX165" s="168"/>
      <c r="AY165" s="176">
        <v>26</v>
      </c>
      <c r="AZ165" s="176">
        <v>37</v>
      </c>
      <c r="BA165" s="167"/>
      <c r="BB165" s="184">
        <v>121.6</v>
      </c>
      <c r="BC165" s="180">
        <v>33.865383668437097</v>
      </c>
      <c r="BD165" s="181" t="s">
        <v>55</v>
      </c>
      <c r="BE165" s="182">
        <v>1.05829323963866</v>
      </c>
      <c r="BF165" s="183">
        <v>-13.524741086720001</v>
      </c>
      <c r="BG165" s="168">
        <v>8.0000000000000002E-3</v>
      </c>
      <c r="BH165" s="168">
        <v>6.0000000000000001E-3</v>
      </c>
      <c r="BI165" s="176">
        <v>0</v>
      </c>
      <c r="BJ165" s="176">
        <v>17</v>
      </c>
      <c r="BK165" s="169"/>
      <c r="BL165" s="185">
        <v>0.8</v>
      </c>
      <c r="BM165" s="188">
        <v>0.78</v>
      </c>
      <c r="BN165" s="186"/>
      <c r="BO165" s="187">
        <v>0.95</v>
      </c>
      <c r="BP165" s="178">
        <v>1</v>
      </c>
      <c r="BQ165" s="186">
        <v>2.5000000000000001E-3</v>
      </c>
    </row>
    <row r="166" spans="1:69" s="156" customFormat="1" ht="22.35" customHeight="1" x14ac:dyDescent="0.2">
      <c r="A166" s="165" t="s">
        <v>220</v>
      </c>
      <c r="B166" s="165" t="s">
        <v>221</v>
      </c>
      <c r="C166" s="165" t="s">
        <v>229</v>
      </c>
      <c r="D166" s="166">
        <v>8.2706296171111102</v>
      </c>
      <c r="E166" s="167"/>
      <c r="F166" s="168">
        <v>4.4999999999999998E-2</v>
      </c>
      <c r="G166" s="168">
        <v>0.04</v>
      </c>
      <c r="H166" s="169"/>
      <c r="I166" s="170">
        <v>5</v>
      </c>
      <c r="J166" s="170">
        <v>5</v>
      </c>
      <c r="K166" s="167"/>
      <c r="L166" s="171">
        <v>12718.32114</v>
      </c>
      <c r="M166" s="171">
        <v>267.41129999999998</v>
      </c>
      <c r="N166" s="171">
        <v>12985.73244</v>
      </c>
      <c r="O166" s="166">
        <v>1570.1020407362701</v>
      </c>
      <c r="P166" s="172">
        <v>224.79599999999999</v>
      </c>
      <c r="Q166" s="178">
        <v>6.9845639634880996</v>
      </c>
      <c r="R166" s="179">
        <v>10799.3080004401</v>
      </c>
      <c r="S166" s="168">
        <v>0.01</v>
      </c>
      <c r="T166" s="168">
        <v>0.01</v>
      </c>
      <c r="U166" s="175">
        <v>0</v>
      </c>
      <c r="V166" s="176">
        <v>0</v>
      </c>
      <c r="W166" s="167"/>
      <c r="X166" s="175">
        <v>5140.3120900000004</v>
      </c>
      <c r="Y166" s="166">
        <v>621.513999292775</v>
      </c>
      <c r="Z166" s="177">
        <v>573</v>
      </c>
      <c r="AA166" s="182">
        <v>1.08466666543242</v>
      </c>
      <c r="AB166" s="183">
        <v>-432.83513623108797</v>
      </c>
      <c r="AC166" s="168">
        <v>1.0999999999999999E-2</v>
      </c>
      <c r="AD166" s="168">
        <v>8.0000000000000002E-3</v>
      </c>
      <c r="AE166" s="176">
        <v>0</v>
      </c>
      <c r="AF166" s="176">
        <v>547</v>
      </c>
      <c r="AG166" s="167"/>
      <c r="AH166" s="180">
        <v>529.20000000000005</v>
      </c>
      <c r="AI166" s="166">
        <v>63.985455098259699</v>
      </c>
      <c r="AJ166" s="181" t="s">
        <v>53</v>
      </c>
      <c r="AK166" s="182">
        <v>1.01564214441682</v>
      </c>
      <c r="AL166" s="183">
        <v>-83.554407072527795</v>
      </c>
      <c r="AM166" s="168">
        <v>4.0000000000000001E-3</v>
      </c>
      <c r="AN166" s="168">
        <v>2E-3</v>
      </c>
      <c r="AO166" s="176">
        <v>0</v>
      </c>
      <c r="AP166" s="176">
        <v>97</v>
      </c>
      <c r="AQ166" s="167"/>
      <c r="AR166" s="180">
        <v>108.6</v>
      </c>
      <c r="AS166" s="166">
        <v>13.1308020099603</v>
      </c>
      <c r="AT166" s="181" t="s">
        <v>54</v>
      </c>
      <c r="AU166" s="188">
        <v>0.82067512562251999</v>
      </c>
      <c r="AV166" s="171">
        <v>-47.020166875562602</v>
      </c>
      <c r="AW166" s="168"/>
      <c r="AX166" s="168"/>
      <c r="AY166" s="176">
        <v>24</v>
      </c>
      <c r="AZ166" s="176">
        <v>51</v>
      </c>
      <c r="BA166" s="167"/>
      <c r="BB166" s="184">
        <v>388</v>
      </c>
      <c r="BC166" s="180">
        <v>46.912994289729298</v>
      </c>
      <c r="BD166" s="181" t="s">
        <v>55</v>
      </c>
      <c r="BE166" s="178">
        <v>1.4660310715540401</v>
      </c>
      <c r="BF166" s="179">
        <v>76.759666248874694</v>
      </c>
      <c r="BG166" s="168">
        <v>0.02</v>
      </c>
      <c r="BH166" s="168">
        <v>0.02</v>
      </c>
      <c r="BI166" s="176">
        <v>0</v>
      </c>
      <c r="BJ166" s="176">
        <v>0</v>
      </c>
      <c r="BK166" s="169"/>
      <c r="BL166" s="185">
        <v>0.8</v>
      </c>
      <c r="BM166" s="188">
        <v>0.75</v>
      </c>
      <c r="BN166" s="186"/>
      <c r="BO166" s="187">
        <v>0.95</v>
      </c>
      <c r="BP166" s="178">
        <v>1</v>
      </c>
      <c r="BQ166" s="186">
        <v>2.5000000000000001E-3</v>
      </c>
    </row>
    <row r="167" spans="1:69" s="156" customFormat="1" ht="22.35" customHeight="1" x14ac:dyDescent="0.2">
      <c r="A167" s="165" t="s">
        <v>220</v>
      </c>
      <c r="B167" s="165" t="s">
        <v>221</v>
      </c>
      <c r="C167" s="165" t="s">
        <v>230</v>
      </c>
      <c r="D167" s="166">
        <v>2.0619326908888902</v>
      </c>
      <c r="E167" s="167"/>
      <c r="F167" s="168">
        <v>2.1999999999999999E-2</v>
      </c>
      <c r="G167" s="168">
        <v>1.7999999999999999E-2</v>
      </c>
      <c r="H167" s="169"/>
      <c r="I167" s="170">
        <v>3</v>
      </c>
      <c r="J167" s="170">
        <v>3</v>
      </c>
      <c r="K167" s="167"/>
      <c r="L167" s="171">
        <v>-7851.7588100000003</v>
      </c>
      <c r="M167" s="171">
        <v>784.15520000000004</v>
      </c>
      <c r="N167" s="171">
        <v>-7067.6036100000001</v>
      </c>
      <c r="O167" s="166">
        <v>-3427.6597103435001</v>
      </c>
      <c r="P167" s="172">
        <v>225.90199999999999</v>
      </c>
      <c r="Q167" s="173">
        <v>-15.1732154223668</v>
      </c>
      <c r="R167" s="174">
        <v>-7615.3781992349304</v>
      </c>
      <c r="S167" s="168"/>
      <c r="T167" s="168"/>
      <c r="U167" s="175">
        <v>7534</v>
      </c>
      <c r="V167" s="176">
        <v>7627</v>
      </c>
      <c r="W167" s="167"/>
      <c r="X167" s="175">
        <v>883.646885</v>
      </c>
      <c r="Y167" s="166">
        <v>428.55273060298799</v>
      </c>
      <c r="Z167" s="177">
        <v>573</v>
      </c>
      <c r="AA167" s="173">
        <v>0.74791052461254404</v>
      </c>
      <c r="AB167" s="174">
        <v>-505.78233489009699</v>
      </c>
      <c r="AC167" s="168"/>
      <c r="AD167" s="168"/>
      <c r="AE167" s="176">
        <v>298</v>
      </c>
      <c r="AF167" s="176">
        <v>535</v>
      </c>
      <c r="AG167" s="167"/>
      <c r="AH167" s="180">
        <v>146.25</v>
      </c>
      <c r="AI167" s="166">
        <v>70.928600456376898</v>
      </c>
      <c r="AJ167" s="181" t="s">
        <v>53</v>
      </c>
      <c r="AK167" s="182">
        <v>1.12585080089487</v>
      </c>
      <c r="AL167" s="183">
        <v>-6.5144692025760902</v>
      </c>
      <c r="AM167" s="168">
        <v>1.4999999999999999E-2</v>
      </c>
      <c r="AN167" s="168">
        <v>1.2999999999999999E-2</v>
      </c>
      <c r="AO167" s="176">
        <v>0</v>
      </c>
      <c r="AP167" s="176">
        <v>10</v>
      </c>
      <c r="AQ167" s="167"/>
      <c r="AR167" s="180">
        <v>23.1</v>
      </c>
      <c r="AS167" s="166">
        <v>11.203081507981601</v>
      </c>
      <c r="AT167" s="181" t="s">
        <v>54</v>
      </c>
      <c r="AU167" s="173">
        <v>0.70019259424884805</v>
      </c>
      <c r="AV167" s="174">
        <v>-15.697325511765399</v>
      </c>
      <c r="AW167" s="168"/>
      <c r="AX167" s="168"/>
      <c r="AY167" s="176">
        <v>10</v>
      </c>
      <c r="AZ167" s="176">
        <v>17</v>
      </c>
      <c r="BA167" s="167"/>
      <c r="BB167" s="184">
        <v>69.400000000000006</v>
      </c>
      <c r="BC167" s="180">
        <v>33.657742712290997</v>
      </c>
      <c r="BD167" s="181" t="s">
        <v>55</v>
      </c>
      <c r="BE167" s="182">
        <v>1.0518044597590901</v>
      </c>
      <c r="BF167" s="183">
        <v>-8.1946510235307102</v>
      </c>
      <c r="BG167" s="168">
        <v>7.0000000000000001E-3</v>
      </c>
      <c r="BH167" s="168">
        <v>5.0000000000000001E-3</v>
      </c>
      <c r="BI167" s="176">
        <v>0</v>
      </c>
      <c r="BJ167" s="176">
        <v>10</v>
      </c>
      <c r="BK167" s="169"/>
      <c r="BL167" s="185">
        <v>0.8</v>
      </c>
      <c r="BM167" s="173"/>
      <c r="BN167" s="186"/>
      <c r="BO167" s="187">
        <v>0.95</v>
      </c>
      <c r="BP167" s="178">
        <v>1</v>
      </c>
      <c r="BQ167" s="186">
        <v>2.5000000000000001E-3</v>
      </c>
    </row>
    <row r="168" spans="1:69" s="156" customFormat="1" ht="22.35" customHeight="1" x14ac:dyDescent="0.2">
      <c r="A168" s="165" t="s">
        <v>220</v>
      </c>
      <c r="B168" s="165" t="s">
        <v>221</v>
      </c>
      <c r="C168" s="165" t="s">
        <v>231</v>
      </c>
      <c r="D168" s="166">
        <v>2.0199468106666698</v>
      </c>
      <c r="E168" s="167"/>
      <c r="F168" s="168">
        <v>5.0999999999999997E-2</v>
      </c>
      <c r="G168" s="168">
        <v>0.05</v>
      </c>
      <c r="H168" s="169"/>
      <c r="I168" s="170">
        <v>5</v>
      </c>
      <c r="J168" s="170">
        <v>4</v>
      </c>
      <c r="K168" s="167"/>
      <c r="L168" s="171">
        <v>2133.9153099999999</v>
      </c>
      <c r="M168" s="171">
        <v>354.08022999999997</v>
      </c>
      <c r="N168" s="171">
        <v>2487.9955399999999</v>
      </c>
      <c r="O168" s="166">
        <v>1231.71339307635</v>
      </c>
      <c r="P168" s="172">
        <v>258.548</v>
      </c>
      <c r="Q168" s="178">
        <v>4.7639641114081304</v>
      </c>
      <c r="R168" s="179">
        <v>1873.82576738701</v>
      </c>
      <c r="S168" s="168">
        <v>0.01</v>
      </c>
      <c r="T168" s="168">
        <v>0.01</v>
      </c>
      <c r="U168" s="175">
        <v>0</v>
      </c>
      <c r="V168" s="176">
        <v>0</v>
      </c>
      <c r="W168" s="167"/>
      <c r="X168" s="175">
        <v>1998.8524649999999</v>
      </c>
      <c r="Y168" s="166">
        <v>989.55697964160504</v>
      </c>
      <c r="Z168" s="177">
        <v>573</v>
      </c>
      <c r="AA168" s="178">
        <v>1.72697553166074</v>
      </c>
      <c r="AB168" s="179">
        <v>637.71534652588605</v>
      </c>
      <c r="AC168" s="168">
        <v>0.02</v>
      </c>
      <c r="AD168" s="168">
        <v>0.02</v>
      </c>
      <c r="AE168" s="176">
        <v>0</v>
      </c>
      <c r="AF168" s="176">
        <v>0</v>
      </c>
      <c r="AG168" s="167"/>
      <c r="AH168" s="180">
        <v>125.55</v>
      </c>
      <c r="AI168" s="166">
        <v>62.155101974473901</v>
      </c>
      <c r="AJ168" s="181" t="s">
        <v>53</v>
      </c>
      <c r="AK168" s="182">
        <v>0.98658892022974398</v>
      </c>
      <c r="AL168" s="183">
        <v>-24.1038193086722</v>
      </c>
      <c r="AM168" s="168">
        <v>1E-3</v>
      </c>
      <c r="AN168" s="168"/>
      <c r="AO168" s="176">
        <v>2</v>
      </c>
      <c r="AP168" s="176">
        <v>28</v>
      </c>
      <c r="AQ168" s="167"/>
      <c r="AR168" s="180">
        <v>27.8</v>
      </c>
      <c r="AS168" s="166">
        <v>13.7627386291547</v>
      </c>
      <c r="AT168" s="181" t="s">
        <v>54</v>
      </c>
      <c r="AU168" s="188">
        <v>0.860171164322169</v>
      </c>
      <c r="AV168" s="171">
        <v>-10.2073191895041</v>
      </c>
      <c r="AW168" s="168"/>
      <c r="AX168" s="168"/>
      <c r="AY168" s="176">
        <v>5</v>
      </c>
      <c r="AZ168" s="176">
        <v>11</v>
      </c>
      <c r="BA168" s="167"/>
      <c r="BB168" s="184">
        <v>108</v>
      </c>
      <c r="BC168" s="180">
        <v>53.466754386644197</v>
      </c>
      <c r="BD168" s="181" t="s">
        <v>55</v>
      </c>
      <c r="BE168" s="178">
        <v>1.6708360745826301</v>
      </c>
      <c r="BF168" s="179">
        <v>31.985361620991899</v>
      </c>
      <c r="BG168" s="168">
        <v>0.02</v>
      </c>
      <c r="BH168" s="168">
        <v>0.02</v>
      </c>
      <c r="BI168" s="176">
        <v>0</v>
      </c>
      <c r="BJ168" s="176">
        <v>0</v>
      </c>
      <c r="BK168" s="169"/>
      <c r="BL168" s="185">
        <v>0.8</v>
      </c>
      <c r="BM168" s="188">
        <v>0.77</v>
      </c>
      <c r="BN168" s="186"/>
      <c r="BO168" s="187">
        <v>0.95</v>
      </c>
      <c r="BP168" s="178">
        <v>1</v>
      </c>
      <c r="BQ168" s="186">
        <v>2.5000000000000001E-3</v>
      </c>
    </row>
    <row r="169" spans="1:69" s="156" customFormat="1" ht="22.35" customHeight="1" x14ac:dyDescent="0.2">
      <c r="A169" s="165" t="s">
        <v>220</v>
      </c>
      <c r="B169" s="165" t="s">
        <v>221</v>
      </c>
      <c r="C169" s="165" t="s">
        <v>232</v>
      </c>
      <c r="D169" s="166">
        <v>1.8614832398888901</v>
      </c>
      <c r="E169" s="167"/>
      <c r="F169" s="168">
        <v>4.4999999999999998E-2</v>
      </c>
      <c r="G169" s="168">
        <v>4.2999999999999997E-2</v>
      </c>
      <c r="H169" s="169"/>
      <c r="I169" s="170">
        <v>5</v>
      </c>
      <c r="J169" s="170">
        <v>5</v>
      </c>
      <c r="K169" s="167"/>
      <c r="L169" s="171">
        <v>1549.8575900000001</v>
      </c>
      <c r="M169" s="171">
        <v>1081.7327399999999</v>
      </c>
      <c r="N169" s="171">
        <v>2631.59033</v>
      </c>
      <c r="O169" s="166">
        <v>1413.7061637777999</v>
      </c>
      <c r="P169" s="172">
        <v>266.29899999999998</v>
      </c>
      <c r="Q169" s="178">
        <v>5.3087175084315001</v>
      </c>
      <c r="R169" s="179">
        <v>2048.6340466481702</v>
      </c>
      <c r="S169" s="168">
        <v>0.01</v>
      </c>
      <c r="T169" s="168">
        <v>0.01</v>
      </c>
      <c r="U169" s="175">
        <v>0</v>
      </c>
      <c r="V169" s="176">
        <v>0</v>
      </c>
      <c r="W169" s="167"/>
      <c r="X169" s="175">
        <v>1097.3044850000001</v>
      </c>
      <c r="Y169" s="166">
        <v>589.47857358387898</v>
      </c>
      <c r="Z169" s="177">
        <v>573</v>
      </c>
      <c r="AA169" s="182">
        <v>1.02875841812195</v>
      </c>
      <c r="AB169" s="183">
        <v>-157.05227323264899</v>
      </c>
      <c r="AC169" s="168">
        <v>5.0000000000000001E-3</v>
      </c>
      <c r="AD169" s="168">
        <v>3.0000000000000001E-3</v>
      </c>
      <c r="AE169" s="176">
        <v>0</v>
      </c>
      <c r="AF169" s="176">
        <v>183</v>
      </c>
      <c r="AG169" s="167"/>
      <c r="AH169" s="180">
        <v>113.6</v>
      </c>
      <c r="AI169" s="166">
        <v>61.026603713488598</v>
      </c>
      <c r="AJ169" s="181" t="s">
        <v>53</v>
      </c>
      <c r="AK169" s="188">
        <v>0.96867624942045305</v>
      </c>
      <c r="AL169" s="171">
        <v>-24.3135702768881</v>
      </c>
      <c r="AM169" s="168"/>
      <c r="AN169" s="168"/>
      <c r="AO169" s="176">
        <v>4</v>
      </c>
      <c r="AP169" s="176">
        <v>28</v>
      </c>
      <c r="AQ169" s="167"/>
      <c r="AR169" s="180">
        <v>49.6</v>
      </c>
      <c r="AS169" s="166">
        <v>26.645418522790798</v>
      </c>
      <c r="AT169" s="181" t="s">
        <v>54</v>
      </c>
      <c r="AU169" s="178">
        <v>1.66533865767442</v>
      </c>
      <c r="AV169" s="179">
        <v>14.5743313582506</v>
      </c>
      <c r="AW169" s="168">
        <v>0.01</v>
      </c>
      <c r="AX169" s="168">
        <v>0.01</v>
      </c>
      <c r="AY169" s="176">
        <v>0</v>
      </c>
      <c r="AZ169" s="176">
        <v>0</v>
      </c>
      <c r="BA169" s="167"/>
      <c r="BB169" s="184">
        <v>96</v>
      </c>
      <c r="BC169" s="180">
        <v>51.571777786046702</v>
      </c>
      <c r="BD169" s="181" t="s">
        <v>55</v>
      </c>
      <c r="BE169" s="178">
        <v>1.6116180558139599</v>
      </c>
      <c r="BF169" s="179">
        <v>25.9486627165013</v>
      </c>
      <c r="BG169" s="168">
        <v>0.02</v>
      </c>
      <c r="BH169" s="168">
        <v>0.02</v>
      </c>
      <c r="BI169" s="176">
        <v>0</v>
      </c>
      <c r="BJ169" s="176">
        <v>0</v>
      </c>
      <c r="BK169" s="169"/>
      <c r="BL169" s="185">
        <v>0.8</v>
      </c>
      <c r="BM169" s="188">
        <v>0.76</v>
      </c>
      <c r="BN169" s="186"/>
      <c r="BO169" s="187">
        <v>0.95</v>
      </c>
      <c r="BP169" s="178">
        <v>1</v>
      </c>
      <c r="BQ169" s="186">
        <v>2.5000000000000001E-3</v>
      </c>
    </row>
    <row r="170" spans="1:69" s="156" customFormat="1" ht="22.35" customHeight="1" x14ac:dyDescent="0.2">
      <c r="A170" s="165" t="s">
        <v>220</v>
      </c>
      <c r="B170" s="165" t="s">
        <v>221</v>
      </c>
      <c r="C170" s="165" t="s">
        <v>233</v>
      </c>
      <c r="D170" s="166">
        <v>10.3992394423333</v>
      </c>
      <c r="E170" s="167"/>
      <c r="F170" s="168">
        <v>0.06</v>
      </c>
      <c r="G170" s="168">
        <v>0.06</v>
      </c>
      <c r="H170" s="169"/>
      <c r="I170" s="170">
        <v>5</v>
      </c>
      <c r="J170" s="170">
        <v>5</v>
      </c>
      <c r="K170" s="167"/>
      <c r="L170" s="171">
        <v>9498.8859699999994</v>
      </c>
      <c r="M170" s="171">
        <v>5300.0369600000004</v>
      </c>
      <c r="N170" s="171">
        <v>14798.922930000001</v>
      </c>
      <c r="O170" s="166">
        <v>1423.07742908163</v>
      </c>
      <c r="P170" s="172">
        <v>287.5</v>
      </c>
      <c r="Q170" s="178">
        <v>4.9498345359361</v>
      </c>
      <c r="R170" s="179">
        <v>11282.940074547099</v>
      </c>
      <c r="S170" s="168">
        <v>0.01</v>
      </c>
      <c r="T170" s="168">
        <v>0.01</v>
      </c>
      <c r="U170" s="175">
        <v>0</v>
      </c>
      <c r="V170" s="176">
        <v>0</v>
      </c>
      <c r="W170" s="167"/>
      <c r="X170" s="175">
        <v>4430.0094900000004</v>
      </c>
      <c r="Y170" s="166">
        <v>425.99360410591902</v>
      </c>
      <c r="Z170" s="177">
        <v>573</v>
      </c>
      <c r="AA170" s="173">
        <v>0.74344433526338305</v>
      </c>
      <c r="AB170" s="174">
        <v>-2577.4972097374298</v>
      </c>
      <c r="AC170" s="168"/>
      <c r="AD170" s="168"/>
      <c r="AE170" s="176">
        <v>1529</v>
      </c>
      <c r="AF170" s="176">
        <v>2721</v>
      </c>
      <c r="AG170" s="167"/>
      <c r="AH170" s="180">
        <v>863.3</v>
      </c>
      <c r="AI170" s="166">
        <v>83.015686366992298</v>
      </c>
      <c r="AJ170" s="181" t="s">
        <v>53</v>
      </c>
      <c r="AK170" s="178">
        <v>1.3177093074125801</v>
      </c>
      <c r="AL170" s="179">
        <v>92.841148196408298</v>
      </c>
      <c r="AM170" s="168">
        <v>0.02</v>
      </c>
      <c r="AN170" s="168">
        <v>0.02</v>
      </c>
      <c r="AO170" s="176">
        <v>0</v>
      </c>
      <c r="AP170" s="176">
        <v>0</v>
      </c>
      <c r="AQ170" s="167"/>
      <c r="AR170" s="180">
        <v>448.2</v>
      </c>
      <c r="AS170" s="166">
        <v>43.099305721864901</v>
      </c>
      <c r="AT170" s="181" t="s">
        <v>54</v>
      </c>
      <c r="AU170" s="178">
        <v>2.6937066076165501</v>
      </c>
      <c r="AV170" s="179">
        <v>252.52791065305601</v>
      </c>
      <c r="AW170" s="168">
        <v>0.01</v>
      </c>
      <c r="AX170" s="168">
        <v>0.01</v>
      </c>
      <c r="AY170" s="176">
        <v>0</v>
      </c>
      <c r="AZ170" s="176">
        <v>0</v>
      </c>
      <c r="BA170" s="167"/>
      <c r="BB170" s="184">
        <v>811</v>
      </c>
      <c r="BC170" s="180">
        <v>77.986472423990193</v>
      </c>
      <c r="BD170" s="181" t="s">
        <v>55</v>
      </c>
      <c r="BE170" s="178">
        <v>2.43707726324969</v>
      </c>
      <c r="BF170" s="179">
        <v>419.65582130611199</v>
      </c>
      <c r="BG170" s="168">
        <v>0.02</v>
      </c>
      <c r="BH170" s="168">
        <v>0.02</v>
      </c>
      <c r="BI170" s="176">
        <v>0</v>
      </c>
      <c r="BJ170" s="176">
        <v>0</v>
      </c>
      <c r="BK170" s="169"/>
      <c r="BL170" s="185">
        <v>0.8</v>
      </c>
      <c r="BM170" s="188">
        <v>0.76</v>
      </c>
      <c r="BN170" s="186"/>
      <c r="BO170" s="187">
        <v>0.95</v>
      </c>
      <c r="BP170" s="178">
        <v>1</v>
      </c>
      <c r="BQ170" s="186">
        <v>2.5000000000000001E-3</v>
      </c>
    </row>
    <row r="171" spans="1:69" s="156" customFormat="1" ht="22.35" customHeight="1" x14ac:dyDescent="0.2">
      <c r="A171" s="165" t="s">
        <v>220</v>
      </c>
      <c r="B171" s="165" t="s">
        <v>221</v>
      </c>
      <c r="C171" s="165" t="s">
        <v>234</v>
      </c>
      <c r="D171" s="166">
        <v>4.7502856914444402</v>
      </c>
      <c r="E171" s="167"/>
      <c r="F171" s="168">
        <v>2.1999999999999999E-2</v>
      </c>
      <c r="G171" s="168">
        <v>1.9E-2</v>
      </c>
      <c r="H171" s="169"/>
      <c r="I171" s="170">
        <v>3</v>
      </c>
      <c r="J171" s="170">
        <v>3</v>
      </c>
      <c r="K171" s="167"/>
      <c r="L171" s="171">
        <v>1210.7938099999999</v>
      </c>
      <c r="M171" s="171">
        <v>1208.40338</v>
      </c>
      <c r="N171" s="171">
        <v>2419.1971899999999</v>
      </c>
      <c r="O171" s="166">
        <v>509.27404100286498</v>
      </c>
      <c r="P171" s="172">
        <v>266.29899999999998</v>
      </c>
      <c r="Q171" s="178">
        <v>1.9124143951079999</v>
      </c>
      <c r="R171" s="179">
        <v>931.561506689147</v>
      </c>
      <c r="S171" s="168">
        <v>0.01</v>
      </c>
      <c r="T171" s="168">
        <v>0.01</v>
      </c>
      <c r="U171" s="175">
        <v>0</v>
      </c>
      <c r="V171" s="176">
        <v>0</v>
      </c>
      <c r="W171" s="167"/>
      <c r="X171" s="175">
        <v>2184.645305</v>
      </c>
      <c r="Y171" s="166">
        <v>459.897666562388</v>
      </c>
      <c r="Z171" s="177">
        <v>573</v>
      </c>
      <c r="AA171" s="188">
        <v>0.80261372873017101</v>
      </c>
      <c r="AB171" s="171">
        <v>-1016.32520760845</v>
      </c>
      <c r="AC171" s="168"/>
      <c r="AD171" s="168"/>
      <c r="AE171" s="176">
        <v>538</v>
      </c>
      <c r="AF171" s="176">
        <v>1082</v>
      </c>
      <c r="AG171" s="167"/>
      <c r="AH171" s="180">
        <v>220.3</v>
      </c>
      <c r="AI171" s="166">
        <v>46.3761580480883</v>
      </c>
      <c r="AJ171" s="181" t="s">
        <v>53</v>
      </c>
      <c r="AK171" s="173">
        <v>0.73612949282679796</v>
      </c>
      <c r="AL171" s="174">
        <v>-131.63916630773599</v>
      </c>
      <c r="AM171" s="168"/>
      <c r="AN171" s="168"/>
      <c r="AO171" s="176">
        <v>79</v>
      </c>
      <c r="AP171" s="176">
        <v>139</v>
      </c>
      <c r="AQ171" s="167"/>
      <c r="AR171" s="180">
        <v>57.3</v>
      </c>
      <c r="AS171" s="166">
        <v>12.062432392898099</v>
      </c>
      <c r="AT171" s="181" t="s">
        <v>54</v>
      </c>
      <c r="AU171" s="173">
        <v>0.75390202455613298</v>
      </c>
      <c r="AV171" s="174">
        <v>-32.081375570218597</v>
      </c>
      <c r="AW171" s="168"/>
      <c r="AX171" s="168"/>
      <c r="AY171" s="176">
        <v>19</v>
      </c>
      <c r="AZ171" s="176">
        <v>34</v>
      </c>
      <c r="BA171" s="167"/>
      <c r="BB171" s="184">
        <v>166.2</v>
      </c>
      <c r="BC171" s="180">
        <v>34.987369349034402</v>
      </c>
      <c r="BD171" s="181" t="s">
        <v>55</v>
      </c>
      <c r="BE171" s="182">
        <v>1.09335529215732</v>
      </c>
      <c r="BF171" s="183">
        <v>-12.562751140437101</v>
      </c>
      <c r="BG171" s="168">
        <v>1.2E-2</v>
      </c>
      <c r="BH171" s="168">
        <v>8.9999999999999993E-3</v>
      </c>
      <c r="BI171" s="176">
        <v>0</v>
      </c>
      <c r="BJ171" s="176">
        <v>17</v>
      </c>
      <c r="BK171" s="169"/>
      <c r="BL171" s="185">
        <v>0.8</v>
      </c>
      <c r="BM171" s="188">
        <v>0.74</v>
      </c>
      <c r="BN171" s="186"/>
      <c r="BO171" s="187">
        <v>0.95</v>
      </c>
      <c r="BP171" s="178">
        <v>1</v>
      </c>
      <c r="BQ171" s="186">
        <v>2.5000000000000001E-3</v>
      </c>
    </row>
    <row r="172" spans="1:69" s="156" customFormat="1" ht="22.35" customHeight="1" x14ac:dyDescent="0.2">
      <c r="A172" s="165" t="s">
        <v>220</v>
      </c>
      <c r="B172" s="165" t="s">
        <v>221</v>
      </c>
      <c r="C172" s="165" t="s">
        <v>235</v>
      </c>
      <c r="D172" s="166">
        <v>3.3012442740000001</v>
      </c>
      <c r="E172" s="167"/>
      <c r="F172" s="168">
        <v>0.04</v>
      </c>
      <c r="G172" s="168">
        <v>0.04</v>
      </c>
      <c r="H172" s="169"/>
      <c r="I172" s="170">
        <v>4</v>
      </c>
      <c r="J172" s="170">
        <v>4</v>
      </c>
      <c r="K172" s="167"/>
      <c r="L172" s="171">
        <v>298.49270999999999</v>
      </c>
      <c r="M172" s="171">
        <v>3064.22939</v>
      </c>
      <c r="N172" s="171">
        <v>3362.7221</v>
      </c>
      <c r="O172" s="166">
        <v>1018.62262253181</v>
      </c>
      <c r="P172" s="172">
        <v>263.185</v>
      </c>
      <c r="Q172" s="178">
        <v>3.8703673177871498</v>
      </c>
      <c r="R172" s="179">
        <v>2340.96864227884</v>
      </c>
      <c r="S172" s="168">
        <v>0.01</v>
      </c>
      <c r="T172" s="168">
        <v>0.01</v>
      </c>
      <c r="U172" s="175">
        <v>0</v>
      </c>
      <c r="V172" s="176">
        <v>0</v>
      </c>
      <c r="W172" s="167"/>
      <c r="X172" s="175">
        <v>1680.3574149999999</v>
      </c>
      <c r="Y172" s="166">
        <v>509.00729407823297</v>
      </c>
      <c r="Z172" s="177">
        <v>573</v>
      </c>
      <c r="AA172" s="188">
        <v>0.88831988495328595</v>
      </c>
      <c r="AB172" s="171">
        <v>-544.17943654635201</v>
      </c>
      <c r="AC172" s="168"/>
      <c r="AD172" s="168"/>
      <c r="AE172" s="176">
        <v>212</v>
      </c>
      <c r="AF172" s="176">
        <v>590</v>
      </c>
      <c r="AG172" s="167"/>
      <c r="AH172" s="180">
        <v>169.3</v>
      </c>
      <c r="AI172" s="166">
        <v>51.283693646476301</v>
      </c>
      <c r="AJ172" s="181" t="s">
        <v>53</v>
      </c>
      <c r="AK172" s="188">
        <v>0.81402688327740103</v>
      </c>
      <c r="AL172" s="171">
        <v>-75.282585772112</v>
      </c>
      <c r="AM172" s="168"/>
      <c r="AN172" s="168"/>
      <c r="AO172" s="176">
        <v>39</v>
      </c>
      <c r="AP172" s="176">
        <v>81</v>
      </c>
      <c r="AQ172" s="167"/>
      <c r="AR172" s="180">
        <v>70.8</v>
      </c>
      <c r="AS172" s="166">
        <v>21.446459008685899</v>
      </c>
      <c r="AT172" s="181" t="s">
        <v>54</v>
      </c>
      <c r="AU172" s="178">
        <v>1.34040368804287</v>
      </c>
      <c r="AV172" s="179">
        <v>8.6837877404159993</v>
      </c>
      <c r="AW172" s="168">
        <v>0.01</v>
      </c>
      <c r="AX172" s="168">
        <v>0.01</v>
      </c>
      <c r="AY172" s="176">
        <v>0</v>
      </c>
      <c r="AZ172" s="176">
        <v>0</v>
      </c>
      <c r="BA172" s="167"/>
      <c r="BB172" s="184">
        <v>126.8</v>
      </c>
      <c r="BC172" s="180">
        <v>38.409759919510897</v>
      </c>
      <c r="BD172" s="181" t="s">
        <v>55</v>
      </c>
      <c r="BE172" s="178">
        <v>1.20030499748472</v>
      </c>
      <c r="BF172" s="179">
        <v>2.5675754808320099</v>
      </c>
      <c r="BG172" s="168">
        <v>0.02</v>
      </c>
      <c r="BH172" s="168">
        <v>0.02</v>
      </c>
      <c r="BI172" s="176">
        <v>0</v>
      </c>
      <c r="BJ172" s="176">
        <v>0</v>
      </c>
      <c r="BK172" s="169"/>
      <c r="BL172" s="185">
        <v>0.8</v>
      </c>
      <c r="BM172" s="188">
        <v>0.76</v>
      </c>
      <c r="BN172" s="186"/>
      <c r="BO172" s="187">
        <v>0.95</v>
      </c>
      <c r="BP172" s="178">
        <v>1</v>
      </c>
      <c r="BQ172" s="186">
        <v>2.5000000000000001E-3</v>
      </c>
    </row>
    <row r="173" spans="1:69" s="156" customFormat="1" ht="22.35" customHeight="1" x14ac:dyDescent="0.2">
      <c r="A173" s="165" t="s">
        <v>220</v>
      </c>
      <c r="B173" s="165" t="s">
        <v>221</v>
      </c>
      <c r="C173" s="165" t="s">
        <v>236</v>
      </c>
      <c r="D173" s="166">
        <v>3.9852030364444402</v>
      </c>
      <c r="E173" s="167"/>
      <c r="F173" s="168">
        <v>1.4999999999999999E-2</v>
      </c>
      <c r="G173" s="168">
        <v>1.2999999999999999E-2</v>
      </c>
      <c r="H173" s="169"/>
      <c r="I173" s="170">
        <v>3</v>
      </c>
      <c r="J173" s="170">
        <v>3</v>
      </c>
      <c r="K173" s="167"/>
      <c r="L173" s="171">
        <v>2268.1007800000002</v>
      </c>
      <c r="M173" s="171">
        <v>-214.93081000000001</v>
      </c>
      <c r="N173" s="171">
        <v>2053.1699699999999</v>
      </c>
      <c r="O173" s="166">
        <v>515.19833524763499</v>
      </c>
      <c r="P173" s="172">
        <v>254.727</v>
      </c>
      <c r="Q173" s="178">
        <v>2.0225509476719599</v>
      </c>
      <c r="R173" s="179">
        <v>859.36672489548596</v>
      </c>
      <c r="S173" s="168">
        <v>0.01</v>
      </c>
      <c r="T173" s="168">
        <v>0.01</v>
      </c>
      <c r="U173" s="175">
        <v>0</v>
      </c>
      <c r="V173" s="176">
        <v>0</v>
      </c>
      <c r="W173" s="167"/>
      <c r="X173" s="175">
        <v>1357.6010799999999</v>
      </c>
      <c r="Y173" s="166">
        <v>340.66045508467698</v>
      </c>
      <c r="Z173" s="177">
        <v>573</v>
      </c>
      <c r="AA173" s="173">
        <v>0.59452086402212301</v>
      </c>
      <c r="AB173" s="174">
        <v>-1327.8200157020101</v>
      </c>
      <c r="AC173" s="168"/>
      <c r="AD173" s="168"/>
      <c r="AE173" s="176">
        <v>926</v>
      </c>
      <c r="AF173" s="176">
        <v>1383</v>
      </c>
      <c r="AG173" s="167"/>
      <c r="AH173" s="180">
        <v>151.5</v>
      </c>
      <c r="AI173" s="166">
        <v>38.015628969099303</v>
      </c>
      <c r="AJ173" s="181" t="s">
        <v>53</v>
      </c>
      <c r="AK173" s="173">
        <v>0.60342268204919602</v>
      </c>
      <c r="AL173" s="174">
        <v>-143.755722564096</v>
      </c>
      <c r="AM173" s="168"/>
      <c r="AN173" s="168"/>
      <c r="AO173" s="176">
        <v>100</v>
      </c>
      <c r="AP173" s="176">
        <v>150</v>
      </c>
      <c r="AQ173" s="167"/>
      <c r="AR173" s="180">
        <v>55.5</v>
      </c>
      <c r="AS173" s="166">
        <v>13.9265175431354</v>
      </c>
      <c r="AT173" s="181" t="s">
        <v>54</v>
      </c>
      <c r="AU173" s="188">
        <v>0.87040734644596196</v>
      </c>
      <c r="AV173" s="171">
        <v>-19.4855803337386</v>
      </c>
      <c r="AW173" s="168"/>
      <c r="AX173" s="168"/>
      <c r="AY173" s="176">
        <v>9</v>
      </c>
      <c r="AZ173" s="176">
        <v>22</v>
      </c>
      <c r="BA173" s="167"/>
      <c r="BB173" s="184">
        <v>131.4</v>
      </c>
      <c r="BC173" s="180">
        <v>32.971971264288101</v>
      </c>
      <c r="BD173" s="181" t="s">
        <v>55</v>
      </c>
      <c r="BE173" s="182">
        <v>1.030374102009</v>
      </c>
      <c r="BF173" s="183">
        <v>-18.571160667477098</v>
      </c>
      <c r="BG173" s="168">
        <v>5.0000000000000001E-3</v>
      </c>
      <c r="BH173" s="168">
        <v>3.0000000000000001E-3</v>
      </c>
      <c r="BI173" s="176">
        <v>0</v>
      </c>
      <c r="BJ173" s="176">
        <v>22</v>
      </c>
      <c r="BK173" s="169"/>
      <c r="BL173" s="185">
        <v>0.8</v>
      </c>
      <c r="BM173" s="188">
        <v>0.73</v>
      </c>
      <c r="BN173" s="186"/>
      <c r="BO173" s="187">
        <v>0.95</v>
      </c>
      <c r="BP173" s="178">
        <v>1</v>
      </c>
      <c r="BQ173" s="186">
        <v>2.5000000000000001E-3</v>
      </c>
    </row>
    <row r="174" spans="1:69" s="156" customFormat="1" ht="22.35" customHeight="1" x14ac:dyDescent="0.2">
      <c r="A174" s="165" t="s">
        <v>220</v>
      </c>
      <c r="B174" s="165" t="s">
        <v>221</v>
      </c>
      <c r="C174" s="165" t="s">
        <v>237</v>
      </c>
      <c r="D174" s="166">
        <v>3.0016649496666701</v>
      </c>
      <c r="E174" s="167"/>
      <c r="F174" s="168">
        <v>0.03</v>
      </c>
      <c r="G174" s="168">
        <v>0.03</v>
      </c>
      <c r="H174" s="169"/>
      <c r="I174" s="170">
        <v>3</v>
      </c>
      <c r="J174" s="170">
        <v>3</v>
      </c>
      <c r="K174" s="167"/>
      <c r="L174" s="171">
        <v>2509.50576</v>
      </c>
      <c r="M174" s="171">
        <v>1473.3764900000001</v>
      </c>
      <c r="N174" s="171">
        <v>3982.8822500000001</v>
      </c>
      <c r="O174" s="166">
        <v>1326.8910144159499</v>
      </c>
      <c r="P174" s="172">
        <v>242.02199999999999</v>
      </c>
      <c r="Q174" s="178">
        <v>5.4825223096080098</v>
      </c>
      <c r="R174" s="179">
        <v>3128.5547595688899</v>
      </c>
      <c r="S174" s="168">
        <v>0.01</v>
      </c>
      <c r="T174" s="168">
        <v>0.01</v>
      </c>
      <c r="U174" s="175">
        <v>0</v>
      </c>
      <c r="V174" s="176">
        <v>0</v>
      </c>
      <c r="W174" s="167"/>
      <c r="X174" s="175">
        <v>1215.45658</v>
      </c>
      <c r="Y174" s="166">
        <v>404.92746538382801</v>
      </c>
      <c r="Z174" s="177">
        <v>573</v>
      </c>
      <c r="AA174" s="173">
        <v>0.70667969525973495</v>
      </c>
      <c r="AB174" s="174">
        <v>-807.20934300298597</v>
      </c>
      <c r="AC174" s="168"/>
      <c r="AD174" s="168"/>
      <c r="AE174" s="176">
        <v>505</v>
      </c>
      <c r="AF174" s="176">
        <v>849</v>
      </c>
      <c r="AG174" s="167"/>
      <c r="AH174" s="180">
        <v>131.4</v>
      </c>
      <c r="AI174" s="166">
        <v>43.775705218063003</v>
      </c>
      <c r="AJ174" s="181" t="s">
        <v>53</v>
      </c>
      <c r="AK174" s="173">
        <v>0.69485246377877796</v>
      </c>
      <c r="AL174" s="174">
        <v>-90.987352790904197</v>
      </c>
      <c r="AM174" s="168"/>
      <c r="AN174" s="168"/>
      <c r="AO174" s="176">
        <v>58</v>
      </c>
      <c r="AP174" s="176">
        <v>96</v>
      </c>
      <c r="AQ174" s="167"/>
      <c r="AR174" s="180">
        <v>27.4</v>
      </c>
      <c r="AS174" s="166">
        <v>9.1282672981349098</v>
      </c>
      <c r="AT174" s="181" t="s">
        <v>54</v>
      </c>
      <c r="AU174" s="173">
        <v>0.57051670613343197</v>
      </c>
      <c r="AV174" s="174">
        <v>-29.0793276929281</v>
      </c>
      <c r="AW174" s="168"/>
      <c r="AX174" s="168"/>
      <c r="AY174" s="176">
        <v>21</v>
      </c>
      <c r="AZ174" s="176">
        <v>31</v>
      </c>
      <c r="BA174" s="167"/>
      <c r="BB174" s="184">
        <v>122.2</v>
      </c>
      <c r="BC174" s="180">
        <v>40.710739555915502</v>
      </c>
      <c r="BD174" s="181" t="s">
        <v>55</v>
      </c>
      <c r="BE174" s="178">
        <v>1.2722106111223599</v>
      </c>
      <c r="BF174" s="179">
        <v>9.2413446141438804</v>
      </c>
      <c r="BG174" s="168">
        <v>0.02</v>
      </c>
      <c r="BH174" s="168">
        <v>0.02</v>
      </c>
      <c r="BI174" s="176">
        <v>0</v>
      </c>
      <c r="BJ174" s="176">
        <v>0</v>
      </c>
      <c r="BK174" s="169"/>
      <c r="BL174" s="185">
        <v>0.8</v>
      </c>
      <c r="BM174" s="188">
        <v>0.79</v>
      </c>
      <c r="BN174" s="186"/>
      <c r="BO174" s="187">
        <v>0.95</v>
      </c>
      <c r="BP174" s="178">
        <v>1</v>
      </c>
      <c r="BQ174" s="186">
        <v>2.5000000000000001E-3</v>
      </c>
    </row>
    <row r="175" spans="1:69" s="156" customFormat="1" ht="22.35" customHeight="1" x14ac:dyDescent="0.2">
      <c r="A175" s="165" t="s">
        <v>220</v>
      </c>
      <c r="B175" s="165" t="s">
        <v>221</v>
      </c>
      <c r="C175" s="165" t="s">
        <v>238</v>
      </c>
      <c r="D175" s="166">
        <v>2.70658970644444</v>
      </c>
      <c r="E175" s="167"/>
      <c r="F175" s="168">
        <v>5.8999999999999997E-2</v>
      </c>
      <c r="G175" s="168">
        <v>5.3999999999999999E-2</v>
      </c>
      <c r="H175" s="169"/>
      <c r="I175" s="170">
        <v>6</v>
      </c>
      <c r="J175" s="170">
        <v>5</v>
      </c>
      <c r="K175" s="167"/>
      <c r="L175" s="171">
        <v>1415.7800400000001</v>
      </c>
      <c r="M175" s="171">
        <v>970.15965000000006</v>
      </c>
      <c r="N175" s="171">
        <v>2385.9396900000002</v>
      </c>
      <c r="O175" s="166">
        <v>881.52987662630596</v>
      </c>
      <c r="P175" s="172">
        <v>222.28899999999999</v>
      </c>
      <c r="Q175" s="178">
        <v>3.9656927541457501</v>
      </c>
      <c r="R175" s="179">
        <v>1678.4050297551501</v>
      </c>
      <c r="S175" s="168">
        <v>0.01</v>
      </c>
      <c r="T175" s="168">
        <v>0.01</v>
      </c>
      <c r="U175" s="175">
        <v>0</v>
      </c>
      <c r="V175" s="176">
        <v>0</v>
      </c>
      <c r="W175" s="167"/>
      <c r="X175" s="175">
        <v>1800.242835</v>
      </c>
      <c r="Y175" s="166">
        <v>665.13326002592305</v>
      </c>
      <c r="Z175" s="177">
        <v>573</v>
      </c>
      <c r="AA175" s="182">
        <v>1.1607910297136499</v>
      </c>
      <c r="AB175" s="183">
        <v>-23.5872255081727</v>
      </c>
      <c r="AC175" s="168">
        <v>1.7999999999999999E-2</v>
      </c>
      <c r="AD175" s="168">
        <v>1.6E-2</v>
      </c>
      <c r="AE175" s="176">
        <v>0</v>
      </c>
      <c r="AF175" s="176">
        <v>61</v>
      </c>
      <c r="AG175" s="167"/>
      <c r="AH175" s="180">
        <v>184.35</v>
      </c>
      <c r="AI175" s="166">
        <v>68.111542566299903</v>
      </c>
      <c r="AJ175" s="181" t="s">
        <v>53</v>
      </c>
      <c r="AK175" s="182">
        <v>1.0811355962904701</v>
      </c>
      <c r="AL175" s="183">
        <v>-16.175818171055599</v>
      </c>
      <c r="AM175" s="168">
        <v>0.01</v>
      </c>
      <c r="AN175" s="168">
        <v>8.0000000000000002E-3</v>
      </c>
      <c r="AO175" s="176">
        <v>0</v>
      </c>
      <c r="AP175" s="176">
        <v>21</v>
      </c>
      <c r="AQ175" s="167"/>
      <c r="AR175" s="180">
        <v>43.1</v>
      </c>
      <c r="AS175" s="166">
        <v>15.9240980993085</v>
      </c>
      <c r="AT175" s="181" t="s">
        <v>54</v>
      </c>
      <c r="AU175" s="182">
        <v>0.99525613120678202</v>
      </c>
      <c r="AV175" s="183">
        <v>-7.8271919164585704</v>
      </c>
      <c r="AW175" s="168">
        <v>1E-3</v>
      </c>
      <c r="AX175" s="168">
        <v>0</v>
      </c>
      <c r="AY175" s="176">
        <v>1</v>
      </c>
      <c r="AZ175" s="176">
        <v>9</v>
      </c>
      <c r="BA175" s="167"/>
      <c r="BB175" s="184">
        <v>121.8</v>
      </c>
      <c r="BC175" s="180">
        <v>45.001279547465799</v>
      </c>
      <c r="BD175" s="181" t="s">
        <v>55</v>
      </c>
      <c r="BE175" s="178">
        <v>1.40628998585831</v>
      </c>
      <c r="BF175" s="179">
        <v>19.9456161670829</v>
      </c>
      <c r="BG175" s="168">
        <v>0.02</v>
      </c>
      <c r="BH175" s="168">
        <v>0.02</v>
      </c>
      <c r="BI175" s="176">
        <v>0</v>
      </c>
      <c r="BJ175" s="176">
        <v>0</v>
      </c>
      <c r="BK175" s="169"/>
      <c r="BL175" s="185">
        <v>0.8</v>
      </c>
      <c r="BM175" s="188">
        <v>0.76</v>
      </c>
      <c r="BN175" s="186"/>
      <c r="BO175" s="187">
        <v>0.95</v>
      </c>
      <c r="BP175" s="178">
        <v>1</v>
      </c>
      <c r="BQ175" s="186">
        <v>2.5000000000000001E-3</v>
      </c>
    </row>
    <row r="176" spans="1:69" s="156" customFormat="1" ht="22.35" customHeight="1" x14ac:dyDescent="0.2">
      <c r="A176" s="165" t="s">
        <v>220</v>
      </c>
      <c r="B176" s="165" t="s">
        <v>221</v>
      </c>
      <c r="C176" s="165" t="s">
        <v>239</v>
      </c>
      <c r="D176" s="166">
        <v>4.3740007442222204</v>
      </c>
      <c r="E176" s="167"/>
      <c r="F176" s="168">
        <v>0.04</v>
      </c>
      <c r="G176" s="168">
        <v>3.95E-2</v>
      </c>
      <c r="H176" s="169"/>
      <c r="I176" s="170">
        <v>4</v>
      </c>
      <c r="J176" s="170">
        <v>4</v>
      </c>
      <c r="K176" s="167"/>
      <c r="L176" s="171">
        <v>3177.6501400000002</v>
      </c>
      <c r="M176" s="171">
        <v>2298.4779699999999</v>
      </c>
      <c r="N176" s="171">
        <v>5476.1281099999997</v>
      </c>
      <c r="O176" s="166">
        <v>1251.9723772872301</v>
      </c>
      <c r="P176" s="172">
        <v>258.548</v>
      </c>
      <c r="Q176" s="178">
        <v>4.8423208738308903</v>
      </c>
      <c r="R176" s="179">
        <v>4146.2024761654102</v>
      </c>
      <c r="S176" s="168">
        <v>0.01</v>
      </c>
      <c r="T176" s="168">
        <v>0.01</v>
      </c>
      <c r="U176" s="175">
        <v>0</v>
      </c>
      <c r="V176" s="176">
        <v>0</v>
      </c>
      <c r="W176" s="167"/>
      <c r="X176" s="175">
        <v>2039.1219550000001</v>
      </c>
      <c r="Y176" s="166">
        <v>466.19149703930702</v>
      </c>
      <c r="Z176" s="177">
        <v>573</v>
      </c>
      <c r="AA176" s="188">
        <v>0.81359772607208902</v>
      </c>
      <c r="AB176" s="171">
        <v>-908.289698492654</v>
      </c>
      <c r="AC176" s="168"/>
      <c r="AD176" s="168"/>
      <c r="AE176" s="176">
        <v>468</v>
      </c>
      <c r="AF176" s="176">
        <v>969</v>
      </c>
      <c r="AG176" s="167"/>
      <c r="AH176" s="180">
        <v>221.3</v>
      </c>
      <c r="AI176" s="166">
        <v>50.594412973597102</v>
      </c>
      <c r="AJ176" s="181" t="s">
        <v>53</v>
      </c>
      <c r="AK176" s="188">
        <v>0.80308592021582603</v>
      </c>
      <c r="AL176" s="171">
        <v>-102.76096713793601</v>
      </c>
      <c r="AM176" s="168"/>
      <c r="AN176" s="168"/>
      <c r="AO176" s="176">
        <v>55</v>
      </c>
      <c r="AP176" s="176">
        <v>110</v>
      </c>
      <c r="AQ176" s="167"/>
      <c r="AR176" s="180">
        <v>83.3</v>
      </c>
      <c r="AS176" s="166">
        <v>19.044349754634599</v>
      </c>
      <c r="AT176" s="181" t="s">
        <v>54</v>
      </c>
      <c r="AU176" s="178">
        <v>1.19027185966466</v>
      </c>
      <c r="AV176" s="179">
        <v>0.99880199671471803</v>
      </c>
      <c r="AW176" s="168">
        <v>0.01</v>
      </c>
      <c r="AX176" s="168">
        <v>9.4999999999999998E-3</v>
      </c>
      <c r="AY176" s="176">
        <v>0</v>
      </c>
      <c r="AZ176" s="176">
        <v>1</v>
      </c>
      <c r="BA176" s="167"/>
      <c r="BB176" s="184">
        <v>203.8</v>
      </c>
      <c r="BC176" s="180">
        <v>46.593499159598203</v>
      </c>
      <c r="BD176" s="181" t="s">
        <v>55</v>
      </c>
      <c r="BE176" s="178">
        <v>1.4560468487374401</v>
      </c>
      <c r="BF176" s="179">
        <v>39.197603993429503</v>
      </c>
      <c r="BG176" s="168">
        <v>0.02</v>
      </c>
      <c r="BH176" s="168">
        <v>0.02</v>
      </c>
      <c r="BI176" s="176">
        <v>0</v>
      </c>
      <c r="BJ176" s="176">
        <v>0</v>
      </c>
      <c r="BK176" s="169"/>
      <c r="BL176" s="185">
        <v>0.8</v>
      </c>
      <c r="BM176" s="188">
        <v>0.71</v>
      </c>
      <c r="BN176" s="186"/>
      <c r="BO176" s="187">
        <v>0.95</v>
      </c>
      <c r="BP176" s="178">
        <v>1</v>
      </c>
      <c r="BQ176" s="186">
        <v>2.5000000000000001E-3</v>
      </c>
    </row>
    <row r="177" spans="1:69" s="156" customFormat="1" ht="22.35" customHeight="1" x14ac:dyDescent="0.2">
      <c r="A177" s="165" t="s">
        <v>220</v>
      </c>
      <c r="B177" s="165" t="s">
        <v>240</v>
      </c>
      <c r="C177" s="165" t="s">
        <v>241</v>
      </c>
      <c r="D177" s="166">
        <v>3.97523895733333</v>
      </c>
      <c r="E177" s="167"/>
      <c r="F177" s="168">
        <v>0.02</v>
      </c>
      <c r="G177" s="168">
        <v>1.7999999999999999E-2</v>
      </c>
      <c r="H177" s="169"/>
      <c r="I177" s="170">
        <v>3</v>
      </c>
      <c r="J177" s="170">
        <v>3</v>
      </c>
      <c r="K177" s="167"/>
      <c r="L177" s="171">
        <v>2883.8302699999999</v>
      </c>
      <c r="M177" s="171">
        <v>-600.12462000000005</v>
      </c>
      <c r="N177" s="171">
        <v>2283.7056499999999</v>
      </c>
      <c r="O177" s="166">
        <v>574.48260960190305</v>
      </c>
      <c r="P177" s="172">
        <v>241.762</v>
      </c>
      <c r="Q177" s="178">
        <v>2.3762320364734801</v>
      </c>
      <c r="R177" s="179">
        <v>1153.4970663358799</v>
      </c>
      <c r="S177" s="168">
        <v>0.01</v>
      </c>
      <c r="T177" s="168">
        <v>0.01</v>
      </c>
      <c r="U177" s="175">
        <v>0</v>
      </c>
      <c r="V177" s="176">
        <v>0</v>
      </c>
      <c r="W177" s="167"/>
      <c r="X177" s="175">
        <v>2465.25585</v>
      </c>
      <c r="Y177" s="166">
        <v>620.15287042108798</v>
      </c>
      <c r="Z177" s="177">
        <v>573</v>
      </c>
      <c r="AA177" s="182">
        <v>1.08229122237537</v>
      </c>
      <c r="AB177" s="183">
        <v>-213.45097092114901</v>
      </c>
      <c r="AC177" s="168">
        <v>0.01</v>
      </c>
      <c r="AD177" s="168">
        <v>8.0000000000000002E-3</v>
      </c>
      <c r="AE177" s="176">
        <v>0</v>
      </c>
      <c r="AF177" s="176">
        <v>269</v>
      </c>
      <c r="AG177" s="167"/>
      <c r="AH177" s="180">
        <v>191.5</v>
      </c>
      <c r="AI177" s="166">
        <v>48.173204694205801</v>
      </c>
      <c r="AJ177" s="181" t="s">
        <v>53</v>
      </c>
      <c r="AK177" s="173">
        <v>0.76465404276517202</v>
      </c>
      <c r="AL177" s="174">
        <v>-103.01750387091199</v>
      </c>
      <c r="AM177" s="168"/>
      <c r="AN177" s="168"/>
      <c r="AO177" s="176">
        <v>59</v>
      </c>
      <c r="AP177" s="176">
        <v>110</v>
      </c>
      <c r="AQ177" s="167"/>
      <c r="AR177" s="180">
        <v>33.799999999999997</v>
      </c>
      <c r="AS177" s="166">
        <v>8.5026335178284995</v>
      </c>
      <c r="AT177" s="181" t="s">
        <v>54</v>
      </c>
      <c r="AU177" s="173">
        <v>0.531414594864281</v>
      </c>
      <c r="AV177" s="174">
        <v>-40.9980962211839</v>
      </c>
      <c r="AW177" s="168"/>
      <c r="AX177" s="168"/>
      <c r="AY177" s="176">
        <v>30</v>
      </c>
      <c r="AZ177" s="176">
        <v>43</v>
      </c>
      <c r="BA177" s="167"/>
      <c r="BB177" s="184">
        <v>102.2</v>
      </c>
      <c r="BC177" s="180">
        <v>25.709146317221101</v>
      </c>
      <c r="BD177" s="181" t="s">
        <v>55</v>
      </c>
      <c r="BE177" s="188">
        <v>0.80341082241315798</v>
      </c>
      <c r="BF177" s="171">
        <v>-47.396192442367798</v>
      </c>
      <c r="BG177" s="168"/>
      <c r="BH177" s="168"/>
      <c r="BI177" s="176">
        <v>26</v>
      </c>
      <c r="BJ177" s="176">
        <v>51</v>
      </c>
      <c r="BK177" s="169"/>
      <c r="BL177" s="185">
        <v>0.8</v>
      </c>
      <c r="BM177" s="188">
        <v>0.77</v>
      </c>
      <c r="BN177" s="186"/>
      <c r="BO177" s="187">
        <v>0.95</v>
      </c>
      <c r="BP177" s="178">
        <v>1</v>
      </c>
      <c r="BQ177" s="186">
        <v>2.5000000000000001E-3</v>
      </c>
    </row>
    <row r="178" spans="1:69" s="156" customFormat="1" ht="22.35" customHeight="1" x14ac:dyDescent="0.2">
      <c r="A178" s="165" t="s">
        <v>220</v>
      </c>
      <c r="B178" s="165" t="s">
        <v>240</v>
      </c>
      <c r="C178" s="165" t="s">
        <v>242</v>
      </c>
      <c r="D178" s="166">
        <v>2.6208074601111102</v>
      </c>
      <c r="E178" s="167"/>
      <c r="F178" s="168">
        <v>5.5500000000000001E-2</v>
      </c>
      <c r="G178" s="168">
        <v>5.45E-2</v>
      </c>
      <c r="H178" s="169"/>
      <c r="I178" s="170">
        <v>5</v>
      </c>
      <c r="J178" s="170">
        <v>5</v>
      </c>
      <c r="K178" s="167"/>
      <c r="L178" s="171">
        <v>1760.23353</v>
      </c>
      <c r="M178" s="171">
        <v>1262.99432</v>
      </c>
      <c r="N178" s="171">
        <v>3023.2278500000002</v>
      </c>
      <c r="O178" s="166">
        <v>1153.54824649035</v>
      </c>
      <c r="P178" s="172">
        <v>238.04499999999999</v>
      </c>
      <c r="Q178" s="178">
        <v>4.8459251254609397</v>
      </c>
      <c r="R178" s="179">
        <v>2289.5565984736299</v>
      </c>
      <c r="S178" s="168">
        <v>0.01</v>
      </c>
      <c r="T178" s="168">
        <v>0.01</v>
      </c>
      <c r="U178" s="175">
        <v>0</v>
      </c>
      <c r="V178" s="176">
        <v>0</v>
      </c>
      <c r="W178" s="167"/>
      <c r="X178" s="175">
        <v>1223.9746399999999</v>
      </c>
      <c r="Y178" s="166">
        <v>467.02196121958099</v>
      </c>
      <c r="Z178" s="177">
        <v>573</v>
      </c>
      <c r="AA178" s="188">
        <v>0.81504705273923395</v>
      </c>
      <c r="AB178" s="171">
        <v>-542.051225380951</v>
      </c>
      <c r="AC178" s="168"/>
      <c r="AD178" s="168"/>
      <c r="AE178" s="176">
        <v>278</v>
      </c>
      <c r="AF178" s="176">
        <v>579</v>
      </c>
      <c r="AG178" s="167"/>
      <c r="AH178" s="180">
        <v>208.8</v>
      </c>
      <c r="AI178" s="166">
        <v>79.670102889262907</v>
      </c>
      <c r="AJ178" s="181" t="s">
        <v>53</v>
      </c>
      <c r="AK178" s="178">
        <v>1.2646048077660801</v>
      </c>
      <c r="AL178" s="179">
        <v>14.6296168952881</v>
      </c>
      <c r="AM178" s="168">
        <v>0.02</v>
      </c>
      <c r="AN178" s="168">
        <v>0.02</v>
      </c>
      <c r="AO178" s="176">
        <v>0</v>
      </c>
      <c r="AP178" s="176">
        <v>0</v>
      </c>
      <c r="AQ178" s="167"/>
      <c r="AR178" s="180">
        <v>45.5</v>
      </c>
      <c r="AS178" s="166">
        <v>17.3610616928231</v>
      </c>
      <c r="AT178" s="181" t="s">
        <v>54</v>
      </c>
      <c r="AU178" s="182">
        <v>1.08506635580144</v>
      </c>
      <c r="AV178" s="183">
        <v>-3.8131131694506402</v>
      </c>
      <c r="AW178" s="168">
        <v>5.4999999999999997E-3</v>
      </c>
      <c r="AX178" s="168">
        <v>4.4999999999999997E-3</v>
      </c>
      <c r="AY178" s="176">
        <v>0</v>
      </c>
      <c r="AZ178" s="176">
        <v>5</v>
      </c>
      <c r="BA178" s="167"/>
      <c r="BB178" s="184">
        <v>137.19999999999999</v>
      </c>
      <c r="BC178" s="180">
        <v>52.350278335281899</v>
      </c>
      <c r="BD178" s="181" t="s">
        <v>55</v>
      </c>
      <c r="BE178" s="178">
        <v>1.63594619797756</v>
      </c>
      <c r="BF178" s="179">
        <v>38.573773661098699</v>
      </c>
      <c r="BG178" s="168">
        <v>0.02</v>
      </c>
      <c r="BH178" s="168">
        <v>0.02</v>
      </c>
      <c r="BI178" s="176">
        <v>0</v>
      </c>
      <c r="BJ178" s="176">
        <v>0</v>
      </c>
      <c r="BK178" s="169"/>
      <c r="BL178" s="185">
        <v>0.8</v>
      </c>
      <c r="BM178" s="188">
        <v>0.72</v>
      </c>
      <c r="BN178" s="186"/>
      <c r="BO178" s="187">
        <v>0.95</v>
      </c>
      <c r="BP178" s="178">
        <v>1</v>
      </c>
      <c r="BQ178" s="186">
        <v>2.5000000000000001E-3</v>
      </c>
    </row>
    <row r="179" spans="1:69" s="156" customFormat="1" ht="22.35" customHeight="1" x14ac:dyDescent="0.2">
      <c r="A179" s="165" t="s">
        <v>220</v>
      </c>
      <c r="B179" s="165" t="s">
        <v>240</v>
      </c>
      <c r="C179" s="165" t="s">
        <v>243</v>
      </c>
      <c r="D179" s="166">
        <v>3.17144203944444</v>
      </c>
      <c r="E179" s="167"/>
      <c r="F179" s="168">
        <v>1.7000000000000001E-2</v>
      </c>
      <c r="G179" s="168">
        <v>1.4999999999999999E-2</v>
      </c>
      <c r="H179" s="169"/>
      <c r="I179" s="170">
        <v>3</v>
      </c>
      <c r="J179" s="170">
        <v>3</v>
      </c>
      <c r="K179" s="167"/>
      <c r="L179" s="171">
        <v>1812.93551</v>
      </c>
      <c r="M179" s="171">
        <v>2237.2494000000002</v>
      </c>
      <c r="N179" s="171">
        <v>4050.1849099999999</v>
      </c>
      <c r="O179" s="166">
        <v>1277.0799086429099</v>
      </c>
      <c r="P179" s="172">
        <v>247.75800000000001</v>
      </c>
      <c r="Q179" s="178">
        <v>5.1545455995080296</v>
      </c>
      <c r="R179" s="179">
        <v>3126.1427491129998</v>
      </c>
      <c r="S179" s="168">
        <v>0.01</v>
      </c>
      <c r="T179" s="168">
        <v>0.01</v>
      </c>
      <c r="U179" s="175">
        <v>0</v>
      </c>
      <c r="V179" s="176">
        <v>0</v>
      </c>
      <c r="W179" s="167"/>
      <c r="X179" s="175">
        <v>1903.01602</v>
      </c>
      <c r="Y179" s="166">
        <v>600.04754819147195</v>
      </c>
      <c r="Z179" s="177">
        <v>573</v>
      </c>
      <c r="AA179" s="182">
        <v>1.04720339998512</v>
      </c>
      <c r="AB179" s="183">
        <v>-234.05385539555701</v>
      </c>
      <c r="AC179" s="168">
        <v>7.0000000000000001E-3</v>
      </c>
      <c r="AD179" s="168">
        <v>5.0000000000000001E-3</v>
      </c>
      <c r="AE179" s="176">
        <v>0</v>
      </c>
      <c r="AF179" s="176">
        <v>278</v>
      </c>
      <c r="AG179" s="167"/>
      <c r="AH179" s="180">
        <v>172.5</v>
      </c>
      <c r="AI179" s="166">
        <v>54.391660908366298</v>
      </c>
      <c r="AJ179" s="181" t="s">
        <v>53</v>
      </c>
      <c r="AK179" s="188">
        <v>0.86335969695819603</v>
      </c>
      <c r="AL179" s="171">
        <v>-62.465797818359597</v>
      </c>
      <c r="AM179" s="168"/>
      <c r="AN179" s="168"/>
      <c r="AO179" s="176">
        <v>28</v>
      </c>
      <c r="AP179" s="176">
        <v>68</v>
      </c>
      <c r="AQ179" s="167"/>
      <c r="AR179" s="180">
        <v>28</v>
      </c>
      <c r="AS179" s="166">
        <v>8.8287913358507701</v>
      </c>
      <c r="AT179" s="181" t="s">
        <v>54</v>
      </c>
      <c r="AU179" s="173">
        <v>0.55179945849067302</v>
      </c>
      <c r="AV179" s="174">
        <v>-31.673853414186599</v>
      </c>
      <c r="AW179" s="168"/>
      <c r="AX179" s="168"/>
      <c r="AY179" s="176">
        <v>23</v>
      </c>
      <c r="AZ179" s="176">
        <v>33</v>
      </c>
      <c r="BA179" s="167"/>
      <c r="BB179" s="184">
        <v>95</v>
      </c>
      <c r="BC179" s="180">
        <v>29.9548277466365</v>
      </c>
      <c r="BD179" s="181" t="s">
        <v>55</v>
      </c>
      <c r="BE179" s="188">
        <v>0.93608836708239096</v>
      </c>
      <c r="BF179" s="171">
        <v>-24.347706828373202</v>
      </c>
      <c r="BG179" s="168"/>
      <c r="BH179" s="168"/>
      <c r="BI179" s="176">
        <v>7</v>
      </c>
      <c r="BJ179" s="176">
        <v>27</v>
      </c>
      <c r="BK179" s="169"/>
      <c r="BL179" s="185">
        <v>0.8</v>
      </c>
      <c r="BM179" s="188">
        <v>0.7</v>
      </c>
      <c r="BN179" s="186"/>
      <c r="BO179" s="187">
        <v>0.95</v>
      </c>
      <c r="BP179" s="178">
        <v>1</v>
      </c>
      <c r="BQ179" s="186">
        <v>2.5000000000000001E-3</v>
      </c>
    </row>
    <row r="180" spans="1:69" s="156" customFormat="1" ht="22.35" customHeight="1" x14ac:dyDescent="0.2">
      <c r="A180" s="165" t="s">
        <v>220</v>
      </c>
      <c r="B180" s="165" t="s">
        <v>240</v>
      </c>
      <c r="C180" s="165" t="s">
        <v>244</v>
      </c>
      <c r="D180" s="166">
        <v>3.4906875204444399</v>
      </c>
      <c r="E180" s="167"/>
      <c r="F180" s="168">
        <v>0.01</v>
      </c>
      <c r="G180" s="168">
        <v>0.01</v>
      </c>
      <c r="H180" s="169"/>
      <c r="I180" s="170">
        <v>3</v>
      </c>
      <c r="J180" s="170">
        <v>3</v>
      </c>
      <c r="K180" s="167"/>
      <c r="L180" s="171">
        <v>1143.02943</v>
      </c>
      <c r="M180" s="171">
        <v>218.91685000000001</v>
      </c>
      <c r="N180" s="171">
        <v>1361.9462799999999</v>
      </c>
      <c r="O180" s="166">
        <v>390.16562554605099</v>
      </c>
      <c r="P180" s="172">
        <v>247.167</v>
      </c>
      <c r="Q180" s="178">
        <v>1.5785506380141801</v>
      </c>
      <c r="R180" s="179">
        <v>347.313751457948</v>
      </c>
      <c r="S180" s="168">
        <v>0.01</v>
      </c>
      <c r="T180" s="168">
        <v>0.01</v>
      </c>
      <c r="U180" s="175">
        <v>0</v>
      </c>
      <c r="V180" s="176">
        <v>0</v>
      </c>
      <c r="W180" s="167"/>
      <c r="X180" s="175">
        <v>1461.699345</v>
      </c>
      <c r="Y180" s="166">
        <v>418.74253608753003</v>
      </c>
      <c r="Z180" s="177">
        <v>573</v>
      </c>
      <c r="AA180" s="173">
        <v>0.73078976629586501</v>
      </c>
      <c r="AB180" s="174">
        <v>-890.49345927644504</v>
      </c>
      <c r="AC180" s="168"/>
      <c r="AD180" s="168"/>
      <c r="AE180" s="176">
        <v>539</v>
      </c>
      <c r="AF180" s="176">
        <v>939</v>
      </c>
      <c r="AG180" s="167"/>
      <c r="AH180" s="180">
        <v>184.4</v>
      </c>
      <c r="AI180" s="166">
        <v>52.826269587293702</v>
      </c>
      <c r="AJ180" s="181" t="s">
        <v>53</v>
      </c>
      <c r="AK180" s="188">
        <v>0.83851221567132805</v>
      </c>
      <c r="AL180" s="171">
        <v>-74.218057014687602</v>
      </c>
      <c r="AM180" s="168"/>
      <c r="AN180" s="168"/>
      <c r="AO180" s="176">
        <v>36</v>
      </c>
      <c r="AP180" s="176">
        <v>80</v>
      </c>
      <c r="AQ180" s="167"/>
      <c r="AR180" s="180">
        <v>24.8</v>
      </c>
      <c r="AS180" s="166">
        <v>7.1046176017618397</v>
      </c>
      <c r="AT180" s="181" t="s">
        <v>54</v>
      </c>
      <c r="AU180" s="173">
        <v>0.44403860011011498</v>
      </c>
      <c r="AV180" s="174">
        <v>-40.880776384682598</v>
      </c>
      <c r="AW180" s="168"/>
      <c r="AX180" s="168"/>
      <c r="AY180" s="176">
        <v>32</v>
      </c>
      <c r="AZ180" s="176">
        <v>43</v>
      </c>
      <c r="BA180" s="167"/>
      <c r="BB180" s="184">
        <v>83.2</v>
      </c>
      <c r="BC180" s="180">
        <v>23.8348461478462</v>
      </c>
      <c r="BD180" s="181" t="s">
        <v>55</v>
      </c>
      <c r="BE180" s="173">
        <v>0.74483894212019297</v>
      </c>
      <c r="BF180" s="174">
        <v>-48.161552769365102</v>
      </c>
      <c r="BG180" s="168"/>
      <c r="BH180" s="168"/>
      <c r="BI180" s="176">
        <v>29</v>
      </c>
      <c r="BJ180" s="176">
        <v>51</v>
      </c>
      <c r="BK180" s="169"/>
      <c r="BL180" s="185">
        <v>0.8</v>
      </c>
      <c r="BM180" s="182">
        <v>0.86</v>
      </c>
      <c r="BN180" s="186">
        <v>2.2499999999999998E-3</v>
      </c>
      <c r="BO180" s="187">
        <v>0.95</v>
      </c>
      <c r="BP180" s="178">
        <v>1</v>
      </c>
      <c r="BQ180" s="186">
        <v>2.5000000000000001E-3</v>
      </c>
    </row>
    <row r="181" spans="1:69" s="156" customFormat="1" ht="22.35" customHeight="1" x14ac:dyDescent="0.2">
      <c r="A181" s="165" t="s">
        <v>220</v>
      </c>
      <c r="B181" s="165" t="s">
        <v>240</v>
      </c>
      <c r="C181" s="165" t="s">
        <v>245</v>
      </c>
      <c r="D181" s="166">
        <v>2.5343313424444398</v>
      </c>
      <c r="E181" s="167"/>
      <c r="F181" s="168">
        <v>6.5000000000000002E-2</v>
      </c>
      <c r="G181" s="168">
        <v>6.2E-2</v>
      </c>
      <c r="H181" s="169"/>
      <c r="I181" s="170">
        <v>5</v>
      </c>
      <c r="J181" s="170">
        <v>5</v>
      </c>
      <c r="K181" s="167"/>
      <c r="L181" s="171">
        <v>2273.9973599999998</v>
      </c>
      <c r="M181" s="171">
        <v>915.54655000000002</v>
      </c>
      <c r="N181" s="171">
        <v>3189.5439099999999</v>
      </c>
      <c r="O181" s="166">
        <v>1258.5346898340399</v>
      </c>
      <c r="P181" s="172">
        <v>233.029</v>
      </c>
      <c r="Q181" s="178">
        <v>5.40076423893181</v>
      </c>
      <c r="R181" s="179">
        <v>2495.0304166833798</v>
      </c>
      <c r="S181" s="168">
        <v>0.01</v>
      </c>
      <c r="T181" s="168">
        <v>0.01</v>
      </c>
      <c r="U181" s="175">
        <v>0</v>
      </c>
      <c r="V181" s="176">
        <v>0</v>
      </c>
      <c r="W181" s="167"/>
      <c r="X181" s="175">
        <v>1642.46561</v>
      </c>
      <c r="Y181" s="166">
        <v>648.08637390554804</v>
      </c>
      <c r="Z181" s="177">
        <v>573</v>
      </c>
      <c r="AA181" s="182">
        <v>1.13104079215628</v>
      </c>
      <c r="AB181" s="183">
        <v>-65.288496443500705</v>
      </c>
      <c r="AC181" s="168">
        <v>1.4999999999999999E-2</v>
      </c>
      <c r="AD181" s="168">
        <v>1.2999999999999999E-2</v>
      </c>
      <c r="AE181" s="176">
        <v>0</v>
      </c>
      <c r="AF181" s="176">
        <v>101</v>
      </c>
      <c r="AG181" s="167"/>
      <c r="AH181" s="180">
        <v>190.4</v>
      </c>
      <c r="AI181" s="166">
        <v>75.128297871403404</v>
      </c>
      <c r="AJ181" s="181" t="s">
        <v>53</v>
      </c>
      <c r="AK181" s="178">
        <v>1.19251266462545</v>
      </c>
      <c r="AL181" s="179">
        <v>2.6364595009763701</v>
      </c>
      <c r="AM181" s="168">
        <v>0.02</v>
      </c>
      <c r="AN181" s="168">
        <v>1.9E-2</v>
      </c>
      <c r="AO181" s="176">
        <v>0</v>
      </c>
      <c r="AP181" s="176">
        <v>2</v>
      </c>
      <c r="AQ181" s="167"/>
      <c r="AR181" s="180">
        <v>25.7</v>
      </c>
      <c r="AS181" s="166">
        <v>10.140741887053901</v>
      </c>
      <c r="AT181" s="181" t="s">
        <v>54</v>
      </c>
      <c r="AU181" s="173">
        <v>0.63379636794087102</v>
      </c>
      <c r="AV181" s="174">
        <v>-21.985978539434601</v>
      </c>
      <c r="AW181" s="168"/>
      <c r="AX181" s="168"/>
      <c r="AY181" s="176">
        <v>15</v>
      </c>
      <c r="AZ181" s="176">
        <v>23</v>
      </c>
      <c r="BA181" s="167"/>
      <c r="BB181" s="184">
        <v>120.6</v>
      </c>
      <c r="BC181" s="180">
        <v>47.586516403840598</v>
      </c>
      <c r="BD181" s="181" t="s">
        <v>55</v>
      </c>
      <c r="BE181" s="178">
        <v>1.48707863762002</v>
      </c>
      <c r="BF181" s="179">
        <v>25.2280429211309</v>
      </c>
      <c r="BG181" s="168">
        <v>0.02</v>
      </c>
      <c r="BH181" s="168">
        <v>0.02</v>
      </c>
      <c r="BI181" s="176">
        <v>0</v>
      </c>
      <c r="BJ181" s="176">
        <v>0</v>
      </c>
      <c r="BK181" s="169"/>
      <c r="BL181" s="185">
        <v>0.8</v>
      </c>
      <c r="BM181" s="188">
        <v>0.73</v>
      </c>
      <c r="BN181" s="186"/>
      <c r="BO181" s="187">
        <v>0.95</v>
      </c>
      <c r="BP181" s="178">
        <v>1</v>
      </c>
      <c r="BQ181" s="186">
        <v>2.5000000000000001E-3</v>
      </c>
    </row>
    <row r="182" spans="1:69" s="156" customFormat="1" ht="22.35" customHeight="1" x14ac:dyDescent="0.2">
      <c r="A182" s="165" t="s">
        <v>220</v>
      </c>
      <c r="B182" s="165" t="s">
        <v>240</v>
      </c>
      <c r="C182" s="165" t="s">
        <v>246</v>
      </c>
      <c r="D182" s="166">
        <v>3.7290475793333302</v>
      </c>
      <c r="E182" s="167"/>
      <c r="F182" s="168">
        <v>1.2999999999999999E-2</v>
      </c>
      <c r="G182" s="168">
        <v>1.0999999999999999E-2</v>
      </c>
      <c r="H182" s="169"/>
      <c r="I182" s="170">
        <v>3</v>
      </c>
      <c r="J182" s="170">
        <v>3</v>
      </c>
      <c r="K182" s="167"/>
      <c r="L182" s="171">
        <v>2019.8528200000001</v>
      </c>
      <c r="M182" s="171">
        <v>2258.73893</v>
      </c>
      <c r="N182" s="171">
        <v>4278.5917499999996</v>
      </c>
      <c r="O182" s="166">
        <v>1147.36850602612</v>
      </c>
      <c r="P182" s="172">
        <v>254.047</v>
      </c>
      <c r="Q182" s="178">
        <v>4.5163631376324904</v>
      </c>
      <c r="R182" s="179">
        <v>3164.5042099450102</v>
      </c>
      <c r="S182" s="168">
        <v>0.01</v>
      </c>
      <c r="T182" s="168">
        <v>0.01</v>
      </c>
      <c r="U182" s="175">
        <v>0</v>
      </c>
      <c r="V182" s="176">
        <v>0</v>
      </c>
      <c r="W182" s="167"/>
      <c r="X182" s="175">
        <v>1894.53422</v>
      </c>
      <c r="Y182" s="166">
        <v>508.04774669533703</v>
      </c>
      <c r="Z182" s="177">
        <v>573</v>
      </c>
      <c r="AA182" s="188">
        <v>0.88664528219081395</v>
      </c>
      <c r="AB182" s="171">
        <v>-618.27703323860601</v>
      </c>
      <c r="AC182" s="168"/>
      <c r="AD182" s="168"/>
      <c r="AE182" s="176">
        <v>243</v>
      </c>
      <c r="AF182" s="176">
        <v>670</v>
      </c>
      <c r="AG182" s="167"/>
      <c r="AH182" s="180">
        <v>215.8</v>
      </c>
      <c r="AI182" s="166">
        <v>57.870004447242799</v>
      </c>
      <c r="AJ182" s="181" t="s">
        <v>53</v>
      </c>
      <c r="AK182" s="188">
        <v>0.91857149916258396</v>
      </c>
      <c r="AL182" s="171">
        <v>-60.477677057647703</v>
      </c>
      <c r="AM182" s="168"/>
      <c r="AN182" s="168"/>
      <c r="AO182" s="176">
        <v>20</v>
      </c>
      <c r="AP182" s="176">
        <v>67</v>
      </c>
      <c r="AQ182" s="167"/>
      <c r="AR182" s="180">
        <v>28.8</v>
      </c>
      <c r="AS182" s="166">
        <v>7.7231516593169296</v>
      </c>
      <c r="AT182" s="181" t="s">
        <v>54</v>
      </c>
      <c r="AU182" s="173">
        <v>0.48269697870730799</v>
      </c>
      <c r="AV182" s="174">
        <v>-41.365759252735899</v>
      </c>
      <c r="AW182" s="168"/>
      <c r="AX182" s="168"/>
      <c r="AY182" s="176">
        <v>31</v>
      </c>
      <c r="AZ182" s="176">
        <v>43</v>
      </c>
      <c r="BA182" s="167"/>
      <c r="BB182" s="184">
        <v>121</v>
      </c>
      <c r="BC182" s="180">
        <v>32.447963568657897</v>
      </c>
      <c r="BD182" s="181" t="s">
        <v>55</v>
      </c>
      <c r="BE182" s="182">
        <v>1.01399886152056</v>
      </c>
      <c r="BF182" s="183">
        <v>-19.331518505471902</v>
      </c>
      <c r="BG182" s="168">
        <v>3.0000000000000001E-3</v>
      </c>
      <c r="BH182" s="168">
        <v>1E-3</v>
      </c>
      <c r="BI182" s="176">
        <v>0</v>
      </c>
      <c r="BJ182" s="176">
        <v>23</v>
      </c>
      <c r="BK182" s="169"/>
      <c r="BL182" s="185">
        <v>0.8</v>
      </c>
      <c r="BM182" s="188">
        <v>0.79</v>
      </c>
      <c r="BN182" s="186"/>
      <c r="BO182" s="187">
        <v>0.95</v>
      </c>
      <c r="BP182" s="178">
        <v>1</v>
      </c>
      <c r="BQ182" s="186">
        <v>2.5000000000000001E-3</v>
      </c>
    </row>
    <row r="183" spans="1:69" s="156" customFormat="1" ht="22.35" customHeight="1" x14ac:dyDescent="0.2">
      <c r="A183" s="165" t="s">
        <v>220</v>
      </c>
      <c r="B183" s="165" t="s">
        <v>240</v>
      </c>
      <c r="C183" s="165" t="s">
        <v>247</v>
      </c>
      <c r="D183" s="166">
        <v>4.4497067784444404</v>
      </c>
      <c r="E183" s="167"/>
      <c r="F183" s="168">
        <v>0.01</v>
      </c>
      <c r="G183" s="168">
        <v>0.01</v>
      </c>
      <c r="H183" s="169"/>
      <c r="I183" s="170">
        <v>2</v>
      </c>
      <c r="J183" s="170">
        <v>2</v>
      </c>
      <c r="K183" s="167"/>
      <c r="L183" s="171">
        <v>2237.88105</v>
      </c>
      <c r="M183" s="171">
        <v>-316.78881000000001</v>
      </c>
      <c r="N183" s="171">
        <v>1921.0922399999999</v>
      </c>
      <c r="O183" s="166">
        <v>431.73456941169201</v>
      </c>
      <c r="P183" s="172">
        <v>217.155</v>
      </c>
      <c r="Q183" s="178">
        <v>1.9881401276124999</v>
      </c>
      <c r="R183" s="179">
        <v>784.75157524363203</v>
      </c>
      <c r="S183" s="168">
        <v>0.01</v>
      </c>
      <c r="T183" s="168">
        <v>0.01</v>
      </c>
      <c r="U183" s="175">
        <v>0</v>
      </c>
      <c r="V183" s="176">
        <v>0</v>
      </c>
      <c r="W183" s="167"/>
      <c r="X183" s="175">
        <v>2285.1937349999998</v>
      </c>
      <c r="Y183" s="166">
        <v>513.56052180114</v>
      </c>
      <c r="Z183" s="177">
        <v>573</v>
      </c>
      <c r="AA183" s="188">
        <v>0.89626618115382295</v>
      </c>
      <c r="AB183" s="171">
        <v>-713.23227824122898</v>
      </c>
      <c r="AC183" s="168"/>
      <c r="AD183" s="168"/>
      <c r="AE183" s="176">
        <v>265</v>
      </c>
      <c r="AF183" s="176">
        <v>775</v>
      </c>
      <c r="AG183" s="167"/>
      <c r="AH183" s="180">
        <v>187.35</v>
      </c>
      <c r="AI183" s="166">
        <v>42.103897925942597</v>
      </c>
      <c r="AJ183" s="181" t="s">
        <v>53</v>
      </c>
      <c r="AK183" s="173">
        <v>0.66831584009432798</v>
      </c>
      <c r="AL183" s="174">
        <v>-142.31987580139199</v>
      </c>
      <c r="AM183" s="168"/>
      <c r="AN183" s="168"/>
      <c r="AO183" s="176">
        <v>93</v>
      </c>
      <c r="AP183" s="176">
        <v>150</v>
      </c>
      <c r="AQ183" s="167"/>
      <c r="AR183" s="180">
        <v>31.4</v>
      </c>
      <c r="AS183" s="166">
        <v>7.0566447551353004</v>
      </c>
      <c r="AT183" s="181" t="s">
        <v>54</v>
      </c>
      <c r="AU183" s="173">
        <v>0.441040297195956</v>
      </c>
      <c r="AV183" s="174">
        <v>-52.325682743210599</v>
      </c>
      <c r="AW183" s="168"/>
      <c r="AX183" s="168"/>
      <c r="AY183" s="176">
        <v>40</v>
      </c>
      <c r="AZ183" s="176">
        <v>55</v>
      </c>
      <c r="BA183" s="167"/>
      <c r="BB183" s="184">
        <v>120.8</v>
      </c>
      <c r="BC183" s="180">
        <v>27.147856255425001</v>
      </c>
      <c r="BD183" s="181" t="s">
        <v>55</v>
      </c>
      <c r="BE183" s="188">
        <v>0.84837050798203095</v>
      </c>
      <c r="BF183" s="171">
        <v>-46.651365486421099</v>
      </c>
      <c r="BG183" s="168"/>
      <c r="BH183" s="168"/>
      <c r="BI183" s="176">
        <v>22</v>
      </c>
      <c r="BJ183" s="176">
        <v>51</v>
      </c>
      <c r="BK183" s="169"/>
      <c r="BL183" s="185">
        <v>0.8</v>
      </c>
      <c r="BM183" s="188">
        <v>0.76</v>
      </c>
      <c r="BN183" s="186"/>
      <c r="BO183" s="187">
        <v>0.95</v>
      </c>
      <c r="BP183" s="178">
        <v>1</v>
      </c>
      <c r="BQ183" s="186">
        <v>2.5000000000000001E-3</v>
      </c>
    </row>
    <row r="184" spans="1:69" s="156" customFormat="1" ht="22.35" customHeight="1" x14ac:dyDescent="0.2">
      <c r="A184" s="165" t="s">
        <v>220</v>
      </c>
      <c r="B184" s="165" t="s">
        <v>240</v>
      </c>
      <c r="C184" s="165" t="s">
        <v>248</v>
      </c>
      <c r="D184" s="166">
        <v>4.5199524895555596</v>
      </c>
      <c r="E184" s="167"/>
      <c r="F184" s="168">
        <v>1.4999999999999999E-2</v>
      </c>
      <c r="G184" s="168">
        <v>1.2999999999999999E-2</v>
      </c>
      <c r="H184" s="169"/>
      <c r="I184" s="170">
        <v>3</v>
      </c>
      <c r="J184" s="170">
        <v>3</v>
      </c>
      <c r="K184" s="167"/>
      <c r="L184" s="171">
        <v>1199.1297400000001</v>
      </c>
      <c r="M184" s="171">
        <v>983.39122999999995</v>
      </c>
      <c r="N184" s="171">
        <v>2182.52097</v>
      </c>
      <c r="O184" s="166">
        <v>482.86369713912802</v>
      </c>
      <c r="P184" s="172">
        <v>287.5</v>
      </c>
      <c r="Q184" s="178">
        <v>1.67952590309262</v>
      </c>
      <c r="R184" s="179">
        <v>654.32503328126495</v>
      </c>
      <c r="S184" s="168">
        <v>0.01</v>
      </c>
      <c r="T184" s="168">
        <v>0.01</v>
      </c>
      <c r="U184" s="175">
        <v>0</v>
      </c>
      <c r="V184" s="176">
        <v>0</v>
      </c>
      <c r="W184" s="167"/>
      <c r="X184" s="175">
        <v>1792.9428949999999</v>
      </c>
      <c r="Y184" s="166">
        <v>396.67295157261702</v>
      </c>
      <c r="Z184" s="177">
        <v>573</v>
      </c>
      <c r="AA184" s="173">
        <v>0.69227391199409605</v>
      </c>
      <c r="AB184" s="174">
        <v>-1252.81805018203</v>
      </c>
      <c r="AC184" s="168"/>
      <c r="AD184" s="168"/>
      <c r="AE184" s="176">
        <v>797</v>
      </c>
      <c r="AF184" s="176">
        <v>1315</v>
      </c>
      <c r="AG184" s="167"/>
      <c r="AH184" s="180">
        <v>176.8</v>
      </c>
      <c r="AI184" s="166">
        <v>39.115455396608503</v>
      </c>
      <c r="AJ184" s="181" t="s">
        <v>53</v>
      </c>
      <c r="AK184" s="173">
        <v>0.62088024439061096</v>
      </c>
      <c r="AL184" s="174">
        <v>-158.07424004619199</v>
      </c>
      <c r="AM184" s="168"/>
      <c r="AN184" s="168"/>
      <c r="AO184" s="176">
        <v>108</v>
      </c>
      <c r="AP184" s="176">
        <v>165</v>
      </c>
      <c r="AQ184" s="167"/>
      <c r="AR184" s="180">
        <v>44.4</v>
      </c>
      <c r="AS184" s="166">
        <v>9.8231121018632308</v>
      </c>
      <c r="AT184" s="181" t="s">
        <v>54</v>
      </c>
      <c r="AU184" s="173">
        <v>0.61394450636645204</v>
      </c>
      <c r="AV184" s="174">
        <v>-40.647426043477402</v>
      </c>
      <c r="AW184" s="168"/>
      <c r="AX184" s="168"/>
      <c r="AY184" s="176">
        <v>28</v>
      </c>
      <c r="AZ184" s="176">
        <v>43</v>
      </c>
      <c r="BA184" s="167"/>
      <c r="BB184" s="184">
        <v>149</v>
      </c>
      <c r="BC184" s="180">
        <v>32.964948269766197</v>
      </c>
      <c r="BD184" s="181" t="s">
        <v>55</v>
      </c>
      <c r="BE184" s="182">
        <v>1.0301546334301901</v>
      </c>
      <c r="BF184" s="183">
        <v>-21.094852086954798</v>
      </c>
      <c r="BG184" s="168">
        <v>5.0000000000000001E-3</v>
      </c>
      <c r="BH184" s="168">
        <v>3.0000000000000001E-3</v>
      </c>
      <c r="BI184" s="176">
        <v>0</v>
      </c>
      <c r="BJ184" s="176">
        <v>25</v>
      </c>
      <c r="BK184" s="169"/>
      <c r="BL184" s="185">
        <v>0.8</v>
      </c>
      <c r="BM184" s="173">
        <v>0.69</v>
      </c>
      <c r="BN184" s="186"/>
      <c r="BO184" s="187">
        <v>0.95</v>
      </c>
      <c r="BP184" s="178">
        <v>1</v>
      </c>
      <c r="BQ184" s="186">
        <v>2.5000000000000001E-3</v>
      </c>
    </row>
    <row r="185" spans="1:69" s="156" customFormat="1" ht="22.35" customHeight="1" x14ac:dyDescent="0.2">
      <c r="A185" s="165" t="s">
        <v>220</v>
      </c>
      <c r="B185" s="165" t="s">
        <v>240</v>
      </c>
      <c r="C185" s="165" t="s">
        <v>249</v>
      </c>
      <c r="D185" s="166">
        <v>3.0343497082222202</v>
      </c>
      <c r="E185" s="167"/>
      <c r="F185" s="168">
        <v>0.01</v>
      </c>
      <c r="G185" s="168">
        <v>0.01</v>
      </c>
      <c r="H185" s="169"/>
      <c r="I185" s="170">
        <v>2</v>
      </c>
      <c r="J185" s="170">
        <v>2</v>
      </c>
      <c r="K185" s="167"/>
      <c r="L185" s="171">
        <v>1806.9964600000001</v>
      </c>
      <c r="M185" s="171">
        <v>1514.4563499999999</v>
      </c>
      <c r="N185" s="171">
        <v>3321.4528100000002</v>
      </c>
      <c r="O185" s="166">
        <v>1094.6176707977399</v>
      </c>
      <c r="P185" s="172">
        <v>243.29900000000001</v>
      </c>
      <c r="Q185" s="178">
        <v>4.4990635834826298</v>
      </c>
      <c r="R185" s="179">
        <v>2453.2658123989499</v>
      </c>
      <c r="S185" s="168">
        <v>0.01</v>
      </c>
      <c r="T185" s="168">
        <v>0.01</v>
      </c>
      <c r="U185" s="175">
        <v>0</v>
      </c>
      <c r="V185" s="176">
        <v>0</v>
      </c>
      <c r="W185" s="167"/>
      <c r="X185" s="175">
        <v>1165.4873250000001</v>
      </c>
      <c r="Y185" s="166">
        <v>384.09789149940798</v>
      </c>
      <c r="Z185" s="177">
        <v>573</v>
      </c>
      <c r="AA185" s="173">
        <v>0.67032790837593004</v>
      </c>
      <c r="AB185" s="174">
        <v>-879.20315718612596</v>
      </c>
      <c r="AC185" s="168"/>
      <c r="AD185" s="168"/>
      <c r="AE185" s="176">
        <v>574</v>
      </c>
      <c r="AF185" s="176">
        <v>921</v>
      </c>
      <c r="AG185" s="167"/>
      <c r="AH185" s="180">
        <v>119.8</v>
      </c>
      <c r="AI185" s="166">
        <v>39.481276556679099</v>
      </c>
      <c r="AJ185" s="181" t="s">
        <v>53</v>
      </c>
      <c r="AK185" s="173">
        <v>0.62668692947109605</v>
      </c>
      <c r="AL185" s="174">
        <v>-105.008901182768</v>
      </c>
      <c r="AM185" s="168"/>
      <c r="AN185" s="168"/>
      <c r="AO185" s="176">
        <v>72</v>
      </c>
      <c r="AP185" s="176">
        <v>110</v>
      </c>
      <c r="AQ185" s="167"/>
      <c r="AR185" s="180">
        <v>38.799999999999997</v>
      </c>
      <c r="AS185" s="166">
        <v>12.7869242938159</v>
      </c>
      <c r="AT185" s="181" t="s">
        <v>54</v>
      </c>
      <c r="AU185" s="188">
        <v>0.799182768363495</v>
      </c>
      <c r="AV185" s="171">
        <v>-18.294324109909301</v>
      </c>
      <c r="AW185" s="168"/>
      <c r="AX185" s="168"/>
      <c r="AY185" s="176">
        <v>10</v>
      </c>
      <c r="AZ185" s="176">
        <v>20</v>
      </c>
      <c r="BA185" s="167"/>
      <c r="BB185" s="184">
        <v>82</v>
      </c>
      <c r="BC185" s="180">
        <v>27.0239121673429</v>
      </c>
      <c r="BD185" s="181" t="s">
        <v>55</v>
      </c>
      <c r="BE185" s="188">
        <v>0.84449725522946595</v>
      </c>
      <c r="BF185" s="171">
        <v>-32.188648219818603</v>
      </c>
      <c r="BG185" s="168"/>
      <c r="BH185" s="168"/>
      <c r="BI185" s="176">
        <v>16</v>
      </c>
      <c r="BJ185" s="176">
        <v>35</v>
      </c>
      <c r="BK185" s="169"/>
      <c r="BL185" s="185">
        <v>0.8</v>
      </c>
      <c r="BM185" s="188">
        <v>0.7</v>
      </c>
      <c r="BN185" s="186"/>
      <c r="BO185" s="187">
        <v>0.95</v>
      </c>
      <c r="BP185" s="178">
        <v>1</v>
      </c>
      <c r="BQ185" s="186">
        <v>2.5000000000000001E-3</v>
      </c>
    </row>
    <row r="186" spans="1:69" s="156" customFormat="1" ht="22.35" customHeight="1" x14ac:dyDescent="0.2">
      <c r="A186" s="165" t="s">
        <v>220</v>
      </c>
      <c r="B186" s="165" t="s">
        <v>240</v>
      </c>
      <c r="C186" s="165" t="s">
        <v>250</v>
      </c>
      <c r="D186" s="166">
        <v>3.9243355210000002</v>
      </c>
      <c r="E186" s="167"/>
      <c r="F186" s="168">
        <v>0.04</v>
      </c>
      <c r="G186" s="168">
        <v>0.04</v>
      </c>
      <c r="H186" s="169"/>
      <c r="I186" s="170">
        <v>5</v>
      </c>
      <c r="J186" s="170">
        <v>5</v>
      </c>
      <c r="K186" s="167"/>
      <c r="L186" s="171">
        <v>4285.8177100000003</v>
      </c>
      <c r="M186" s="171">
        <v>3188.9398299999998</v>
      </c>
      <c r="N186" s="171">
        <v>7474.7575399999996</v>
      </c>
      <c r="O186" s="166">
        <v>1904.71928304828</v>
      </c>
      <c r="P186" s="172">
        <v>285.27300000000002</v>
      </c>
      <c r="Q186" s="178">
        <v>6.6768298543790703</v>
      </c>
      <c r="R186" s="179">
        <v>6158.2173467112898</v>
      </c>
      <c r="S186" s="168">
        <v>0.01</v>
      </c>
      <c r="T186" s="168">
        <v>0.01</v>
      </c>
      <c r="U186" s="175">
        <v>0</v>
      </c>
      <c r="V186" s="176">
        <v>0</v>
      </c>
      <c r="W186" s="167"/>
      <c r="X186" s="175">
        <v>1905.99947</v>
      </c>
      <c r="Y186" s="166">
        <v>485.687184441944</v>
      </c>
      <c r="Z186" s="177">
        <v>573</v>
      </c>
      <c r="AA186" s="188">
        <v>0.84762161333672603</v>
      </c>
      <c r="AB186" s="171">
        <v>-738.40617215480802</v>
      </c>
      <c r="AC186" s="168"/>
      <c r="AD186" s="168"/>
      <c r="AE186" s="176">
        <v>343</v>
      </c>
      <c r="AF186" s="176">
        <v>793</v>
      </c>
      <c r="AG186" s="167"/>
      <c r="AH186" s="180">
        <v>189.9</v>
      </c>
      <c r="AI186" s="166">
        <v>48.3903578029459</v>
      </c>
      <c r="AJ186" s="181" t="s">
        <v>53</v>
      </c>
      <c r="AK186" s="173">
        <v>0.76810091750707699</v>
      </c>
      <c r="AL186" s="174">
        <v>-100.84617007984799</v>
      </c>
      <c r="AM186" s="168"/>
      <c r="AN186" s="168"/>
      <c r="AO186" s="176">
        <v>58</v>
      </c>
      <c r="AP186" s="176">
        <v>107</v>
      </c>
      <c r="AQ186" s="167"/>
      <c r="AR186" s="180">
        <v>75.599999999999994</v>
      </c>
      <c r="AS186" s="166">
        <v>19.264407845722499</v>
      </c>
      <c r="AT186" s="181" t="s">
        <v>54</v>
      </c>
      <c r="AU186" s="178">
        <v>1.2040254903576599</v>
      </c>
      <c r="AV186" s="179">
        <v>1.75970283686402</v>
      </c>
      <c r="AW186" s="168">
        <v>0.01</v>
      </c>
      <c r="AX186" s="168">
        <v>0.01</v>
      </c>
      <c r="AY186" s="176">
        <v>0</v>
      </c>
      <c r="AZ186" s="176">
        <v>0</v>
      </c>
      <c r="BA186" s="167"/>
      <c r="BB186" s="184">
        <v>220.6</v>
      </c>
      <c r="BC186" s="180">
        <v>56.213338237650703</v>
      </c>
      <c r="BD186" s="181" t="s">
        <v>55</v>
      </c>
      <c r="BE186" s="178">
        <v>1.75666681992658</v>
      </c>
      <c r="BF186" s="179">
        <v>72.919405673727994</v>
      </c>
      <c r="BG186" s="168">
        <v>0.02</v>
      </c>
      <c r="BH186" s="168">
        <v>0.02</v>
      </c>
      <c r="BI186" s="176">
        <v>0</v>
      </c>
      <c r="BJ186" s="176">
        <v>0</v>
      </c>
      <c r="BK186" s="169"/>
      <c r="BL186" s="185">
        <v>0.8</v>
      </c>
      <c r="BM186" s="182">
        <v>0.82</v>
      </c>
      <c r="BN186" s="186">
        <v>7.5000000000000002E-4</v>
      </c>
      <c r="BO186" s="187">
        <v>0.95</v>
      </c>
      <c r="BP186" s="178">
        <v>1</v>
      </c>
      <c r="BQ186" s="186">
        <v>2.5000000000000001E-3</v>
      </c>
    </row>
    <row r="187" spans="1:69" s="156" customFormat="1" ht="22.35" customHeight="1" x14ac:dyDescent="0.2">
      <c r="A187" s="165" t="s">
        <v>220</v>
      </c>
      <c r="B187" s="165" t="s">
        <v>240</v>
      </c>
      <c r="C187" s="165" t="s">
        <v>251</v>
      </c>
      <c r="D187" s="166">
        <v>1.82888188633333</v>
      </c>
      <c r="E187" s="167"/>
      <c r="F187" s="168">
        <v>7.0000000000000007E-2</v>
      </c>
      <c r="G187" s="168">
        <v>7.0000000000000007E-2</v>
      </c>
      <c r="H187" s="169"/>
      <c r="I187" s="170">
        <v>5</v>
      </c>
      <c r="J187" s="170">
        <v>5</v>
      </c>
      <c r="K187" s="167"/>
      <c r="L187" s="171">
        <v>507.77127000000002</v>
      </c>
      <c r="M187" s="171">
        <v>28.087350000000001</v>
      </c>
      <c r="N187" s="171">
        <v>535.85861999999997</v>
      </c>
      <c r="O187" s="166">
        <v>292.99793715728998</v>
      </c>
      <c r="P187" s="172">
        <v>243.29900000000001</v>
      </c>
      <c r="Q187" s="178">
        <v>1.20427102929848</v>
      </c>
      <c r="R187" s="179">
        <v>12.579622341896901</v>
      </c>
      <c r="S187" s="168">
        <v>0.01</v>
      </c>
      <c r="T187" s="168">
        <v>0.01</v>
      </c>
      <c r="U187" s="175">
        <v>0</v>
      </c>
      <c r="V187" s="176">
        <v>0</v>
      </c>
      <c r="W187" s="167"/>
      <c r="X187" s="175">
        <v>1268.6986850000001</v>
      </c>
      <c r="Y187" s="166">
        <v>693.70181556315401</v>
      </c>
      <c r="Z187" s="177">
        <v>573</v>
      </c>
      <c r="AA187" s="178">
        <v>1.21064889278037</v>
      </c>
      <c r="AB187" s="179">
        <v>36.310283658058303</v>
      </c>
      <c r="AC187" s="168">
        <v>0.02</v>
      </c>
      <c r="AD187" s="168">
        <v>0.02</v>
      </c>
      <c r="AE187" s="176">
        <v>0</v>
      </c>
      <c r="AF187" s="176">
        <v>0</v>
      </c>
      <c r="AG187" s="167"/>
      <c r="AH187" s="180">
        <v>172.2</v>
      </c>
      <c r="AI187" s="166">
        <v>94.155889063584198</v>
      </c>
      <c r="AJ187" s="181" t="s">
        <v>53</v>
      </c>
      <c r="AK187" s="178">
        <v>1.4945379216441901</v>
      </c>
      <c r="AL187" s="179">
        <v>36.701798805336303</v>
      </c>
      <c r="AM187" s="168">
        <v>0.02</v>
      </c>
      <c r="AN187" s="168">
        <v>0.02</v>
      </c>
      <c r="AO187" s="176">
        <v>0</v>
      </c>
      <c r="AP187" s="176">
        <v>0</v>
      </c>
      <c r="AQ187" s="167"/>
      <c r="AR187" s="180">
        <v>20.6</v>
      </c>
      <c r="AS187" s="166">
        <v>11.263712628977</v>
      </c>
      <c r="AT187" s="181" t="s">
        <v>54</v>
      </c>
      <c r="AU187" s="173">
        <v>0.70398203931106096</v>
      </c>
      <c r="AV187" s="174">
        <v>-13.812241573247899</v>
      </c>
      <c r="AW187" s="168"/>
      <c r="AX187" s="168"/>
      <c r="AY187" s="176">
        <v>9</v>
      </c>
      <c r="AZ187" s="176">
        <v>15</v>
      </c>
      <c r="BA187" s="167"/>
      <c r="BB187" s="184">
        <v>90</v>
      </c>
      <c r="BC187" s="180">
        <v>49.210394980967401</v>
      </c>
      <c r="BD187" s="181" t="s">
        <v>55</v>
      </c>
      <c r="BE187" s="178">
        <v>1.5378248431552299</v>
      </c>
      <c r="BF187" s="179">
        <v>21.175516853504099</v>
      </c>
      <c r="BG187" s="168">
        <v>0.02</v>
      </c>
      <c r="BH187" s="168">
        <v>0.02</v>
      </c>
      <c r="BI187" s="176">
        <v>0</v>
      </c>
      <c r="BJ187" s="176">
        <v>0</v>
      </c>
      <c r="BK187" s="169"/>
      <c r="BL187" s="185">
        <v>0.8</v>
      </c>
      <c r="BM187" s="188">
        <v>0.75</v>
      </c>
      <c r="BN187" s="186"/>
      <c r="BO187" s="187">
        <v>0.95</v>
      </c>
      <c r="BP187" s="178">
        <v>1</v>
      </c>
      <c r="BQ187" s="186">
        <v>2.5000000000000001E-3</v>
      </c>
    </row>
    <row r="188" spans="1:69" s="156" customFormat="1" ht="22.35" customHeight="1" x14ac:dyDescent="0.2">
      <c r="A188" s="165" t="s">
        <v>220</v>
      </c>
      <c r="B188" s="165" t="s">
        <v>240</v>
      </c>
      <c r="C188" s="165" t="s">
        <v>252</v>
      </c>
      <c r="D188" s="166">
        <v>3.0121534749999999</v>
      </c>
      <c r="E188" s="167"/>
      <c r="F188" s="168">
        <v>3.5999999999999997E-2</v>
      </c>
      <c r="G188" s="168">
        <v>3.1E-2</v>
      </c>
      <c r="H188" s="169"/>
      <c r="I188" s="170">
        <v>4</v>
      </c>
      <c r="J188" s="170">
        <v>4</v>
      </c>
      <c r="K188" s="167"/>
      <c r="L188" s="171">
        <v>1488.5916299999999</v>
      </c>
      <c r="M188" s="171">
        <v>356.14033000000001</v>
      </c>
      <c r="N188" s="171">
        <v>1844.7319600000001</v>
      </c>
      <c r="O188" s="166">
        <v>612.42960403934899</v>
      </c>
      <c r="P188" s="172">
        <v>262.53800000000001</v>
      </c>
      <c r="Q188" s="178">
        <v>2.3327274681735601</v>
      </c>
      <c r="R188" s="179">
        <v>914.74557515300899</v>
      </c>
      <c r="S188" s="168">
        <v>0.01</v>
      </c>
      <c r="T188" s="168">
        <v>0.01</v>
      </c>
      <c r="U188" s="175">
        <v>0</v>
      </c>
      <c r="V188" s="176">
        <v>0</v>
      </c>
      <c r="W188" s="167"/>
      <c r="X188" s="175">
        <v>1973.7178449999999</v>
      </c>
      <c r="Y188" s="166">
        <v>655.25142107840304</v>
      </c>
      <c r="Z188" s="177">
        <v>573</v>
      </c>
      <c r="AA188" s="182">
        <v>1.14354523748412</v>
      </c>
      <c r="AB188" s="183">
        <v>-56.015749821800199</v>
      </c>
      <c r="AC188" s="168">
        <v>1.7000000000000001E-2</v>
      </c>
      <c r="AD188" s="168">
        <v>1.4E-2</v>
      </c>
      <c r="AE188" s="176">
        <v>0</v>
      </c>
      <c r="AF188" s="176">
        <v>98</v>
      </c>
      <c r="AG188" s="167"/>
      <c r="AH188" s="180">
        <v>156.69999999999999</v>
      </c>
      <c r="AI188" s="166">
        <v>52.022581618288903</v>
      </c>
      <c r="AJ188" s="181" t="s">
        <v>53</v>
      </c>
      <c r="AK188" s="188">
        <v>0.82575526378236297</v>
      </c>
      <c r="AL188" s="171">
        <v>-66.464426655799997</v>
      </c>
      <c r="AM188" s="168"/>
      <c r="AN188" s="168"/>
      <c r="AO188" s="176">
        <v>34</v>
      </c>
      <c r="AP188" s="176">
        <v>72</v>
      </c>
      <c r="AQ188" s="167"/>
      <c r="AR188" s="180">
        <v>18</v>
      </c>
      <c r="AS188" s="166">
        <v>5.9757911239897901</v>
      </c>
      <c r="AT188" s="181" t="s">
        <v>54</v>
      </c>
      <c r="AU188" s="173">
        <v>0.37348694524936199</v>
      </c>
      <c r="AV188" s="174">
        <v>-38.676679785600001</v>
      </c>
      <c r="AW188" s="168"/>
      <c r="AX188" s="168"/>
      <c r="AY188" s="176">
        <v>31</v>
      </c>
      <c r="AZ188" s="176">
        <v>40</v>
      </c>
      <c r="BA188" s="167"/>
      <c r="BB188" s="184">
        <v>103</v>
      </c>
      <c r="BC188" s="180">
        <v>34.194804765052702</v>
      </c>
      <c r="BD188" s="181" t="s">
        <v>55</v>
      </c>
      <c r="BE188" s="182">
        <v>1.0685876489079</v>
      </c>
      <c r="BF188" s="183">
        <v>-10.3533595712</v>
      </c>
      <c r="BG188" s="168">
        <v>8.9999999999999993E-3</v>
      </c>
      <c r="BH188" s="168">
        <v>7.0000000000000001E-3</v>
      </c>
      <c r="BI188" s="176">
        <v>0</v>
      </c>
      <c r="BJ188" s="176">
        <v>13</v>
      </c>
      <c r="BK188" s="169"/>
      <c r="BL188" s="185">
        <v>0.8</v>
      </c>
      <c r="BM188" s="188">
        <v>0.74</v>
      </c>
      <c r="BN188" s="186"/>
      <c r="BO188" s="187">
        <v>0.95</v>
      </c>
      <c r="BP188" s="178">
        <v>1</v>
      </c>
      <c r="BQ188" s="186">
        <v>2.5000000000000001E-3</v>
      </c>
    </row>
    <row r="189" spans="1:69" s="156" customFormat="1" ht="22.35" customHeight="1" x14ac:dyDescent="0.2">
      <c r="A189" s="165" t="s">
        <v>220</v>
      </c>
      <c r="B189" s="165" t="s">
        <v>240</v>
      </c>
      <c r="C189" s="165" t="s">
        <v>253</v>
      </c>
      <c r="D189" s="166">
        <v>2.69738168433333</v>
      </c>
      <c r="E189" s="167"/>
      <c r="F189" s="168">
        <v>3.1E-2</v>
      </c>
      <c r="G189" s="168">
        <v>2.7E-2</v>
      </c>
      <c r="H189" s="169"/>
      <c r="I189" s="170">
        <v>5</v>
      </c>
      <c r="J189" s="170">
        <v>5</v>
      </c>
      <c r="K189" s="167"/>
      <c r="L189" s="171">
        <v>2385.9627300000002</v>
      </c>
      <c r="M189" s="171">
        <v>1938.8085000000001</v>
      </c>
      <c r="N189" s="171">
        <v>4324.7712300000003</v>
      </c>
      <c r="O189" s="166">
        <v>1603.32193812938</v>
      </c>
      <c r="P189" s="172">
        <v>243.27799999999999</v>
      </c>
      <c r="Q189" s="178">
        <v>6.5904929263204197</v>
      </c>
      <c r="R189" s="179">
        <v>3553.0640112321398</v>
      </c>
      <c r="S189" s="168">
        <v>0.01</v>
      </c>
      <c r="T189" s="168">
        <v>0.01</v>
      </c>
      <c r="U189" s="175">
        <v>0</v>
      </c>
      <c r="V189" s="176">
        <v>0</v>
      </c>
      <c r="W189" s="167"/>
      <c r="X189" s="175">
        <v>1628.2635</v>
      </c>
      <c r="Y189" s="166">
        <v>603.64593911833799</v>
      </c>
      <c r="Z189" s="177">
        <v>573</v>
      </c>
      <c r="AA189" s="182">
        <v>1.0534833143426501</v>
      </c>
      <c r="AB189" s="183">
        <v>-189.36175322464601</v>
      </c>
      <c r="AC189" s="168">
        <v>7.0000000000000001E-3</v>
      </c>
      <c r="AD189" s="168">
        <v>5.0000000000000001E-3</v>
      </c>
      <c r="AE189" s="176">
        <v>0</v>
      </c>
      <c r="AF189" s="176">
        <v>227</v>
      </c>
      <c r="AG189" s="167"/>
      <c r="AH189" s="180">
        <v>166.35</v>
      </c>
      <c r="AI189" s="166">
        <v>61.670916268979497</v>
      </c>
      <c r="AJ189" s="181" t="s">
        <v>53</v>
      </c>
      <c r="AK189" s="188">
        <v>0.97890343284094505</v>
      </c>
      <c r="AL189" s="171">
        <v>-33.493614228887701</v>
      </c>
      <c r="AM189" s="168">
        <v>0</v>
      </c>
      <c r="AN189" s="168"/>
      <c r="AO189" s="176">
        <v>4</v>
      </c>
      <c r="AP189" s="176">
        <v>38</v>
      </c>
      <c r="AQ189" s="167"/>
      <c r="AR189" s="180">
        <v>27.5</v>
      </c>
      <c r="AS189" s="166">
        <v>10.1950718208412</v>
      </c>
      <c r="AT189" s="181" t="s">
        <v>54</v>
      </c>
      <c r="AU189" s="173">
        <v>0.63719198880257599</v>
      </c>
      <c r="AV189" s="174">
        <v>-23.253933772415898</v>
      </c>
      <c r="AW189" s="168"/>
      <c r="AX189" s="168"/>
      <c r="AY189" s="176">
        <v>16</v>
      </c>
      <c r="AZ189" s="176">
        <v>25</v>
      </c>
      <c r="BA189" s="167"/>
      <c r="BB189" s="184">
        <v>96.4</v>
      </c>
      <c r="BC189" s="180">
        <v>35.738360855603403</v>
      </c>
      <c r="BD189" s="181" t="s">
        <v>55</v>
      </c>
      <c r="BE189" s="182">
        <v>1.1168237767376099</v>
      </c>
      <c r="BF189" s="183">
        <v>-5.1078675448318602</v>
      </c>
      <c r="BG189" s="168">
        <v>1.4E-2</v>
      </c>
      <c r="BH189" s="168">
        <v>1.2E-2</v>
      </c>
      <c r="BI189" s="176">
        <v>0</v>
      </c>
      <c r="BJ189" s="176">
        <v>8</v>
      </c>
      <c r="BK189" s="169"/>
      <c r="BL189" s="185">
        <v>0.8</v>
      </c>
      <c r="BM189" s="182">
        <v>0.86</v>
      </c>
      <c r="BN189" s="186">
        <v>2.2499999999999998E-3</v>
      </c>
      <c r="BO189" s="187">
        <v>0.95</v>
      </c>
      <c r="BP189" s="178">
        <v>1</v>
      </c>
      <c r="BQ189" s="186">
        <v>2.5000000000000001E-3</v>
      </c>
    </row>
    <row r="190" spans="1:69" s="156" customFormat="1" ht="22.35" customHeight="1" x14ac:dyDescent="0.2">
      <c r="A190" s="165" t="s">
        <v>220</v>
      </c>
      <c r="B190" s="165" t="s">
        <v>240</v>
      </c>
      <c r="C190" s="165" t="s">
        <v>254</v>
      </c>
      <c r="D190" s="166">
        <v>2.5112282917777802</v>
      </c>
      <c r="E190" s="167"/>
      <c r="F190" s="168">
        <v>7.0000000000000007E-2</v>
      </c>
      <c r="G190" s="168">
        <v>7.0000000000000007E-2</v>
      </c>
      <c r="H190" s="169"/>
      <c r="I190" s="170">
        <v>5</v>
      </c>
      <c r="J190" s="170">
        <v>5</v>
      </c>
      <c r="K190" s="167"/>
      <c r="L190" s="171">
        <v>284.16314999999997</v>
      </c>
      <c r="M190" s="171">
        <v>1.0633699999999999</v>
      </c>
      <c r="N190" s="171">
        <v>285.22651999999999</v>
      </c>
      <c r="O190" s="166">
        <v>113.580482082766</v>
      </c>
      <c r="P190" s="172">
        <v>233.029</v>
      </c>
      <c r="Q190" s="173">
        <v>0.48740921551723398</v>
      </c>
      <c r="R190" s="174">
        <v>-402.95576470310903</v>
      </c>
      <c r="S190" s="168"/>
      <c r="T190" s="168"/>
      <c r="U190" s="175">
        <v>300</v>
      </c>
      <c r="V190" s="176">
        <v>418</v>
      </c>
      <c r="W190" s="167"/>
      <c r="X190" s="175">
        <v>2094.7393900000002</v>
      </c>
      <c r="Y190" s="166">
        <v>834.14932718724197</v>
      </c>
      <c r="Z190" s="177">
        <v>573</v>
      </c>
      <c r="AA190" s="178">
        <v>1.4557579881103699</v>
      </c>
      <c r="AB190" s="179">
        <v>402.55322804212602</v>
      </c>
      <c r="AC190" s="168">
        <v>0.02</v>
      </c>
      <c r="AD190" s="168">
        <v>0.02</v>
      </c>
      <c r="AE190" s="176">
        <v>0</v>
      </c>
      <c r="AF190" s="176">
        <v>0</v>
      </c>
      <c r="AG190" s="167"/>
      <c r="AH190" s="180">
        <v>210.3</v>
      </c>
      <c r="AI190" s="166">
        <v>83.743879713589095</v>
      </c>
      <c r="AJ190" s="181" t="s">
        <v>53</v>
      </c>
      <c r="AK190" s="178">
        <v>1.32926793196173</v>
      </c>
      <c r="AL190" s="179">
        <v>24.248118318767801</v>
      </c>
      <c r="AM190" s="168">
        <v>0.02</v>
      </c>
      <c r="AN190" s="168">
        <v>0.02</v>
      </c>
      <c r="AO190" s="176">
        <v>0</v>
      </c>
      <c r="AP190" s="176">
        <v>0</v>
      </c>
      <c r="AQ190" s="167"/>
      <c r="AR190" s="180">
        <v>53.4</v>
      </c>
      <c r="AS190" s="166">
        <v>21.264494420854302</v>
      </c>
      <c r="AT190" s="181" t="s">
        <v>54</v>
      </c>
      <c r="AU190" s="178">
        <v>1.3290309013033901</v>
      </c>
      <c r="AV190" s="179">
        <v>6.1487284619092897</v>
      </c>
      <c r="AW190" s="168">
        <v>0.01</v>
      </c>
      <c r="AX190" s="168">
        <v>0.01</v>
      </c>
      <c r="AY190" s="176">
        <v>0</v>
      </c>
      <c r="AZ190" s="176">
        <v>0</v>
      </c>
      <c r="BA190" s="167"/>
      <c r="BB190" s="184">
        <v>149.19999999999999</v>
      </c>
      <c r="BC190" s="180">
        <v>59.413156696469301</v>
      </c>
      <c r="BD190" s="181" t="s">
        <v>55</v>
      </c>
      <c r="BE190" s="178">
        <v>1.8566611467646601</v>
      </c>
      <c r="BF190" s="179">
        <v>54.697456923818599</v>
      </c>
      <c r="BG190" s="168">
        <v>0.02</v>
      </c>
      <c r="BH190" s="168">
        <v>0.02</v>
      </c>
      <c r="BI190" s="176">
        <v>0</v>
      </c>
      <c r="BJ190" s="176">
        <v>0</v>
      </c>
      <c r="BK190" s="169"/>
      <c r="BL190" s="185">
        <v>0.8</v>
      </c>
      <c r="BM190" s="188">
        <v>0.79</v>
      </c>
      <c r="BN190" s="186"/>
      <c r="BO190" s="187">
        <v>0.95</v>
      </c>
      <c r="BP190" s="178">
        <v>1</v>
      </c>
      <c r="BQ190" s="186">
        <v>2.5000000000000001E-3</v>
      </c>
    </row>
    <row r="191" spans="1:69" s="156" customFormat="1" ht="22.35" customHeight="1" x14ac:dyDescent="0.2">
      <c r="A191" s="165" t="s">
        <v>220</v>
      </c>
      <c r="B191" s="165" t="s">
        <v>240</v>
      </c>
      <c r="C191" s="165" t="s">
        <v>255</v>
      </c>
      <c r="D191" s="166">
        <v>3.5167137564444402</v>
      </c>
      <c r="E191" s="167"/>
      <c r="F191" s="168">
        <v>1.2E-2</v>
      </c>
      <c r="G191" s="168">
        <v>0.01</v>
      </c>
      <c r="H191" s="169"/>
      <c r="I191" s="170">
        <v>4</v>
      </c>
      <c r="J191" s="170">
        <v>3</v>
      </c>
      <c r="K191" s="167"/>
      <c r="L191" s="171">
        <v>1714.44687</v>
      </c>
      <c r="M191" s="171">
        <v>505.81619000000001</v>
      </c>
      <c r="N191" s="171">
        <v>2220.2630600000002</v>
      </c>
      <c r="O191" s="166">
        <v>631.34597063276101</v>
      </c>
      <c r="P191" s="172">
        <v>232.833</v>
      </c>
      <c r="Q191" s="178">
        <v>2.71158285394579</v>
      </c>
      <c r="R191" s="179">
        <v>1257.34601147223</v>
      </c>
      <c r="S191" s="168">
        <v>0.01</v>
      </c>
      <c r="T191" s="168">
        <v>0.01</v>
      </c>
      <c r="U191" s="175">
        <v>0</v>
      </c>
      <c r="V191" s="176">
        <v>0</v>
      </c>
      <c r="W191" s="167"/>
      <c r="X191" s="175">
        <v>1478.9396400000001</v>
      </c>
      <c r="Y191" s="166">
        <v>420.54592509550002</v>
      </c>
      <c r="Z191" s="177">
        <v>573</v>
      </c>
      <c r="AA191" s="173">
        <v>0.73393704205148302</v>
      </c>
      <c r="AB191" s="174">
        <v>-890.790891352573</v>
      </c>
      <c r="AC191" s="168"/>
      <c r="AD191" s="168"/>
      <c r="AE191" s="176">
        <v>537</v>
      </c>
      <c r="AF191" s="176">
        <v>940</v>
      </c>
      <c r="AG191" s="167"/>
      <c r="AH191" s="180">
        <v>139.30000000000001</v>
      </c>
      <c r="AI191" s="166">
        <v>39.6108440002346</v>
      </c>
      <c r="AJ191" s="181" t="s">
        <v>53</v>
      </c>
      <c r="AK191" s="173">
        <v>0.62874355555927997</v>
      </c>
      <c r="AL191" s="174">
        <v>-121.246288787456</v>
      </c>
      <c r="AM191" s="168"/>
      <c r="AN191" s="168"/>
      <c r="AO191" s="176">
        <v>83</v>
      </c>
      <c r="AP191" s="176">
        <v>127</v>
      </c>
      <c r="AQ191" s="167"/>
      <c r="AR191" s="180">
        <v>33.4</v>
      </c>
      <c r="AS191" s="166">
        <v>9.4975031558351493</v>
      </c>
      <c r="AT191" s="181" t="s">
        <v>54</v>
      </c>
      <c r="AU191" s="173">
        <v>0.59359394723969705</v>
      </c>
      <c r="AV191" s="174">
        <v>-32.7704860412586</v>
      </c>
      <c r="AW191" s="168"/>
      <c r="AX191" s="168"/>
      <c r="AY191" s="176">
        <v>23</v>
      </c>
      <c r="AZ191" s="176">
        <v>35</v>
      </c>
      <c r="BA191" s="167"/>
      <c r="BB191" s="184">
        <v>112.4</v>
      </c>
      <c r="BC191" s="180">
        <v>31.9616573268225</v>
      </c>
      <c r="BD191" s="181" t="s">
        <v>55</v>
      </c>
      <c r="BE191" s="182">
        <v>0.99880179146320203</v>
      </c>
      <c r="BF191" s="183">
        <v>-19.940972082517099</v>
      </c>
      <c r="BG191" s="168">
        <v>2E-3</v>
      </c>
      <c r="BH191" s="168">
        <v>0</v>
      </c>
      <c r="BI191" s="176">
        <v>1</v>
      </c>
      <c r="BJ191" s="176">
        <v>23</v>
      </c>
      <c r="BK191" s="169"/>
      <c r="BL191" s="185">
        <v>0.8</v>
      </c>
      <c r="BM191" s="182">
        <v>0.85</v>
      </c>
      <c r="BN191" s="186">
        <v>1.8749999999999999E-3</v>
      </c>
      <c r="BO191" s="187">
        <v>0.95</v>
      </c>
      <c r="BP191" s="178">
        <v>1</v>
      </c>
      <c r="BQ191" s="186">
        <v>2.5000000000000001E-3</v>
      </c>
    </row>
    <row r="192" spans="1:69" s="156" customFormat="1" ht="22.35" customHeight="1" x14ac:dyDescent="0.2">
      <c r="A192" s="165" t="s">
        <v>220</v>
      </c>
      <c r="B192" s="165" t="s">
        <v>240</v>
      </c>
      <c r="C192" s="165" t="s">
        <v>256</v>
      </c>
      <c r="D192" s="166">
        <v>7.4460326411111097</v>
      </c>
      <c r="E192" s="167"/>
      <c r="F192" s="168">
        <v>3.4000000000000002E-2</v>
      </c>
      <c r="G192" s="168">
        <v>2.9000000000000001E-2</v>
      </c>
      <c r="H192" s="169"/>
      <c r="I192" s="170">
        <v>5</v>
      </c>
      <c r="J192" s="170">
        <v>4</v>
      </c>
      <c r="K192" s="167"/>
      <c r="L192" s="171">
        <v>5951.7796500000004</v>
      </c>
      <c r="M192" s="171">
        <v>3950.03521</v>
      </c>
      <c r="N192" s="171">
        <v>9901.8148600000004</v>
      </c>
      <c r="O192" s="166">
        <v>1329.8108317884601</v>
      </c>
      <c r="P192" s="172">
        <v>247.167</v>
      </c>
      <c r="Q192" s="178">
        <v>5.3802118882717398</v>
      </c>
      <c r="R192" s="179">
        <v>7737.4885254287201</v>
      </c>
      <c r="S192" s="168">
        <v>0.01</v>
      </c>
      <c r="T192" s="168">
        <v>0.01</v>
      </c>
      <c r="U192" s="175">
        <v>0</v>
      </c>
      <c r="V192" s="176">
        <v>0</v>
      </c>
      <c r="W192" s="167"/>
      <c r="X192" s="175">
        <v>4442.0393700000004</v>
      </c>
      <c r="Y192" s="166">
        <v>596.56458467218704</v>
      </c>
      <c r="Z192" s="177">
        <v>573</v>
      </c>
      <c r="AA192" s="182">
        <v>1.0411249296198699</v>
      </c>
      <c r="AB192" s="183">
        <v>-575.45483314743797</v>
      </c>
      <c r="AC192" s="168">
        <v>6.0000000000000001E-3</v>
      </c>
      <c r="AD192" s="168">
        <v>4.0000000000000001E-3</v>
      </c>
      <c r="AE192" s="176">
        <v>0</v>
      </c>
      <c r="AF192" s="176">
        <v>678</v>
      </c>
      <c r="AG192" s="167"/>
      <c r="AH192" s="180">
        <v>429.7</v>
      </c>
      <c r="AI192" s="166">
        <v>57.708583981694602</v>
      </c>
      <c r="AJ192" s="181" t="s">
        <v>53</v>
      </c>
      <c r="AK192" s="188">
        <v>0.91600926955070805</v>
      </c>
      <c r="AL192" s="171">
        <v>-121.96166631464</v>
      </c>
      <c r="AM192" s="168"/>
      <c r="AN192" s="168"/>
      <c r="AO192" s="176">
        <v>40</v>
      </c>
      <c r="AP192" s="176">
        <v>134</v>
      </c>
      <c r="AQ192" s="167"/>
      <c r="AR192" s="180">
        <v>118.8</v>
      </c>
      <c r="AS192" s="166">
        <v>15.9548051594725</v>
      </c>
      <c r="AT192" s="181" t="s">
        <v>54</v>
      </c>
      <c r="AU192" s="182">
        <v>0.997175322467029</v>
      </c>
      <c r="AV192" s="183">
        <v>-21.304550175146598</v>
      </c>
      <c r="AW192" s="168">
        <v>1E-3</v>
      </c>
      <c r="AX192" s="168">
        <v>0</v>
      </c>
      <c r="AY192" s="176">
        <v>1</v>
      </c>
      <c r="AZ192" s="176">
        <v>25</v>
      </c>
      <c r="BA192" s="167"/>
      <c r="BB192" s="184">
        <v>273.39999999999998</v>
      </c>
      <c r="BC192" s="180">
        <v>36.717539819863397</v>
      </c>
      <c r="BD192" s="181" t="s">
        <v>55</v>
      </c>
      <c r="BE192" s="182">
        <v>1.14742311937073</v>
      </c>
      <c r="BF192" s="183">
        <v>-6.8091003502932503</v>
      </c>
      <c r="BG192" s="168">
        <v>1.7000000000000001E-2</v>
      </c>
      <c r="BH192" s="168">
        <v>1.4999999999999999E-2</v>
      </c>
      <c r="BI192" s="176">
        <v>0</v>
      </c>
      <c r="BJ192" s="176">
        <v>13</v>
      </c>
      <c r="BK192" s="169"/>
      <c r="BL192" s="185">
        <v>0.8</v>
      </c>
      <c r="BM192" s="188">
        <v>0.79</v>
      </c>
      <c r="BN192" s="186"/>
      <c r="BO192" s="187">
        <v>0.95</v>
      </c>
      <c r="BP192" s="178">
        <v>1</v>
      </c>
      <c r="BQ192" s="186">
        <v>2.5000000000000001E-3</v>
      </c>
    </row>
    <row r="193" spans="1:69" s="156" customFormat="1" ht="22.35" customHeight="1" x14ac:dyDescent="0.2">
      <c r="A193" s="165" t="s">
        <v>220</v>
      </c>
      <c r="B193" s="165" t="s">
        <v>240</v>
      </c>
      <c r="C193" s="165" t="s">
        <v>257</v>
      </c>
      <c r="D193" s="166">
        <v>10.895669111222199</v>
      </c>
      <c r="E193" s="167"/>
      <c r="F193" s="168">
        <v>0.08</v>
      </c>
      <c r="G193" s="168">
        <v>0.08</v>
      </c>
      <c r="H193" s="169"/>
      <c r="I193" s="170">
        <v>6</v>
      </c>
      <c r="J193" s="170">
        <v>6</v>
      </c>
      <c r="K193" s="167"/>
      <c r="L193" s="171">
        <v>11033.85007</v>
      </c>
      <c r="M193" s="171">
        <v>8187.72714</v>
      </c>
      <c r="N193" s="171">
        <v>19221.577209999999</v>
      </c>
      <c r="O193" s="166">
        <v>1764.1483982110201</v>
      </c>
      <c r="P193" s="172">
        <v>236.7</v>
      </c>
      <c r="Q193" s="178">
        <v>7.45309842928188</v>
      </c>
      <c r="R193" s="179">
        <v>16188.6674727355</v>
      </c>
      <c r="S193" s="168">
        <v>0.01</v>
      </c>
      <c r="T193" s="168">
        <v>0.01</v>
      </c>
      <c r="U193" s="175">
        <v>0</v>
      </c>
      <c r="V193" s="176">
        <v>0</v>
      </c>
      <c r="W193" s="167"/>
      <c r="X193" s="175">
        <v>16871.430535</v>
      </c>
      <c r="Y193" s="166">
        <v>1548.45290938791</v>
      </c>
      <c r="Z193" s="177">
        <v>573</v>
      </c>
      <c r="AA193" s="178">
        <v>2.70236109840822</v>
      </c>
      <c r="AB193" s="179">
        <v>9529.4056957411303</v>
      </c>
      <c r="AC193" s="168">
        <v>0.02</v>
      </c>
      <c r="AD193" s="168">
        <v>0.02</v>
      </c>
      <c r="AE193" s="176">
        <v>0</v>
      </c>
      <c r="AF193" s="176">
        <v>0</v>
      </c>
      <c r="AG193" s="167"/>
      <c r="AH193" s="180">
        <v>2175.4</v>
      </c>
      <c r="AI193" s="166">
        <v>199.657311340283</v>
      </c>
      <c r="AJ193" s="181" t="s">
        <v>53</v>
      </c>
      <c r="AK193" s="178">
        <v>3.1691636720679801</v>
      </c>
      <c r="AL193" s="179">
        <v>1368.16166688777</v>
      </c>
      <c r="AM193" s="168">
        <v>0.02</v>
      </c>
      <c r="AN193" s="168">
        <v>0.02</v>
      </c>
      <c r="AO193" s="176">
        <v>0</v>
      </c>
      <c r="AP193" s="176">
        <v>0</v>
      </c>
      <c r="AQ193" s="167"/>
      <c r="AR193" s="180">
        <v>755.7</v>
      </c>
      <c r="AS193" s="166">
        <v>69.357833124874404</v>
      </c>
      <c r="AT193" s="181" t="s">
        <v>54</v>
      </c>
      <c r="AU193" s="178">
        <v>4.3348645703046502</v>
      </c>
      <c r="AV193" s="179">
        <v>550.68709000324304</v>
      </c>
      <c r="AW193" s="168">
        <v>0.01</v>
      </c>
      <c r="AX193" s="168">
        <v>0.01</v>
      </c>
      <c r="AY193" s="176">
        <v>0</v>
      </c>
      <c r="AZ193" s="176">
        <v>0</v>
      </c>
      <c r="BA193" s="167"/>
      <c r="BB193" s="184">
        <v>1346.4</v>
      </c>
      <c r="BC193" s="180">
        <v>123.572034563095</v>
      </c>
      <c r="BD193" s="181" t="s">
        <v>55</v>
      </c>
      <c r="BE193" s="178">
        <v>3.8616260800967201</v>
      </c>
      <c r="BF193" s="179">
        <v>936.37418000648495</v>
      </c>
      <c r="BG193" s="168">
        <v>0.02</v>
      </c>
      <c r="BH193" s="168">
        <v>0.02</v>
      </c>
      <c r="BI193" s="176">
        <v>0</v>
      </c>
      <c r="BJ193" s="176">
        <v>0</v>
      </c>
      <c r="BK193" s="169"/>
      <c r="BL193" s="185">
        <v>0.8</v>
      </c>
      <c r="BM193" s="188">
        <v>0.77</v>
      </c>
      <c r="BN193" s="186"/>
      <c r="BO193" s="187">
        <v>0.95</v>
      </c>
      <c r="BP193" s="178">
        <v>1</v>
      </c>
      <c r="BQ193" s="186">
        <v>2.5000000000000001E-3</v>
      </c>
    </row>
    <row r="194" spans="1:69" s="156" customFormat="1" ht="22.35" customHeight="1" x14ac:dyDescent="0.2">
      <c r="A194" s="165" t="s">
        <v>220</v>
      </c>
      <c r="B194" s="165" t="s">
        <v>240</v>
      </c>
      <c r="C194" s="165" t="s">
        <v>258</v>
      </c>
      <c r="D194" s="166">
        <v>1.7385762385555601</v>
      </c>
      <c r="E194" s="167"/>
      <c r="F194" s="168">
        <v>2.1000000000000001E-2</v>
      </c>
      <c r="G194" s="168">
        <v>1.6E-2</v>
      </c>
      <c r="H194" s="169"/>
      <c r="I194" s="170">
        <v>4</v>
      </c>
      <c r="J194" s="170">
        <v>3</v>
      </c>
      <c r="K194" s="167"/>
      <c r="L194" s="171">
        <v>650.51280999999994</v>
      </c>
      <c r="M194" s="171">
        <v>-154.53426999999999</v>
      </c>
      <c r="N194" s="171">
        <v>495.97854000000001</v>
      </c>
      <c r="O194" s="166">
        <v>285.27856817603202</v>
      </c>
      <c r="P194" s="172">
        <v>236.7</v>
      </c>
      <c r="Q194" s="178">
        <v>1.2052326496663801</v>
      </c>
      <c r="R194" s="179">
        <v>12.029849096665201</v>
      </c>
      <c r="S194" s="168">
        <v>0.01</v>
      </c>
      <c r="T194" s="168">
        <v>0.01</v>
      </c>
      <c r="U194" s="175">
        <v>0</v>
      </c>
      <c r="V194" s="176">
        <v>0</v>
      </c>
      <c r="W194" s="167"/>
      <c r="X194" s="175">
        <v>1059.877295</v>
      </c>
      <c r="Y194" s="166">
        <v>609.623709041697</v>
      </c>
      <c r="Z194" s="177">
        <v>573</v>
      </c>
      <c r="AA194" s="182">
        <v>1.06391572258586</v>
      </c>
      <c r="AB194" s="183">
        <v>-111.658826198187</v>
      </c>
      <c r="AC194" s="168">
        <v>8.9999999999999993E-3</v>
      </c>
      <c r="AD194" s="168">
        <v>6.0000000000000001E-3</v>
      </c>
      <c r="AE194" s="176">
        <v>0</v>
      </c>
      <c r="AF194" s="176">
        <v>136</v>
      </c>
      <c r="AG194" s="167"/>
      <c r="AH194" s="180">
        <v>81.650000000000006</v>
      </c>
      <c r="AI194" s="166">
        <v>46.963715590543501</v>
      </c>
      <c r="AJ194" s="181" t="s">
        <v>53</v>
      </c>
      <c r="AK194" s="173">
        <v>0.74545580302449999</v>
      </c>
      <c r="AL194" s="174">
        <v>-47.157636362104299</v>
      </c>
      <c r="AM194" s="168"/>
      <c r="AN194" s="168"/>
      <c r="AO194" s="176">
        <v>28</v>
      </c>
      <c r="AP194" s="176">
        <v>50</v>
      </c>
      <c r="AQ194" s="167"/>
      <c r="AR194" s="180">
        <v>8</v>
      </c>
      <c r="AS194" s="166">
        <v>4.6014663162810496</v>
      </c>
      <c r="AT194" s="181" t="s">
        <v>54</v>
      </c>
      <c r="AU194" s="173">
        <v>0.28759164476756599</v>
      </c>
      <c r="AV194" s="174">
        <v>-24.7130505046614</v>
      </c>
      <c r="AW194" s="168"/>
      <c r="AX194" s="168"/>
      <c r="AY194" s="176">
        <v>20</v>
      </c>
      <c r="AZ194" s="176">
        <v>26</v>
      </c>
      <c r="BA194" s="167"/>
      <c r="BB194" s="184">
        <v>55.6</v>
      </c>
      <c r="BC194" s="180">
        <v>31.9801908981533</v>
      </c>
      <c r="BD194" s="181" t="s">
        <v>55</v>
      </c>
      <c r="BE194" s="182">
        <v>0.99938096556729095</v>
      </c>
      <c r="BF194" s="183">
        <v>-9.8261010093228194</v>
      </c>
      <c r="BG194" s="168">
        <v>2E-3</v>
      </c>
      <c r="BH194" s="168">
        <v>0</v>
      </c>
      <c r="BI194" s="176">
        <v>1</v>
      </c>
      <c r="BJ194" s="176">
        <v>12</v>
      </c>
      <c r="BK194" s="169"/>
      <c r="BL194" s="185">
        <v>0.8</v>
      </c>
      <c r="BM194" s="188">
        <v>0.75</v>
      </c>
      <c r="BN194" s="186"/>
      <c r="BO194" s="187">
        <v>0.95</v>
      </c>
      <c r="BP194" s="178">
        <v>1</v>
      </c>
      <c r="BQ194" s="186">
        <v>2.5000000000000001E-3</v>
      </c>
    </row>
    <row r="195" spans="1:69" s="156" customFormat="1" ht="22.35" customHeight="1" x14ac:dyDescent="0.2">
      <c r="A195" s="165" t="s">
        <v>220</v>
      </c>
      <c r="B195" s="165" t="s">
        <v>240</v>
      </c>
      <c r="C195" s="165" t="s">
        <v>259</v>
      </c>
      <c r="D195" s="166">
        <v>4.5380946794444403</v>
      </c>
      <c r="E195" s="167"/>
      <c r="F195" s="168">
        <v>5.6000000000000001E-2</v>
      </c>
      <c r="G195" s="168">
        <v>5.0999999999999997E-2</v>
      </c>
      <c r="H195" s="169"/>
      <c r="I195" s="170">
        <v>5</v>
      </c>
      <c r="J195" s="170">
        <v>5</v>
      </c>
      <c r="K195" s="167"/>
      <c r="L195" s="171">
        <v>3025.4398900000001</v>
      </c>
      <c r="M195" s="171">
        <v>1589.39887</v>
      </c>
      <c r="N195" s="171">
        <v>4614.8387599999996</v>
      </c>
      <c r="O195" s="166">
        <v>1016.91107964388</v>
      </c>
      <c r="P195" s="172">
        <v>287.5</v>
      </c>
      <c r="Q195" s="178">
        <v>3.5370820161526302</v>
      </c>
      <c r="R195" s="179">
        <v>3080.5089488798299</v>
      </c>
      <c r="S195" s="168">
        <v>0.01</v>
      </c>
      <c r="T195" s="168">
        <v>0.01</v>
      </c>
      <c r="U195" s="175">
        <v>0</v>
      </c>
      <c r="V195" s="176">
        <v>0</v>
      </c>
      <c r="W195" s="167"/>
      <c r="X195" s="175">
        <v>2715.4578750000001</v>
      </c>
      <c r="Y195" s="166">
        <v>598.36959490947095</v>
      </c>
      <c r="Z195" s="177">
        <v>573</v>
      </c>
      <c r="AA195" s="182">
        <v>1.0442750347460199</v>
      </c>
      <c r="AB195" s="183">
        <v>-342.52814855427698</v>
      </c>
      <c r="AC195" s="168">
        <v>7.0000000000000001E-3</v>
      </c>
      <c r="AD195" s="168">
        <v>4.0000000000000001E-3</v>
      </c>
      <c r="AE195" s="176">
        <v>0</v>
      </c>
      <c r="AF195" s="176">
        <v>405</v>
      </c>
      <c r="AG195" s="167"/>
      <c r="AH195" s="180">
        <v>334.05</v>
      </c>
      <c r="AI195" s="166">
        <v>73.610187445647199</v>
      </c>
      <c r="AJ195" s="181" t="s">
        <v>53</v>
      </c>
      <c r="AK195" s="182">
        <v>1.1684156737404301</v>
      </c>
      <c r="AL195" s="183">
        <v>-2.1683586106796602</v>
      </c>
      <c r="AM195" s="168">
        <v>1.9E-2</v>
      </c>
      <c r="AN195" s="168">
        <v>1.7000000000000001E-2</v>
      </c>
      <c r="AO195" s="176">
        <v>0</v>
      </c>
      <c r="AP195" s="176">
        <v>10</v>
      </c>
      <c r="AQ195" s="167"/>
      <c r="AR195" s="180">
        <v>64.400000000000006</v>
      </c>
      <c r="AS195" s="166">
        <v>14.190977612631899</v>
      </c>
      <c r="AT195" s="181" t="s">
        <v>54</v>
      </c>
      <c r="AU195" s="188">
        <v>0.88693610078949203</v>
      </c>
      <c r="AV195" s="171">
        <v>-20.988789488426601</v>
      </c>
      <c r="AW195" s="168"/>
      <c r="AX195" s="168"/>
      <c r="AY195" s="176">
        <v>9</v>
      </c>
      <c r="AZ195" s="176">
        <v>23</v>
      </c>
      <c r="BA195" s="167"/>
      <c r="BB195" s="184">
        <v>197.8</v>
      </c>
      <c r="BC195" s="180">
        <v>43.586574095940797</v>
      </c>
      <c r="BD195" s="181" t="s">
        <v>55</v>
      </c>
      <c r="BE195" s="178">
        <v>1.3620804404981499</v>
      </c>
      <c r="BF195" s="179">
        <v>27.022421023146801</v>
      </c>
      <c r="BG195" s="168">
        <v>0.02</v>
      </c>
      <c r="BH195" s="168">
        <v>0.02</v>
      </c>
      <c r="BI195" s="176">
        <v>0</v>
      </c>
      <c r="BJ195" s="176">
        <v>0</v>
      </c>
      <c r="BK195" s="169"/>
      <c r="BL195" s="185">
        <v>0.8</v>
      </c>
      <c r="BM195" s="188">
        <v>0.74</v>
      </c>
      <c r="BN195" s="186"/>
      <c r="BO195" s="187">
        <v>0.95</v>
      </c>
      <c r="BP195" s="178">
        <v>1</v>
      </c>
      <c r="BQ195" s="186">
        <v>2.5000000000000001E-3</v>
      </c>
    </row>
    <row r="196" spans="1:69" s="156" customFormat="1" ht="22.35" customHeight="1" x14ac:dyDescent="0.2">
      <c r="A196" s="165" t="s">
        <v>220</v>
      </c>
      <c r="B196" s="165" t="s">
        <v>260</v>
      </c>
      <c r="C196" s="165" t="s">
        <v>261</v>
      </c>
      <c r="D196" s="166">
        <v>9.6008684323333302</v>
      </c>
      <c r="E196" s="167"/>
      <c r="F196" s="168">
        <v>2.1000000000000001E-2</v>
      </c>
      <c r="G196" s="168">
        <v>1.9E-2</v>
      </c>
      <c r="H196" s="169"/>
      <c r="I196" s="170">
        <v>3</v>
      </c>
      <c r="J196" s="170">
        <v>3</v>
      </c>
      <c r="K196" s="167"/>
      <c r="L196" s="171">
        <v>4700.5009899999995</v>
      </c>
      <c r="M196" s="171">
        <v>2234.4796799999999</v>
      </c>
      <c r="N196" s="171">
        <v>6934.9806699999999</v>
      </c>
      <c r="O196" s="166">
        <v>722.32847672870002</v>
      </c>
      <c r="P196" s="172">
        <v>270.3</v>
      </c>
      <c r="Q196" s="178">
        <v>2.6723214085412499</v>
      </c>
      <c r="R196" s="179">
        <v>3883.1257389825901</v>
      </c>
      <c r="S196" s="168">
        <v>0.01</v>
      </c>
      <c r="T196" s="168">
        <v>0.01</v>
      </c>
      <c r="U196" s="175">
        <v>0</v>
      </c>
      <c r="V196" s="176">
        <v>0</v>
      </c>
      <c r="W196" s="167"/>
      <c r="X196" s="175">
        <v>5156.6391149999999</v>
      </c>
      <c r="Y196" s="166">
        <v>537.10132071321004</v>
      </c>
      <c r="Z196" s="177">
        <v>573</v>
      </c>
      <c r="AA196" s="188">
        <v>0.93734959984853405</v>
      </c>
      <c r="AB196" s="171">
        <v>-1312.88687639095</v>
      </c>
      <c r="AC196" s="168"/>
      <c r="AD196" s="168"/>
      <c r="AE196" s="176">
        <v>345</v>
      </c>
      <c r="AF196" s="176">
        <v>1445</v>
      </c>
      <c r="AG196" s="167"/>
      <c r="AH196" s="180">
        <v>482.2</v>
      </c>
      <c r="AI196" s="166">
        <v>50.224623261794797</v>
      </c>
      <c r="AJ196" s="181" t="s">
        <v>53</v>
      </c>
      <c r="AK196" s="188">
        <v>0.79721624225071097</v>
      </c>
      <c r="AL196" s="171">
        <v>-229.10914041471199</v>
      </c>
      <c r="AM196" s="168"/>
      <c r="AN196" s="168"/>
      <c r="AO196" s="176">
        <v>123</v>
      </c>
      <c r="AP196" s="176">
        <v>244</v>
      </c>
      <c r="AQ196" s="167"/>
      <c r="AR196" s="180">
        <v>91.8</v>
      </c>
      <c r="AS196" s="166">
        <v>9.5616350382263793</v>
      </c>
      <c r="AT196" s="181" t="s">
        <v>54</v>
      </c>
      <c r="AU196" s="173">
        <v>0.59760218988914904</v>
      </c>
      <c r="AV196" s="174">
        <v>-88.849940422783902</v>
      </c>
      <c r="AW196" s="168"/>
      <c r="AX196" s="168"/>
      <c r="AY196" s="176">
        <v>62</v>
      </c>
      <c r="AZ196" s="176">
        <v>93</v>
      </c>
      <c r="BA196" s="167"/>
      <c r="BB196" s="184">
        <v>335.6</v>
      </c>
      <c r="BC196" s="180">
        <v>34.955171229071603</v>
      </c>
      <c r="BD196" s="181" t="s">
        <v>55</v>
      </c>
      <c r="BE196" s="182">
        <v>1.09234910090849</v>
      </c>
      <c r="BF196" s="183">
        <v>-25.6998808455679</v>
      </c>
      <c r="BG196" s="168">
        <v>1.0999999999999999E-2</v>
      </c>
      <c r="BH196" s="168">
        <v>8.9999999999999993E-3</v>
      </c>
      <c r="BI196" s="176">
        <v>0</v>
      </c>
      <c r="BJ196" s="176">
        <v>34</v>
      </c>
      <c r="BK196" s="169"/>
      <c r="BL196" s="185">
        <v>0.8</v>
      </c>
      <c r="BM196" s="188">
        <v>0.72</v>
      </c>
      <c r="BN196" s="186"/>
      <c r="BO196" s="187">
        <v>0.95</v>
      </c>
      <c r="BP196" s="178">
        <v>1</v>
      </c>
      <c r="BQ196" s="186">
        <v>2.5000000000000001E-3</v>
      </c>
    </row>
    <row r="197" spans="1:69" s="156" customFormat="1" ht="22.35" customHeight="1" x14ac:dyDescent="0.2">
      <c r="A197" s="165" t="s">
        <v>220</v>
      </c>
      <c r="B197" s="165" t="s">
        <v>260</v>
      </c>
      <c r="C197" s="165" t="s">
        <v>262</v>
      </c>
      <c r="D197" s="166">
        <v>4.5932318577777798</v>
      </c>
      <c r="E197" s="167"/>
      <c r="F197" s="168">
        <v>1.7000000000000001E-2</v>
      </c>
      <c r="G197" s="168">
        <v>1.2999999999999999E-2</v>
      </c>
      <c r="H197" s="169"/>
      <c r="I197" s="170">
        <v>5</v>
      </c>
      <c r="J197" s="170">
        <v>5</v>
      </c>
      <c r="K197" s="167"/>
      <c r="L197" s="171">
        <v>1843.14509</v>
      </c>
      <c r="M197" s="171">
        <v>2623.2079100000001</v>
      </c>
      <c r="N197" s="171">
        <v>4466.3530000000001</v>
      </c>
      <c r="O197" s="166">
        <v>972.37699691494299</v>
      </c>
      <c r="P197" s="172">
        <v>214.857</v>
      </c>
      <c r="Q197" s="178">
        <v>4.5256938192143696</v>
      </c>
      <c r="R197" s="179">
        <v>3305.7726916945298</v>
      </c>
      <c r="S197" s="168">
        <v>0.01</v>
      </c>
      <c r="T197" s="168">
        <v>0.01</v>
      </c>
      <c r="U197" s="175">
        <v>0</v>
      </c>
      <c r="V197" s="176">
        <v>0</v>
      </c>
      <c r="W197" s="167"/>
      <c r="X197" s="175">
        <v>2689.9545050000002</v>
      </c>
      <c r="Y197" s="166">
        <v>585.63438299877396</v>
      </c>
      <c r="Z197" s="177">
        <v>573</v>
      </c>
      <c r="AA197" s="182">
        <v>1.0220495340292699</v>
      </c>
      <c r="AB197" s="183">
        <v>-405.18559589984102</v>
      </c>
      <c r="AC197" s="168">
        <v>4.0000000000000001E-3</v>
      </c>
      <c r="AD197" s="168">
        <v>2E-3</v>
      </c>
      <c r="AE197" s="176">
        <v>0</v>
      </c>
      <c r="AF197" s="176">
        <v>469</v>
      </c>
      <c r="AG197" s="167"/>
      <c r="AH197" s="180">
        <v>243.15</v>
      </c>
      <c r="AI197" s="166">
        <v>52.936583113754899</v>
      </c>
      <c r="AJ197" s="181" t="s">
        <v>53</v>
      </c>
      <c r="AK197" s="188">
        <v>0.84026322402785503</v>
      </c>
      <c r="AL197" s="171">
        <v>-97.153361879040006</v>
      </c>
      <c r="AM197" s="168"/>
      <c r="AN197" s="168"/>
      <c r="AO197" s="176">
        <v>47</v>
      </c>
      <c r="AP197" s="176">
        <v>105</v>
      </c>
      <c r="AQ197" s="167"/>
      <c r="AR197" s="180">
        <v>30.6</v>
      </c>
      <c r="AS197" s="166">
        <v>6.6619759131437304</v>
      </c>
      <c r="AT197" s="181" t="s">
        <v>54</v>
      </c>
      <c r="AU197" s="173">
        <v>0.41637349457148298</v>
      </c>
      <c r="AV197" s="174">
        <v>-55.8262506359467</v>
      </c>
      <c r="AW197" s="168"/>
      <c r="AX197" s="168"/>
      <c r="AY197" s="176">
        <v>43</v>
      </c>
      <c r="AZ197" s="176">
        <v>58</v>
      </c>
      <c r="BA197" s="167"/>
      <c r="BB197" s="184">
        <v>148</v>
      </c>
      <c r="BC197" s="180">
        <v>32.221321409976198</v>
      </c>
      <c r="BD197" s="181" t="s">
        <v>55</v>
      </c>
      <c r="BE197" s="182">
        <v>1.00691629406176</v>
      </c>
      <c r="BF197" s="183">
        <v>-24.852501271893399</v>
      </c>
      <c r="BG197" s="168">
        <v>3.0000000000000001E-3</v>
      </c>
      <c r="BH197" s="168">
        <v>1E-3</v>
      </c>
      <c r="BI197" s="176">
        <v>0</v>
      </c>
      <c r="BJ197" s="176">
        <v>29</v>
      </c>
      <c r="BK197" s="169"/>
      <c r="BL197" s="185">
        <v>0.8</v>
      </c>
      <c r="BM197" s="182">
        <v>0.81</v>
      </c>
      <c r="BN197" s="186">
        <v>3.7500000000000001E-4</v>
      </c>
      <c r="BO197" s="187">
        <v>0.95</v>
      </c>
      <c r="BP197" s="178">
        <v>1</v>
      </c>
      <c r="BQ197" s="186">
        <v>2.5000000000000001E-3</v>
      </c>
    </row>
    <row r="198" spans="1:69" s="156" customFormat="1" ht="22.35" customHeight="1" x14ac:dyDescent="0.2">
      <c r="A198" s="165" t="s">
        <v>220</v>
      </c>
      <c r="B198" s="165" t="s">
        <v>260</v>
      </c>
      <c r="C198" s="165" t="s">
        <v>263</v>
      </c>
      <c r="D198" s="166">
        <v>1.9563433723333301</v>
      </c>
      <c r="E198" s="167"/>
      <c r="F198" s="168">
        <v>3.9E-2</v>
      </c>
      <c r="G198" s="168">
        <v>3.6999999999999998E-2</v>
      </c>
      <c r="H198" s="169"/>
      <c r="I198" s="170">
        <v>5</v>
      </c>
      <c r="J198" s="170">
        <v>5</v>
      </c>
      <c r="K198" s="167"/>
      <c r="L198" s="171">
        <v>568.91088000000002</v>
      </c>
      <c r="M198" s="171">
        <v>1782.58195</v>
      </c>
      <c r="N198" s="171">
        <v>2351.4928300000001</v>
      </c>
      <c r="O198" s="166">
        <v>1201.9836922571401</v>
      </c>
      <c r="P198" s="172">
        <v>241.29400000000001</v>
      </c>
      <c r="Q198" s="178">
        <v>4.9814072967298797</v>
      </c>
      <c r="R198" s="179">
        <v>1796.3574228038501</v>
      </c>
      <c r="S198" s="168">
        <v>0.01</v>
      </c>
      <c r="T198" s="168">
        <v>0.01</v>
      </c>
      <c r="U198" s="175">
        <v>0</v>
      </c>
      <c r="V198" s="176">
        <v>0</v>
      </c>
      <c r="W198" s="167"/>
      <c r="X198" s="175">
        <v>1465.756185</v>
      </c>
      <c r="Y198" s="166">
        <v>749.23257630984801</v>
      </c>
      <c r="Z198" s="177">
        <v>573</v>
      </c>
      <c r="AA198" s="178">
        <v>1.3075612152004299</v>
      </c>
      <c r="AB198" s="179">
        <v>147.47811623992999</v>
      </c>
      <c r="AC198" s="168">
        <v>0.02</v>
      </c>
      <c r="AD198" s="168">
        <v>0.02</v>
      </c>
      <c r="AE198" s="176">
        <v>0</v>
      </c>
      <c r="AF198" s="176">
        <v>0</v>
      </c>
      <c r="AG198" s="167"/>
      <c r="AH198" s="180">
        <v>111.3</v>
      </c>
      <c r="AI198" s="166">
        <v>56.891853226794403</v>
      </c>
      <c r="AJ198" s="181" t="s">
        <v>53</v>
      </c>
      <c r="AK198" s="188">
        <v>0.90304528931419703</v>
      </c>
      <c r="AL198" s="171">
        <v>-33.641567769431703</v>
      </c>
      <c r="AM198" s="168"/>
      <c r="AN198" s="168"/>
      <c r="AO198" s="176">
        <v>12</v>
      </c>
      <c r="AP198" s="176">
        <v>37</v>
      </c>
      <c r="AQ198" s="167"/>
      <c r="AR198" s="180">
        <v>3.8</v>
      </c>
      <c r="AS198" s="166">
        <v>1.94239930154374</v>
      </c>
      <c r="AT198" s="181" t="s">
        <v>54</v>
      </c>
      <c r="AU198" s="173">
        <v>0.121399956346484</v>
      </c>
      <c r="AV198" s="174">
        <v>-33.010556893823903</v>
      </c>
      <c r="AW198" s="168"/>
      <c r="AX198" s="168"/>
      <c r="AY198" s="176">
        <v>28</v>
      </c>
      <c r="AZ198" s="176">
        <v>34</v>
      </c>
      <c r="BA198" s="167"/>
      <c r="BB198" s="184">
        <v>66.8</v>
      </c>
      <c r="BC198" s="180">
        <v>34.145335090295298</v>
      </c>
      <c r="BD198" s="181" t="s">
        <v>55</v>
      </c>
      <c r="BE198" s="182">
        <v>1.0670417215717301</v>
      </c>
      <c r="BF198" s="183">
        <v>-6.82111378764787</v>
      </c>
      <c r="BG198" s="168">
        <v>8.9999999999999993E-3</v>
      </c>
      <c r="BH198" s="168">
        <v>7.0000000000000001E-3</v>
      </c>
      <c r="BI198" s="176">
        <v>0</v>
      </c>
      <c r="BJ198" s="176">
        <v>9</v>
      </c>
      <c r="BK198" s="169"/>
      <c r="BL198" s="185">
        <v>0.8</v>
      </c>
      <c r="BM198" s="182">
        <v>0.84</v>
      </c>
      <c r="BN198" s="186">
        <v>1.5E-3</v>
      </c>
      <c r="BO198" s="187">
        <v>0.95</v>
      </c>
      <c r="BP198" s="178">
        <v>1</v>
      </c>
      <c r="BQ198" s="186">
        <v>2.5000000000000001E-3</v>
      </c>
    </row>
    <row r="199" spans="1:69" s="156" customFormat="1" ht="22.35" customHeight="1" x14ac:dyDescent="0.2">
      <c r="A199" s="165" t="s">
        <v>220</v>
      </c>
      <c r="B199" s="165" t="s">
        <v>260</v>
      </c>
      <c r="C199" s="165" t="s">
        <v>264</v>
      </c>
      <c r="D199" s="166">
        <v>2.6404956531111101</v>
      </c>
      <c r="E199" s="167"/>
      <c r="F199" s="168">
        <v>0.01</v>
      </c>
      <c r="G199" s="168">
        <v>0.01</v>
      </c>
      <c r="H199" s="169"/>
      <c r="I199" s="170">
        <v>2</v>
      </c>
      <c r="J199" s="170">
        <v>2</v>
      </c>
      <c r="K199" s="167"/>
      <c r="L199" s="171">
        <v>-180.83824999999999</v>
      </c>
      <c r="M199" s="171">
        <v>1698.15833</v>
      </c>
      <c r="N199" s="171">
        <v>1517.32008</v>
      </c>
      <c r="O199" s="166">
        <v>574.63456840470405</v>
      </c>
      <c r="P199" s="172">
        <v>244.16499999999999</v>
      </c>
      <c r="Q199" s="178">
        <v>2.3534682219183898</v>
      </c>
      <c r="R199" s="179">
        <v>759.13333353715598</v>
      </c>
      <c r="S199" s="168">
        <v>0.01</v>
      </c>
      <c r="T199" s="168">
        <v>0.01</v>
      </c>
      <c r="U199" s="175">
        <v>0</v>
      </c>
      <c r="V199" s="176">
        <v>0</v>
      </c>
      <c r="W199" s="167"/>
      <c r="X199" s="175">
        <v>1282.067395</v>
      </c>
      <c r="Y199" s="166">
        <v>485.54043006638898</v>
      </c>
      <c r="Z199" s="177">
        <v>573</v>
      </c>
      <c r="AA199" s="188">
        <v>0.847365497498061</v>
      </c>
      <c r="AB199" s="171">
        <v>-497.22531985761498</v>
      </c>
      <c r="AC199" s="168"/>
      <c r="AD199" s="168"/>
      <c r="AE199" s="176">
        <v>231</v>
      </c>
      <c r="AF199" s="176">
        <v>534</v>
      </c>
      <c r="AG199" s="167"/>
      <c r="AH199" s="180">
        <v>105.2</v>
      </c>
      <c r="AI199" s="166">
        <v>39.841004803795201</v>
      </c>
      <c r="AJ199" s="181" t="s">
        <v>53</v>
      </c>
      <c r="AK199" s="173">
        <v>0.63239690164754203</v>
      </c>
      <c r="AL199" s="174">
        <v>-90.429041947695893</v>
      </c>
      <c r="AM199" s="168"/>
      <c r="AN199" s="168"/>
      <c r="AO199" s="176">
        <v>62</v>
      </c>
      <c r="AP199" s="176">
        <v>95</v>
      </c>
      <c r="AQ199" s="167"/>
      <c r="AR199" s="180">
        <v>11.8</v>
      </c>
      <c r="AS199" s="166">
        <v>4.4688579532774</v>
      </c>
      <c r="AT199" s="181" t="s">
        <v>54</v>
      </c>
      <c r="AU199" s="173">
        <v>0.279303622079837</v>
      </c>
      <c r="AV199" s="174">
        <v>-37.883566208938603</v>
      </c>
      <c r="AW199" s="168"/>
      <c r="AX199" s="168"/>
      <c r="AY199" s="176">
        <v>31</v>
      </c>
      <c r="AZ199" s="176">
        <v>39</v>
      </c>
      <c r="BA199" s="167"/>
      <c r="BB199" s="184">
        <v>76.2</v>
      </c>
      <c r="BC199" s="180">
        <v>28.8582183084524</v>
      </c>
      <c r="BD199" s="181" t="s">
        <v>55</v>
      </c>
      <c r="BE199" s="188">
        <v>0.90181932213913696</v>
      </c>
      <c r="BF199" s="171">
        <v>-23.167132417877301</v>
      </c>
      <c r="BG199" s="168"/>
      <c r="BH199" s="168"/>
      <c r="BI199" s="176">
        <v>9</v>
      </c>
      <c r="BJ199" s="176">
        <v>26</v>
      </c>
      <c r="BK199" s="169"/>
      <c r="BL199" s="185">
        <v>0.8</v>
      </c>
      <c r="BM199" s="188">
        <v>0.75</v>
      </c>
      <c r="BN199" s="186"/>
      <c r="BO199" s="187">
        <v>0.95</v>
      </c>
      <c r="BP199" s="178">
        <v>1</v>
      </c>
      <c r="BQ199" s="186">
        <v>2.5000000000000001E-3</v>
      </c>
    </row>
    <row r="200" spans="1:69" s="156" customFormat="1" ht="22.35" customHeight="1" x14ac:dyDescent="0.2">
      <c r="A200" s="165" t="s">
        <v>220</v>
      </c>
      <c r="B200" s="165" t="s">
        <v>260</v>
      </c>
      <c r="C200" s="165" t="s">
        <v>265</v>
      </c>
      <c r="D200" s="166">
        <v>2.692140728</v>
      </c>
      <c r="E200" s="167"/>
      <c r="F200" s="168">
        <v>4.8000000000000001E-2</v>
      </c>
      <c r="G200" s="168">
        <v>4.2999999999999997E-2</v>
      </c>
      <c r="H200" s="169"/>
      <c r="I200" s="170">
        <v>6</v>
      </c>
      <c r="J200" s="170">
        <v>5</v>
      </c>
      <c r="K200" s="167"/>
      <c r="L200" s="171">
        <v>930.80709999999999</v>
      </c>
      <c r="M200" s="171">
        <v>169.11922999999999</v>
      </c>
      <c r="N200" s="171">
        <v>1099.92633</v>
      </c>
      <c r="O200" s="166">
        <v>408.56940298850498</v>
      </c>
      <c r="P200" s="172">
        <v>217.55099999999999</v>
      </c>
      <c r="Q200" s="178">
        <v>1.8780396458233</v>
      </c>
      <c r="R200" s="179">
        <v>411.16911075985797</v>
      </c>
      <c r="S200" s="168">
        <v>0.01</v>
      </c>
      <c r="T200" s="168">
        <v>0.01</v>
      </c>
      <c r="U200" s="175">
        <v>0</v>
      </c>
      <c r="V200" s="176">
        <v>0</v>
      </c>
      <c r="W200" s="167"/>
      <c r="X200" s="175">
        <v>1770.9614799999999</v>
      </c>
      <c r="Y200" s="166">
        <v>657.82648788782001</v>
      </c>
      <c r="Z200" s="177">
        <v>573</v>
      </c>
      <c r="AA200" s="182">
        <v>1.1480392458775199</v>
      </c>
      <c r="AB200" s="183">
        <v>-43.132165281344001</v>
      </c>
      <c r="AC200" s="168">
        <v>1.7000000000000001E-2</v>
      </c>
      <c r="AD200" s="168">
        <v>1.4999999999999999E-2</v>
      </c>
      <c r="AE200" s="176">
        <v>0</v>
      </c>
      <c r="AF200" s="176">
        <v>81</v>
      </c>
      <c r="AG200" s="167"/>
      <c r="AH200" s="180">
        <v>166.8</v>
      </c>
      <c r="AI200" s="166">
        <v>61.958128067070298</v>
      </c>
      <c r="AJ200" s="181" t="s">
        <v>53</v>
      </c>
      <c r="AK200" s="182">
        <v>0.98346235027095796</v>
      </c>
      <c r="AL200" s="183">
        <v>-32.655322256063997</v>
      </c>
      <c r="AM200" s="168">
        <v>1E-3</v>
      </c>
      <c r="AN200" s="168"/>
      <c r="AO200" s="176">
        <v>3</v>
      </c>
      <c r="AP200" s="176">
        <v>37</v>
      </c>
      <c r="AQ200" s="167"/>
      <c r="AR200" s="180">
        <v>24.8</v>
      </c>
      <c r="AS200" s="166">
        <v>9.2119998564948702</v>
      </c>
      <c r="AT200" s="181" t="s">
        <v>54</v>
      </c>
      <c r="AU200" s="173">
        <v>0.57574999103092905</v>
      </c>
      <c r="AV200" s="174">
        <v>-25.855319938048002</v>
      </c>
      <c r="AW200" s="168"/>
      <c r="AX200" s="168"/>
      <c r="AY200" s="176">
        <v>19</v>
      </c>
      <c r="AZ200" s="176">
        <v>27</v>
      </c>
      <c r="BA200" s="167"/>
      <c r="BB200" s="184">
        <v>101.4</v>
      </c>
      <c r="BC200" s="180">
        <v>37.665192961636301</v>
      </c>
      <c r="BD200" s="181" t="s">
        <v>55</v>
      </c>
      <c r="BE200" s="178">
        <v>1.17703728005113</v>
      </c>
      <c r="BF200" s="179">
        <v>8.9360123904015196E-2</v>
      </c>
      <c r="BG200" s="168">
        <v>0.02</v>
      </c>
      <c r="BH200" s="168">
        <v>1.7999999999999999E-2</v>
      </c>
      <c r="BI200" s="176">
        <v>0</v>
      </c>
      <c r="BJ200" s="176">
        <v>2</v>
      </c>
      <c r="BK200" s="169"/>
      <c r="BL200" s="185">
        <v>0.8</v>
      </c>
      <c r="BM200" s="182">
        <v>0.81</v>
      </c>
      <c r="BN200" s="186">
        <v>3.7500000000000001E-4</v>
      </c>
      <c r="BO200" s="187">
        <v>0.95</v>
      </c>
      <c r="BP200" s="178">
        <v>1</v>
      </c>
      <c r="BQ200" s="186">
        <v>2.5000000000000001E-3</v>
      </c>
    </row>
    <row r="201" spans="1:69" s="156" customFormat="1" ht="22.35" customHeight="1" x14ac:dyDescent="0.2">
      <c r="A201" s="165" t="s">
        <v>220</v>
      </c>
      <c r="B201" s="165" t="s">
        <v>260</v>
      </c>
      <c r="C201" s="165" t="s">
        <v>266</v>
      </c>
      <c r="D201" s="166">
        <v>3.8745519713333301</v>
      </c>
      <c r="E201" s="167"/>
      <c r="F201" s="168">
        <v>0.03</v>
      </c>
      <c r="G201" s="168">
        <v>0.03</v>
      </c>
      <c r="H201" s="169"/>
      <c r="I201" s="170">
        <v>3</v>
      </c>
      <c r="J201" s="170">
        <v>3</v>
      </c>
      <c r="K201" s="167"/>
      <c r="L201" s="171">
        <v>2511.70298</v>
      </c>
      <c r="M201" s="171">
        <v>2572.2669900000001</v>
      </c>
      <c r="N201" s="171">
        <v>5083.9699700000001</v>
      </c>
      <c r="O201" s="166">
        <v>1312.14396080238</v>
      </c>
      <c r="P201" s="172">
        <v>234.35599999999999</v>
      </c>
      <c r="Q201" s="178">
        <v>5.5989347864035102</v>
      </c>
      <c r="R201" s="179">
        <v>4016.1331558904999</v>
      </c>
      <c r="S201" s="168">
        <v>0.01</v>
      </c>
      <c r="T201" s="168">
        <v>0.01</v>
      </c>
      <c r="U201" s="175">
        <v>0</v>
      </c>
      <c r="V201" s="176">
        <v>0</v>
      </c>
      <c r="W201" s="167"/>
      <c r="X201" s="175">
        <v>2106.6466999999998</v>
      </c>
      <c r="Y201" s="166">
        <v>543.71362562341596</v>
      </c>
      <c r="Z201" s="177">
        <v>573</v>
      </c>
      <c r="AA201" s="188">
        <v>0.94888939899374503</v>
      </c>
      <c r="AB201" s="171">
        <v>-504.21239677902099</v>
      </c>
      <c r="AC201" s="168"/>
      <c r="AD201" s="168"/>
      <c r="AE201" s="176">
        <v>114</v>
      </c>
      <c r="AF201" s="176">
        <v>558</v>
      </c>
      <c r="AG201" s="167"/>
      <c r="AH201" s="180">
        <v>225.5</v>
      </c>
      <c r="AI201" s="166">
        <v>58.2002775207064</v>
      </c>
      <c r="AJ201" s="181" t="s">
        <v>53</v>
      </c>
      <c r="AK201" s="188">
        <v>0.92381392890010094</v>
      </c>
      <c r="AL201" s="171">
        <v>-61.557806452143701</v>
      </c>
      <c r="AM201" s="168"/>
      <c r="AN201" s="168"/>
      <c r="AO201" s="176">
        <v>19</v>
      </c>
      <c r="AP201" s="176">
        <v>68</v>
      </c>
      <c r="AQ201" s="167"/>
      <c r="AR201" s="180">
        <v>31.6</v>
      </c>
      <c r="AS201" s="166">
        <v>8.1557816836111794</v>
      </c>
      <c r="AT201" s="181" t="s">
        <v>54</v>
      </c>
      <c r="AU201" s="173">
        <v>0.50973635522569904</v>
      </c>
      <c r="AV201" s="174">
        <v>-41.303569892607896</v>
      </c>
      <c r="AW201" s="168"/>
      <c r="AX201" s="168"/>
      <c r="AY201" s="176">
        <v>31</v>
      </c>
      <c r="AZ201" s="176">
        <v>43</v>
      </c>
      <c r="BA201" s="167"/>
      <c r="BB201" s="184">
        <v>148.19999999999999</v>
      </c>
      <c r="BC201" s="180">
        <v>38.249583718708102</v>
      </c>
      <c r="BD201" s="181" t="s">
        <v>55</v>
      </c>
      <c r="BE201" s="178">
        <v>1.19529949120963</v>
      </c>
      <c r="BF201" s="179">
        <v>2.3928602147841498</v>
      </c>
      <c r="BG201" s="168">
        <v>0.02</v>
      </c>
      <c r="BH201" s="168">
        <v>0.02</v>
      </c>
      <c r="BI201" s="176">
        <v>0</v>
      </c>
      <c r="BJ201" s="176">
        <v>1</v>
      </c>
      <c r="BK201" s="169"/>
      <c r="BL201" s="185">
        <v>0.8</v>
      </c>
      <c r="BM201" s="188">
        <v>0.74</v>
      </c>
      <c r="BN201" s="186"/>
      <c r="BO201" s="187">
        <v>0.95</v>
      </c>
      <c r="BP201" s="178">
        <v>1</v>
      </c>
      <c r="BQ201" s="186">
        <v>2.5000000000000001E-3</v>
      </c>
    </row>
    <row r="202" spans="1:69" s="156" customFormat="1" ht="22.35" customHeight="1" x14ac:dyDescent="0.2">
      <c r="A202" s="165" t="s">
        <v>220</v>
      </c>
      <c r="B202" s="165" t="s">
        <v>260</v>
      </c>
      <c r="C202" s="165" t="s">
        <v>267</v>
      </c>
      <c r="D202" s="166">
        <v>3.2393056717777799</v>
      </c>
      <c r="E202" s="167"/>
      <c r="F202" s="168">
        <v>4.2999999999999997E-2</v>
      </c>
      <c r="G202" s="168">
        <v>0.04</v>
      </c>
      <c r="H202" s="169"/>
      <c r="I202" s="170">
        <v>5</v>
      </c>
      <c r="J202" s="170">
        <v>4</v>
      </c>
      <c r="K202" s="167"/>
      <c r="L202" s="171">
        <v>2856.1044900000002</v>
      </c>
      <c r="M202" s="171">
        <v>249.30832000000001</v>
      </c>
      <c r="N202" s="171">
        <v>3105.4128099999998</v>
      </c>
      <c r="O202" s="166">
        <v>958.66618487279197</v>
      </c>
      <c r="P202" s="172">
        <v>251.035</v>
      </c>
      <c r="Q202" s="178">
        <v>3.8188546811113699</v>
      </c>
      <c r="R202" s="179">
        <v>2149.1141892058699</v>
      </c>
      <c r="S202" s="168">
        <v>0.01</v>
      </c>
      <c r="T202" s="168">
        <v>0.01</v>
      </c>
      <c r="U202" s="175">
        <v>0</v>
      </c>
      <c r="V202" s="176">
        <v>0</v>
      </c>
      <c r="W202" s="167"/>
      <c r="X202" s="175">
        <v>2040.360985</v>
      </c>
      <c r="Y202" s="166">
        <v>629.87602645113202</v>
      </c>
      <c r="Z202" s="177">
        <v>573</v>
      </c>
      <c r="AA202" s="182">
        <v>1.09926008106655</v>
      </c>
      <c r="AB202" s="183">
        <v>-142.43866331611301</v>
      </c>
      <c r="AC202" s="168">
        <v>1.2E-2</v>
      </c>
      <c r="AD202" s="168">
        <v>0.01</v>
      </c>
      <c r="AE202" s="176">
        <v>0</v>
      </c>
      <c r="AF202" s="176">
        <v>187</v>
      </c>
      <c r="AG202" s="167"/>
      <c r="AH202" s="180">
        <v>201.65</v>
      </c>
      <c r="AI202" s="166">
        <v>62.2509946365548</v>
      </c>
      <c r="AJ202" s="181" t="s">
        <v>53</v>
      </c>
      <c r="AK202" s="182">
        <v>0.98811102597706002</v>
      </c>
      <c r="AL202" s="183">
        <v>-38.3436786106721</v>
      </c>
      <c r="AM202" s="168">
        <v>1E-3</v>
      </c>
      <c r="AN202" s="168"/>
      <c r="AO202" s="176">
        <v>3</v>
      </c>
      <c r="AP202" s="176">
        <v>44</v>
      </c>
      <c r="AQ202" s="167"/>
      <c r="AR202" s="180">
        <v>33.1</v>
      </c>
      <c r="AS202" s="166">
        <v>10.2182391394494</v>
      </c>
      <c r="AT202" s="181" t="s">
        <v>54</v>
      </c>
      <c r="AU202" s="173">
        <v>0.63863994621558495</v>
      </c>
      <c r="AV202" s="174">
        <v>-27.8507755201707</v>
      </c>
      <c r="AW202" s="168"/>
      <c r="AX202" s="168"/>
      <c r="AY202" s="176">
        <v>19</v>
      </c>
      <c r="AZ202" s="176">
        <v>30</v>
      </c>
      <c r="BA202" s="167"/>
      <c r="BB202" s="184">
        <v>126.8</v>
      </c>
      <c r="BC202" s="180">
        <v>39.144191023630803</v>
      </c>
      <c r="BD202" s="181" t="s">
        <v>55</v>
      </c>
      <c r="BE202" s="178">
        <v>1.2232559694884599</v>
      </c>
      <c r="BF202" s="179">
        <v>4.8984489596585901</v>
      </c>
      <c r="BG202" s="168">
        <v>0.02</v>
      </c>
      <c r="BH202" s="168">
        <v>0.02</v>
      </c>
      <c r="BI202" s="176">
        <v>0</v>
      </c>
      <c r="BJ202" s="176">
        <v>0</v>
      </c>
      <c r="BK202" s="169"/>
      <c r="BL202" s="185">
        <v>0.8</v>
      </c>
      <c r="BM202" s="188">
        <v>0.75</v>
      </c>
      <c r="BN202" s="186"/>
      <c r="BO202" s="187">
        <v>0.95</v>
      </c>
      <c r="BP202" s="178">
        <v>1</v>
      </c>
      <c r="BQ202" s="186">
        <v>2.5000000000000001E-3</v>
      </c>
    </row>
    <row r="203" spans="1:69" s="156" customFormat="1" ht="22.35" customHeight="1" x14ac:dyDescent="0.2">
      <c r="A203" s="165" t="s">
        <v>220</v>
      </c>
      <c r="B203" s="165" t="s">
        <v>260</v>
      </c>
      <c r="C203" s="165" t="s">
        <v>268</v>
      </c>
      <c r="D203" s="166">
        <v>1.60228521777778</v>
      </c>
      <c r="E203" s="167"/>
      <c r="F203" s="168">
        <v>0.05</v>
      </c>
      <c r="G203" s="168">
        <v>0.05</v>
      </c>
      <c r="H203" s="169"/>
      <c r="I203" s="170">
        <v>4</v>
      </c>
      <c r="J203" s="170">
        <v>4</v>
      </c>
      <c r="K203" s="167"/>
      <c r="L203" s="171">
        <v>1549.00557</v>
      </c>
      <c r="M203" s="171">
        <v>542.31268999999998</v>
      </c>
      <c r="N203" s="171">
        <v>2091.31826</v>
      </c>
      <c r="O203" s="166">
        <v>1305.2097321976601</v>
      </c>
      <c r="P203" s="172">
        <v>221.102</v>
      </c>
      <c r="Q203" s="178">
        <v>5.9032018353414299</v>
      </c>
      <c r="R203" s="179">
        <v>1674.69854372398</v>
      </c>
      <c r="S203" s="168">
        <v>0.01</v>
      </c>
      <c r="T203" s="168">
        <v>0.01</v>
      </c>
      <c r="U203" s="175">
        <v>0</v>
      </c>
      <c r="V203" s="176">
        <v>0</v>
      </c>
      <c r="W203" s="167"/>
      <c r="X203" s="175">
        <v>1587.25524</v>
      </c>
      <c r="Y203" s="166">
        <v>990.61966146163195</v>
      </c>
      <c r="Z203" s="177">
        <v>573</v>
      </c>
      <c r="AA203" s="178">
        <v>1.7288301247148901</v>
      </c>
      <c r="AB203" s="179">
        <v>507.55855057087803</v>
      </c>
      <c r="AC203" s="168">
        <v>0.02</v>
      </c>
      <c r="AD203" s="168">
        <v>0.02</v>
      </c>
      <c r="AE203" s="176">
        <v>0</v>
      </c>
      <c r="AF203" s="176">
        <v>0</v>
      </c>
      <c r="AG203" s="167"/>
      <c r="AH203" s="180">
        <v>98.2</v>
      </c>
      <c r="AI203" s="166">
        <v>61.287465496432901</v>
      </c>
      <c r="AJ203" s="181" t="s">
        <v>53</v>
      </c>
      <c r="AK203" s="188">
        <v>0.97281691264179204</v>
      </c>
      <c r="AL203" s="171">
        <v>-20.510107214720101</v>
      </c>
      <c r="AM203" s="168"/>
      <c r="AN203" s="168"/>
      <c r="AO203" s="176">
        <v>3</v>
      </c>
      <c r="AP203" s="176">
        <v>23</v>
      </c>
      <c r="AQ203" s="167"/>
      <c r="AR203" s="180">
        <v>8</v>
      </c>
      <c r="AS203" s="166">
        <v>4.99286887954647</v>
      </c>
      <c r="AT203" s="181" t="s">
        <v>54</v>
      </c>
      <c r="AU203" s="173">
        <v>0.31205430497165398</v>
      </c>
      <c r="AV203" s="174">
        <v>-22.1485986577067</v>
      </c>
      <c r="AW203" s="168"/>
      <c r="AX203" s="168"/>
      <c r="AY203" s="176">
        <v>18</v>
      </c>
      <c r="AZ203" s="176">
        <v>23</v>
      </c>
      <c r="BA203" s="167"/>
      <c r="BB203" s="184">
        <v>66.599999999999994</v>
      </c>
      <c r="BC203" s="180">
        <v>41.565633422224302</v>
      </c>
      <c r="BD203" s="181" t="s">
        <v>55</v>
      </c>
      <c r="BE203" s="178">
        <v>1.2989260444445101</v>
      </c>
      <c r="BF203" s="179">
        <v>6.3028026845865801</v>
      </c>
      <c r="BG203" s="168">
        <v>0.02</v>
      </c>
      <c r="BH203" s="168">
        <v>0.02</v>
      </c>
      <c r="BI203" s="176">
        <v>0</v>
      </c>
      <c r="BJ203" s="176">
        <v>0</v>
      </c>
      <c r="BK203" s="169"/>
      <c r="BL203" s="185">
        <v>0.8</v>
      </c>
      <c r="BM203" s="188">
        <v>0.79</v>
      </c>
      <c r="BN203" s="186"/>
      <c r="BO203" s="187">
        <v>0.95</v>
      </c>
      <c r="BP203" s="178">
        <v>1</v>
      </c>
      <c r="BQ203" s="186">
        <v>2.5000000000000001E-3</v>
      </c>
    </row>
    <row r="204" spans="1:69" s="156" customFormat="1" ht="22.35" customHeight="1" x14ac:dyDescent="0.2">
      <c r="A204" s="165" t="s">
        <v>220</v>
      </c>
      <c r="B204" s="165" t="s">
        <v>260</v>
      </c>
      <c r="C204" s="165" t="s">
        <v>269</v>
      </c>
      <c r="D204" s="166">
        <v>2.8902111342222199</v>
      </c>
      <c r="E204" s="167"/>
      <c r="F204" s="168">
        <v>2.7E-2</v>
      </c>
      <c r="G204" s="168">
        <v>2.4E-2</v>
      </c>
      <c r="H204" s="169"/>
      <c r="I204" s="170">
        <v>4</v>
      </c>
      <c r="J204" s="170">
        <v>4</v>
      </c>
      <c r="K204" s="167"/>
      <c r="L204" s="171">
        <v>1476.6558500000001</v>
      </c>
      <c r="M204" s="171">
        <v>933.60288000000003</v>
      </c>
      <c r="N204" s="171">
        <v>2410.25873</v>
      </c>
      <c r="O204" s="166">
        <v>833.93863564525304</v>
      </c>
      <c r="P204" s="172">
        <v>220.88900000000001</v>
      </c>
      <c r="Q204" s="178">
        <v>3.7753742180246799</v>
      </c>
      <c r="R204" s="179">
        <v>1659.4816936607999</v>
      </c>
      <c r="S204" s="168">
        <v>0.01</v>
      </c>
      <c r="T204" s="168">
        <v>0.01</v>
      </c>
      <c r="U204" s="175">
        <v>0</v>
      </c>
      <c r="V204" s="176">
        <v>0</v>
      </c>
      <c r="W204" s="167"/>
      <c r="X204" s="175">
        <v>1891.0561250000001</v>
      </c>
      <c r="Y204" s="166">
        <v>654.29687907866196</v>
      </c>
      <c r="Z204" s="177">
        <v>573</v>
      </c>
      <c r="AA204" s="182">
        <v>1.14187937011983</v>
      </c>
      <c r="AB204" s="183">
        <v>-56.506867373374199</v>
      </c>
      <c r="AC204" s="168">
        <v>1.7000000000000001E-2</v>
      </c>
      <c r="AD204" s="168">
        <v>1.4E-2</v>
      </c>
      <c r="AE204" s="176">
        <v>0</v>
      </c>
      <c r="AF204" s="176">
        <v>97</v>
      </c>
      <c r="AG204" s="167"/>
      <c r="AH204" s="180">
        <v>115.65</v>
      </c>
      <c r="AI204" s="166">
        <v>40.014377714700203</v>
      </c>
      <c r="AJ204" s="181" t="s">
        <v>53</v>
      </c>
      <c r="AK204" s="173">
        <v>0.635148852614288</v>
      </c>
      <c r="AL204" s="174">
        <v>-98.479962512255796</v>
      </c>
      <c r="AM204" s="168"/>
      <c r="AN204" s="168"/>
      <c r="AO204" s="176">
        <v>67</v>
      </c>
      <c r="AP204" s="176">
        <v>103</v>
      </c>
      <c r="AQ204" s="167"/>
      <c r="AR204" s="180">
        <v>13.5</v>
      </c>
      <c r="AS204" s="166">
        <v>4.6709390328443803</v>
      </c>
      <c r="AT204" s="181" t="s">
        <v>54</v>
      </c>
      <c r="AU204" s="173">
        <v>0.29193368955277399</v>
      </c>
      <c r="AV204" s="174">
        <v>-40.882212701525297</v>
      </c>
      <c r="AW204" s="168"/>
      <c r="AX204" s="168"/>
      <c r="AY204" s="176">
        <v>33</v>
      </c>
      <c r="AZ204" s="176">
        <v>42</v>
      </c>
      <c r="BA204" s="167"/>
      <c r="BB204" s="184">
        <v>74.8</v>
      </c>
      <c r="BC204" s="180">
        <v>25.880462196797001</v>
      </c>
      <c r="BD204" s="181" t="s">
        <v>55</v>
      </c>
      <c r="BE204" s="188">
        <v>0.80876444364990596</v>
      </c>
      <c r="BF204" s="171">
        <v>-33.964425403050598</v>
      </c>
      <c r="BG204" s="168"/>
      <c r="BH204" s="168"/>
      <c r="BI204" s="176">
        <v>18</v>
      </c>
      <c r="BJ204" s="176">
        <v>37</v>
      </c>
      <c r="BK204" s="169"/>
      <c r="BL204" s="185">
        <v>0.8</v>
      </c>
      <c r="BM204" s="182">
        <v>0.82</v>
      </c>
      <c r="BN204" s="186">
        <v>7.5000000000000002E-4</v>
      </c>
      <c r="BO204" s="187">
        <v>0.95</v>
      </c>
      <c r="BP204" s="178">
        <v>1</v>
      </c>
      <c r="BQ204" s="186">
        <v>2.5000000000000001E-3</v>
      </c>
    </row>
    <row r="205" spans="1:69" s="156" customFormat="1" ht="22.35" customHeight="1" x14ac:dyDescent="0.2">
      <c r="A205" s="165" t="s">
        <v>220</v>
      </c>
      <c r="B205" s="165" t="s">
        <v>260</v>
      </c>
      <c r="C205" s="165" t="s">
        <v>270</v>
      </c>
      <c r="D205" s="166">
        <v>2.6579356497777802</v>
      </c>
      <c r="E205" s="167"/>
      <c r="F205" s="168">
        <v>5.5E-2</v>
      </c>
      <c r="G205" s="168">
        <v>5.2999999999999999E-2</v>
      </c>
      <c r="H205" s="169"/>
      <c r="I205" s="170">
        <v>5</v>
      </c>
      <c r="J205" s="170">
        <v>5</v>
      </c>
      <c r="K205" s="167"/>
      <c r="L205" s="171">
        <v>552.70009000000005</v>
      </c>
      <c r="M205" s="171">
        <v>901.92066</v>
      </c>
      <c r="N205" s="171">
        <v>1454.62075</v>
      </c>
      <c r="O205" s="166">
        <v>547.27463026488897</v>
      </c>
      <c r="P205" s="172">
        <v>221.102</v>
      </c>
      <c r="Q205" s="178">
        <v>2.47521338687524</v>
      </c>
      <c r="R205" s="179">
        <v>763.51508166829205</v>
      </c>
      <c r="S205" s="168">
        <v>0.01</v>
      </c>
      <c r="T205" s="168">
        <v>0.01</v>
      </c>
      <c r="U205" s="175">
        <v>0</v>
      </c>
      <c r="V205" s="176">
        <v>0</v>
      </c>
      <c r="W205" s="167"/>
      <c r="X205" s="175">
        <v>2046.827405</v>
      </c>
      <c r="Y205" s="166">
        <v>770.08162525346597</v>
      </c>
      <c r="Z205" s="177">
        <v>573</v>
      </c>
      <c r="AA205" s="178">
        <v>1.34394698997115</v>
      </c>
      <c r="AB205" s="179">
        <v>255.782783268543</v>
      </c>
      <c r="AC205" s="168">
        <v>0.02</v>
      </c>
      <c r="AD205" s="168">
        <v>0.02</v>
      </c>
      <c r="AE205" s="176">
        <v>0</v>
      </c>
      <c r="AF205" s="176">
        <v>0</v>
      </c>
      <c r="AG205" s="167"/>
      <c r="AH205" s="180">
        <v>172.1</v>
      </c>
      <c r="AI205" s="166">
        <v>64.749498361402701</v>
      </c>
      <c r="AJ205" s="181" t="s">
        <v>53</v>
      </c>
      <c r="AK205" s="182">
        <v>1.02776981526036</v>
      </c>
      <c r="AL205" s="183">
        <v>-24.821136420736099</v>
      </c>
      <c r="AM205" s="168">
        <v>5.0000000000000001E-3</v>
      </c>
      <c r="AN205" s="168">
        <v>3.0000000000000001E-3</v>
      </c>
      <c r="AO205" s="176">
        <v>0</v>
      </c>
      <c r="AP205" s="176">
        <v>29</v>
      </c>
      <c r="AQ205" s="167"/>
      <c r="AR205" s="180">
        <v>19</v>
      </c>
      <c r="AS205" s="166">
        <v>7.1484048161920501</v>
      </c>
      <c r="AT205" s="181" t="s">
        <v>54</v>
      </c>
      <c r="AU205" s="173">
        <v>0.44677530101200302</v>
      </c>
      <c r="AV205" s="174">
        <v>-31.0117171862187</v>
      </c>
      <c r="AW205" s="168"/>
      <c r="AX205" s="168"/>
      <c r="AY205" s="176">
        <v>24</v>
      </c>
      <c r="AZ205" s="176">
        <v>33</v>
      </c>
      <c r="BA205" s="167"/>
      <c r="BB205" s="184">
        <v>131.4</v>
      </c>
      <c r="BC205" s="180">
        <v>49.436862781454501</v>
      </c>
      <c r="BD205" s="181" t="s">
        <v>55</v>
      </c>
      <c r="BE205" s="178">
        <v>1.54490196192045</v>
      </c>
      <c r="BF205" s="179">
        <v>31.376565627562599</v>
      </c>
      <c r="BG205" s="168">
        <v>0.02</v>
      </c>
      <c r="BH205" s="168">
        <v>0.02</v>
      </c>
      <c r="BI205" s="176">
        <v>0</v>
      </c>
      <c r="BJ205" s="176">
        <v>0</v>
      </c>
      <c r="BK205" s="169"/>
      <c r="BL205" s="185">
        <v>0.8</v>
      </c>
      <c r="BM205" s="188">
        <v>0.79</v>
      </c>
      <c r="BN205" s="186"/>
      <c r="BO205" s="187">
        <v>0.95</v>
      </c>
      <c r="BP205" s="178">
        <v>1</v>
      </c>
      <c r="BQ205" s="186">
        <v>2.5000000000000001E-3</v>
      </c>
    </row>
    <row r="206" spans="1:69" s="156" customFormat="1" ht="22.35" customHeight="1" x14ac:dyDescent="0.2">
      <c r="A206" s="165" t="s">
        <v>220</v>
      </c>
      <c r="B206" s="165" t="s">
        <v>260</v>
      </c>
      <c r="C206" s="165" t="s">
        <v>271</v>
      </c>
      <c r="D206" s="166">
        <v>1.9523576782222201</v>
      </c>
      <c r="E206" s="167"/>
      <c r="F206" s="168">
        <v>0.01</v>
      </c>
      <c r="G206" s="168">
        <v>0.01</v>
      </c>
      <c r="H206" s="169"/>
      <c r="I206" s="170">
        <v>3</v>
      </c>
      <c r="J206" s="170">
        <v>3</v>
      </c>
      <c r="K206" s="167"/>
      <c r="L206" s="171">
        <v>852.99564999999996</v>
      </c>
      <c r="M206" s="171">
        <v>934.59672</v>
      </c>
      <c r="N206" s="171">
        <v>1787.5923700000001</v>
      </c>
      <c r="O206" s="166">
        <v>915.60700682046399</v>
      </c>
      <c r="P206" s="172">
        <v>214.857</v>
      </c>
      <c r="Q206" s="178">
        <v>4.2614716151694596</v>
      </c>
      <c r="R206" s="179">
        <v>1294.28657872433</v>
      </c>
      <c r="S206" s="168">
        <v>0.01</v>
      </c>
      <c r="T206" s="168">
        <v>0.01</v>
      </c>
      <c r="U206" s="175">
        <v>0</v>
      </c>
      <c r="V206" s="176">
        <v>0</v>
      </c>
      <c r="W206" s="167"/>
      <c r="X206" s="175">
        <v>660.15421500000002</v>
      </c>
      <c r="Y206" s="166">
        <v>338.13179949747899</v>
      </c>
      <c r="Z206" s="177">
        <v>573</v>
      </c>
      <c r="AA206" s="173">
        <v>0.59010785252614095</v>
      </c>
      <c r="AB206" s="174">
        <v>-655.43810175468604</v>
      </c>
      <c r="AC206" s="168"/>
      <c r="AD206" s="168"/>
      <c r="AE206" s="176">
        <v>459</v>
      </c>
      <c r="AF206" s="176">
        <v>683</v>
      </c>
      <c r="AG206" s="167"/>
      <c r="AH206" s="180">
        <v>61</v>
      </c>
      <c r="AI206" s="166">
        <v>31.2442748992313</v>
      </c>
      <c r="AJ206" s="181" t="s">
        <v>53</v>
      </c>
      <c r="AK206" s="173">
        <v>0.495940871416369</v>
      </c>
      <c r="AL206" s="174">
        <v>-83.646275664127799</v>
      </c>
      <c r="AM206" s="168"/>
      <c r="AN206" s="168"/>
      <c r="AO206" s="176">
        <v>62</v>
      </c>
      <c r="AP206" s="176">
        <v>87</v>
      </c>
      <c r="AQ206" s="167"/>
      <c r="AR206" s="180">
        <v>8.6</v>
      </c>
      <c r="AS206" s="166">
        <v>4.4049305595637502</v>
      </c>
      <c r="AT206" s="181" t="s">
        <v>54</v>
      </c>
      <c r="AU206" s="173">
        <v>0.275308159972734</v>
      </c>
      <c r="AV206" s="174">
        <v>-28.135562073429298</v>
      </c>
      <c r="AW206" s="168"/>
      <c r="AX206" s="168"/>
      <c r="AY206" s="176">
        <v>23</v>
      </c>
      <c r="AZ206" s="176">
        <v>29</v>
      </c>
      <c r="BA206" s="167"/>
      <c r="BB206" s="184">
        <v>37.6</v>
      </c>
      <c r="BC206" s="180">
        <v>19.258766167394999</v>
      </c>
      <c r="BD206" s="181" t="s">
        <v>55</v>
      </c>
      <c r="BE206" s="173">
        <v>0.60183644273109405</v>
      </c>
      <c r="BF206" s="174">
        <v>-35.871124146858598</v>
      </c>
      <c r="BG206" s="168"/>
      <c r="BH206" s="168"/>
      <c r="BI206" s="176">
        <v>25</v>
      </c>
      <c r="BJ206" s="176">
        <v>38</v>
      </c>
      <c r="BK206" s="169"/>
      <c r="BL206" s="185">
        <v>0.8</v>
      </c>
      <c r="BM206" s="182">
        <v>0.83</v>
      </c>
      <c r="BN206" s="186">
        <v>1.1249999999999999E-3</v>
      </c>
      <c r="BO206" s="187">
        <v>0.95</v>
      </c>
      <c r="BP206" s="178">
        <v>1</v>
      </c>
      <c r="BQ206" s="186">
        <v>2.5000000000000001E-3</v>
      </c>
    </row>
    <row r="207" spans="1:69" s="156" customFormat="1" ht="22.35" customHeight="1" x14ac:dyDescent="0.2">
      <c r="A207" s="165" t="s">
        <v>220</v>
      </c>
      <c r="B207" s="165" t="s">
        <v>260</v>
      </c>
      <c r="C207" s="165" t="s">
        <v>272</v>
      </c>
      <c r="D207" s="166">
        <v>9.0627591208888898</v>
      </c>
      <c r="E207" s="167"/>
      <c r="F207" s="168">
        <v>0.05</v>
      </c>
      <c r="G207" s="168">
        <v>4.7E-2</v>
      </c>
      <c r="H207" s="169"/>
      <c r="I207" s="170">
        <v>5</v>
      </c>
      <c r="J207" s="170">
        <v>4</v>
      </c>
      <c r="K207" s="167"/>
      <c r="L207" s="171">
        <v>5901.4167600000001</v>
      </c>
      <c r="M207" s="171">
        <v>2365.5086000000001</v>
      </c>
      <c r="N207" s="171">
        <v>8266.9253599999993</v>
      </c>
      <c r="O207" s="166">
        <v>912.18637169175599</v>
      </c>
      <c r="P207" s="172">
        <v>241.29400000000001</v>
      </c>
      <c r="Q207" s="178">
        <v>3.7803939248044101</v>
      </c>
      <c r="R207" s="179">
        <v>5695.2610264046598</v>
      </c>
      <c r="S207" s="168">
        <v>0.01</v>
      </c>
      <c r="T207" s="168">
        <v>0.01</v>
      </c>
      <c r="U207" s="175">
        <v>0</v>
      </c>
      <c r="V207" s="176">
        <v>0</v>
      </c>
      <c r="W207" s="167"/>
      <c r="X207" s="175">
        <v>6067.0697250000003</v>
      </c>
      <c r="Y207" s="166">
        <v>669.45062139143897</v>
      </c>
      <c r="Z207" s="177">
        <v>573</v>
      </c>
      <c r="AA207" s="182">
        <v>1.1683256917826199</v>
      </c>
      <c r="AB207" s="183">
        <v>-39.852383092737</v>
      </c>
      <c r="AC207" s="168">
        <v>1.9E-2</v>
      </c>
      <c r="AD207" s="168">
        <v>1.7000000000000001E-2</v>
      </c>
      <c r="AE207" s="176">
        <v>0</v>
      </c>
      <c r="AF207" s="176">
        <v>165</v>
      </c>
      <c r="AG207" s="167"/>
      <c r="AH207" s="180">
        <v>566</v>
      </c>
      <c r="AI207" s="166">
        <v>62.453386705977699</v>
      </c>
      <c r="AJ207" s="181" t="s">
        <v>53</v>
      </c>
      <c r="AK207" s="182">
        <v>0.991323598507582</v>
      </c>
      <c r="AL207" s="183">
        <v>-105.441697748416</v>
      </c>
      <c r="AM207" s="168">
        <v>1E-3</v>
      </c>
      <c r="AN207" s="168"/>
      <c r="AO207" s="176">
        <v>5</v>
      </c>
      <c r="AP207" s="176">
        <v>120</v>
      </c>
      <c r="AQ207" s="167"/>
      <c r="AR207" s="180">
        <v>133.4</v>
      </c>
      <c r="AS207" s="166">
        <v>14.7195791282287</v>
      </c>
      <c r="AT207" s="181" t="s">
        <v>54</v>
      </c>
      <c r="AU207" s="188">
        <v>0.91997369551429098</v>
      </c>
      <c r="AV207" s="171">
        <v>-37.124875618645298</v>
      </c>
      <c r="AW207" s="168"/>
      <c r="AX207" s="168"/>
      <c r="AY207" s="176">
        <v>12</v>
      </c>
      <c r="AZ207" s="176">
        <v>41</v>
      </c>
      <c r="BA207" s="167"/>
      <c r="BB207" s="184">
        <v>402.8</v>
      </c>
      <c r="BC207" s="180">
        <v>44.445625733512003</v>
      </c>
      <c r="BD207" s="181" t="s">
        <v>55</v>
      </c>
      <c r="BE207" s="178">
        <v>1.3889258041722501</v>
      </c>
      <c r="BF207" s="179">
        <v>61.750248762709298</v>
      </c>
      <c r="BG207" s="168">
        <v>0.02</v>
      </c>
      <c r="BH207" s="168">
        <v>0.02</v>
      </c>
      <c r="BI207" s="176">
        <v>0</v>
      </c>
      <c r="BJ207" s="176">
        <v>0</v>
      </c>
      <c r="BK207" s="169"/>
      <c r="BL207" s="185">
        <v>0.8</v>
      </c>
      <c r="BM207" s="188">
        <v>0.78</v>
      </c>
      <c r="BN207" s="186"/>
      <c r="BO207" s="187">
        <v>0.95</v>
      </c>
      <c r="BP207" s="178">
        <v>1</v>
      </c>
      <c r="BQ207" s="186">
        <v>2.5000000000000001E-3</v>
      </c>
    </row>
    <row r="208" spans="1:69" s="156" customFormat="1" ht="22.35" customHeight="1" x14ac:dyDescent="0.2">
      <c r="A208" s="165" t="s">
        <v>220</v>
      </c>
      <c r="B208" s="165" t="s">
        <v>260</v>
      </c>
      <c r="C208" s="165" t="s">
        <v>273</v>
      </c>
      <c r="D208" s="166">
        <v>3.7574485252222201</v>
      </c>
      <c r="E208" s="167"/>
      <c r="F208" s="168">
        <v>3.9E-2</v>
      </c>
      <c r="G208" s="168">
        <v>3.6999999999999998E-2</v>
      </c>
      <c r="H208" s="169"/>
      <c r="I208" s="170">
        <v>5</v>
      </c>
      <c r="J208" s="170">
        <v>5</v>
      </c>
      <c r="K208" s="167"/>
      <c r="L208" s="171">
        <v>1626.9907499999999</v>
      </c>
      <c r="M208" s="171">
        <v>1818.5700300000001</v>
      </c>
      <c r="N208" s="171">
        <v>3445.5607799999998</v>
      </c>
      <c r="O208" s="166">
        <v>916.99480561645805</v>
      </c>
      <c r="P208" s="172">
        <v>224.04499999999999</v>
      </c>
      <c r="Q208" s="178">
        <v>4.0929045754935798</v>
      </c>
      <c r="R208" s="179">
        <v>2455.55981551591</v>
      </c>
      <c r="S208" s="168">
        <v>0.01</v>
      </c>
      <c r="T208" s="168">
        <v>0.01</v>
      </c>
      <c r="U208" s="175">
        <v>0</v>
      </c>
      <c r="V208" s="176">
        <v>0</v>
      </c>
      <c r="W208" s="167"/>
      <c r="X208" s="175">
        <v>3030.0403550000001</v>
      </c>
      <c r="Y208" s="166">
        <v>806.40901256812197</v>
      </c>
      <c r="Z208" s="177">
        <v>573</v>
      </c>
      <c r="AA208" s="178">
        <v>1.4073455716721199</v>
      </c>
      <c r="AB208" s="179">
        <v>498.091181176058</v>
      </c>
      <c r="AC208" s="168">
        <v>0.02</v>
      </c>
      <c r="AD208" s="168">
        <v>0.02</v>
      </c>
      <c r="AE208" s="176">
        <v>0</v>
      </c>
      <c r="AF208" s="176">
        <v>0</v>
      </c>
      <c r="AG208" s="167"/>
      <c r="AH208" s="180">
        <v>196.9</v>
      </c>
      <c r="AI208" s="166">
        <v>52.402580814691298</v>
      </c>
      <c r="AJ208" s="181" t="s">
        <v>53</v>
      </c>
      <c r="AK208" s="188">
        <v>0.83178699705859205</v>
      </c>
      <c r="AL208" s="171">
        <v>-81.481846336663807</v>
      </c>
      <c r="AM208" s="168"/>
      <c r="AN208" s="168"/>
      <c r="AO208" s="176">
        <v>40</v>
      </c>
      <c r="AP208" s="176">
        <v>88</v>
      </c>
      <c r="AQ208" s="167"/>
      <c r="AR208" s="180">
        <v>35.4</v>
      </c>
      <c r="AS208" s="166">
        <v>9.4212867488068603</v>
      </c>
      <c r="AT208" s="181" t="s">
        <v>54</v>
      </c>
      <c r="AU208" s="173">
        <v>0.58883042180042899</v>
      </c>
      <c r="AV208" s="174">
        <v>-35.300151450581303</v>
      </c>
      <c r="AW208" s="168"/>
      <c r="AX208" s="168"/>
      <c r="AY208" s="176">
        <v>25</v>
      </c>
      <c r="AZ208" s="176">
        <v>37</v>
      </c>
      <c r="BA208" s="167"/>
      <c r="BB208" s="184">
        <v>128.4</v>
      </c>
      <c r="BC208" s="180">
        <v>34.172124817706198</v>
      </c>
      <c r="BD208" s="181" t="s">
        <v>55</v>
      </c>
      <c r="BE208" s="182">
        <v>1.06787890055332</v>
      </c>
      <c r="BF208" s="183">
        <v>-13.000302901162501</v>
      </c>
      <c r="BG208" s="168">
        <v>8.9999999999999993E-3</v>
      </c>
      <c r="BH208" s="168">
        <v>7.0000000000000001E-3</v>
      </c>
      <c r="BI208" s="176">
        <v>0</v>
      </c>
      <c r="BJ208" s="176">
        <v>16</v>
      </c>
      <c r="BK208" s="169"/>
      <c r="BL208" s="185">
        <v>0.8</v>
      </c>
      <c r="BM208" s="182">
        <v>0.81</v>
      </c>
      <c r="BN208" s="186">
        <v>3.7500000000000001E-4</v>
      </c>
      <c r="BO208" s="187">
        <v>0.95</v>
      </c>
      <c r="BP208" s="178">
        <v>1</v>
      </c>
      <c r="BQ208" s="186">
        <v>2.5000000000000001E-3</v>
      </c>
    </row>
    <row r="209" spans="1:69" s="156" customFormat="1" ht="22.35" customHeight="1" x14ac:dyDescent="0.2">
      <c r="A209" s="165" t="s">
        <v>220</v>
      </c>
      <c r="B209" s="165" t="s">
        <v>260</v>
      </c>
      <c r="C209" s="165" t="s">
        <v>274</v>
      </c>
      <c r="D209" s="166">
        <v>2.624758167</v>
      </c>
      <c r="E209" s="167"/>
      <c r="F209" s="168">
        <v>4.8000000000000001E-2</v>
      </c>
      <c r="G209" s="168">
        <v>4.3999999999999997E-2</v>
      </c>
      <c r="H209" s="169"/>
      <c r="I209" s="170">
        <v>5</v>
      </c>
      <c r="J209" s="170">
        <v>5</v>
      </c>
      <c r="K209" s="167"/>
      <c r="L209" s="171">
        <v>1672.1296600000001</v>
      </c>
      <c r="M209" s="171">
        <v>323.84611000000001</v>
      </c>
      <c r="N209" s="171">
        <v>1995.97577</v>
      </c>
      <c r="O209" s="166">
        <v>760.44177901590297</v>
      </c>
      <c r="P209" s="172">
        <v>262.75900000000001</v>
      </c>
      <c r="Q209" s="178">
        <v>2.8940655848739798</v>
      </c>
      <c r="R209" s="179">
        <v>1184.9134645055599</v>
      </c>
      <c r="S209" s="168">
        <v>0.01</v>
      </c>
      <c r="T209" s="168">
        <v>0.01</v>
      </c>
      <c r="U209" s="175">
        <v>0</v>
      </c>
      <c r="V209" s="176">
        <v>0</v>
      </c>
      <c r="W209" s="167"/>
      <c r="X209" s="175">
        <v>1543.70109</v>
      </c>
      <c r="Y209" s="166">
        <v>588.13078835540603</v>
      </c>
      <c r="Z209" s="177">
        <v>573</v>
      </c>
      <c r="AA209" s="182">
        <v>1.02640626240036</v>
      </c>
      <c r="AB209" s="183">
        <v>-224.986951316616</v>
      </c>
      <c r="AC209" s="168">
        <v>5.0000000000000001E-3</v>
      </c>
      <c r="AD209" s="168">
        <v>3.0000000000000001E-3</v>
      </c>
      <c r="AE209" s="176">
        <v>0</v>
      </c>
      <c r="AF209" s="176">
        <v>262</v>
      </c>
      <c r="AG209" s="167"/>
      <c r="AH209" s="180">
        <v>183.85</v>
      </c>
      <c r="AI209" s="166">
        <v>70.044548222182897</v>
      </c>
      <c r="AJ209" s="181" t="s">
        <v>53</v>
      </c>
      <c r="AK209" s="182">
        <v>1.11181822574894</v>
      </c>
      <c r="AL209" s="183">
        <v>-10.613083076696</v>
      </c>
      <c r="AM209" s="168">
        <v>1.2999999999999999E-2</v>
      </c>
      <c r="AN209" s="168">
        <v>1.0999999999999999E-2</v>
      </c>
      <c r="AO209" s="176">
        <v>0</v>
      </c>
      <c r="AP209" s="176">
        <v>15</v>
      </c>
      <c r="AQ209" s="167"/>
      <c r="AR209" s="180">
        <v>7.6</v>
      </c>
      <c r="AS209" s="166">
        <v>2.8955048489996802</v>
      </c>
      <c r="AT209" s="181" t="s">
        <v>54</v>
      </c>
      <c r="AU209" s="173">
        <v>0.18096905306248001</v>
      </c>
      <c r="AV209" s="174">
        <v>-41.787449670271997</v>
      </c>
      <c r="AW209" s="168"/>
      <c r="AX209" s="168"/>
      <c r="AY209" s="176">
        <v>35</v>
      </c>
      <c r="AZ209" s="176">
        <v>43</v>
      </c>
      <c r="BA209" s="167"/>
      <c r="BB209" s="184">
        <v>112</v>
      </c>
      <c r="BC209" s="180">
        <v>42.670597774732101</v>
      </c>
      <c r="BD209" s="181" t="s">
        <v>55</v>
      </c>
      <c r="BE209" s="178">
        <v>1.3334561804603799</v>
      </c>
      <c r="BF209" s="179">
        <v>13.225100659456</v>
      </c>
      <c r="BG209" s="168">
        <v>0.02</v>
      </c>
      <c r="BH209" s="168">
        <v>0.02</v>
      </c>
      <c r="BI209" s="176">
        <v>0</v>
      </c>
      <c r="BJ209" s="176">
        <v>0</v>
      </c>
      <c r="BK209" s="169"/>
      <c r="BL209" s="185">
        <v>0.8</v>
      </c>
      <c r="BM209" s="188">
        <v>0.76</v>
      </c>
      <c r="BN209" s="186"/>
      <c r="BO209" s="187">
        <v>0.95</v>
      </c>
      <c r="BP209" s="178">
        <v>1</v>
      </c>
      <c r="BQ209" s="186">
        <v>2.5000000000000001E-3</v>
      </c>
    </row>
    <row r="210" spans="1:69" s="156" customFormat="1" ht="22.35" customHeight="1" x14ac:dyDescent="0.2">
      <c r="A210" s="165" t="s">
        <v>275</v>
      </c>
      <c r="B210" s="165" t="s">
        <v>276</v>
      </c>
      <c r="C210" s="165" t="s">
        <v>277</v>
      </c>
      <c r="D210" s="166">
        <v>3.8480691394444402</v>
      </c>
      <c r="E210" s="167"/>
      <c r="F210" s="168">
        <v>5.1999999999999998E-2</v>
      </c>
      <c r="G210" s="168">
        <v>5.0999999999999997E-2</v>
      </c>
      <c r="H210" s="169"/>
      <c r="I210" s="170">
        <v>5</v>
      </c>
      <c r="J210" s="170">
        <v>5</v>
      </c>
      <c r="K210" s="167"/>
      <c r="L210" s="171">
        <v>3957.7535800000001</v>
      </c>
      <c r="M210" s="171">
        <v>1156.75251</v>
      </c>
      <c r="N210" s="171">
        <v>5114.5060899999999</v>
      </c>
      <c r="O210" s="166">
        <v>1329.1097183192501</v>
      </c>
      <c r="P210" s="172">
        <v>287.5</v>
      </c>
      <c r="Q210" s="178">
        <v>4.6229903245886996</v>
      </c>
      <c r="R210" s="179">
        <v>3813.4739139538401</v>
      </c>
      <c r="S210" s="168">
        <v>0.01</v>
      </c>
      <c r="T210" s="168">
        <v>0.01</v>
      </c>
      <c r="U210" s="175">
        <v>0</v>
      </c>
      <c r="V210" s="176">
        <v>0</v>
      </c>
      <c r="W210" s="167"/>
      <c r="X210" s="175">
        <v>3627.99127</v>
      </c>
      <c r="Y210" s="166">
        <v>942.80823408588299</v>
      </c>
      <c r="Z210" s="177">
        <v>573</v>
      </c>
      <c r="AA210" s="178">
        <v>1.64538958828252</v>
      </c>
      <c r="AB210" s="179">
        <v>1034.97757652364</v>
      </c>
      <c r="AC210" s="168">
        <v>0.02</v>
      </c>
      <c r="AD210" s="168">
        <v>0.02</v>
      </c>
      <c r="AE210" s="176">
        <v>0</v>
      </c>
      <c r="AF210" s="176">
        <v>0</v>
      </c>
      <c r="AG210" s="167"/>
      <c r="AH210" s="180">
        <v>242.75</v>
      </c>
      <c r="AI210" s="166">
        <v>63.083585872120402</v>
      </c>
      <c r="AJ210" s="181" t="s">
        <v>53</v>
      </c>
      <c r="AK210" s="182">
        <v>1.00132675987493</v>
      </c>
      <c r="AL210" s="183">
        <v>-42.345746403159602</v>
      </c>
      <c r="AM210" s="168">
        <v>2E-3</v>
      </c>
      <c r="AN210" s="168">
        <v>1E-3</v>
      </c>
      <c r="AO210" s="176">
        <v>0</v>
      </c>
      <c r="AP210" s="176">
        <v>49</v>
      </c>
      <c r="AQ210" s="167"/>
      <c r="AR210" s="180">
        <v>42.7</v>
      </c>
      <c r="AS210" s="166">
        <v>11.096474219318401</v>
      </c>
      <c r="AT210" s="181" t="s">
        <v>54</v>
      </c>
      <c r="AU210" s="173">
        <v>0.69352963870739903</v>
      </c>
      <c r="AV210" s="174">
        <v>-29.705268927786602</v>
      </c>
      <c r="AW210" s="168"/>
      <c r="AX210" s="168"/>
      <c r="AY210" s="176">
        <v>19</v>
      </c>
      <c r="AZ210" s="176">
        <v>32</v>
      </c>
      <c r="BA210" s="167"/>
      <c r="BB210" s="184">
        <v>190.6</v>
      </c>
      <c r="BC210" s="180">
        <v>49.531334571477402</v>
      </c>
      <c r="BD210" s="181" t="s">
        <v>55</v>
      </c>
      <c r="BE210" s="178">
        <v>1.5478542053586699</v>
      </c>
      <c r="BF210" s="179">
        <v>45.7894621444268</v>
      </c>
      <c r="BG210" s="168">
        <v>0.02</v>
      </c>
      <c r="BH210" s="168">
        <v>0.02</v>
      </c>
      <c r="BI210" s="176">
        <v>0</v>
      </c>
      <c r="BJ210" s="176">
        <v>0</v>
      </c>
      <c r="BK210" s="169"/>
      <c r="BL210" s="185">
        <v>0.8</v>
      </c>
      <c r="BM210" s="188">
        <v>0.79</v>
      </c>
      <c r="BN210" s="186"/>
      <c r="BO210" s="187">
        <v>0.95</v>
      </c>
      <c r="BP210" s="178">
        <v>1</v>
      </c>
      <c r="BQ210" s="186">
        <v>2.5000000000000001E-3</v>
      </c>
    </row>
    <row r="211" spans="1:69" s="156" customFormat="1" ht="22.35" customHeight="1" x14ac:dyDescent="0.2">
      <c r="A211" s="165" t="s">
        <v>275</v>
      </c>
      <c r="B211" s="165" t="s">
        <v>276</v>
      </c>
      <c r="C211" s="165" t="s">
        <v>278</v>
      </c>
      <c r="D211" s="166">
        <v>2.98956710155556</v>
      </c>
      <c r="E211" s="167"/>
      <c r="F211" s="168">
        <v>1.4999999999999999E-2</v>
      </c>
      <c r="G211" s="168">
        <v>1.2E-2</v>
      </c>
      <c r="H211" s="169"/>
      <c r="I211" s="170">
        <v>5</v>
      </c>
      <c r="J211" s="170">
        <v>4</v>
      </c>
      <c r="K211" s="167"/>
      <c r="L211" s="171">
        <v>1169.6177299999999</v>
      </c>
      <c r="M211" s="171">
        <v>1044.3912</v>
      </c>
      <c r="N211" s="171">
        <v>2214.00893</v>
      </c>
      <c r="O211" s="166">
        <v>740.57843653952102</v>
      </c>
      <c r="P211" s="172">
        <v>222.37200000000001</v>
      </c>
      <c r="Q211" s="178">
        <v>3.3303583029316699</v>
      </c>
      <c r="R211" s="179">
        <v>1432.2088157636299</v>
      </c>
      <c r="S211" s="168">
        <v>0.01</v>
      </c>
      <c r="T211" s="168">
        <v>0.01</v>
      </c>
      <c r="U211" s="175">
        <v>0</v>
      </c>
      <c r="V211" s="176">
        <v>0</v>
      </c>
      <c r="W211" s="167"/>
      <c r="X211" s="175">
        <v>1751.101085</v>
      </c>
      <c r="Y211" s="166">
        <v>585.73734106481595</v>
      </c>
      <c r="Z211" s="177">
        <v>573</v>
      </c>
      <c r="AA211" s="182">
        <v>1.022229216518</v>
      </c>
      <c r="AB211" s="183">
        <v>-263.41272724901103</v>
      </c>
      <c r="AC211" s="168">
        <v>4.0000000000000001E-3</v>
      </c>
      <c r="AD211" s="168">
        <v>2E-3</v>
      </c>
      <c r="AE211" s="176">
        <v>0</v>
      </c>
      <c r="AF211" s="176">
        <v>305</v>
      </c>
      <c r="AG211" s="167"/>
      <c r="AH211" s="180">
        <v>130.05000000000001</v>
      </c>
      <c r="AI211" s="166">
        <v>43.501281483975198</v>
      </c>
      <c r="AJ211" s="181" t="s">
        <v>53</v>
      </c>
      <c r="AK211" s="173">
        <v>0.69049653149166901</v>
      </c>
      <c r="AL211" s="174">
        <v>-91.441047420048307</v>
      </c>
      <c r="AM211" s="168"/>
      <c r="AN211" s="168"/>
      <c r="AO211" s="176">
        <v>59</v>
      </c>
      <c r="AP211" s="176">
        <v>96</v>
      </c>
      <c r="AQ211" s="167"/>
      <c r="AR211" s="180">
        <v>7</v>
      </c>
      <c r="AS211" s="166">
        <v>2.3414761275496101</v>
      </c>
      <c r="AT211" s="181" t="s">
        <v>54</v>
      </c>
      <c r="AU211" s="173">
        <v>0.14634225797185099</v>
      </c>
      <c r="AV211" s="174">
        <v>-49.251694582869398</v>
      </c>
      <c r="AW211" s="168"/>
      <c r="AX211" s="168"/>
      <c r="AY211" s="176">
        <v>41</v>
      </c>
      <c r="AZ211" s="176">
        <v>51</v>
      </c>
      <c r="BA211" s="167"/>
      <c r="BB211" s="184">
        <v>94.8</v>
      </c>
      <c r="BC211" s="180">
        <v>31.710276698814599</v>
      </c>
      <c r="BD211" s="181" t="s">
        <v>55</v>
      </c>
      <c r="BE211" s="182">
        <v>0.99094614683795801</v>
      </c>
      <c r="BF211" s="183">
        <v>-17.703389165738901</v>
      </c>
      <c r="BG211" s="168">
        <v>1E-3</v>
      </c>
      <c r="BH211" s="168"/>
      <c r="BI211" s="176">
        <v>1</v>
      </c>
      <c r="BJ211" s="176">
        <v>20</v>
      </c>
      <c r="BK211" s="169"/>
      <c r="BL211" s="185">
        <v>0.8</v>
      </c>
      <c r="BM211" s="182">
        <v>0.81</v>
      </c>
      <c r="BN211" s="186">
        <v>3.7500000000000001E-4</v>
      </c>
      <c r="BO211" s="187">
        <v>0.95</v>
      </c>
      <c r="BP211" s="178">
        <v>1</v>
      </c>
      <c r="BQ211" s="186">
        <v>2.5000000000000001E-3</v>
      </c>
    </row>
    <row r="212" spans="1:69" s="156" customFormat="1" ht="22.35" customHeight="1" x14ac:dyDescent="0.2">
      <c r="A212" s="165" t="s">
        <v>275</v>
      </c>
      <c r="B212" s="165" t="s">
        <v>276</v>
      </c>
      <c r="C212" s="165" t="s">
        <v>279</v>
      </c>
      <c r="D212" s="166">
        <v>3.33559711066667</v>
      </c>
      <c r="E212" s="167"/>
      <c r="F212" s="168">
        <v>0.03</v>
      </c>
      <c r="G212" s="168">
        <v>0.03</v>
      </c>
      <c r="H212" s="169"/>
      <c r="I212" s="170">
        <v>3</v>
      </c>
      <c r="J212" s="170">
        <v>3</v>
      </c>
      <c r="K212" s="167"/>
      <c r="L212" s="171">
        <v>1686.6592800000001</v>
      </c>
      <c r="M212" s="171">
        <v>-257.79073</v>
      </c>
      <c r="N212" s="171">
        <v>1428.8685499999999</v>
      </c>
      <c r="O212" s="166">
        <v>428.369644952241</v>
      </c>
      <c r="P212" s="172">
        <v>230.685</v>
      </c>
      <c r="Q212" s="178">
        <v>1.8569462468398099</v>
      </c>
      <c r="R212" s="179">
        <v>523.96921989841098</v>
      </c>
      <c r="S212" s="168">
        <v>0.01</v>
      </c>
      <c r="T212" s="168">
        <v>0.01</v>
      </c>
      <c r="U212" s="175">
        <v>0</v>
      </c>
      <c r="V212" s="176">
        <v>0</v>
      </c>
      <c r="W212" s="167"/>
      <c r="X212" s="175">
        <v>2773.2529300000001</v>
      </c>
      <c r="Y212" s="166">
        <v>831.41124002404604</v>
      </c>
      <c r="Z212" s="177">
        <v>573</v>
      </c>
      <c r="AA212" s="178">
        <v>1.4509794764817601</v>
      </c>
      <c r="AB212" s="179">
        <v>525.56748817148605</v>
      </c>
      <c r="AC212" s="168">
        <v>0.02</v>
      </c>
      <c r="AD212" s="168">
        <v>0.02</v>
      </c>
      <c r="AE212" s="176">
        <v>0</v>
      </c>
      <c r="AF212" s="176">
        <v>0</v>
      </c>
      <c r="AG212" s="167"/>
      <c r="AH212" s="180">
        <v>137.5</v>
      </c>
      <c r="AI212" s="166">
        <v>41.2220047679915</v>
      </c>
      <c r="AJ212" s="181" t="s">
        <v>53</v>
      </c>
      <c r="AK212" s="173">
        <v>0.65431753599986497</v>
      </c>
      <c r="AL212" s="174">
        <v>-109.62771873507199</v>
      </c>
      <c r="AM212" s="168"/>
      <c r="AN212" s="168"/>
      <c r="AO212" s="176">
        <v>73</v>
      </c>
      <c r="AP212" s="176">
        <v>115</v>
      </c>
      <c r="AQ212" s="167"/>
      <c r="AR212" s="180">
        <v>13</v>
      </c>
      <c r="AS212" s="166">
        <v>3.89735317806465</v>
      </c>
      <c r="AT212" s="181" t="s">
        <v>54</v>
      </c>
      <c r="AU212" s="173">
        <v>0.24358457362904101</v>
      </c>
      <c r="AV212" s="174">
        <v>-49.762595234304101</v>
      </c>
      <c r="AW212" s="168"/>
      <c r="AX212" s="168"/>
      <c r="AY212" s="176">
        <v>41</v>
      </c>
      <c r="AZ212" s="176">
        <v>52</v>
      </c>
      <c r="BA212" s="167"/>
      <c r="BB212" s="184">
        <v>96.2</v>
      </c>
      <c r="BC212" s="180">
        <v>28.8404135176784</v>
      </c>
      <c r="BD212" s="181" t="s">
        <v>55</v>
      </c>
      <c r="BE212" s="188">
        <v>0.90126292242744999</v>
      </c>
      <c r="BF212" s="171">
        <v>-29.325190468608099</v>
      </c>
      <c r="BG212" s="168"/>
      <c r="BH212" s="168"/>
      <c r="BI212" s="176">
        <v>11</v>
      </c>
      <c r="BJ212" s="176">
        <v>32</v>
      </c>
      <c r="BK212" s="169"/>
      <c r="BL212" s="185">
        <v>0.8</v>
      </c>
      <c r="BM212" s="188">
        <v>0.75</v>
      </c>
      <c r="BN212" s="186"/>
      <c r="BO212" s="187">
        <v>0.95</v>
      </c>
      <c r="BP212" s="178">
        <v>1</v>
      </c>
      <c r="BQ212" s="186">
        <v>2.5000000000000001E-3</v>
      </c>
    </row>
    <row r="213" spans="1:69" s="156" customFormat="1" ht="22.35" customHeight="1" x14ac:dyDescent="0.2">
      <c r="A213" s="165" t="s">
        <v>275</v>
      </c>
      <c r="B213" s="165" t="s">
        <v>276</v>
      </c>
      <c r="C213" s="165" t="s">
        <v>280</v>
      </c>
      <c r="D213" s="166">
        <v>3.7485562538888901</v>
      </c>
      <c r="E213" s="167"/>
      <c r="F213" s="168">
        <v>2.7E-2</v>
      </c>
      <c r="G213" s="168">
        <v>2.3E-2</v>
      </c>
      <c r="H213" s="169"/>
      <c r="I213" s="170">
        <v>4</v>
      </c>
      <c r="J213" s="170">
        <v>3</v>
      </c>
      <c r="K213" s="167"/>
      <c r="L213" s="171">
        <v>1771.6225300000001</v>
      </c>
      <c r="M213" s="171">
        <v>1705.6973</v>
      </c>
      <c r="N213" s="171">
        <v>3477.3198299999999</v>
      </c>
      <c r="O213" s="166">
        <v>927.64242937330903</v>
      </c>
      <c r="P213" s="172">
        <v>260.827</v>
      </c>
      <c r="Q213" s="178">
        <v>3.5565429551898702</v>
      </c>
      <c r="R213" s="179">
        <v>2327.5156039291001</v>
      </c>
      <c r="S213" s="168">
        <v>0.01</v>
      </c>
      <c r="T213" s="168">
        <v>0.01</v>
      </c>
      <c r="U213" s="175">
        <v>0</v>
      </c>
      <c r="V213" s="176">
        <v>0</v>
      </c>
      <c r="W213" s="167"/>
      <c r="X213" s="175">
        <v>1979.9536949999999</v>
      </c>
      <c r="Y213" s="166">
        <v>528.19100498916703</v>
      </c>
      <c r="Z213" s="177">
        <v>573</v>
      </c>
      <c r="AA213" s="188">
        <v>0.92179931062681897</v>
      </c>
      <c r="AB213" s="171">
        <v>-546.00343957052098</v>
      </c>
      <c r="AC213" s="168"/>
      <c r="AD213" s="168"/>
      <c r="AE213" s="176">
        <v>168</v>
      </c>
      <c r="AF213" s="176">
        <v>598</v>
      </c>
      <c r="AG213" s="167"/>
      <c r="AH213" s="180">
        <v>234.2</v>
      </c>
      <c r="AI213" s="166">
        <v>62.477387062561</v>
      </c>
      <c r="AJ213" s="181" t="s">
        <v>53</v>
      </c>
      <c r="AK213" s="182">
        <v>0.99170455654858802</v>
      </c>
      <c r="AL213" s="183">
        <v>-43.5230357381201</v>
      </c>
      <c r="AM213" s="168">
        <v>1E-3</v>
      </c>
      <c r="AN213" s="168"/>
      <c r="AO213" s="176">
        <v>2</v>
      </c>
      <c r="AP213" s="176">
        <v>50</v>
      </c>
      <c r="AQ213" s="167"/>
      <c r="AR213" s="180">
        <v>26</v>
      </c>
      <c r="AS213" s="166">
        <v>6.9360036875601496</v>
      </c>
      <c r="AT213" s="181" t="s">
        <v>54</v>
      </c>
      <c r="AU213" s="173">
        <v>0.43350023047250902</v>
      </c>
      <c r="AV213" s="174">
        <v>-44.532834473173402</v>
      </c>
      <c r="AW213" s="168"/>
      <c r="AX213" s="168"/>
      <c r="AY213" s="176">
        <v>34</v>
      </c>
      <c r="AZ213" s="176">
        <v>46</v>
      </c>
      <c r="BA213" s="167"/>
      <c r="BB213" s="184">
        <v>136</v>
      </c>
      <c r="BC213" s="180">
        <v>36.280634673391603</v>
      </c>
      <c r="BD213" s="181" t="s">
        <v>55</v>
      </c>
      <c r="BE213" s="182">
        <v>1.13376983354349</v>
      </c>
      <c r="BF213" s="183">
        <v>-5.0656689463467002</v>
      </c>
      <c r="BG213" s="168">
        <v>1.6E-2</v>
      </c>
      <c r="BH213" s="168">
        <v>1.2999999999999999E-2</v>
      </c>
      <c r="BI213" s="176">
        <v>0</v>
      </c>
      <c r="BJ213" s="176">
        <v>8</v>
      </c>
      <c r="BK213" s="169"/>
      <c r="BL213" s="185">
        <v>0.8</v>
      </c>
      <c r="BM213" s="188">
        <v>0.79</v>
      </c>
      <c r="BN213" s="186"/>
      <c r="BO213" s="187">
        <v>0.95</v>
      </c>
      <c r="BP213" s="178">
        <v>1</v>
      </c>
      <c r="BQ213" s="186">
        <v>2.5000000000000001E-3</v>
      </c>
    </row>
    <row r="214" spans="1:69" s="156" customFormat="1" ht="22.35" customHeight="1" x14ac:dyDescent="0.2">
      <c r="A214" s="165" t="s">
        <v>275</v>
      </c>
      <c r="B214" s="165" t="s">
        <v>276</v>
      </c>
      <c r="C214" s="165" t="s">
        <v>281</v>
      </c>
      <c r="D214" s="166">
        <v>3.10896044855556</v>
      </c>
      <c r="E214" s="167"/>
      <c r="F214" s="168">
        <v>2.4E-2</v>
      </c>
      <c r="G214" s="168">
        <v>2.1000000000000001E-2</v>
      </c>
      <c r="H214" s="169"/>
      <c r="I214" s="170">
        <v>4</v>
      </c>
      <c r="J214" s="170">
        <v>4</v>
      </c>
      <c r="K214" s="167"/>
      <c r="L214" s="171">
        <v>1539.0305000000001</v>
      </c>
      <c r="M214" s="171">
        <v>2350.5475799999999</v>
      </c>
      <c r="N214" s="171">
        <v>3889.5780800000002</v>
      </c>
      <c r="O214" s="166">
        <v>1251.08638220442</v>
      </c>
      <c r="P214" s="172">
        <v>237.98699999999999</v>
      </c>
      <c r="Q214" s="178">
        <v>5.2569526159177604</v>
      </c>
      <c r="R214" s="179">
        <v>3019.4648877620202</v>
      </c>
      <c r="S214" s="168">
        <v>0.01</v>
      </c>
      <c r="T214" s="168">
        <v>0.01</v>
      </c>
      <c r="U214" s="175">
        <v>0</v>
      </c>
      <c r="V214" s="176">
        <v>0</v>
      </c>
      <c r="W214" s="167"/>
      <c r="X214" s="175">
        <v>1984.3392550000001</v>
      </c>
      <c r="Y214" s="166">
        <v>638.26455428917996</v>
      </c>
      <c r="Z214" s="177">
        <v>573</v>
      </c>
      <c r="AA214" s="182">
        <v>1.1138997457053701</v>
      </c>
      <c r="AB214" s="183">
        <v>-110.62752533826701</v>
      </c>
      <c r="AC214" s="168">
        <v>1.4E-2</v>
      </c>
      <c r="AD214" s="168">
        <v>1.0999999999999999E-2</v>
      </c>
      <c r="AE214" s="176">
        <v>0</v>
      </c>
      <c r="AF214" s="176">
        <v>154</v>
      </c>
      <c r="AG214" s="167"/>
      <c r="AH214" s="180">
        <v>89</v>
      </c>
      <c r="AI214" s="166">
        <v>28.626932208593999</v>
      </c>
      <c r="AJ214" s="181" t="s">
        <v>53</v>
      </c>
      <c r="AK214" s="173">
        <v>0.454395749342762</v>
      </c>
      <c r="AL214" s="174">
        <v>-141.336661712584</v>
      </c>
      <c r="AM214" s="168"/>
      <c r="AN214" s="168"/>
      <c r="AO214" s="176">
        <v>107</v>
      </c>
      <c r="AP214" s="176">
        <v>147</v>
      </c>
      <c r="AQ214" s="167"/>
      <c r="AR214" s="180">
        <v>6.8</v>
      </c>
      <c r="AS214" s="166">
        <v>2.1872262811060601</v>
      </c>
      <c r="AT214" s="181" t="s">
        <v>54</v>
      </c>
      <c r="AU214" s="173">
        <v>0.13670164256912901</v>
      </c>
      <c r="AV214" s="174">
        <v>-51.698199800021399</v>
      </c>
      <c r="AW214" s="168"/>
      <c r="AX214" s="168"/>
      <c r="AY214" s="176">
        <v>43</v>
      </c>
      <c r="AZ214" s="176">
        <v>53</v>
      </c>
      <c r="BA214" s="167"/>
      <c r="BB214" s="184">
        <v>63.6</v>
      </c>
      <c r="BC214" s="180">
        <v>20.456998746815501</v>
      </c>
      <c r="BD214" s="181" t="s">
        <v>55</v>
      </c>
      <c r="BE214" s="173">
        <v>0.63928121083798495</v>
      </c>
      <c r="BF214" s="174">
        <v>-53.396399600042798</v>
      </c>
      <c r="BG214" s="168"/>
      <c r="BH214" s="168"/>
      <c r="BI214" s="176">
        <v>36</v>
      </c>
      <c r="BJ214" s="176">
        <v>56</v>
      </c>
      <c r="BK214" s="169"/>
      <c r="BL214" s="185">
        <v>0.8</v>
      </c>
      <c r="BM214" s="182">
        <v>0.88</v>
      </c>
      <c r="BN214" s="186">
        <v>3.0000000000000001E-3</v>
      </c>
      <c r="BO214" s="187">
        <v>0.95</v>
      </c>
      <c r="BP214" s="178">
        <v>1</v>
      </c>
      <c r="BQ214" s="186">
        <v>2.5000000000000001E-3</v>
      </c>
    </row>
    <row r="215" spans="1:69" s="156" customFormat="1" ht="22.35" customHeight="1" x14ac:dyDescent="0.2">
      <c r="A215" s="165" t="s">
        <v>275</v>
      </c>
      <c r="B215" s="165" t="s">
        <v>276</v>
      </c>
      <c r="C215" s="165" t="s">
        <v>282</v>
      </c>
      <c r="D215" s="166">
        <v>3.74723678633333</v>
      </c>
      <c r="E215" s="167"/>
      <c r="F215" s="168">
        <v>0.03</v>
      </c>
      <c r="G215" s="168">
        <v>0.03</v>
      </c>
      <c r="H215" s="169"/>
      <c r="I215" s="170">
        <v>4</v>
      </c>
      <c r="J215" s="170">
        <v>4</v>
      </c>
      <c r="K215" s="167"/>
      <c r="L215" s="171">
        <v>1384.8727699999999</v>
      </c>
      <c r="M215" s="171">
        <v>5116.8930600000003</v>
      </c>
      <c r="N215" s="171">
        <v>6501.7658300000003</v>
      </c>
      <c r="O215" s="166">
        <v>1735.0827291493299</v>
      </c>
      <c r="P215" s="172">
        <v>287.5</v>
      </c>
      <c r="Q215" s="178">
        <v>6.0350703622585398</v>
      </c>
      <c r="R215" s="179">
        <v>5234.8250725406997</v>
      </c>
      <c r="S215" s="168">
        <v>0.01</v>
      </c>
      <c r="T215" s="168">
        <v>0.01</v>
      </c>
      <c r="U215" s="175">
        <v>0</v>
      </c>
      <c r="V215" s="176">
        <v>0</v>
      </c>
      <c r="W215" s="167"/>
      <c r="X215" s="175">
        <v>2086.8885799999998</v>
      </c>
      <c r="Y215" s="166">
        <v>556.91398729089099</v>
      </c>
      <c r="Z215" s="177">
        <v>573</v>
      </c>
      <c r="AA215" s="188">
        <v>0.97192667939073396</v>
      </c>
      <c r="AB215" s="171">
        <v>-438.17943399714102</v>
      </c>
      <c r="AC215" s="168"/>
      <c r="AD215" s="168"/>
      <c r="AE215" s="176">
        <v>61</v>
      </c>
      <c r="AF215" s="176">
        <v>490</v>
      </c>
      <c r="AG215" s="167"/>
      <c r="AH215" s="180">
        <v>134.44999999999999</v>
      </c>
      <c r="AI215" s="166">
        <v>35.879771593393002</v>
      </c>
      <c r="AJ215" s="181" t="s">
        <v>53</v>
      </c>
      <c r="AK215" s="173">
        <v>0.56952018402211102</v>
      </c>
      <c r="AL215" s="174">
        <v>-143.175279025864</v>
      </c>
      <c r="AM215" s="168"/>
      <c r="AN215" s="168"/>
      <c r="AO215" s="176">
        <v>102</v>
      </c>
      <c r="AP215" s="176">
        <v>149</v>
      </c>
      <c r="AQ215" s="167"/>
      <c r="AR215" s="180">
        <v>39.200000000000003</v>
      </c>
      <c r="AS215" s="166">
        <v>10.4610416248494</v>
      </c>
      <c r="AT215" s="181" t="s">
        <v>54</v>
      </c>
      <c r="AU215" s="173">
        <v>0.65381510155308897</v>
      </c>
      <c r="AV215" s="174">
        <v>-31.3080073716479</v>
      </c>
      <c r="AW215" s="168"/>
      <c r="AX215" s="168"/>
      <c r="AY215" s="176">
        <v>21</v>
      </c>
      <c r="AZ215" s="176">
        <v>33</v>
      </c>
      <c r="BA215" s="167"/>
      <c r="BB215" s="184">
        <v>158</v>
      </c>
      <c r="BC215" s="180">
        <v>42.164402467505298</v>
      </c>
      <c r="BD215" s="181" t="s">
        <v>55</v>
      </c>
      <c r="BE215" s="178">
        <v>1.3176375771095401</v>
      </c>
      <c r="BF215" s="179">
        <v>16.983985256704099</v>
      </c>
      <c r="BG215" s="168">
        <v>0.02</v>
      </c>
      <c r="BH215" s="168">
        <v>0.02</v>
      </c>
      <c r="BI215" s="176">
        <v>0</v>
      </c>
      <c r="BJ215" s="176">
        <v>0</v>
      </c>
      <c r="BK215" s="169"/>
      <c r="BL215" s="185">
        <v>0.8</v>
      </c>
      <c r="BM215" s="182">
        <v>0.85</v>
      </c>
      <c r="BN215" s="186">
        <v>1.8749999999999999E-3</v>
      </c>
      <c r="BO215" s="187">
        <v>0.95</v>
      </c>
      <c r="BP215" s="178">
        <v>1</v>
      </c>
      <c r="BQ215" s="186">
        <v>2.5000000000000001E-3</v>
      </c>
    </row>
    <row r="216" spans="1:69" s="156" customFormat="1" ht="22.35" customHeight="1" x14ac:dyDescent="0.2">
      <c r="A216" s="165" t="s">
        <v>275</v>
      </c>
      <c r="B216" s="165" t="s">
        <v>276</v>
      </c>
      <c r="C216" s="165" t="s">
        <v>283</v>
      </c>
      <c r="D216" s="166">
        <v>4.8968438782222199</v>
      </c>
      <c r="E216" s="167"/>
      <c r="F216" s="168">
        <v>4.4999999999999998E-2</v>
      </c>
      <c r="G216" s="168">
        <v>4.2000000000000003E-2</v>
      </c>
      <c r="H216" s="169"/>
      <c r="I216" s="170">
        <v>4</v>
      </c>
      <c r="J216" s="170">
        <v>4</v>
      </c>
      <c r="K216" s="167"/>
      <c r="L216" s="171">
        <v>3967.29547</v>
      </c>
      <c r="M216" s="171">
        <v>4440.5732900000003</v>
      </c>
      <c r="N216" s="171">
        <v>8407.8687599999994</v>
      </c>
      <c r="O216" s="166">
        <v>1716.99751290671</v>
      </c>
      <c r="P216" s="172">
        <v>287.5</v>
      </c>
      <c r="Q216" s="178">
        <v>5.9721652622842099</v>
      </c>
      <c r="R216" s="179">
        <v>6752.2458447730696</v>
      </c>
      <c r="S216" s="168">
        <v>0.01</v>
      </c>
      <c r="T216" s="168">
        <v>0.01</v>
      </c>
      <c r="U216" s="175">
        <v>0</v>
      </c>
      <c r="V216" s="176">
        <v>0</v>
      </c>
      <c r="W216" s="167"/>
      <c r="X216" s="175">
        <v>3151.4695999999999</v>
      </c>
      <c r="Y216" s="166">
        <v>643.57158985924798</v>
      </c>
      <c r="Z216" s="177">
        <v>573</v>
      </c>
      <c r="AA216" s="182">
        <v>1.1231615878869901</v>
      </c>
      <c r="AB216" s="183">
        <v>-148.25885365228601</v>
      </c>
      <c r="AC216" s="168">
        <v>1.4999999999999999E-2</v>
      </c>
      <c r="AD216" s="168">
        <v>1.2E-2</v>
      </c>
      <c r="AE216" s="176">
        <v>0</v>
      </c>
      <c r="AF216" s="176">
        <v>216</v>
      </c>
      <c r="AG216" s="167"/>
      <c r="AH216" s="180">
        <v>226.6</v>
      </c>
      <c r="AI216" s="166">
        <v>46.2747037960022</v>
      </c>
      <c r="AJ216" s="181" t="s">
        <v>53</v>
      </c>
      <c r="AK216" s="173">
        <v>0.73451910787304997</v>
      </c>
      <c r="AL216" s="174">
        <v>-136.19736924972801</v>
      </c>
      <c r="AM216" s="168"/>
      <c r="AN216" s="168"/>
      <c r="AO216" s="176">
        <v>82</v>
      </c>
      <c r="AP216" s="176">
        <v>144</v>
      </c>
      <c r="AQ216" s="167"/>
      <c r="AR216" s="180">
        <v>58.3</v>
      </c>
      <c r="AS216" s="166">
        <v>11.9056276756705</v>
      </c>
      <c r="AT216" s="181" t="s">
        <v>54</v>
      </c>
      <c r="AU216" s="173">
        <v>0.74410172972940403</v>
      </c>
      <c r="AV216" s="174">
        <v>-33.839014412629297</v>
      </c>
      <c r="AW216" s="168"/>
      <c r="AX216" s="168"/>
      <c r="AY216" s="176">
        <v>21</v>
      </c>
      <c r="AZ216" s="176">
        <v>36</v>
      </c>
      <c r="BA216" s="167"/>
      <c r="BB216" s="184">
        <v>197.2</v>
      </c>
      <c r="BC216" s="180">
        <v>40.270836666247298</v>
      </c>
      <c r="BD216" s="181" t="s">
        <v>55</v>
      </c>
      <c r="BE216" s="178">
        <v>1.2584636458202301</v>
      </c>
      <c r="BF216" s="179">
        <v>12.9219711747415</v>
      </c>
      <c r="BG216" s="168">
        <v>0.02</v>
      </c>
      <c r="BH216" s="168">
        <v>0.02</v>
      </c>
      <c r="BI216" s="176">
        <v>0</v>
      </c>
      <c r="BJ216" s="176">
        <v>0</v>
      </c>
      <c r="BK216" s="169"/>
      <c r="BL216" s="185">
        <v>0.8</v>
      </c>
      <c r="BM216" s="188">
        <v>0.75</v>
      </c>
      <c r="BN216" s="186"/>
      <c r="BO216" s="187">
        <v>0.95</v>
      </c>
      <c r="BP216" s="178">
        <v>1</v>
      </c>
      <c r="BQ216" s="186">
        <v>2.5000000000000001E-3</v>
      </c>
    </row>
    <row r="217" spans="1:69" s="156" customFormat="1" ht="22.35" customHeight="1" x14ac:dyDescent="0.2">
      <c r="A217" s="165" t="s">
        <v>275</v>
      </c>
      <c r="B217" s="165" t="s">
        <v>276</v>
      </c>
      <c r="C217" s="165" t="s">
        <v>284</v>
      </c>
      <c r="D217" s="166">
        <v>2.87505723911111</v>
      </c>
      <c r="E217" s="167"/>
      <c r="F217" s="168">
        <v>2.3E-2</v>
      </c>
      <c r="G217" s="168">
        <v>0.02</v>
      </c>
      <c r="H217" s="169"/>
      <c r="I217" s="170">
        <v>3</v>
      </c>
      <c r="J217" s="170">
        <v>3</v>
      </c>
      <c r="K217" s="167"/>
      <c r="L217" s="171">
        <v>836.24391000000003</v>
      </c>
      <c r="M217" s="171">
        <v>2107.43606</v>
      </c>
      <c r="N217" s="171">
        <v>2943.6799700000001</v>
      </c>
      <c r="O217" s="166">
        <v>1023.86830076124</v>
      </c>
      <c r="P217" s="172">
        <v>287.5</v>
      </c>
      <c r="Q217" s="178">
        <v>3.5612810461260498</v>
      </c>
      <c r="R217" s="179">
        <v>1971.6231174565301</v>
      </c>
      <c r="S217" s="168">
        <v>0.01</v>
      </c>
      <c r="T217" s="168">
        <v>0.01</v>
      </c>
      <c r="U217" s="175">
        <v>0</v>
      </c>
      <c r="V217" s="176">
        <v>0</v>
      </c>
      <c r="W217" s="167"/>
      <c r="X217" s="175">
        <v>1817.3734649999999</v>
      </c>
      <c r="Y217" s="166">
        <v>632.11731588407702</v>
      </c>
      <c r="Z217" s="177">
        <v>573</v>
      </c>
      <c r="AA217" s="182">
        <v>1.1031715809495199</v>
      </c>
      <c r="AB217" s="183">
        <v>-119.97810546054301</v>
      </c>
      <c r="AC217" s="168">
        <v>1.2999999999999999E-2</v>
      </c>
      <c r="AD217" s="168">
        <v>0.01</v>
      </c>
      <c r="AE217" s="176">
        <v>0</v>
      </c>
      <c r="AF217" s="176">
        <v>160</v>
      </c>
      <c r="AG217" s="167"/>
      <c r="AH217" s="180">
        <v>111.25</v>
      </c>
      <c r="AI217" s="166">
        <v>38.694881787604103</v>
      </c>
      <c r="AJ217" s="181" t="s">
        <v>53</v>
      </c>
      <c r="AK217" s="173">
        <v>0.61420447281911295</v>
      </c>
      <c r="AL217" s="174">
        <v>-101.75724073126401</v>
      </c>
      <c r="AM217" s="168"/>
      <c r="AN217" s="168"/>
      <c r="AO217" s="176">
        <v>70</v>
      </c>
      <c r="AP217" s="176">
        <v>107</v>
      </c>
      <c r="AQ217" s="167"/>
      <c r="AR217" s="180">
        <v>22.6</v>
      </c>
      <c r="AS217" s="166">
        <v>7.8607130642683503</v>
      </c>
      <c r="AT217" s="181" t="s">
        <v>54</v>
      </c>
      <c r="AU217" s="173">
        <v>0.491294566516772</v>
      </c>
      <c r="AV217" s="174">
        <v>-31.497077011114602</v>
      </c>
      <c r="AW217" s="168"/>
      <c r="AX217" s="168"/>
      <c r="AY217" s="176">
        <v>24</v>
      </c>
      <c r="AZ217" s="176">
        <v>33</v>
      </c>
      <c r="BA217" s="167"/>
      <c r="BB217" s="184">
        <v>75</v>
      </c>
      <c r="BC217" s="180">
        <v>26.086437160182602</v>
      </c>
      <c r="BD217" s="181" t="s">
        <v>55</v>
      </c>
      <c r="BE217" s="188">
        <v>0.81520116125570496</v>
      </c>
      <c r="BF217" s="171">
        <v>-33.194154022229299</v>
      </c>
      <c r="BG217" s="168"/>
      <c r="BH217" s="168"/>
      <c r="BI217" s="176">
        <v>18</v>
      </c>
      <c r="BJ217" s="176">
        <v>36</v>
      </c>
      <c r="BK217" s="169"/>
      <c r="BL217" s="185">
        <v>0.8</v>
      </c>
      <c r="BM217" s="188">
        <v>0.73</v>
      </c>
      <c r="BN217" s="186"/>
      <c r="BO217" s="187">
        <v>0.95</v>
      </c>
      <c r="BP217" s="178">
        <v>1</v>
      </c>
      <c r="BQ217" s="186">
        <v>2.5000000000000001E-3</v>
      </c>
    </row>
    <row r="218" spans="1:69" s="156" customFormat="1" ht="22.35" customHeight="1" x14ac:dyDescent="0.2">
      <c r="A218" s="165" t="s">
        <v>275</v>
      </c>
      <c r="B218" s="165" t="s">
        <v>276</v>
      </c>
      <c r="C218" s="165" t="s">
        <v>285</v>
      </c>
      <c r="D218" s="166">
        <v>2.5461804328888902</v>
      </c>
      <c r="E218" s="167"/>
      <c r="F218" s="168">
        <v>3.3000000000000002E-2</v>
      </c>
      <c r="G218" s="168">
        <v>3.1E-2</v>
      </c>
      <c r="H218" s="169"/>
      <c r="I218" s="170">
        <v>5</v>
      </c>
      <c r="J218" s="170">
        <v>5</v>
      </c>
      <c r="K218" s="167"/>
      <c r="L218" s="171">
        <v>2781.8018000000002</v>
      </c>
      <c r="M218" s="171">
        <v>2224.1671700000002</v>
      </c>
      <c r="N218" s="171">
        <v>5005.9689699999999</v>
      </c>
      <c r="O218" s="166">
        <v>1966.07000247828</v>
      </c>
      <c r="P218" s="172">
        <v>271.947</v>
      </c>
      <c r="Q218" s="178">
        <v>7.2296072487590601</v>
      </c>
      <c r="R218" s="179">
        <v>4191.6758409049899</v>
      </c>
      <c r="S218" s="168">
        <v>0.01</v>
      </c>
      <c r="T218" s="168">
        <v>0.01</v>
      </c>
      <c r="U218" s="175">
        <v>0</v>
      </c>
      <c r="V218" s="176">
        <v>0</v>
      </c>
      <c r="W218" s="167"/>
      <c r="X218" s="175">
        <v>2434.1344749999998</v>
      </c>
      <c r="Y218" s="166">
        <v>955.99449416797097</v>
      </c>
      <c r="Z218" s="177">
        <v>573</v>
      </c>
      <c r="AA218" s="178">
        <v>1.66840225858285</v>
      </c>
      <c r="AB218" s="179">
        <v>718.39588265868804</v>
      </c>
      <c r="AC218" s="168">
        <v>0.02</v>
      </c>
      <c r="AD218" s="168">
        <v>0.02</v>
      </c>
      <c r="AE218" s="176">
        <v>0</v>
      </c>
      <c r="AF218" s="176">
        <v>0</v>
      </c>
      <c r="AG218" s="167"/>
      <c r="AH218" s="180">
        <v>138.85</v>
      </c>
      <c r="AI218" s="166">
        <v>54.5326632026864</v>
      </c>
      <c r="AJ218" s="181" t="s">
        <v>53</v>
      </c>
      <c r="AK218" s="188">
        <v>0.86559782861406998</v>
      </c>
      <c r="AL218" s="171">
        <v>-49.7914159118721</v>
      </c>
      <c r="AM218" s="168"/>
      <c r="AN218" s="168"/>
      <c r="AO218" s="176">
        <v>22</v>
      </c>
      <c r="AP218" s="176">
        <v>54</v>
      </c>
      <c r="AQ218" s="167"/>
      <c r="AR218" s="180">
        <v>17.8</v>
      </c>
      <c r="AS218" s="166">
        <v>6.9908635578524896</v>
      </c>
      <c r="AT218" s="181" t="s">
        <v>54</v>
      </c>
      <c r="AU218" s="173">
        <v>0.43692897236578099</v>
      </c>
      <c r="AV218" s="174">
        <v>-30.1089310252373</v>
      </c>
      <c r="AW218" s="168"/>
      <c r="AX218" s="168"/>
      <c r="AY218" s="176">
        <v>23</v>
      </c>
      <c r="AZ218" s="176">
        <v>32</v>
      </c>
      <c r="BA218" s="167"/>
      <c r="BB218" s="184">
        <v>82.6</v>
      </c>
      <c r="BC218" s="180">
        <v>32.4407488695851</v>
      </c>
      <c r="BD218" s="181" t="s">
        <v>55</v>
      </c>
      <c r="BE218" s="182">
        <v>1.0137734021745399</v>
      </c>
      <c r="BF218" s="183">
        <v>-13.2178620504747</v>
      </c>
      <c r="BG218" s="168">
        <v>3.0000000000000001E-3</v>
      </c>
      <c r="BH218" s="168">
        <v>1E-3</v>
      </c>
      <c r="BI218" s="176">
        <v>0</v>
      </c>
      <c r="BJ218" s="176">
        <v>16</v>
      </c>
      <c r="BK218" s="169"/>
      <c r="BL218" s="185">
        <v>0.8</v>
      </c>
      <c r="BM218" s="182">
        <v>0.82</v>
      </c>
      <c r="BN218" s="186">
        <v>7.5000000000000002E-4</v>
      </c>
      <c r="BO218" s="187">
        <v>0.95</v>
      </c>
      <c r="BP218" s="178">
        <v>1</v>
      </c>
      <c r="BQ218" s="186">
        <v>2.5000000000000001E-3</v>
      </c>
    </row>
    <row r="219" spans="1:69" s="156" customFormat="1" ht="22.35" customHeight="1" x14ac:dyDescent="0.2">
      <c r="A219" s="165" t="s">
        <v>275</v>
      </c>
      <c r="B219" s="165" t="s">
        <v>276</v>
      </c>
      <c r="C219" s="165" t="s">
        <v>286</v>
      </c>
      <c r="D219" s="166">
        <v>3.79118941177778</v>
      </c>
      <c r="E219" s="167"/>
      <c r="F219" s="168">
        <v>0.03</v>
      </c>
      <c r="G219" s="168">
        <v>0.03</v>
      </c>
      <c r="H219" s="169"/>
      <c r="I219" s="170">
        <v>3</v>
      </c>
      <c r="J219" s="170">
        <v>3</v>
      </c>
      <c r="K219" s="167"/>
      <c r="L219" s="171">
        <v>2348.2290200000002</v>
      </c>
      <c r="M219" s="171">
        <v>2389.9216200000001</v>
      </c>
      <c r="N219" s="171">
        <v>4738.1506399999998</v>
      </c>
      <c r="O219" s="166">
        <v>1249.77945582998</v>
      </c>
      <c r="P219" s="172">
        <v>272.346</v>
      </c>
      <c r="Q219" s="178">
        <v>4.5889400095098898</v>
      </c>
      <c r="R219" s="179">
        <v>3523.9126806689201</v>
      </c>
      <c r="S219" s="168">
        <v>0.01</v>
      </c>
      <c r="T219" s="168">
        <v>0.01</v>
      </c>
      <c r="U219" s="175">
        <v>0</v>
      </c>
      <c r="V219" s="176">
        <v>0</v>
      </c>
      <c r="W219" s="167"/>
      <c r="X219" s="175">
        <v>1633.338665</v>
      </c>
      <c r="Y219" s="166">
        <v>430.82486459944198</v>
      </c>
      <c r="Z219" s="177">
        <v>573</v>
      </c>
      <c r="AA219" s="173">
        <v>0.75187585444928795</v>
      </c>
      <c r="AB219" s="174">
        <v>-921.34673774763303</v>
      </c>
      <c r="AC219" s="168"/>
      <c r="AD219" s="168"/>
      <c r="AE219" s="176">
        <v>540</v>
      </c>
      <c r="AF219" s="176">
        <v>974</v>
      </c>
      <c r="AG219" s="167"/>
      <c r="AH219" s="180">
        <v>93.9</v>
      </c>
      <c r="AI219" s="166">
        <v>24.767952692706</v>
      </c>
      <c r="AJ219" s="181" t="s">
        <v>53</v>
      </c>
      <c r="AK219" s="173">
        <v>0.39314210623342899</v>
      </c>
      <c r="AL219" s="174">
        <v>-186.981641139792</v>
      </c>
      <c r="AM219" s="168"/>
      <c r="AN219" s="168"/>
      <c r="AO219" s="176">
        <v>145</v>
      </c>
      <c r="AP219" s="176">
        <v>193</v>
      </c>
      <c r="AQ219" s="167"/>
      <c r="AR219" s="180">
        <v>33</v>
      </c>
      <c r="AS219" s="166">
        <v>8.7043923201203306</v>
      </c>
      <c r="AT219" s="181" t="s">
        <v>54</v>
      </c>
      <c r="AU219" s="173">
        <v>0.544024520007521</v>
      </c>
      <c r="AV219" s="174">
        <v>-38.335019972010699</v>
      </c>
      <c r="AW219" s="168"/>
      <c r="AX219" s="168"/>
      <c r="AY219" s="176">
        <v>28</v>
      </c>
      <c r="AZ219" s="176">
        <v>40</v>
      </c>
      <c r="BA219" s="167"/>
      <c r="BB219" s="184">
        <v>204.4</v>
      </c>
      <c r="BC219" s="180">
        <v>53.914478491896801</v>
      </c>
      <c r="BD219" s="181" t="s">
        <v>55</v>
      </c>
      <c r="BE219" s="178">
        <v>1.6848274528717799</v>
      </c>
      <c r="BF219" s="179">
        <v>61.729960055978601</v>
      </c>
      <c r="BG219" s="168">
        <v>0.02</v>
      </c>
      <c r="BH219" s="168">
        <v>0.02</v>
      </c>
      <c r="BI219" s="176">
        <v>0</v>
      </c>
      <c r="BJ219" s="176">
        <v>0</v>
      </c>
      <c r="BK219" s="169"/>
      <c r="BL219" s="185">
        <v>0.8</v>
      </c>
      <c r="BM219" s="188">
        <v>0.75</v>
      </c>
      <c r="BN219" s="186"/>
      <c r="BO219" s="187">
        <v>0.95</v>
      </c>
      <c r="BP219" s="178">
        <v>1</v>
      </c>
      <c r="BQ219" s="186">
        <v>2.5000000000000001E-3</v>
      </c>
    </row>
    <row r="220" spans="1:69" s="156" customFormat="1" ht="22.35" customHeight="1" x14ac:dyDescent="0.2">
      <c r="A220" s="165" t="s">
        <v>275</v>
      </c>
      <c r="B220" s="165" t="s">
        <v>276</v>
      </c>
      <c r="C220" s="165" t="s">
        <v>287</v>
      </c>
      <c r="D220" s="166">
        <v>4.0983728111111102</v>
      </c>
      <c r="E220" s="167"/>
      <c r="F220" s="168">
        <v>2.5999999999999999E-2</v>
      </c>
      <c r="G220" s="168">
        <v>2.3E-2</v>
      </c>
      <c r="H220" s="169"/>
      <c r="I220" s="170">
        <v>3</v>
      </c>
      <c r="J220" s="170">
        <v>3</v>
      </c>
      <c r="K220" s="167"/>
      <c r="L220" s="171">
        <v>2801.6782199999998</v>
      </c>
      <c r="M220" s="171">
        <v>2541.6904100000002</v>
      </c>
      <c r="N220" s="171">
        <v>5343.3686299999999</v>
      </c>
      <c r="O220" s="166">
        <v>1303.77807883011</v>
      </c>
      <c r="P220" s="172">
        <v>276.21300000000002</v>
      </c>
      <c r="Q220" s="178">
        <v>4.7201908629576099</v>
      </c>
      <c r="R220" s="179">
        <v>4012.1085832520898</v>
      </c>
      <c r="S220" s="168">
        <v>0.01</v>
      </c>
      <c r="T220" s="168">
        <v>0.01</v>
      </c>
      <c r="U220" s="175">
        <v>0</v>
      </c>
      <c r="V220" s="176">
        <v>0</v>
      </c>
      <c r="W220" s="167"/>
      <c r="X220" s="175">
        <v>1930.296335</v>
      </c>
      <c r="Y220" s="166">
        <v>470.99090882283002</v>
      </c>
      <c r="Z220" s="177">
        <v>573</v>
      </c>
      <c r="AA220" s="188">
        <v>0.82197366286706897</v>
      </c>
      <c r="AB220" s="171">
        <v>-831.38398702159805</v>
      </c>
      <c r="AC220" s="168"/>
      <c r="AD220" s="168"/>
      <c r="AE220" s="176">
        <v>419</v>
      </c>
      <c r="AF220" s="176">
        <v>888</v>
      </c>
      <c r="AG220" s="167"/>
      <c r="AH220" s="180">
        <v>160.94999999999999</v>
      </c>
      <c r="AI220" s="166">
        <v>39.271683523677503</v>
      </c>
      <c r="AJ220" s="181" t="s">
        <v>53</v>
      </c>
      <c r="AK220" s="173">
        <v>0.62336005593138799</v>
      </c>
      <c r="AL220" s="174">
        <v>-142.6902448296</v>
      </c>
      <c r="AM220" s="168"/>
      <c r="AN220" s="168"/>
      <c r="AO220" s="176">
        <v>98</v>
      </c>
      <c r="AP220" s="176">
        <v>149</v>
      </c>
      <c r="AQ220" s="167"/>
      <c r="AR220" s="180">
        <v>28.8</v>
      </c>
      <c r="AS220" s="166">
        <v>7.0271791580112604</v>
      </c>
      <c r="AT220" s="181" t="s">
        <v>54</v>
      </c>
      <c r="AU220" s="173">
        <v>0.43919869737570399</v>
      </c>
      <c r="AV220" s="174">
        <v>-48.3149828138666</v>
      </c>
      <c r="AW220" s="168"/>
      <c r="AX220" s="168"/>
      <c r="AY220" s="176">
        <v>37</v>
      </c>
      <c r="AZ220" s="176">
        <v>50</v>
      </c>
      <c r="BA220" s="167"/>
      <c r="BB220" s="184">
        <v>148.80000000000001</v>
      </c>
      <c r="BC220" s="180">
        <v>36.307092316391497</v>
      </c>
      <c r="BD220" s="181" t="s">
        <v>55</v>
      </c>
      <c r="BE220" s="182">
        <v>1.1345966348872301</v>
      </c>
      <c r="BF220" s="183">
        <v>-5.4299656277332504</v>
      </c>
      <c r="BG220" s="168">
        <v>1.6E-2</v>
      </c>
      <c r="BH220" s="168">
        <v>1.2999999999999999E-2</v>
      </c>
      <c r="BI220" s="176">
        <v>0</v>
      </c>
      <c r="BJ220" s="176">
        <v>9</v>
      </c>
      <c r="BK220" s="169"/>
      <c r="BL220" s="185">
        <v>0.8</v>
      </c>
      <c r="BM220" s="188">
        <v>0.78</v>
      </c>
      <c r="BN220" s="186"/>
      <c r="BO220" s="187">
        <v>0.95</v>
      </c>
      <c r="BP220" s="178">
        <v>1</v>
      </c>
      <c r="BQ220" s="186">
        <v>2.5000000000000001E-3</v>
      </c>
    </row>
    <row r="221" spans="1:69" s="156" customFormat="1" ht="22.35" customHeight="1" x14ac:dyDescent="0.2">
      <c r="A221" s="165" t="s">
        <v>275</v>
      </c>
      <c r="B221" s="165" t="s">
        <v>276</v>
      </c>
      <c r="C221" s="165" t="s">
        <v>288</v>
      </c>
      <c r="D221" s="166">
        <v>3.0671238162222201</v>
      </c>
      <c r="E221" s="167"/>
      <c r="F221" s="168">
        <v>1.2999999999999999E-2</v>
      </c>
      <c r="G221" s="168">
        <v>1.0999999999999999E-2</v>
      </c>
      <c r="H221" s="169"/>
      <c r="I221" s="170">
        <v>4</v>
      </c>
      <c r="J221" s="170">
        <v>4</v>
      </c>
      <c r="K221" s="167"/>
      <c r="L221" s="171">
        <v>726.80858999999998</v>
      </c>
      <c r="M221" s="171">
        <v>1249.59978</v>
      </c>
      <c r="N221" s="171">
        <v>1976.4083700000001</v>
      </c>
      <c r="O221" s="166">
        <v>644.384931428801</v>
      </c>
      <c r="P221" s="172">
        <v>259.01299999999998</v>
      </c>
      <c r="Q221" s="178">
        <v>2.4878478355480298</v>
      </c>
      <c r="R221" s="179">
        <v>1042.16463937087</v>
      </c>
      <c r="S221" s="168">
        <v>0.01</v>
      </c>
      <c r="T221" s="168">
        <v>0.01</v>
      </c>
      <c r="U221" s="175">
        <v>0</v>
      </c>
      <c r="V221" s="176">
        <v>0</v>
      </c>
      <c r="W221" s="167"/>
      <c r="X221" s="175">
        <v>1146.0728200000001</v>
      </c>
      <c r="Y221" s="166">
        <v>373.66369558944598</v>
      </c>
      <c r="Z221" s="177">
        <v>573</v>
      </c>
      <c r="AA221" s="173">
        <v>0.65211814238995802</v>
      </c>
      <c r="AB221" s="174">
        <v>-920.70242931371001</v>
      </c>
      <c r="AC221" s="168"/>
      <c r="AD221" s="168"/>
      <c r="AE221" s="176">
        <v>612</v>
      </c>
      <c r="AF221" s="176">
        <v>963</v>
      </c>
      <c r="AG221" s="167"/>
      <c r="AH221" s="180">
        <v>106.25</v>
      </c>
      <c r="AI221" s="166">
        <v>34.641575093263803</v>
      </c>
      <c r="AJ221" s="181" t="s">
        <v>53</v>
      </c>
      <c r="AK221" s="173">
        <v>0.549866271321648</v>
      </c>
      <c r="AL221" s="174">
        <v>-120.987069296272</v>
      </c>
      <c r="AM221" s="168"/>
      <c r="AN221" s="168"/>
      <c r="AO221" s="176">
        <v>87</v>
      </c>
      <c r="AP221" s="176">
        <v>126</v>
      </c>
      <c r="AQ221" s="167"/>
      <c r="AR221" s="180">
        <v>17.600000000000001</v>
      </c>
      <c r="AS221" s="166">
        <v>5.7382750272135796</v>
      </c>
      <c r="AT221" s="181" t="s">
        <v>54</v>
      </c>
      <c r="AU221" s="173">
        <v>0.358642189200849</v>
      </c>
      <c r="AV221" s="174">
        <v>-40.111001726037301</v>
      </c>
      <c r="AW221" s="168"/>
      <c r="AX221" s="168"/>
      <c r="AY221" s="176">
        <v>32</v>
      </c>
      <c r="AZ221" s="176">
        <v>42</v>
      </c>
      <c r="BA221" s="167"/>
      <c r="BB221" s="184">
        <v>98.8</v>
      </c>
      <c r="BC221" s="180">
        <v>32.212589357312602</v>
      </c>
      <c r="BD221" s="181" t="s">
        <v>55</v>
      </c>
      <c r="BE221" s="182">
        <v>1.0066434174160199</v>
      </c>
      <c r="BF221" s="183">
        <v>-16.622003452074601</v>
      </c>
      <c r="BG221" s="168">
        <v>3.0000000000000001E-3</v>
      </c>
      <c r="BH221" s="168">
        <v>1E-3</v>
      </c>
      <c r="BI221" s="176">
        <v>0</v>
      </c>
      <c r="BJ221" s="176">
        <v>19</v>
      </c>
      <c r="BK221" s="169"/>
      <c r="BL221" s="185">
        <v>0.8</v>
      </c>
      <c r="BM221" s="182">
        <v>0.82</v>
      </c>
      <c r="BN221" s="186">
        <v>7.5000000000000002E-4</v>
      </c>
      <c r="BO221" s="187">
        <v>0.95</v>
      </c>
      <c r="BP221" s="178">
        <v>1</v>
      </c>
      <c r="BQ221" s="186">
        <v>2.5000000000000001E-3</v>
      </c>
    </row>
    <row r="222" spans="1:69" s="156" customFormat="1" ht="22.35" customHeight="1" x14ac:dyDescent="0.2">
      <c r="A222" s="165" t="s">
        <v>275</v>
      </c>
      <c r="B222" s="165" t="s">
        <v>276</v>
      </c>
      <c r="C222" s="165" t="s">
        <v>289</v>
      </c>
      <c r="D222" s="166">
        <v>7.3002462538888899</v>
      </c>
      <c r="E222" s="167"/>
      <c r="F222" s="168">
        <v>2.1999999999999999E-2</v>
      </c>
      <c r="G222" s="168">
        <v>0.02</v>
      </c>
      <c r="H222" s="169"/>
      <c r="I222" s="170">
        <v>3</v>
      </c>
      <c r="J222" s="170">
        <v>3</v>
      </c>
      <c r="K222" s="167"/>
      <c r="L222" s="171">
        <v>3938.4114199999999</v>
      </c>
      <c r="M222" s="171">
        <v>2872.3741500000001</v>
      </c>
      <c r="N222" s="171">
        <v>6810.78557</v>
      </c>
      <c r="O222" s="166">
        <v>932.95285297695898</v>
      </c>
      <c r="P222" s="172">
        <v>287.5</v>
      </c>
      <c r="Q222" s="178">
        <v>3.24505340165899</v>
      </c>
      <c r="R222" s="179">
        <v>4342.5723115601704</v>
      </c>
      <c r="S222" s="168">
        <v>0.01</v>
      </c>
      <c r="T222" s="168">
        <v>0.01</v>
      </c>
      <c r="U222" s="175">
        <v>0</v>
      </c>
      <c r="V222" s="176">
        <v>0</v>
      </c>
      <c r="W222" s="167"/>
      <c r="X222" s="175">
        <v>3201.8572450000001</v>
      </c>
      <c r="Y222" s="166">
        <v>438.59578617561698</v>
      </c>
      <c r="Z222" s="177">
        <v>573</v>
      </c>
      <c r="AA222" s="173">
        <v>0.76543767220875603</v>
      </c>
      <c r="AB222" s="174">
        <v>-1717.3990926905201</v>
      </c>
      <c r="AC222" s="168"/>
      <c r="AD222" s="168"/>
      <c r="AE222" s="176">
        <v>982</v>
      </c>
      <c r="AF222" s="176">
        <v>1818</v>
      </c>
      <c r="AG222" s="167"/>
      <c r="AH222" s="180">
        <v>261.89999999999998</v>
      </c>
      <c r="AI222" s="166">
        <v>35.875502125765202</v>
      </c>
      <c r="AJ222" s="181" t="s">
        <v>53</v>
      </c>
      <c r="AK222" s="173">
        <v>0.56945241469468499</v>
      </c>
      <c r="AL222" s="174">
        <v>-278.96064445811999</v>
      </c>
      <c r="AM222" s="168"/>
      <c r="AN222" s="168"/>
      <c r="AO222" s="176">
        <v>199</v>
      </c>
      <c r="AP222" s="176">
        <v>290</v>
      </c>
      <c r="AQ222" s="167"/>
      <c r="AR222" s="180">
        <v>67.8</v>
      </c>
      <c r="AS222" s="166">
        <v>9.2873579386287801</v>
      </c>
      <c r="AT222" s="181" t="s">
        <v>54</v>
      </c>
      <c r="AU222" s="173">
        <v>0.58045987116429898</v>
      </c>
      <c r="AV222" s="174">
        <v>-69.561433513173299</v>
      </c>
      <c r="AW222" s="168"/>
      <c r="AX222" s="168"/>
      <c r="AY222" s="176">
        <v>50</v>
      </c>
      <c r="AZ222" s="176">
        <v>73</v>
      </c>
      <c r="BA222" s="167"/>
      <c r="BB222" s="184">
        <v>257.39999999999998</v>
      </c>
      <c r="BC222" s="180">
        <v>35.2590845634668</v>
      </c>
      <c r="BD222" s="181" t="s">
        <v>55</v>
      </c>
      <c r="BE222" s="182">
        <v>1.1018463926083399</v>
      </c>
      <c r="BF222" s="183">
        <v>-17.3228670263467</v>
      </c>
      <c r="BG222" s="168">
        <v>1.2E-2</v>
      </c>
      <c r="BH222" s="168">
        <v>0.01</v>
      </c>
      <c r="BI222" s="176">
        <v>0</v>
      </c>
      <c r="BJ222" s="176">
        <v>23</v>
      </c>
      <c r="BK222" s="169"/>
      <c r="BL222" s="185">
        <v>0.8</v>
      </c>
      <c r="BM222" s="173">
        <v>0.66</v>
      </c>
      <c r="BN222" s="186"/>
      <c r="BO222" s="187">
        <v>0.95</v>
      </c>
      <c r="BP222" s="178">
        <v>1</v>
      </c>
      <c r="BQ222" s="186">
        <v>2.5000000000000001E-3</v>
      </c>
    </row>
    <row r="223" spans="1:69" s="156" customFormat="1" ht="22.35" customHeight="1" x14ac:dyDescent="0.2">
      <c r="A223" s="165" t="s">
        <v>275</v>
      </c>
      <c r="B223" s="165" t="s">
        <v>276</v>
      </c>
      <c r="C223" s="165" t="s">
        <v>290</v>
      </c>
      <c r="D223" s="166">
        <v>2.9612506945555599</v>
      </c>
      <c r="E223" s="167"/>
      <c r="F223" s="168">
        <v>0.06</v>
      </c>
      <c r="G223" s="168">
        <v>0.06</v>
      </c>
      <c r="H223" s="169"/>
      <c r="I223" s="170">
        <v>6</v>
      </c>
      <c r="J223" s="170">
        <v>6</v>
      </c>
      <c r="K223" s="167"/>
      <c r="L223" s="171">
        <v>1491.6829600000001</v>
      </c>
      <c r="M223" s="171">
        <v>1478.2061000000001</v>
      </c>
      <c r="N223" s="171">
        <v>2969.88906</v>
      </c>
      <c r="O223" s="166">
        <v>1002.91713412185</v>
      </c>
      <c r="P223" s="172">
        <v>273.31099999999998</v>
      </c>
      <c r="Q223" s="178">
        <v>3.6695088529984199</v>
      </c>
      <c r="R223" s="179">
        <v>2018.1024110302999</v>
      </c>
      <c r="S223" s="168">
        <v>0.01</v>
      </c>
      <c r="T223" s="168">
        <v>0.01</v>
      </c>
      <c r="U223" s="175">
        <v>0</v>
      </c>
      <c r="V223" s="176">
        <v>0</v>
      </c>
      <c r="W223" s="167"/>
      <c r="X223" s="175">
        <v>2048.5781099999999</v>
      </c>
      <c r="Y223" s="166">
        <v>691.79489388265495</v>
      </c>
      <c r="Z223" s="177">
        <v>573</v>
      </c>
      <c r="AA223" s="178">
        <v>1.2073209317323801</v>
      </c>
      <c r="AB223" s="179">
        <v>53.145251975125099</v>
      </c>
      <c r="AC223" s="168">
        <v>0.02</v>
      </c>
      <c r="AD223" s="168">
        <v>0.02</v>
      </c>
      <c r="AE223" s="176">
        <v>0</v>
      </c>
      <c r="AF223" s="176">
        <v>0</v>
      </c>
      <c r="AG223" s="167"/>
      <c r="AH223" s="180">
        <v>151.65</v>
      </c>
      <c r="AI223" s="166">
        <v>51.2114696262691</v>
      </c>
      <c r="AJ223" s="181" t="s">
        <v>53</v>
      </c>
      <c r="AK223" s="188">
        <v>0.81288047025823895</v>
      </c>
      <c r="AL223" s="171">
        <v>-67.743141458232301</v>
      </c>
      <c r="AM223" s="168"/>
      <c r="AN223" s="168"/>
      <c r="AO223" s="176">
        <v>35</v>
      </c>
      <c r="AP223" s="176">
        <v>73</v>
      </c>
      <c r="AQ223" s="167"/>
      <c r="AR223" s="180">
        <v>71</v>
      </c>
      <c r="AS223" s="166">
        <v>23.9763557102875</v>
      </c>
      <c r="AT223" s="181" t="s">
        <v>54</v>
      </c>
      <c r="AU223" s="178">
        <v>1.4985222318929701</v>
      </c>
      <c r="AV223" s="179">
        <v>15.281106931242601</v>
      </c>
      <c r="AW223" s="168">
        <v>0.01</v>
      </c>
      <c r="AX223" s="168">
        <v>0.01</v>
      </c>
      <c r="AY223" s="176">
        <v>0</v>
      </c>
      <c r="AZ223" s="176">
        <v>0</v>
      </c>
      <c r="BA223" s="167"/>
      <c r="BB223" s="184">
        <v>240.4</v>
      </c>
      <c r="BC223" s="180">
        <v>81.181914264128494</v>
      </c>
      <c r="BD223" s="181" t="s">
        <v>55</v>
      </c>
      <c r="BE223" s="178">
        <v>2.5369348207540101</v>
      </c>
      <c r="BF223" s="179">
        <v>128.96221386248499</v>
      </c>
      <c r="BG223" s="168">
        <v>0.02</v>
      </c>
      <c r="BH223" s="168">
        <v>0.02</v>
      </c>
      <c r="BI223" s="176">
        <v>0</v>
      </c>
      <c r="BJ223" s="176">
        <v>0</v>
      </c>
      <c r="BK223" s="169"/>
      <c r="BL223" s="185">
        <v>0.8</v>
      </c>
      <c r="BM223" s="182">
        <v>0.82</v>
      </c>
      <c r="BN223" s="186">
        <v>7.5000000000000002E-4</v>
      </c>
      <c r="BO223" s="187">
        <v>0.95</v>
      </c>
      <c r="BP223" s="178">
        <v>1</v>
      </c>
      <c r="BQ223" s="186">
        <v>2.5000000000000001E-3</v>
      </c>
    </row>
    <row r="224" spans="1:69" s="156" customFormat="1" ht="22.35" customHeight="1" x14ac:dyDescent="0.2">
      <c r="A224" s="165" t="s">
        <v>275</v>
      </c>
      <c r="B224" s="165" t="s">
        <v>276</v>
      </c>
      <c r="C224" s="165" t="s">
        <v>291</v>
      </c>
      <c r="D224" s="166">
        <v>3.1521611030000001</v>
      </c>
      <c r="E224" s="167"/>
      <c r="F224" s="168">
        <v>3.3000000000000002E-2</v>
      </c>
      <c r="G224" s="168">
        <v>3.1E-2</v>
      </c>
      <c r="H224" s="169"/>
      <c r="I224" s="170">
        <v>4</v>
      </c>
      <c r="J224" s="170">
        <v>4</v>
      </c>
      <c r="K224" s="167"/>
      <c r="L224" s="171">
        <v>1335.1375700000001</v>
      </c>
      <c r="M224" s="171">
        <v>1062.2058500000001</v>
      </c>
      <c r="N224" s="171">
        <v>2397.3434200000002</v>
      </c>
      <c r="O224" s="166">
        <v>760.53962397999896</v>
      </c>
      <c r="P224" s="172">
        <v>216.041</v>
      </c>
      <c r="Q224" s="178">
        <v>3.5203485633745402</v>
      </c>
      <c r="R224" s="179">
        <v>1596.4920806606101</v>
      </c>
      <c r="S224" s="168">
        <v>0.01</v>
      </c>
      <c r="T224" s="168">
        <v>0.01</v>
      </c>
      <c r="U224" s="175">
        <v>0</v>
      </c>
      <c r="V224" s="176">
        <v>0</v>
      </c>
      <c r="W224" s="167"/>
      <c r="X224" s="175">
        <v>1684.2708150000001</v>
      </c>
      <c r="Y224" s="166">
        <v>534.32256790334498</v>
      </c>
      <c r="Z224" s="177">
        <v>573</v>
      </c>
      <c r="AA224" s="188">
        <v>0.93250011850496495</v>
      </c>
      <c r="AB224" s="171">
        <v>-439.80663993434399</v>
      </c>
      <c r="AC224" s="168"/>
      <c r="AD224" s="168"/>
      <c r="AE224" s="176">
        <v>122</v>
      </c>
      <c r="AF224" s="176">
        <v>484</v>
      </c>
      <c r="AG224" s="167"/>
      <c r="AH224" s="180">
        <v>200.55</v>
      </c>
      <c r="AI224" s="166">
        <v>63.623017176733399</v>
      </c>
      <c r="AJ224" s="181" t="s">
        <v>53</v>
      </c>
      <c r="AK224" s="182">
        <v>1.0098891615354499</v>
      </c>
      <c r="AL224" s="183">
        <v>-32.987311799064003</v>
      </c>
      <c r="AM224" s="168">
        <v>3.0000000000000001E-3</v>
      </c>
      <c r="AN224" s="168">
        <v>1E-3</v>
      </c>
      <c r="AO224" s="176">
        <v>0</v>
      </c>
      <c r="AP224" s="176">
        <v>38</v>
      </c>
      <c r="AQ224" s="167"/>
      <c r="AR224" s="180">
        <v>9</v>
      </c>
      <c r="AS224" s="166">
        <v>2.8551840169065099</v>
      </c>
      <c r="AT224" s="181" t="s">
        <v>54</v>
      </c>
      <c r="AU224" s="173">
        <v>0.17844900105665701</v>
      </c>
      <c r="AV224" s="174">
        <v>-50.311063314047999</v>
      </c>
      <c r="AW224" s="168"/>
      <c r="AX224" s="168"/>
      <c r="AY224" s="176">
        <v>42</v>
      </c>
      <c r="AZ224" s="176">
        <v>52</v>
      </c>
      <c r="BA224" s="167"/>
      <c r="BB224" s="184">
        <v>136.6</v>
      </c>
      <c r="BC224" s="180">
        <v>43.3353485232699</v>
      </c>
      <c r="BD224" s="181" t="s">
        <v>55</v>
      </c>
      <c r="BE224" s="178">
        <v>1.3542296413521899</v>
      </c>
      <c r="BF224" s="179">
        <v>17.977873371904</v>
      </c>
      <c r="BG224" s="168">
        <v>0.02</v>
      </c>
      <c r="BH224" s="168">
        <v>0.02</v>
      </c>
      <c r="BI224" s="176">
        <v>0</v>
      </c>
      <c r="BJ224" s="176">
        <v>0</v>
      </c>
      <c r="BK224" s="169"/>
      <c r="BL224" s="185">
        <v>0.8</v>
      </c>
      <c r="BM224" s="188">
        <v>0.72</v>
      </c>
      <c r="BN224" s="186"/>
      <c r="BO224" s="187">
        <v>0.95</v>
      </c>
      <c r="BP224" s="178">
        <v>1</v>
      </c>
      <c r="BQ224" s="186">
        <v>2.5000000000000001E-3</v>
      </c>
    </row>
    <row r="225" spans="1:69" s="156" customFormat="1" ht="22.35" customHeight="1" x14ac:dyDescent="0.2">
      <c r="A225" s="165" t="s">
        <v>275</v>
      </c>
      <c r="B225" s="165" t="s">
        <v>276</v>
      </c>
      <c r="C225" s="165" t="s">
        <v>292</v>
      </c>
      <c r="D225" s="166">
        <v>7.7095109328888896</v>
      </c>
      <c r="E225" s="167"/>
      <c r="F225" s="168">
        <v>5.1999999999999998E-2</v>
      </c>
      <c r="G225" s="168">
        <v>4.9000000000000002E-2</v>
      </c>
      <c r="H225" s="169"/>
      <c r="I225" s="170">
        <v>5</v>
      </c>
      <c r="J225" s="170">
        <v>5</v>
      </c>
      <c r="K225" s="167"/>
      <c r="L225" s="171">
        <v>3303.6810300000002</v>
      </c>
      <c r="M225" s="171">
        <v>1044.5414800000001</v>
      </c>
      <c r="N225" s="171">
        <v>4348.2225099999996</v>
      </c>
      <c r="O225" s="166">
        <v>564.00756777585195</v>
      </c>
      <c r="P225" s="172">
        <v>287.5</v>
      </c>
      <c r="Q225" s="178">
        <v>1.9617654531333999</v>
      </c>
      <c r="R225" s="179">
        <v>1741.63686359027</v>
      </c>
      <c r="S225" s="168">
        <v>0.01</v>
      </c>
      <c r="T225" s="168">
        <v>0.01</v>
      </c>
      <c r="U225" s="175">
        <v>0</v>
      </c>
      <c r="V225" s="176">
        <v>0</v>
      </c>
      <c r="W225" s="167"/>
      <c r="X225" s="175">
        <v>5019.7256699999998</v>
      </c>
      <c r="Y225" s="166">
        <v>651.10818490259499</v>
      </c>
      <c r="Z225" s="177">
        <v>573</v>
      </c>
      <c r="AA225" s="182">
        <v>1.13631445881779</v>
      </c>
      <c r="AB225" s="183">
        <v>-175.312853105313</v>
      </c>
      <c r="AC225" s="168">
        <v>1.6E-2</v>
      </c>
      <c r="AD225" s="168">
        <v>1.4E-2</v>
      </c>
      <c r="AE225" s="176">
        <v>0</v>
      </c>
      <c r="AF225" s="176">
        <v>282</v>
      </c>
      <c r="AG225" s="167"/>
      <c r="AH225" s="180">
        <v>261.10000000000002</v>
      </c>
      <c r="AI225" s="166">
        <v>33.867258542450898</v>
      </c>
      <c r="AJ225" s="181" t="s">
        <v>53</v>
      </c>
      <c r="AK225" s="173">
        <v>0.53757553241985601</v>
      </c>
      <c r="AL225" s="174">
        <v>-310.08224599587197</v>
      </c>
      <c r="AM225" s="168"/>
      <c r="AN225" s="168"/>
      <c r="AO225" s="176">
        <v>225</v>
      </c>
      <c r="AP225" s="176">
        <v>322</v>
      </c>
      <c r="AQ225" s="167"/>
      <c r="AR225" s="180">
        <v>135.5</v>
      </c>
      <c r="AS225" s="166">
        <v>17.575693345469499</v>
      </c>
      <c r="AT225" s="181" t="s">
        <v>54</v>
      </c>
      <c r="AU225" s="182">
        <v>1.0984808340918499</v>
      </c>
      <c r="AV225" s="183">
        <v>-9.5621577132373297</v>
      </c>
      <c r="AW225" s="168">
        <v>6.0000000000000001E-3</v>
      </c>
      <c r="AX225" s="168">
        <v>5.0000000000000001E-3</v>
      </c>
      <c r="AY225" s="176">
        <v>0</v>
      </c>
      <c r="AZ225" s="176">
        <v>13</v>
      </c>
      <c r="BA225" s="167"/>
      <c r="BB225" s="184">
        <v>310.39999999999998</v>
      </c>
      <c r="BC225" s="180">
        <v>40.261957302094103</v>
      </c>
      <c r="BD225" s="181" t="s">
        <v>55</v>
      </c>
      <c r="BE225" s="178">
        <v>1.2581861656904401</v>
      </c>
      <c r="BF225" s="179">
        <v>20.2756845735254</v>
      </c>
      <c r="BG225" s="168">
        <v>0.02</v>
      </c>
      <c r="BH225" s="168">
        <v>0.02</v>
      </c>
      <c r="BI225" s="176">
        <v>0</v>
      </c>
      <c r="BJ225" s="176">
        <v>0</v>
      </c>
      <c r="BK225" s="169"/>
      <c r="BL225" s="185">
        <v>0.8</v>
      </c>
      <c r="BM225" s="188">
        <v>0.78</v>
      </c>
      <c r="BN225" s="186"/>
      <c r="BO225" s="187">
        <v>0.95</v>
      </c>
      <c r="BP225" s="178">
        <v>1</v>
      </c>
      <c r="BQ225" s="186">
        <v>2.5000000000000001E-3</v>
      </c>
    </row>
    <row r="226" spans="1:69" s="156" customFormat="1" ht="22.35" customHeight="1" x14ac:dyDescent="0.2">
      <c r="A226" s="165" t="s">
        <v>275</v>
      </c>
      <c r="B226" s="165" t="s">
        <v>276</v>
      </c>
      <c r="C226" s="165" t="s">
        <v>293</v>
      </c>
      <c r="D226" s="166">
        <v>2.83696294222222</v>
      </c>
      <c r="E226" s="167"/>
      <c r="F226" s="168">
        <v>0.02</v>
      </c>
      <c r="G226" s="168">
        <v>1.7000000000000001E-2</v>
      </c>
      <c r="H226" s="169"/>
      <c r="I226" s="170">
        <v>4</v>
      </c>
      <c r="J226" s="170">
        <v>4</v>
      </c>
      <c r="K226" s="167"/>
      <c r="L226" s="171">
        <v>800.65576999999996</v>
      </c>
      <c r="M226" s="171">
        <v>1584.0816199999999</v>
      </c>
      <c r="N226" s="171">
        <v>2384.7373899999998</v>
      </c>
      <c r="O226" s="166">
        <v>840.59518526245199</v>
      </c>
      <c r="P226" s="172">
        <v>287.5</v>
      </c>
      <c r="Q226" s="178">
        <v>2.9238093400433098</v>
      </c>
      <c r="R226" s="179">
        <v>1425.5602192346701</v>
      </c>
      <c r="S226" s="168">
        <v>0.01</v>
      </c>
      <c r="T226" s="168">
        <v>0.01</v>
      </c>
      <c r="U226" s="175">
        <v>0</v>
      </c>
      <c r="V226" s="176">
        <v>0</v>
      </c>
      <c r="W226" s="167"/>
      <c r="X226" s="175">
        <v>1744.8327850000001</v>
      </c>
      <c r="Y226" s="166">
        <v>615.03545183189999</v>
      </c>
      <c r="Z226" s="177">
        <v>573</v>
      </c>
      <c r="AA226" s="182">
        <v>1.07336029988115</v>
      </c>
      <c r="AB226" s="183">
        <v>-166.84901969055801</v>
      </c>
      <c r="AC226" s="168">
        <v>0.01</v>
      </c>
      <c r="AD226" s="168">
        <v>7.0000000000000001E-3</v>
      </c>
      <c r="AE226" s="176">
        <v>0</v>
      </c>
      <c r="AF226" s="176">
        <v>206</v>
      </c>
      <c r="AG226" s="167"/>
      <c r="AH226" s="180">
        <v>128</v>
      </c>
      <c r="AI226" s="166">
        <v>45.118671835641301</v>
      </c>
      <c r="AJ226" s="181" t="s">
        <v>53</v>
      </c>
      <c r="AK226" s="173">
        <v>0.71616939421652903</v>
      </c>
      <c r="AL226" s="174">
        <v>-82.184910463359799</v>
      </c>
      <c r="AM226" s="168"/>
      <c r="AN226" s="168"/>
      <c r="AO226" s="176">
        <v>51</v>
      </c>
      <c r="AP226" s="176">
        <v>87</v>
      </c>
      <c r="AQ226" s="167"/>
      <c r="AR226" s="180">
        <v>8.6</v>
      </c>
      <c r="AS226" s="166">
        <v>3.0314107639571501</v>
      </c>
      <c r="AT226" s="181" t="s">
        <v>54</v>
      </c>
      <c r="AU226" s="173">
        <v>0.189463172747322</v>
      </c>
      <c r="AV226" s="174">
        <v>-44.780294720853298</v>
      </c>
      <c r="AW226" s="168"/>
      <c r="AX226" s="168"/>
      <c r="AY226" s="176">
        <v>37</v>
      </c>
      <c r="AZ226" s="176">
        <v>46</v>
      </c>
      <c r="BA226" s="167"/>
      <c r="BB226" s="184">
        <v>76.400000000000006</v>
      </c>
      <c r="BC226" s="180">
        <v>26.930207251898398</v>
      </c>
      <c r="BD226" s="181" t="s">
        <v>55</v>
      </c>
      <c r="BE226" s="188">
        <v>0.84156897662182595</v>
      </c>
      <c r="BF226" s="171">
        <v>-30.360589441706601</v>
      </c>
      <c r="BG226" s="168"/>
      <c r="BH226" s="168"/>
      <c r="BI226" s="176">
        <v>15</v>
      </c>
      <c r="BJ226" s="176">
        <v>33</v>
      </c>
      <c r="BK226" s="169"/>
      <c r="BL226" s="185">
        <v>0.8</v>
      </c>
      <c r="BM226" s="182">
        <v>0.87</v>
      </c>
      <c r="BN226" s="186">
        <v>2.6250000000000002E-3</v>
      </c>
      <c r="BO226" s="187">
        <v>0.95</v>
      </c>
      <c r="BP226" s="178">
        <v>1</v>
      </c>
      <c r="BQ226" s="186">
        <v>2.5000000000000001E-3</v>
      </c>
    </row>
    <row r="227" spans="1:69" s="156" customFormat="1" ht="22.35" customHeight="1" x14ac:dyDescent="0.2">
      <c r="A227" s="165" t="s">
        <v>275</v>
      </c>
      <c r="B227" s="165" t="s">
        <v>276</v>
      </c>
      <c r="C227" s="165" t="s">
        <v>294</v>
      </c>
      <c r="D227" s="166">
        <v>2.9777762321111099</v>
      </c>
      <c r="E227" s="167"/>
      <c r="F227" s="168">
        <v>0.05</v>
      </c>
      <c r="G227" s="168">
        <v>4.8000000000000001E-2</v>
      </c>
      <c r="H227" s="169"/>
      <c r="I227" s="170">
        <v>5</v>
      </c>
      <c r="J227" s="170">
        <v>5</v>
      </c>
      <c r="K227" s="167"/>
      <c r="L227" s="171">
        <v>2867.4492300000002</v>
      </c>
      <c r="M227" s="171">
        <v>1197.97119</v>
      </c>
      <c r="N227" s="171">
        <v>4065.4204199999999</v>
      </c>
      <c r="O227" s="166">
        <v>1365.25383477784</v>
      </c>
      <c r="P227" s="172">
        <v>252.76900000000001</v>
      </c>
      <c r="Q227" s="178">
        <v>5.4011917394057001</v>
      </c>
      <c r="R227" s="179">
        <v>3180.2575439925599</v>
      </c>
      <c r="S227" s="168">
        <v>0.01</v>
      </c>
      <c r="T227" s="168">
        <v>0.01</v>
      </c>
      <c r="U227" s="175">
        <v>0</v>
      </c>
      <c r="V227" s="176">
        <v>0</v>
      </c>
      <c r="W227" s="167"/>
      <c r="X227" s="175">
        <v>2472.7702300000001</v>
      </c>
      <c r="Y227" s="166">
        <v>830.40834409740603</v>
      </c>
      <c r="Z227" s="177">
        <v>573</v>
      </c>
      <c r="AA227" s="178">
        <v>1.4492292218104801</v>
      </c>
      <c r="AB227" s="179">
        <v>466.20167154439298</v>
      </c>
      <c r="AC227" s="168">
        <v>0.02</v>
      </c>
      <c r="AD227" s="168">
        <v>0.02</v>
      </c>
      <c r="AE227" s="176">
        <v>0</v>
      </c>
      <c r="AF227" s="176">
        <v>0</v>
      </c>
      <c r="AG227" s="167"/>
      <c r="AH227" s="180">
        <v>144.65</v>
      </c>
      <c r="AI227" s="166">
        <v>48.5765177517887</v>
      </c>
      <c r="AJ227" s="181" t="s">
        <v>53</v>
      </c>
      <c r="AK227" s="173">
        <v>0.77105583732997995</v>
      </c>
      <c r="AL227" s="174">
        <v>-75.967485484647895</v>
      </c>
      <c r="AM227" s="168"/>
      <c r="AN227" s="168"/>
      <c r="AO227" s="176">
        <v>43</v>
      </c>
      <c r="AP227" s="176">
        <v>81</v>
      </c>
      <c r="AQ227" s="167"/>
      <c r="AR227" s="180">
        <v>13.3</v>
      </c>
      <c r="AS227" s="166">
        <v>4.4664202288198398</v>
      </c>
      <c r="AT227" s="181" t="s">
        <v>54</v>
      </c>
      <c r="AU227" s="173">
        <v>0.27915126430123999</v>
      </c>
      <c r="AV227" s="174">
        <v>-42.729837583402599</v>
      </c>
      <c r="AW227" s="168"/>
      <c r="AX227" s="168"/>
      <c r="AY227" s="176">
        <v>35</v>
      </c>
      <c r="AZ227" s="176">
        <v>44</v>
      </c>
      <c r="BA227" s="167"/>
      <c r="BB227" s="184">
        <v>112.4</v>
      </c>
      <c r="BC227" s="180">
        <v>37.746288249575201</v>
      </c>
      <c r="BD227" s="181" t="s">
        <v>55</v>
      </c>
      <c r="BE227" s="178">
        <v>1.1795715077992299</v>
      </c>
      <c r="BF227" s="179">
        <v>0.340324833194728</v>
      </c>
      <c r="BG227" s="168">
        <v>0.02</v>
      </c>
      <c r="BH227" s="168">
        <v>1.7999999999999999E-2</v>
      </c>
      <c r="BI227" s="176">
        <v>0</v>
      </c>
      <c r="BJ227" s="176">
        <v>2</v>
      </c>
      <c r="BK227" s="169"/>
      <c r="BL227" s="185">
        <v>0.8</v>
      </c>
      <c r="BM227" s="182">
        <v>0.81</v>
      </c>
      <c r="BN227" s="186">
        <v>3.7500000000000001E-4</v>
      </c>
      <c r="BO227" s="187">
        <v>0.95</v>
      </c>
      <c r="BP227" s="178">
        <v>1</v>
      </c>
      <c r="BQ227" s="186">
        <v>2.5000000000000001E-3</v>
      </c>
    </row>
    <row r="228" spans="1:69" s="156" customFormat="1" ht="22.35" customHeight="1" x14ac:dyDescent="0.2">
      <c r="A228" s="165" t="s">
        <v>275</v>
      </c>
      <c r="B228" s="165" t="s">
        <v>276</v>
      </c>
      <c r="C228" s="165" t="s">
        <v>295</v>
      </c>
      <c r="D228" s="166">
        <v>3.3124110478888902</v>
      </c>
      <c r="E228" s="167"/>
      <c r="F228" s="168">
        <v>1.7000000000000001E-2</v>
      </c>
      <c r="G228" s="168">
        <v>1.4999999999999999E-2</v>
      </c>
      <c r="H228" s="169"/>
      <c r="I228" s="170">
        <v>4</v>
      </c>
      <c r="J228" s="170">
        <v>4</v>
      </c>
      <c r="K228" s="167"/>
      <c r="L228" s="171">
        <v>1722.8988899999999</v>
      </c>
      <c r="M228" s="171">
        <v>449.52262000000002</v>
      </c>
      <c r="N228" s="171">
        <v>2172.4215100000001</v>
      </c>
      <c r="O228" s="166">
        <v>655.84297316740196</v>
      </c>
      <c r="P228" s="172">
        <v>266.572</v>
      </c>
      <c r="Q228" s="178">
        <v>2.4602845503931499</v>
      </c>
      <c r="R228" s="179">
        <v>1134.01816947918</v>
      </c>
      <c r="S228" s="168">
        <v>0.01</v>
      </c>
      <c r="T228" s="168">
        <v>0.01</v>
      </c>
      <c r="U228" s="175">
        <v>0</v>
      </c>
      <c r="V228" s="176">
        <v>0</v>
      </c>
      <c r="W228" s="167"/>
      <c r="X228" s="175">
        <v>1627.174665</v>
      </c>
      <c r="Y228" s="166">
        <v>491.23573176011899</v>
      </c>
      <c r="Z228" s="177">
        <v>573</v>
      </c>
      <c r="AA228" s="188">
        <v>0.85730494198973595</v>
      </c>
      <c r="AB228" s="171">
        <v>-604.88689479783295</v>
      </c>
      <c r="AC228" s="168"/>
      <c r="AD228" s="168"/>
      <c r="AE228" s="176">
        <v>271</v>
      </c>
      <c r="AF228" s="176">
        <v>651</v>
      </c>
      <c r="AG228" s="167"/>
      <c r="AH228" s="180">
        <v>167.35</v>
      </c>
      <c r="AI228" s="166">
        <v>50.522111410858201</v>
      </c>
      <c r="AJ228" s="181" t="s">
        <v>53</v>
      </c>
      <c r="AK228" s="188">
        <v>0.801938276362828</v>
      </c>
      <c r="AL228" s="171">
        <v>-78.059909715992106</v>
      </c>
      <c r="AM228" s="168"/>
      <c r="AN228" s="168"/>
      <c r="AO228" s="176">
        <v>42</v>
      </c>
      <c r="AP228" s="176">
        <v>84</v>
      </c>
      <c r="AQ228" s="167"/>
      <c r="AR228" s="180">
        <v>30.8</v>
      </c>
      <c r="AS228" s="166">
        <v>9.2983629008331796</v>
      </c>
      <c r="AT228" s="181" t="s">
        <v>54</v>
      </c>
      <c r="AU228" s="173">
        <v>0.58114768130207395</v>
      </c>
      <c r="AV228" s="174">
        <v>-31.526326277077398</v>
      </c>
      <c r="AW228" s="168"/>
      <c r="AX228" s="168"/>
      <c r="AY228" s="176">
        <v>23</v>
      </c>
      <c r="AZ228" s="176">
        <v>33</v>
      </c>
      <c r="BA228" s="167"/>
      <c r="BB228" s="184">
        <v>110.8</v>
      </c>
      <c r="BC228" s="180">
        <v>33.449954851049199</v>
      </c>
      <c r="BD228" s="181" t="s">
        <v>55</v>
      </c>
      <c r="BE228" s="182">
        <v>1.0453110890952899</v>
      </c>
      <c r="BF228" s="183">
        <v>-13.8526525541547</v>
      </c>
      <c r="BG228" s="168">
        <v>7.0000000000000001E-3</v>
      </c>
      <c r="BH228" s="168">
        <v>5.0000000000000001E-3</v>
      </c>
      <c r="BI228" s="176">
        <v>0</v>
      </c>
      <c r="BJ228" s="176">
        <v>17</v>
      </c>
      <c r="BK228" s="169"/>
      <c r="BL228" s="185">
        <v>0.8</v>
      </c>
      <c r="BM228" s="182">
        <v>0.83</v>
      </c>
      <c r="BN228" s="186">
        <v>1.1249999999999999E-3</v>
      </c>
      <c r="BO228" s="187">
        <v>0.95</v>
      </c>
      <c r="BP228" s="178">
        <v>1</v>
      </c>
      <c r="BQ228" s="186">
        <v>2.5000000000000001E-3</v>
      </c>
    </row>
    <row r="229" spans="1:69" s="156" customFormat="1" ht="22.35" customHeight="1" x14ac:dyDescent="0.2">
      <c r="A229" s="165" t="s">
        <v>275</v>
      </c>
      <c r="B229" s="165" t="s">
        <v>276</v>
      </c>
      <c r="C229" s="165" t="s">
        <v>296</v>
      </c>
      <c r="D229" s="166">
        <v>3.82718426455556</v>
      </c>
      <c r="E229" s="167"/>
      <c r="F229" s="168">
        <v>0.01</v>
      </c>
      <c r="G229" s="168">
        <v>0.01</v>
      </c>
      <c r="H229" s="169"/>
      <c r="I229" s="170">
        <v>2</v>
      </c>
      <c r="J229" s="170">
        <v>2</v>
      </c>
      <c r="K229" s="167"/>
      <c r="L229" s="171">
        <v>1200.98542</v>
      </c>
      <c r="M229" s="171">
        <v>2252.6071099999999</v>
      </c>
      <c r="N229" s="171">
        <v>3453.5925299999999</v>
      </c>
      <c r="O229" s="166">
        <v>902.38470145911799</v>
      </c>
      <c r="P229" s="172">
        <v>255.06700000000001</v>
      </c>
      <c r="Q229" s="178">
        <v>3.5378339865961399</v>
      </c>
      <c r="R229" s="179">
        <v>2305.5949612425102</v>
      </c>
      <c r="S229" s="168">
        <v>0.01</v>
      </c>
      <c r="T229" s="168">
        <v>0.01</v>
      </c>
      <c r="U229" s="175">
        <v>0</v>
      </c>
      <c r="V229" s="176">
        <v>0</v>
      </c>
      <c r="W229" s="167"/>
      <c r="X229" s="175">
        <v>1830.30639</v>
      </c>
      <c r="Y229" s="166">
        <v>478.23837669664698</v>
      </c>
      <c r="Z229" s="177">
        <v>573</v>
      </c>
      <c r="AA229" s="188">
        <v>0.83462194885976804</v>
      </c>
      <c r="AB229" s="171">
        <v>-748.63407230223402</v>
      </c>
      <c r="AC229" s="168"/>
      <c r="AD229" s="168"/>
      <c r="AE229" s="176">
        <v>363</v>
      </c>
      <c r="AF229" s="176">
        <v>802</v>
      </c>
      <c r="AG229" s="167"/>
      <c r="AH229" s="180">
        <v>112.9</v>
      </c>
      <c r="AI229" s="166">
        <v>29.499494196188301</v>
      </c>
      <c r="AJ229" s="181" t="s">
        <v>53</v>
      </c>
      <c r="AK229" s="173">
        <v>0.46824593962203698</v>
      </c>
      <c r="AL229" s="174">
        <v>-170.648427792392</v>
      </c>
      <c r="AM229" s="168"/>
      <c r="AN229" s="168"/>
      <c r="AO229" s="176">
        <v>129</v>
      </c>
      <c r="AP229" s="176">
        <v>177</v>
      </c>
      <c r="AQ229" s="167"/>
      <c r="AR229" s="180">
        <v>10</v>
      </c>
      <c r="AS229" s="166">
        <v>2.61288699700517</v>
      </c>
      <c r="AT229" s="181" t="s">
        <v>54</v>
      </c>
      <c r="AU229" s="173">
        <v>0.16330543731282299</v>
      </c>
      <c r="AV229" s="174">
        <v>-62.012299121877398</v>
      </c>
      <c r="AW229" s="168"/>
      <c r="AX229" s="168"/>
      <c r="AY229" s="176">
        <v>52</v>
      </c>
      <c r="AZ229" s="176">
        <v>64</v>
      </c>
      <c r="BA229" s="167"/>
      <c r="BB229" s="184">
        <v>107.6</v>
      </c>
      <c r="BC229" s="180">
        <v>28.114664087775601</v>
      </c>
      <c r="BD229" s="181" t="s">
        <v>55</v>
      </c>
      <c r="BE229" s="188">
        <v>0.87858325274298799</v>
      </c>
      <c r="BF229" s="171">
        <v>-36.424598243754801</v>
      </c>
      <c r="BG229" s="168"/>
      <c r="BH229" s="168"/>
      <c r="BI229" s="176">
        <v>15</v>
      </c>
      <c r="BJ229" s="176">
        <v>40</v>
      </c>
      <c r="BK229" s="169"/>
      <c r="BL229" s="185">
        <v>0.8</v>
      </c>
      <c r="BM229" s="188">
        <v>0.79</v>
      </c>
      <c r="BN229" s="186"/>
      <c r="BO229" s="187">
        <v>0.95</v>
      </c>
      <c r="BP229" s="178">
        <v>1</v>
      </c>
      <c r="BQ229" s="186">
        <v>2.5000000000000001E-3</v>
      </c>
    </row>
    <row r="230" spans="1:69" s="156" customFormat="1" ht="22.35" customHeight="1" x14ac:dyDescent="0.2">
      <c r="A230" s="165" t="s">
        <v>275</v>
      </c>
      <c r="B230" s="165" t="s">
        <v>276</v>
      </c>
      <c r="C230" s="165" t="s">
        <v>297</v>
      </c>
      <c r="D230" s="166">
        <v>6.0225891787777801</v>
      </c>
      <c r="E230" s="167"/>
      <c r="F230" s="168">
        <v>3.5999999999999997E-2</v>
      </c>
      <c r="G230" s="168">
        <v>3.4000000000000002E-2</v>
      </c>
      <c r="H230" s="169"/>
      <c r="I230" s="170">
        <v>5</v>
      </c>
      <c r="J230" s="170">
        <v>5</v>
      </c>
      <c r="K230" s="167"/>
      <c r="L230" s="171">
        <v>4027.0110100000002</v>
      </c>
      <c r="M230" s="171">
        <v>4068.4396400000001</v>
      </c>
      <c r="N230" s="171">
        <v>8095.4506499999998</v>
      </c>
      <c r="O230" s="166">
        <v>1344.1811170727899</v>
      </c>
      <c r="P230" s="172">
        <v>287.5</v>
      </c>
      <c r="Q230" s="178">
        <v>4.6754125811227496</v>
      </c>
      <c r="R230" s="179">
        <v>6059.21324865523</v>
      </c>
      <c r="S230" s="168">
        <v>0.01</v>
      </c>
      <c r="T230" s="168">
        <v>0.01</v>
      </c>
      <c r="U230" s="175">
        <v>0</v>
      </c>
      <c r="V230" s="176">
        <v>0</v>
      </c>
      <c r="W230" s="167"/>
      <c r="X230" s="175">
        <v>3573.5986849999999</v>
      </c>
      <c r="Y230" s="166">
        <v>593.365839661211</v>
      </c>
      <c r="Z230" s="177">
        <v>573</v>
      </c>
      <c r="AA230" s="182">
        <v>1.0355424775937401</v>
      </c>
      <c r="AB230" s="183">
        <v>-484.71098794105001</v>
      </c>
      <c r="AC230" s="168">
        <v>6.0000000000000001E-3</v>
      </c>
      <c r="AD230" s="168">
        <v>4.0000000000000001E-3</v>
      </c>
      <c r="AE230" s="176">
        <v>0</v>
      </c>
      <c r="AF230" s="176">
        <v>568</v>
      </c>
      <c r="AG230" s="167"/>
      <c r="AH230" s="180">
        <v>343.85</v>
      </c>
      <c r="AI230" s="166">
        <v>57.093384554876899</v>
      </c>
      <c r="AJ230" s="181" t="s">
        <v>53</v>
      </c>
      <c r="AK230" s="188">
        <v>0.90624419928376099</v>
      </c>
      <c r="AL230" s="171">
        <v>-102.351587077288</v>
      </c>
      <c r="AM230" s="168"/>
      <c r="AN230" s="168"/>
      <c r="AO230" s="176">
        <v>36</v>
      </c>
      <c r="AP230" s="176">
        <v>112</v>
      </c>
      <c r="AQ230" s="167"/>
      <c r="AR230" s="180">
        <v>51.7</v>
      </c>
      <c r="AS230" s="166">
        <v>8.5843477722470194</v>
      </c>
      <c r="AT230" s="181" t="s">
        <v>54</v>
      </c>
      <c r="AU230" s="173">
        <v>0.53652173576543905</v>
      </c>
      <c r="AV230" s="174">
        <v>-61.621037987882701</v>
      </c>
      <c r="AW230" s="168"/>
      <c r="AX230" s="168"/>
      <c r="AY230" s="176">
        <v>45</v>
      </c>
      <c r="AZ230" s="176">
        <v>64</v>
      </c>
      <c r="BA230" s="167"/>
      <c r="BB230" s="184">
        <v>246.2</v>
      </c>
      <c r="BC230" s="180">
        <v>40.879427882538003</v>
      </c>
      <c r="BD230" s="181" t="s">
        <v>55</v>
      </c>
      <c r="BE230" s="178">
        <v>1.2774821213293099</v>
      </c>
      <c r="BF230" s="179">
        <v>19.557924024234602</v>
      </c>
      <c r="BG230" s="168">
        <v>0.02</v>
      </c>
      <c r="BH230" s="168">
        <v>0.02</v>
      </c>
      <c r="BI230" s="176">
        <v>0</v>
      </c>
      <c r="BJ230" s="176">
        <v>0</v>
      </c>
      <c r="BK230" s="169"/>
      <c r="BL230" s="185">
        <v>0.8</v>
      </c>
      <c r="BM230" s="182">
        <v>0.83</v>
      </c>
      <c r="BN230" s="186">
        <v>1.1249999999999999E-3</v>
      </c>
      <c r="BO230" s="187">
        <v>0.95</v>
      </c>
      <c r="BP230" s="178">
        <v>1</v>
      </c>
      <c r="BQ230" s="186">
        <v>2.5000000000000001E-3</v>
      </c>
    </row>
    <row r="231" spans="1:69" s="156" customFormat="1" ht="22.35" customHeight="1" x14ac:dyDescent="0.2">
      <c r="A231" s="165" t="s">
        <v>275</v>
      </c>
      <c r="B231" s="165" t="s">
        <v>276</v>
      </c>
      <c r="C231" s="165" t="s">
        <v>298</v>
      </c>
      <c r="D231" s="166">
        <v>5.7046753833333304</v>
      </c>
      <c r="E231" s="167"/>
      <c r="F231" s="168">
        <v>0.03</v>
      </c>
      <c r="G231" s="168">
        <v>0.03</v>
      </c>
      <c r="H231" s="169"/>
      <c r="I231" s="170">
        <v>3</v>
      </c>
      <c r="J231" s="170">
        <v>3</v>
      </c>
      <c r="K231" s="167"/>
      <c r="L231" s="171">
        <v>3269.0573199999999</v>
      </c>
      <c r="M231" s="171">
        <v>2035.55105</v>
      </c>
      <c r="N231" s="171">
        <v>5304.6083699999999</v>
      </c>
      <c r="O231" s="166">
        <v>929.87032802915303</v>
      </c>
      <c r="P231" s="172">
        <v>221.803</v>
      </c>
      <c r="Q231" s="178">
        <v>4.1923252978054997</v>
      </c>
      <c r="R231" s="179">
        <v>3816.5989718778101</v>
      </c>
      <c r="S231" s="168">
        <v>0.01</v>
      </c>
      <c r="T231" s="168">
        <v>0.01</v>
      </c>
      <c r="U231" s="175">
        <v>0</v>
      </c>
      <c r="V231" s="176">
        <v>0</v>
      </c>
      <c r="W231" s="167"/>
      <c r="X231" s="175">
        <v>3008.8086050000002</v>
      </c>
      <c r="Y231" s="166">
        <v>527.42853936798497</v>
      </c>
      <c r="Z231" s="177">
        <v>573</v>
      </c>
      <c r="AA231" s="188">
        <v>0.920468655092469</v>
      </c>
      <c r="AB231" s="171">
        <v>-835.275492708397</v>
      </c>
      <c r="AC231" s="168"/>
      <c r="AD231" s="168"/>
      <c r="AE231" s="176">
        <v>260</v>
      </c>
      <c r="AF231" s="176">
        <v>914</v>
      </c>
      <c r="AG231" s="167"/>
      <c r="AH231" s="180">
        <v>278.14999999999998</v>
      </c>
      <c r="AI231" s="166">
        <v>48.758252014240398</v>
      </c>
      <c r="AJ231" s="181" t="s">
        <v>53</v>
      </c>
      <c r="AK231" s="173">
        <v>0.773940508162546</v>
      </c>
      <c r="AL231" s="174">
        <v>-144.49798980040001</v>
      </c>
      <c r="AM231" s="168"/>
      <c r="AN231" s="168"/>
      <c r="AO231" s="176">
        <v>82</v>
      </c>
      <c r="AP231" s="176">
        <v>154</v>
      </c>
      <c r="AQ231" s="167"/>
      <c r="AR231" s="180">
        <v>25.6</v>
      </c>
      <c r="AS231" s="166">
        <v>4.4875471923945804</v>
      </c>
      <c r="AT231" s="181" t="s">
        <v>54</v>
      </c>
      <c r="AU231" s="173">
        <v>0.280471699524661</v>
      </c>
      <c r="AV231" s="174">
        <v>-81.739172012799898</v>
      </c>
      <c r="AW231" s="168"/>
      <c r="AX231" s="168"/>
      <c r="AY231" s="176">
        <v>66</v>
      </c>
      <c r="AZ231" s="176">
        <v>84</v>
      </c>
      <c r="BA231" s="167"/>
      <c r="BB231" s="184">
        <v>259.60000000000002</v>
      </c>
      <c r="BC231" s="180">
        <v>45.506533247876298</v>
      </c>
      <c r="BD231" s="181" t="s">
        <v>55</v>
      </c>
      <c r="BE231" s="178">
        <v>1.4220791639961401</v>
      </c>
      <c r="BF231" s="179">
        <v>44.921655974400203</v>
      </c>
      <c r="BG231" s="168">
        <v>0.02</v>
      </c>
      <c r="BH231" s="168">
        <v>0.02</v>
      </c>
      <c r="BI231" s="176">
        <v>0</v>
      </c>
      <c r="BJ231" s="176">
        <v>0</v>
      </c>
      <c r="BK231" s="169"/>
      <c r="BL231" s="185">
        <v>0.8</v>
      </c>
      <c r="BM231" s="188">
        <v>0.77</v>
      </c>
      <c r="BN231" s="186"/>
      <c r="BO231" s="187">
        <v>0.95</v>
      </c>
      <c r="BP231" s="178">
        <v>1</v>
      </c>
      <c r="BQ231" s="186">
        <v>2.5000000000000001E-3</v>
      </c>
    </row>
    <row r="232" spans="1:69" s="156" customFormat="1" ht="22.35" customHeight="1" x14ac:dyDescent="0.2">
      <c r="A232" s="165" t="s">
        <v>275</v>
      </c>
      <c r="B232" s="165" t="s">
        <v>299</v>
      </c>
      <c r="C232" s="165" t="s">
        <v>300</v>
      </c>
      <c r="D232" s="166">
        <v>2.4562906796666701</v>
      </c>
      <c r="E232" s="167"/>
      <c r="F232" s="168">
        <v>5.6000000000000001E-2</v>
      </c>
      <c r="G232" s="168">
        <v>5.3999999999999999E-2</v>
      </c>
      <c r="H232" s="169"/>
      <c r="I232" s="170">
        <v>6</v>
      </c>
      <c r="J232" s="170">
        <v>6</v>
      </c>
      <c r="K232" s="167"/>
      <c r="L232" s="171">
        <v>663.61536000000001</v>
      </c>
      <c r="M232" s="171">
        <v>589.73445000000004</v>
      </c>
      <c r="N232" s="171">
        <v>1253.3498099999999</v>
      </c>
      <c r="O232" s="166">
        <v>510.26119195717001</v>
      </c>
      <c r="P232" s="172">
        <v>232.92099999999999</v>
      </c>
      <c r="Q232" s="178">
        <v>2.19070496845355</v>
      </c>
      <c r="R232" s="179">
        <v>580.53471267519899</v>
      </c>
      <c r="S232" s="168">
        <v>0.01</v>
      </c>
      <c r="T232" s="168">
        <v>0.01</v>
      </c>
      <c r="U232" s="175">
        <v>0</v>
      </c>
      <c r="V232" s="176">
        <v>0</v>
      </c>
      <c r="W232" s="167"/>
      <c r="X232" s="175">
        <v>2066.6131500000001</v>
      </c>
      <c r="Y232" s="166">
        <v>841.35528710325605</v>
      </c>
      <c r="Z232" s="177">
        <v>573</v>
      </c>
      <c r="AA232" s="178">
        <v>1.4683338343861401</v>
      </c>
      <c r="AB232" s="179">
        <v>411.44658808797402</v>
      </c>
      <c r="AC232" s="168">
        <v>0.02</v>
      </c>
      <c r="AD232" s="168">
        <v>0.02</v>
      </c>
      <c r="AE232" s="176">
        <v>0</v>
      </c>
      <c r="AF232" s="176">
        <v>0</v>
      </c>
      <c r="AG232" s="167"/>
      <c r="AH232" s="180">
        <v>161.19999999999999</v>
      </c>
      <c r="AI232" s="166">
        <v>65.627411826468304</v>
      </c>
      <c r="AJ232" s="181" t="s">
        <v>53</v>
      </c>
      <c r="AK232" s="182">
        <v>1.0417049496264801</v>
      </c>
      <c r="AL232" s="183">
        <v>-20.781663875144201</v>
      </c>
      <c r="AM232" s="168">
        <v>6.0000000000000001E-3</v>
      </c>
      <c r="AN232" s="168">
        <v>4.0000000000000001E-3</v>
      </c>
      <c r="AO232" s="176">
        <v>0</v>
      </c>
      <c r="AP232" s="176">
        <v>25</v>
      </c>
      <c r="AQ232" s="167"/>
      <c r="AR232" s="180">
        <v>11</v>
      </c>
      <c r="AS232" s="166">
        <v>4.4782973330716596</v>
      </c>
      <c r="AT232" s="181" t="s">
        <v>54</v>
      </c>
      <c r="AU232" s="173">
        <v>0.279893583316979</v>
      </c>
      <c r="AV232" s="174">
        <v>-35.217565428608097</v>
      </c>
      <c r="AW232" s="168"/>
      <c r="AX232" s="168"/>
      <c r="AY232" s="176">
        <v>29</v>
      </c>
      <c r="AZ232" s="176">
        <v>37</v>
      </c>
      <c r="BA232" s="167"/>
      <c r="BB232" s="184">
        <v>99.6</v>
      </c>
      <c r="BC232" s="180">
        <v>40.548946761266997</v>
      </c>
      <c r="BD232" s="181" t="s">
        <v>55</v>
      </c>
      <c r="BE232" s="178">
        <v>1.2671545862895901</v>
      </c>
      <c r="BF232" s="179">
        <v>7.16486914278389</v>
      </c>
      <c r="BG232" s="168">
        <v>0.02</v>
      </c>
      <c r="BH232" s="168">
        <v>0.02</v>
      </c>
      <c r="BI232" s="176">
        <v>0</v>
      </c>
      <c r="BJ232" s="176">
        <v>0</v>
      </c>
      <c r="BK232" s="169"/>
      <c r="BL232" s="185">
        <v>0.8</v>
      </c>
      <c r="BM232" s="182">
        <v>0.86</v>
      </c>
      <c r="BN232" s="186">
        <v>2.2499999999999998E-3</v>
      </c>
      <c r="BO232" s="187">
        <v>0.95</v>
      </c>
      <c r="BP232" s="178">
        <v>1</v>
      </c>
      <c r="BQ232" s="186">
        <v>2.5000000000000001E-3</v>
      </c>
    </row>
    <row r="233" spans="1:69" s="156" customFormat="1" ht="22.35" customHeight="1" x14ac:dyDescent="0.2">
      <c r="A233" s="165" t="s">
        <v>275</v>
      </c>
      <c r="B233" s="165" t="s">
        <v>299</v>
      </c>
      <c r="C233" s="165" t="s">
        <v>301</v>
      </c>
      <c r="D233" s="166">
        <v>3.3263409928888898</v>
      </c>
      <c r="E233" s="167"/>
      <c r="F233" s="168">
        <v>4.7E-2</v>
      </c>
      <c r="G233" s="168">
        <v>4.2999999999999997E-2</v>
      </c>
      <c r="H233" s="169"/>
      <c r="I233" s="170">
        <v>5</v>
      </c>
      <c r="J233" s="170">
        <v>5</v>
      </c>
      <c r="K233" s="167"/>
      <c r="L233" s="171">
        <v>857.91168000000005</v>
      </c>
      <c r="M233" s="171">
        <v>1939.9345699999999</v>
      </c>
      <c r="N233" s="171">
        <v>2797.8462500000001</v>
      </c>
      <c r="O233" s="166">
        <v>841.11829063264599</v>
      </c>
      <c r="P233" s="172">
        <v>222.845</v>
      </c>
      <c r="Q233" s="178">
        <v>3.7744543993926101</v>
      </c>
      <c r="R233" s="179">
        <v>1926.1263027330599</v>
      </c>
      <c r="S233" s="168">
        <v>0.01</v>
      </c>
      <c r="T233" s="168">
        <v>0.01</v>
      </c>
      <c r="U233" s="175">
        <v>0</v>
      </c>
      <c r="V233" s="176">
        <v>0</v>
      </c>
      <c r="W233" s="167"/>
      <c r="X233" s="175">
        <v>2089.13184</v>
      </c>
      <c r="Y233" s="166">
        <v>628.05702856868402</v>
      </c>
      <c r="Z233" s="177">
        <v>573</v>
      </c>
      <c r="AA233" s="182">
        <v>1.09608556469229</v>
      </c>
      <c r="AB233" s="183">
        <v>-152.31638537619301</v>
      </c>
      <c r="AC233" s="168">
        <v>1.2E-2</v>
      </c>
      <c r="AD233" s="168">
        <v>0.01</v>
      </c>
      <c r="AE233" s="176">
        <v>0</v>
      </c>
      <c r="AF233" s="176">
        <v>199</v>
      </c>
      <c r="AG233" s="167"/>
      <c r="AH233" s="180">
        <v>215.65</v>
      </c>
      <c r="AI233" s="166">
        <v>64.830996118864704</v>
      </c>
      <c r="AJ233" s="181" t="s">
        <v>53</v>
      </c>
      <c r="AK233" s="182">
        <v>1.0290634304581701</v>
      </c>
      <c r="AL233" s="183">
        <v>-30.791951481152001</v>
      </c>
      <c r="AM233" s="168">
        <v>5.0000000000000001E-3</v>
      </c>
      <c r="AN233" s="168">
        <v>3.0000000000000001E-3</v>
      </c>
      <c r="AO233" s="176">
        <v>0</v>
      </c>
      <c r="AP233" s="176">
        <v>36</v>
      </c>
      <c r="AQ233" s="167"/>
      <c r="AR233" s="180">
        <v>29.2</v>
      </c>
      <c r="AS233" s="166">
        <v>8.7784144988214603</v>
      </c>
      <c r="AT233" s="181" t="s">
        <v>54</v>
      </c>
      <c r="AU233" s="173">
        <v>0.54865090617634105</v>
      </c>
      <c r="AV233" s="174">
        <v>-33.388432122197301</v>
      </c>
      <c r="AW233" s="168"/>
      <c r="AX233" s="168"/>
      <c r="AY233" s="176">
        <v>25</v>
      </c>
      <c r="AZ233" s="176">
        <v>35</v>
      </c>
      <c r="BA233" s="167"/>
      <c r="BB233" s="184">
        <v>167.6</v>
      </c>
      <c r="BC233" s="180">
        <v>50.385694178167</v>
      </c>
      <c r="BD233" s="181" t="s">
        <v>55</v>
      </c>
      <c r="BE233" s="178">
        <v>1.5745529430677201</v>
      </c>
      <c r="BF233" s="179">
        <v>42.423135755605301</v>
      </c>
      <c r="BG233" s="168">
        <v>0.02</v>
      </c>
      <c r="BH233" s="168">
        <v>0.02</v>
      </c>
      <c r="BI233" s="176">
        <v>0</v>
      </c>
      <c r="BJ233" s="176">
        <v>0</v>
      </c>
      <c r="BK233" s="169"/>
      <c r="BL233" s="185">
        <v>0.8</v>
      </c>
      <c r="BM233" s="188">
        <v>0.72</v>
      </c>
      <c r="BN233" s="186"/>
      <c r="BO233" s="187">
        <v>0.95</v>
      </c>
      <c r="BP233" s="178">
        <v>1</v>
      </c>
      <c r="BQ233" s="186">
        <v>2.5000000000000001E-3</v>
      </c>
    </row>
    <row r="234" spans="1:69" s="156" customFormat="1" ht="22.35" customHeight="1" x14ac:dyDescent="0.2">
      <c r="A234" s="165" t="s">
        <v>275</v>
      </c>
      <c r="B234" s="165" t="s">
        <v>299</v>
      </c>
      <c r="C234" s="165" t="s">
        <v>302</v>
      </c>
      <c r="D234" s="166">
        <v>2.2747145523333301</v>
      </c>
      <c r="E234" s="167"/>
      <c r="F234" s="168">
        <v>3.6999999999999998E-2</v>
      </c>
      <c r="G234" s="168">
        <v>3.5000000000000003E-2</v>
      </c>
      <c r="H234" s="169"/>
      <c r="I234" s="170">
        <v>5</v>
      </c>
      <c r="J234" s="170">
        <v>5</v>
      </c>
      <c r="K234" s="167"/>
      <c r="L234" s="171">
        <v>1182.6841899999999</v>
      </c>
      <c r="M234" s="171">
        <v>732.51864</v>
      </c>
      <c r="N234" s="171">
        <v>1915.2028299999999</v>
      </c>
      <c r="O234" s="166">
        <v>841.95303891446201</v>
      </c>
      <c r="P234" s="172">
        <v>212.5</v>
      </c>
      <c r="Q234" s="178">
        <v>3.9621319478327601</v>
      </c>
      <c r="R234" s="179">
        <v>1346.7516633718999</v>
      </c>
      <c r="S234" s="168">
        <v>0.01</v>
      </c>
      <c r="T234" s="168">
        <v>0.01</v>
      </c>
      <c r="U234" s="175">
        <v>0</v>
      </c>
      <c r="V234" s="176">
        <v>0</v>
      </c>
      <c r="W234" s="167"/>
      <c r="X234" s="175">
        <v>1767.1626650000001</v>
      </c>
      <c r="Y234" s="166">
        <v>776.87227313303902</v>
      </c>
      <c r="Z234" s="177">
        <v>573</v>
      </c>
      <c r="AA234" s="178">
        <v>1.35579803339099</v>
      </c>
      <c r="AB234" s="179">
        <v>234.35081333929</v>
      </c>
      <c r="AC234" s="168">
        <v>0.02</v>
      </c>
      <c r="AD234" s="168">
        <v>0.02</v>
      </c>
      <c r="AE234" s="176">
        <v>0</v>
      </c>
      <c r="AF234" s="176">
        <v>0</v>
      </c>
      <c r="AG234" s="167"/>
      <c r="AH234" s="180">
        <v>125.8</v>
      </c>
      <c r="AI234" s="166">
        <v>55.303642327762901</v>
      </c>
      <c r="AJ234" s="181" t="s">
        <v>53</v>
      </c>
      <c r="AK234" s="188">
        <v>0.87783559250417298</v>
      </c>
      <c r="AL234" s="171">
        <v>-42.729051753271698</v>
      </c>
      <c r="AM234" s="168"/>
      <c r="AN234" s="168"/>
      <c r="AO234" s="176">
        <v>18</v>
      </c>
      <c r="AP234" s="176">
        <v>47</v>
      </c>
      <c r="AQ234" s="167"/>
      <c r="AR234" s="180">
        <v>19.600000000000001</v>
      </c>
      <c r="AS234" s="166">
        <v>8.6164657362810306</v>
      </c>
      <c r="AT234" s="181" t="s">
        <v>54</v>
      </c>
      <c r="AU234" s="173">
        <v>0.53852910851756397</v>
      </c>
      <c r="AV234" s="174">
        <v>-23.201029016703899</v>
      </c>
      <c r="AW234" s="168"/>
      <c r="AX234" s="168"/>
      <c r="AY234" s="176">
        <v>17</v>
      </c>
      <c r="AZ234" s="176">
        <v>25</v>
      </c>
      <c r="BA234" s="167"/>
      <c r="BB234" s="184">
        <v>76.599999999999994</v>
      </c>
      <c r="BC234" s="180">
        <v>33.674554867302398</v>
      </c>
      <c r="BD234" s="181" t="s">
        <v>55</v>
      </c>
      <c r="BE234" s="182">
        <v>1.0523298396031999</v>
      </c>
      <c r="BF234" s="183">
        <v>-9.0020580334078595</v>
      </c>
      <c r="BG234" s="168">
        <v>7.0000000000000001E-3</v>
      </c>
      <c r="BH234" s="168">
        <v>5.0000000000000001E-3</v>
      </c>
      <c r="BI234" s="176">
        <v>0</v>
      </c>
      <c r="BJ234" s="176">
        <v>11</v>
      </c>
      <c r="BK234" s="169"/>
      <c r="BL234" s="185">
        <v>0.8</v>
      </c>
      <c r="BM234" s="182">
        <v>0.83</v>
      </c>
      <c r="BN234" s="186">
        <v>1.1249999999999999E-3</v>
      </c>
      <c r="BO234" s="187">
        <v>0.95</v>
      </c>
      <c r="BP234" s="178">
        <v>1</v>
      </c>
      <c r="BQ234" s="186">
        <v>2.5000000000000001E-3</v>
      </c>
    </row>
    <row r="235" spans="1:69" s="156" customFormat="1" ht="22.35" customHeight="1" x14ac:dyDescent="0.2">
      <c r="A235" s="165" t="s">
        <v>275</v>
      </c>
      <c r="B235" s="165" t="s">
        <v>299</v>
      </c>
      <c r="C235" s="165" t="s">
        <v>303</v>
      </c>
      <c r="D235" s="166">
        <v>2.9376340330000001</v>
      </c>
      <c r="E235" s="167"/>
      <c r="F235" s="168">
        <v>7.0000000000000007E-2</v>
      </c>
      <c r="G235" s="168">
        <v>6.8000000000000005E-2</v>
      </c>
      <c r="H235" s="169"/>
      <c r="I235" s="170">
        <v>5</v>
      </c>
      <c r="J235" s="170">
        <v>5</v>
      </c>
      <c r="K235" s="167"/>
      <c r="L235" s="171">
        <v>966.06984</v>
      </c>
      <c r="M235" s="171">
        <v>2167.4885599999998</v>
      </c>
      <c r="N235" s="171">
        <v>3133.5583999999999</v>
      </c>
      <c r="O235" s="166">
        <v>1066.6946136921999</v>
      </c>
      <c r="P235" s="172">
        <v>229.05500000000001</v>
      </c>
      <c r="Q235" s="178">
        <v>4.6569366034017996</v>
      </c>
      <c r="R235" s="179">
        <v>2342.2517982077102</v>
      </c>
      <c r="S235" s="168">
        <v>0.01</v>
      </c>
      <c r="T235" s="168">
        <v>0.01</v>
      </c>
      <c r="U235" s="175">
        <v>0</v>
      </c>
      <c r="V235" s="176">
        <v>0</v>
      </c>
      <c r="W235" s="167"/>
      <c r="X235" s="175">
        <v>1983.8688400000001</v>
      </c>
      <c r="Y235" s="166">
        <v>675.328791031881</v>
      </c>
      <c r="Z235" s="177">
        <v>573</v>
      </c>
      <c r="AA235" s="178">
        <v>1.1785842775425499</v>
      </c>
      <c r="AB235" s="179">
        <v>4.3500221310161997</v>
      </c>
      <c r="AC235" s="168">
        <v>0.02</v>
      </c>
      <c r="AD235" s="168">
        <v>1.7999999999999999E-2</v>
      </c>
      <c r="AE235" s="176">
        <v>0</v>
      </c>
      <c r="AF235" s="176">
        <v>37</v>
      </c>
      <c r="AG235" s="167"/>
      <c r="AH235" s="180">
        <v>228</v>
      </c>
      <c r="AI235" s="166">
        <v>77.613479908918194</v>
      </c>
      <c r="AJ235" s="181" t="s">
        <v>53</v>
      </c>
      <c r="AK235" s="178">
        <v>1.23195999855426</v>
      </c>
      <c r="AL235" s="179">
        <v>10.356569763095999</v>
      </c>
      <c r="AM235" s="168">
        <v>0.02</v>
      </c>
      <c r="AN235" s="168">
        <v>0.02</v>
      </c>
      <c r="AO235" s="176">
        <v>0</v>
      </c>
      <c r="AP235" s="176">
        <v>0</v>
      </c>
      <c r="AQ235" s="167"/>
      <c r="AR235" s="180">
        <v>27.1</v>
      </c>
      <c r="AS235" s="166">
        <v>9.2251109891740608</v>
      </c>
      <c r="AT235" s="181" t="s">
        <v>54</v>
      </c>
      <c r="AU235" s="173">
        <v>0.57656943682337902</v>
      </c>
      <c r="AV235" s="174">
        <v>-28.174521964928001</v>
      </c>
      <c r="AW235" s="168"/>
      <c r="AX235" s="168"/>
      <c r="AY235" s="176">
        <v>20</v>
      </c>
      <c r="AZ235" s="176">
        <v>30</v>
      </c>
      <c r="BA235" s="167"/>
      <c r="BB235" s="184">
        <v>129.6</v>
      </c>
      <c r="BC235" s="180">
        <v>44.117135948227201</v>
      </c>
      <c r="BD235" s="181" t="s">
        <v>55</v>
      </c>
      <c r="BE235" s="178">
        <v>1.3786604983821</v>
      </c>
      <c r="BF235" s="179">
        <v>19.050956070144</v>
      </c>
      <c r="BG235" s="168">
        <v>0.02</v>
      </c>
      <c r="BH235" s="168">
        <v>0.02</v>
      </c>
      <c r="BI235" s="176">
        <v>0</v>
      </c>
      <c r="BJ235" s="176">
        <v>0</v>
      </c>
      <c r="BK235" s="169"/>
      <c r="BL235" s="185">
        <v>0.8</v>
      </c>
      <c r="BM235" s="188">
        <v>0.77</v>
      </c>
      <c r="BN235" s="186"/>
      <c r="BO235" s="187">
        <v>0.95</v>
      </c>
      <c r="BP235" s="178">
        <v>1</v>
      </c>
      <c r="BQ235" s="186">
        <v>2.5000000000000001E-3</v>
      </c>
    </row>
    <row r="236" spans="1:69" s="156" customFormat="1" ht="22.35" customHeight="1" x14ac:dyDescent="0.2">
      <c r="A236" s="165" t="s">
        <v>275</v>
      </c>
      <c r="B236" s="165" t="s">
        <v>299</v>
      </c>
      <c r="C236" s="165" t="s">
        <v>304</v>
      </c>
      <c r="D236" s="166">
        <v>3.2454949072222199</v>
      </c>
      <c r="E236" s="167"/>
      <c r="F236" s="168">
        <v>0.01</v>
      </c>
      <c r="G236" s="168">
        <v>0.01</v>
      </c>
      <c r="H236" s="169"/>
      <c r="I236" s="170">
        <v>2</v>
      </c>
      <c r="J236" s="170">
        <v>2</v>
      </c>
      <c r="K236" s="167"/>
      <c r="L236" s="171">
        <v>1451.7116100000001</v>
      </c>
      <c r="M236" s="171">
        <v>70.955330000000004</v>
      </c>
      <c r="N236" s="171">
        <v>1522.6669400000001</v>
      </c>
      <c r="O236" s="166">
        <v>469.16325045268098</v>
      </c>
      <c r="P236" s="172">
        <v>242.61199999999999</v>
      </c>
      <c r="Q236" s="178">
        <v>1.9338006794910401</v>
      </c>
      <c r="R236" s="179">
        <v>596.68923173314704</v>
      </c>
      <c r="S236" s="168">
        <v>0.01</v>
      </c>
      <c r="T236" s="168">
        <v>0.01</v>
      </c>
      <c r="U236" s="175">
        <v>0</v>
      </c>
      <c r="V236" s="176">
        <v>0</v>
      </c>
      <c r="W236" s="167"/>
      <c r="X236" s="175">
        <v>1318.7503850000001</v>
      </c>
      <c r="Y236" s="166">
        <v>406.33260032711098</v>
      </c>
      <c r="Z236" s="177">
        <v>573</v>
      </c>
      <c r="AA236" s="173">
        <v>0.70913193774364802</v>
      </c>
      <c r="AB236" s="174">
        <v>-868.21986724187798</v>
      </c>
      <c r="AC236" s="168"/>
      <c r="AD236" s="168"/>
      <c r="AE236" s="176">
        <v>541</v>
      </c>
      <c r="AF236" s="176">
        <v>913</v>
      </c>
      <c r="AG236" s="167"/>
      <c r="AH236" s="180">
        <v>153.30000000000001</v>
      </c>
      <c r="AI236" s="166">
        <v>47.234706687987803</v>
      </c>
      <c r="AJ236" s="181" t="s">
        <v>53</v>
      </c>
      <c r="AK236" s="173">
        <v>0.74975724901567997</v>
      </c>
      <c r="AL236" s="174">
        <v>-87.152226686279803</v>
      </c>
      <c r="AM236" s="168"/>
      <c r="AN236" s="168"/>
      <c r="AO236" s="176">
        <v>52</v>
      </c>
      <c r="AP236" s="176">
        <v>93</v>
      </c>
      <c r="AQ236" s="167"/>
      <c r="AR236" s="180">
        <v>12.8</v>
      </c>
      <c r="AS236" s="166">
        <v>3.9439285427674098</v>
      </c>
      <c r="AT236" s="181" t="s">
        <v>54</v>
      </c>
      <c r="AU236" s="173">
        <v>0.246495533922963</v>
      </c>
      <c r="AV236" s="174">
        <v>-48.267232174293298</v>
      </c>
      <c r="AW236" s="168"/>
      <c r="AX236" s="168"/>
      <c r="AY236" s="176">
        <v>40</v>
      </c>
      <c r="AZ236" s="176">
        <v>50</v>
      </c>
      <c r="BA236" s="167"/>
      <c r="BB236" s="184">
        <v>86</v>
      </c>
      <c r="BC236" s="180">
        <v>26.498269896718501</v>
      </c>
      <c r="BD236" s="181" t="s">
        <v>55</v>
      </c>
      <c r="BE236" s="188">
        <v>0.82807093427245504</v>
      </c>
      <c r="BF236" s="171">
        <v>-36.134464348586597</v>
      </c>
      <c r="BG236" s="168"/>
      <c r="BH236" s="168"/>
      <c r="BI236" s="176">
        <v>18</v>
      </c>
      <c r="BJ236" s="176">
        <v>39</v>
      </c>
      <c r="BK236" s="169"/>
      <c r="BL236" s="185">
        <v>0.8</v>
      </c>
      <c r="BM236" s="188">
        <v>0.75</v>
      </c>
      <c r="BN236" s="186"/>
      <c r="BO236" s="187">
        <v>0.95</v>
      </c>
      <c r="BP236" s="178">
        <v>1</v>
      </c>
      <c r="BQ236" s="186">
        <v>2.5000000000000001E-3</v>
      </c>
    </row>
    <row r="237" spans="1:69" s="156" customFormat="1" ht="22.35" customHeight="1" x14ac:dyDescent="0.2">
      <c r="A237" s="165" t="s">
        <v>275</v>
      </c>
      <c r="B237" s="165" t="s">
        <v>299</v>
      </c>
      <c r="C237" s="165" t="s">
        <v>305</v>
      </c>
      <c r="D237" s="166">
        <v>2.8560806016666702</v>
      </c>
      <c r="E237" s="167"/>
      <c r="F237" s="168">
        <v>5.0999999999999997E-2</v>
      </c>
      <c r="G237" s="168">
        <v>4.5999999999999999E-2</v>
      </c>
      <c r="H237" s="169"/>
      <c r="I237" s="170">
        <v>7</v>
      </c>
      <c r="J237" s="170">
        <v>7</v>
      </c>
      <c r="K237" s="167"/>
      <c r="L237" s="171">
        <v>973.97928000000002</v>
      </c>
      <c r="M237" s="171">
        <v>1921.0648000000001</v>
      </c>
      <c r="N237" s="171">
        <v>2895.0440800000001</v>
      </c>
      <c r="O237" s="166">
        <v>1013.64228947551</v>
      </c>
      <c r="P237" s="172">
        <v>215.88200000000001</v>
      </c>
      <c r="Q237" s="178">
        <v>4.6953534313908101</v>
      </c>
      <c r="R237" s="179">
        <v>2169.9502424799698</v>
      </c>
      <c r="S237" s="168">
        <v>0.01</v>
      </c>
      <c r="T237" s="168">
        <v>0.01</v>
      </c>
      <c r="U237" s="175">
        <v>0</v>
      </c>
      <c r="V237" s="176">
        <v>0</v>
      </c>
      <c r="W237" s="167"/>
      <c r="X237" s="175">
        <v>1698.5821100000001</v>
      </c>
      <c r="Y237" s="166">
        <v>594.72485090539499</v>
      </c>
      <c r="Z237" s="177">
        <v>573</v>
      </c>
      <c r="AA237" s="182">
        <v>1.03791422496579</v>
      </c>
      <c r="AB237" s="183">
        <v>-225.98209127188201</v>
      </c>
      <c r="AC237" s="168">
        <v>6.0000000000000001E-3</v>
      </c>
      <c r="AD237" s="168">
        <v>4.0000000000000001E-3</v>
      </c>
      <c r="AE237" s="176">
        <v>0</v>
      </c>
      <c r="AF237" s="176">
        <v>266</v>
      </c>
      <c r="AG237" s="167"/>
      <c r="AH237" s="180">
        <v>187</v>
      </c>
      <c r="AI237" s="166">
        <v>65.474342667667003</v>
      </c>
      <c r="AJ237" s="181" t="s">
        <v>53</v>
      </c>
      <c r="AK237" s="182">
        <v>1.0392752804391601</v>
      </c>
      <c r="AL237" s="183">
        <v>-24.601299616280201</v>
      </c>
      <c r="AM237" s="168">
        <v>6.0000000000000001E-3</v>
      </c>
      <c r="AN237" s="168">
        <v>4.0000000000000001E-3</v>
      </c>
      <c r="AO237" s="176">
        <v>0</v>
      </c>
      <c r="AP237" s="176">
        <v>29</v>
      </c>
      <c r="AQ237" s="167"/>
      <c r="AR237" s="180">
        <v>52.8</v>
      </c>
      <c r="AS237" s="166">
        <v>18.486873223811902</v>
      </c>
      <c r="AT237" s="181" t="s">
        <v>54</v>
      </c>
      <c r="AU237" s="182">
        <v>1.1554295764882401</v>
      </c>
      <c r="AV237" s="183">
        <v>-0.94001260096006001</v>
      </c>
      <c r="AW237" s="168">
        <v>8.9999999999999993E-3</v>
      </c>
      <c r="AX237" s="168">
        <v>8.0000000000000002E-3</v>
      </c>
      <c r="AY237" s="176">
        <v>0</v>
      </c>
      <c r="AZ237" s="176">
        <v>3</v>
      </c>
      <c r="BA237" s="167"/>
      <c r="BB237" s="184">
        <v>132.6</v>
      </c>
      <c r="BC237" s="180">
        <v>46.427261164345701</v>
      </c>
      <c r="BD237" s="181" t="s">
        <v>55</v>
      </c>
      <c r="BE237" s="178">
        <v>1.4508519113858001</v>
      </c>
      <c r="BF237" s="179">
        <v>25.119974798079902</v>
      </c>
      <c r="BG237" s="168">
        <v>0.02</v>
      </c>
      <c r="BH237" s="168">
        <v>0.02</v>
      </c>
      <c r="BI237" s="176">
        <v>0</v>
      </c>
      <c r="BJ237" s="176">
        <v>0</v>
      </c>
      <c r="BK237" s="169"/>
      <c r="BL237" s="185">
        <v>0.8</v>
      </c>
      <c r="BM237" s="182">
        <v>0.81</v>
      </c>
      <c r="BN237" s="186">
        <v>3.7500000000000001E-4</v>
      </c>
      <c r="BO237" s="187">
        <v>0.95</v>
      </c>
      <c r="BP237" s="178">
        <v>1</v>
      </c>
      <c r="BQ237" s="186">
        <v>2.5000000000000001E-3</v>
      </c>
    </row>
    <row r="238" spans="1:69" s="156" customFormat="1" ht="22.35" customHeight="1" x14ac:dyDescent="0.2">
      <c r="A238" s="165" t="s">
        <v>275</v>
      </c>
      <c r="B238" s="165" t="s">
        <v>299</v>
      </c>
      <c r="C238" s="165" t="s">
        <v>306</v>
      </c>
      <c r="D238" s="166">
        <v>9.2014397199999998</v>
      </c>
      <c r="E238" s="167"/>
      <c r="F238" s="168">
        <v>3.6999999999999998E-2</v>
      </c>
      <c r="G238" s="168">
        <v>3.4000000000000002E-2</v>
      </c>
      <c r="H238" s="169"/>
      <c r="I238" s="170">
        <v>5</v>
      </c>
      <c r="J238" s="170">
        <v>4</v>
      </c>
      <c r="K238" s="167"/>
      <c r="L238" s="171">
        <v>6164.6352299999999</v>
      </c>
      <c r="M238" s="171">
        <v>-1504.7200800000001</v>
      </c>
      <c r="N238" s="171">
        <v>4659.9151499999998</v>
      </c>
      <c r="O238" s="166">
        <v>506.43326390231499</v>
      </c>
      <c r="P238" s="172">
        <v>232.92099999999999</v>
      </c>
      <c r="Q238" s="178">
        <v>2.1742705204868402</v>
      </c>
      <c r="R238" s="179">
        <v>2139.5019057579898</v>
      </c>
      <c r="S238" s="168">
        <v>0.01</v>
      </c>
      <c r="T238" s="168">
        <v>0.01</v>
      </c>
      <c r="U238" s="175">
        <v>0</v>
      </c>
      <c r="V238" s="176">
        <v>0</v>
      </c>
      <c r="W238" s="167"/>
      <c r="X238" s="175">
        <v>5463.8707850000001</v>
      </c>
      <c r="Y238" s="166">
        <v>593.80607288269005</v>
      </c>
      <c r="Z238" s="177">
        <v>573</v>
      </c>
      <c r="AA238" s="182">
        <v>1.0363107729191801</v>
      </c>
      <c r="AB238" s="183">
        <v>-736.50096744255904</v>
      </c>
      <c r="AC238" s="168">
        <v>6.0000000000000001E-3</v>
      </c>
      <c r="AD238" s="168">
        <v>4.0000000000000001E-3</v>
      </c>
      <c r="AE238" s="176">
        <v>0</v>
      </c>
      <c r="AF238" s="176">
        <v>864</v>
      </c>
      <c r="AG238" s="167"/>
      <c r="AH238" s="180">
        <v>575.29999999999995</v>
      </c>
      <c r="AI238" s="166">
        <v>62.522824417307604</v>
      </c>
      <c r="AJ238" s="181" t="s">
        <v>53</v>
      </c>
      <c r="AK238" s="182">
        <v>0.99242578440170803</v>
      </c>
      <c r="AL238" s="183">
        <v>-106.41626597536001</v>
      </c>
      <c r="AM238" s="168">
        <v>1E-3</v>
      </c>
      <c r="AN238" s="168"/>
      <c r="AO238" s="176">
        <v>5</v>
      </c>
      <c r="AP238" s="176">
        <v>121</v>
      </c>
      <c r="AQ238" s="167"/>
      <c r="AR238" s="180">
        <v>50.8</v>
      </c>
      <c r="AS238" s="166">
        <v>5.5208751614796201</v>
      </c>
      <c r="AT238" s="181" t="s">
        <v>54</v>
      </c>
      <c r="AU238" s="173">
        <v>0.34505469759247598</v>
      </c>
      <c r="AV238" s="174">
        <v>-122.33428977152001</v>
      </c>
      <c r="AW238" s="168"/>
      <c r="AX238" s="168"/>
      <c r="AY238" s="176">
        <v>97</v>
      </c>
      <c r="AZ238" s="176">
        <v>126</v>
      </c>
      <c r="BA238" s="167"/>
      <c r="BB238" s="184">
        <v>373</v>
      </c>
      <c r="BC238" s="180">
        <v>40.537134551808997</v>
      </c>
      <c r="BD238" s="181" t="s">
        <v>55</v>
      </c>
      <c r="BE238" s="178">
        <v>1.26678545474403</v>
      </c>
      <c r="BF238" s="179">
        <v>26.731420456960102</v>
      </c>
      <c r="BG238" s="168">
        <v>0.02</v>
      </c>
      <c r="BH238" s="168">
        <v>0.02</v>
      </c>
      <c r="BI238" s="176">
        <v>0</v>
      </c>
      <c r="BJ238" s="176">
        <v>0</v>
      </c>
      <c r="BK238" s="169"/>
      <c r="BL238" s="185">
        <v>0.8</v>
      </c>
      <c r="BM238" s="188">
        <v>0.78</v>
      </c>
      <c r="BN238" s="186"/>
      <c r="BO238" s="187">
        <v>0.95</v>
      </c>
      <c r="BP238" s="178">
        <v>1</v>
      </c>
      <c r="BQ238" s="186">
        <v>2.5000000000000001E-3</v>
      </c>
    </row>
    <row r="239" spans="1:69" s="156" customFormat="1" ht="22.35" customHeight="1" x14ac:dyDescent="0.2">
      <c r="A239" s="165" t="s">
        <v>275</v>
      </c>
      <c r="B239" s="165" t="s">
        <v>299</v>
      </c>
      <c r="C239" s="165" t="s">
        <v>307</v>
      </c>
      <c r="D239" s="166">
        <v>2.4944492774444398</v>
      </c>
      <c r="E239" s="167"/>
      <c r="F239" s="168">
        <v>4.2000000000000003E-2</v>
      </c>
      <c r="G239" s="168">
        <v>3.7999999999999999E-2</v>
      </c>
      <c r="H239" s="169"/>
      <c r="I239" s="170">
        <v>5</v>
      </c>
      <c r="J239" s="170">
        <v>5</v>
      </c>
      <c r="K239" s="167"/>
      <c r="L239" s="171">
        <v>2035.1780699999999</v>
      </c>
      <c r="M239" s="171">
        <v>-271.19610999999998</v>
      </c>
      <c r="N239" s="171">
        <v>1763.9819600000001</v>
      </c>
      <c r="O239" s="166">
        <v>707.16289000159304</v>
      </c>
      <c r="P239" s="172">
        <v>245.339</v>
      </c>
      <c r="Q239" s="178">
        <v>2.8823908551090298</v>
      </c>
      <c r="R239" s="179">
        <v>1044.2867870559701</v>
      </c>
      <c r="S239" s="168">
        <v>0.01</v>
      </c>
      <c r="T239" s="168">
        <v>0.01</v>
      </c>
      <c r="U239" s="175">
        <v>0</v>
      </c>
      <c r="V239" s="176">
        <v>0</v>
      </c>
      <c r="W239" s="167"/>
      <c r="X239" s="175">
        <v>1684.6525349999999</v>
      </c>
      <c r="Y239" s="166">
        <v>675.36050952534094</v>
      </c>
      <c r="Z239" s="177">
        <v>573</v>
      </c>
      <c r="AA239" s="178">
        <v>1.1786396326794799</v>
      </c>
      <c r="AB239" s="179">
        <v>3.7728782926192301</v>
      </c>
      <c r="AC239" s="168">
        <v>0.02</v>
      </c>
      <c r="AD239" s="168">
        <v>1.7999999999999999E-2</v>
      </c>
      <c r="AE239" s="176">
        <v>0</v>
      </c>
      <c r="AF239" s="176">
        <v>31</v>
      </c>
      <c r="AG239" s="167"/>
      <c r="AH239" s="180">
        <v>89.7</v>
      </c>
      <c r="AI239" s="166">
        <v>35.9598412407477</v>
      </c>
      <c r="AJ239" s="181" t="s">
        <v>53</v>
      </c>
      <c r="AK239" s="173">
        <v>0.57079113080551902</v>
      </c>
      <c r="AL239" s="174">
        <v>-95.108758067303597</v>
      </c>
      <c r="AM239" s="168"/>
      <c r="AN239" s="168"/>
      <c r="AO239" s="176">
        <v>68</v>
      </c>
      <c r="AP239" s="176">
        <v>99</v>
      </c>
      <c r="AQ239" s="167"/>
      <c r="AR239" s="180">
        <v>11</v>
      </c>
      <c r="AS239" s="166">
        <v>4.4097910105710696</v>
      </c>
      <c r="AT239" s="181" t="s">
        <v>54</v>
      </c>
      <c r="AU239" s="173">
        <v>0.27561193816069202</v>
      </c>
      <c r="AV239" s="174">
        <v>-35.935557604394603</v>
      </c>
      <c r="AW239" s="168"/>
      <c r="AX239" s="168"/>
      <c r="AY239" s="176">
        <v>29</v>
      </c>
      <c r="AZ239" s="176">
        <v>37</v>
      </c>
      <c r="BA239" s="167"/>
      <c r="BB239" s="184">
        <v>88</v>
      </c>
      <c r="BC239" s="180">
        <v>35.2783280845685</v>
      </c>
      <c r="BD239" s="181" t="s">
        <v>55</v>
      </c>
      <c r="BE239" s="182">
        <v>1.1024477526427701</v>
      </c>
      <c r="BF239" s="183">
        <v>-5.8711152087891501</v>
      </c>
      <c r="BG239" s="168">
        <v>1.2E-2</v>
      </c>
      <c r="BH239" s="168">
        <v>0.01</v>
      </c>
      <c r="BI239" s="176">
        <v>0</v>
      </c>
      <c r="BJ239" s="176">
        <v>8</v>
      </c>
      <c r="BK239" s="169"/>
      <c r="BL239" s="185">
        <v>0.8</v>
      </c>
      <c r="BM239" s="182">
        <v>0.81</v>
      </c>
      <c r="BN239" s="186">
        <v>3.7500000000000001E-4</v>
      </c>
      <c r="BO239" s="187">
        <v>0.95</v>
      </c>
      <c r="BP239" s="178">
        <v>1</v>
      </c>
      <c r="BQ239" s="186">
        <v>2.5000000000000001E-3</v>
      </c>
    </row>
    <row r="240" spans="1:69" s="156" customFormat="1" ht="22.35" customHeight="1" x14ac:dyDescent="0.2">
      <c r="A240" s="165" t="s">
        <v>275</v>
      </c>
      <c r="B240" s="165" t="s">
        <v>299</v>
      </c>
      <c r="C240" s="165" t="s">
        <v>308</v>
      </c>
      <c r="D240" s="166">
        <v>2.6001805638888902</v>
      </c>
      <c r="E240" s="167"/>
      <c r="F240" s="168"/>
      <c r="G240" s="168"/>
      <c r="H240" s="169"/>
      <c r="I240" s="170">
        <v>1</v>
      </c>
      <c r="J240" s="170">
        <v>1</v>
      </c>
      <c r="K240" s="167"/>
      <c r="L240" s="171"/>
      <c r="M240" s="171">
        <v>72.353960000000001</v>
      </c>
      <c r="N240" s="171">
        <v>72.353960000000001</v>
      </c>
      <c r="O240" s="166">
        <v>27.8265136678761</v>
      </c>
      <c r="P240" s="172">
        <v>217.09100000000001</v>
      </c>
      <c r="Q240" s="173">
        <v>0.12817902938341999</v>
      </c>
      <c r="R240" s="174">
        <v>-591.46957938315904</v>
      </c>
      <c r="S240" s="168"/>
      <c r="T240" s="168"/>
      <c r="U240" s="175">
        <v>493</v>
      </c>
      <c r="V240" s="176">
        <v>606</v>
      </c>
      <c r="W240" s="167"/>
      <c r="X240" s="175">
        <v>1076.60023</v>
      </c>
      <c r="Y240" s="166">
        <v>414.04825686021297</v>
      </c>
      <c r="Z240" s="177">
        <v>573</v>
      </c>
      <c r="AA240" s="173">
        <v>0.72259730691136603</v>
      </c>
      <c r="AB240" s="174">
        <v>-675.52624261540097</v>
      </c>
      <c r="AC240" s="168"/>
      <c r="AD240" s="168"/>
      <c r="AE240" s="176">
        <v>414</v>
      </c>
      <c r="AF240" s="176">
        <v>712</v>
      </c>
      <c r="AG240" s="167"/>
      <c r="AH240" s="180">
        <v>96.2</v>
      </c>
      <c r="AI240" s="166">
        <v>36.997430615403502</v>
      </c>
      <c r="AJ240" s="181" t="s">
        <v>53</v>
      </c>
      <c r="AK240" s="173">
        <v>0.58726080341910403</v>
      </c>
      <c r="AL240" s="174">
        <v>-96.442177617400105</v>
      </c>
      <c r="AM240" s="168"/>
      <c r="AN240" s="168"/>
      <c r="AO240" s="176">
        <v>68</v>
      </c>
      <c r="AP240" s="176">
        <v>101</v>
      </c>
      <c r="AQ240" s="167"/>
      <c r="AR240" s="180">
        <v>18.399999999999999</v>
      </c>
      <c r="AS240" s="166">
        <v>7.0764316353786398</v>
      </c>
      <c r="AT240" s="181" t="s">
        <v>54</v>
      </c>
      <c r="AU240" s="173">
        <v>0.44227697721116499</v>
      </c>
      <c r="AV240" s="174">
        <v>-30.524997490133401</v>
      </c>
      <c r="AW240" s="168"/>
      <c r="AX240" s="168"/>
      <c r="AY240" s="176">
        <v>24</v>
      </c>
      <c r="AZ240" s="176">
        <v>32</v>
      </c>
      <c r="BA240" s="167"/>
      <c r="BB240" s="184">
        <v>72.400000000000006</v>
      </c>
      <c r="BC240" s="180">
        <v>27.844220130511601</v>
      </c>
      <c r="BD240" s="181" t="s">
        <v>55</v>
      </c>
      <c r="BE240" s="188">
        <v>0.87013187907848699</v>
      </c>
      <c r="BF240" s="171">
        <v>-25.449994980266698</v>
      </c>
      <c r="BG240" s="168"/>
      <c r="BH240" s="168"/>
      <c r="BI240" s="176">
        <v>11</v>
      </c>
      <c r="BJ240" s="176">
        <v>28</v>
      </c>
      <c r="BK240" s="169"/>
      <c r="BL240" s="185">
        <v>0.8</v>
      </c>
      <c r="BM240" s="173"/>
      <c r="BN240" s="186"/>
      <c r="BO240" s="187">
        <v>0.95</v>
      </c>
      <c r="BP240" s="178">
        <v>1</v>
      </c>
      <c r="BQ240" s="186">
        <v>2.5000000000000001E-3</v>
      </c>
    </row>
    <row r="241" spans="1:69" s="156" customFormat="1" ht="22.35" customHeight="1" x14ac:dyDescent="0.2">
      <c r="A241" s="165" t="s">
        <v>275</v>
      </c>
      <c r="B241" s="165" t="s">
        <v>299</v>
      </c>
      <c r="C241" s="165" t="s">
        <v>309</v>
      </c>
      <c r="D241" s="166">
        <v>3.3634437715555601</v>
      </c>
      <c r="E241" s="167"/>
      <c r="F241" s="168">
        <v>3.3000000000000002E-2</v>
      </c>
      <c r="G241" s="168">
        <v>3.1E-2</v>
      </c>
      <c r="H241" s="169"/>
      <c r="I241" s="170">
        <v>4</v>
      </c>
      <c r="J241" s="170">
        <v>4</v>
      </c>
      <c r="K241" s="167"/>
      <c r="L241" s="171">
        <v>6714.7305999999999</v>
      </c>
      <c r="M241" s="171">
        <v>-2272.4840199999999</v>
      </c>
      <c r="N241" s="171">
        <v>4442.24658</v>
      </c>
      <c r="O241" s="166">
        <v>1320.7435241129399</v>
      </c>
      <c r="P241" s="172">
        <v>217.09100000000001</v>
      </c>
      <c r="Q241" s="178">
        <v>6.0838244059539104</v>
      </c>
      <c r="R241" s="179">
        <v>3583.5626947505398</v>
      </c>
      <c r="S241" s="168">
        <v>0.01</v>
      </c>
      <c r="T241" s="168">
        <v>0.01</v>
      </c>
      <c r="U241" s="175">
        <v>0</v>
      </c>
      <c r="V241" s="176">
        <v>0</v>
      </c>
      <c r="W241" s="167"/>
      <c r="X241" s="175">
        <v>1797.674655</v>
      </c>
      <c r="Y241" s="166">
        <v>534.47441880932502</v>
      </c>
      <c r="Z241" s="177">
        <v>573</v>
      </c>
      <c r="AA241" s="188">
        <v>0.93276512881208595</v>
      </c>
      <c r="AB241" s="171">
        <v>-468.77520357517102</v>
      </c>
      <c r="AC241" s="168"/>
      <c r="AD241" s="168"/>
      <c r="AE241" s="176">
        <v>130</v>
      </c>
      <c r="AF241" s="176">
        <v>516</v>
      </c>
      <c r="AG241" s="167"/>
      <c r="AH241" s="180">
        <v>214.2</v>
      </c>
      <c r="AI241" s="166">
        <v>63.684727484216197</v>
      </c>
      <c r="AJ241" s="181" t="s">
        <v>53</v>
      </c>
      <c r="AK241" s="182">
        <v>1.0108686902256501</v>
      </c>
      <c r="AL241" s="183">
        <v>-34.990822147008302</v>
      </c>
      <c r="AM241" s="168">
        <v>3.0000000000000001E-3</v>
      </c>
      <c r="AN241" s="168">
        <v>1E-3</v>
      </c>
      <c r="AO241" s="176">
        <v>0</v>
      </c>
      <c r="AP241" s="176">
        <v>41</v>
      </c>
      <c r="AQ241" s="167"/>
      <c r="AR241" s="180">
        <v>21.5</v>
      </c>
      <c r="AS241" s="166">
        <v>6.3922578940739898</v>
      </c>
      <c r="AT241" s="181" t="s">
        <v>54</v>
      </c>
      <c r="AU241" s="173">
        <v>0.39951611837962397</v>
      </c>
      <c r="AV241" s="174">
        <v>-41.786558005589399</v>
      </c>
      <c r="AW241" s="168"/>
      <c r="AX241" s="168"/>
      <c r="AY241" s="176">
        <v>33</v>
      </c>
      <c r="AZ241" s="176">
        <v>44</v>
      </c>
      <c r="BA241" s="167"/>
      <c r="BB241" s="184">
        <v>141</v>
      </c>
      <c r="BC241" s="180">
        <v>41.921319212299203</v>
      </c>
      <c r="BD241" s="181" t="s">
        <v>55</v>
      </c>
      <c r="BE241" s="178">
        <v>1.3100412253843501</v>
      </c>
      <c r="BF241" s="179">
        <v>14.426883988821199</v>
      </c>
      <c r="BG241" s="168">
        <v>0.02</v>
      </c>
      <c r="BH241" s="168">
        <v>0.02</v>
      </c>
      <c r="BI241" s="176">
        <v>0</v>
      </c>
      <c r="BJ241" s="176">
        <v>0</v>
      </c>
      <c r="BK241" s="169"/>
      <c r="BL241" s="185">
        <v>0.8</v>
      </c>
      <c r="BM241" s="188">
        <v>0.8</v>
      </c>
      <c r="BN241" s="186">
        <v>0</v>
      </c>
      <c r="BO241" s="187">
        <v>0.95</v>
      </c>
      <c r="BP241" s="178">
        <v>1</v>
      </c>
      <c r="BQ241" s="186">
        <v>2.5000000000000001E-3</v>
      </c>
    </row>
    <row r="242" spans="1:69" s="156" customFormat="1" ht="22.35" customHeight="1" x14ac:dyDescent="0.2">
      <c r="A242" s="165" t="s">
        <v>275</v>
      </c>
      <c r="B242" s="165" t="s">
        <v>299</v>
      </c>
      <c r="C242" s="165" t="s">
        <v>310</v>
      </c>
      <c r="D242" s="166">
        <v>2.3177117403333298</v>
      </c>
      <c r="E242" s="167"/>
      <c r="F242" s="168">
        <v>4.2000000000000003E-2</v>
      </c>
      <c r="G242" s="168">
        <v>3.7999999999999999E-2</v>
      </c>
      <c r="H242" s="169"/>
      <c r="I242" s="170">
        <v>5</v>
      </c>
      <c r="J242" s="170">
        <v>4</v>
      </c>
      <c r="K242" s="167"/>
      <c r="L242" s="171">
        <v>200.47361000000001</v>
      </c>
      <c r="M242" s="171">
        <v>834.28456000000006</v>
      </c>
      <c r="N242" s="171">
        <v>1034.7581700000001</v>
      </c>
      <c r="O242" s="166">
        <v>446.45680133249903</v>
      </c>
      <c r="P242" s="172">
        <v>215.88200000000001</v>
      </c>
      <c r="Q242" s="178">
        <v>2.0680594089942601</v>
      </c>
      <c r="R242" s="179">
        <v>446.34392879027098</v>
      </c>
      <c r="S242" s="168">
        <v>0.01</v>
      </c>
      <c r="T242" s="168">
        <v>0.01</v>
      </c>
      <c r="U242" s="175">
        <v>0</v>
      </c>
      <c r="V242" s="176">
        <v>0</v>
      </c>
      <c r="W242" s="167"/>
      <c r="X242" s="175">
        <v>1314.251565</v>
      </c>
      <c r="Y242" s="166">
        <v>567.04703269569904</v>
      </c>
      <c r="Z242" s="177">
        <v>573</v>
      </c>
      <c r="AA242" s="182">
        <v>0.98961087730488395</v>
      </c>
      <c r="AB242" s="183">
        <v>-247.53385580013401</v>
      </c>
      <c r="AC242" s="168">
        <v>1E-3</v>
      </c>
      <c r="AD242" s="168"/>
      <c r="AE242" s="176">
        <v>14</v>
      </c>
      <c r="AF242" s="176">
        <v>280</v>
      </c>
      <c r="AG242" s="167"/>
      <c r="AH242" s="180">
        <v>158.30000000000001</v>
      </c>
      <c r="AI242" s="166">
        <v>68.300124318839295</v>
      </c>
      <c r="AJ242" s="181" t="s">
        <v>53</v>
      </c>
      <c r="AK242" s="182">
        <v>1.08412895744189</v>
      </c>
      <c r="AL242" s="183">
        <v>-13.414627417815799</v>
      </c>
      <c r="AM242" s="168">
        <v>1.0999999999999999E-2</v>
      </c>
      <c r="AN242" s="168">
        <v>8.0000000000000002E-3</v>
      </c>
      <c r="AO242" s="176">
        <v>0</v>
      </c>
      <c r="AP242" s="176">
        <v>17</v>
      </c>
      <c r="AQ242" s="167"/>
      <c r="AR242" s="180">
        <v>27.8</v>
      </c>
      <c r="AS242" s="166">
        <v>11.9945891096888</v>
      </c>
      <c r="AT242" s="181" t="s">
        <v>54</v>
      </c>
      <c r="AU242" s="173">
        <v>0.74966181935554699</v>
      </c>
      <c r="AV242" s="174">
        <v>-15.8100641061119</v>
      </c>
      <c r="AW242" s="168"/>
      <c r="AX242" s="168"/>
      <c r="AY242" s="176">
        <v>10</v>
      </c>
      <c r="AZ242" s="176">
        <v>17</v>
      </c>
      <c r="BA242" s="167"/>
      <c r="BB242" s="184">
        <v>111.2</v>
      </c>
      <c r="BC242" s="180">
        <v>47.9783564387551</v>
      </c>
      <c r="BD242" s="181" t="s">
        <v>55</v>
      </c>
      <c r="BE242" s="178">
        <v>1.4993236387111</v>
      </c>
      <c r="BF242" s="179">
        <v>23.979871787776101</v>
      </c>
      <c r="BG242" s="168">
        <v>0.02</v>
      </c>
      <c r="BH242" s="168">
        <v>0.02</v>
      </c>
      <c r="BI242" s="176">
        <v>0</v>
      </c>
      <c r="BJ242" s="176">
        <v>0</v>
      </c>
      <c r="BK242" s="169"/>
      <c r="BL242" s="185">
        <v>0.8</v>
      </c>
      <c r="BM242" s="188">
        <v>0.79</v>
      </c>
      <c r="BN242" s="186"/>
      <c r="BO242" s="187">
        <v>0.95</v>
      </c>
      <c r="BP242" s="178">
        <v>1</v>
      </c>
      <c r="BQ242" s="186">
        <v>2.5000000000000001E-3</v>
      </c>
    </row>
    <row r="243" spans="1:69" s="156" customFormat="1" ht="22.35" customHeight="1" x14ac:dyDescent="0.2">
      <c r="A243" s="165" t="s">
        <v>275</v>
      </c>
      <c r="B243" s="165" t="s">
        <v>299</v>
      </c>
      <c r="C243" s="165" t="s">
        <v>311</v>
      </c>
      <c r="D243" s="166">
        <v>2.7902735091111102</v>
      </c>
      <c r="E243" s="167"/>
      <c r="F243" s="168">
        <v>4.5999999999999999E-2</v>
      </c>
      <c r="G243" s="168">
        <v>4.2999999999999997E-2</v>
      </c>
      <c r="H243" s="169"/>
      <c r="I243" s="170">
        <v>5</v>
      </c>
      <c r="J243" s="170">
        <v>5</v>
      </c>
      <c r="K243" s="167"/>
      <c r="L243" s="171">
        <v>1101.8741500000001</v>
      </c>
      <c r="M243" s="171">
        <v>1562.48822</v>
      </c>
      <c r="N243" s="171">
        <v>2664.3623699999998</v>
      </c>
      <c r="O243" s="166">
        <v>954.87498315130301</v>
      </c>
      <c r="P243" s="172">
        <v>245.339</v>
      </c>
      <c r="Q243" s="178">
        <v>3.8920635657245799</v>
      </c>
      <c r="R243" s="179">
        <v>1859.3163849566699</v>
      </c>
      <c r="S243" s="168">
        <v>0.01</v>
      </c>
      <c r="T243" s="168">
        <v>0.01</v>
      </c>
      <c r="U243" s="175">
        <v>0</v>
      </c>
      <c r="V243" s="176">
        <v>0</v>
      </c>
      <c r="W243" s="167"/>
      <c r="X243" s="175">
        <v>2051.7895400000002</v>
      </c>
      <c r="Y243" s="166">
        <v>735.33635082735395</v>
      </c>
      <c r="Z243" s="177">
        <v>573</v>
      </c>
      <c r="AA243" s="178">
        <v>1.2833095127876999</v>
      </c>
      <c r="AB243" s="179">
        <v>171.569316432497</v>
      </c>
      <c r="AC243" s="168">
        <v>0.02</v>
      </c>
      <c r="AD243" s="168">
        <v>0.02</v>
      </c>
      <c r="AE243" s="176">
        <v>0</v>
      </c>
      <c r="AF243" s="176">
        <v>0</v>
      </c>
      <c r="AG243" s="167"/>
      <c r="AH243" s="180">
        <v>120.05</v>
      </c>
      <c r="AI243" s="166">
        <v>43.024456064253002</v>
      </c>
      <c r="AJ243" s="181" t="s">
        <v>53</v>
      </c>
      <c r="AK243" s="173">
        <v>0.68292787403576205</v>
      </c>
      <c r="AL243" s="174">
        <v>-86.675783743023899</v>
      </c>
      <c r="AM243" s="168"/>
      <c r="AN243" s="168"/>
      <c r="AO243" s="176">
        <v>56</v>
      </c>
      <c r="AP243" s="176">
        <v>91</v>
      </c>
      <c r="AQ243" s="167"/>
      <c r="AR243" s="180">
        <v>12.8</v>
      </c>
      <c r="AS243" s="166">
        <v>4.5873639118903604</v>
      </c>
      <c r="AT243" s="181" t="s">
        <v>54</v>
      </c>
      <c r="AU243" s="173">
        <v>0.28671024449314703</v>
      </c>
      <c r="AV243" s="174">
        <v>-39.701786347434599</v>
      </c>
      <c r="AW243" s="168"/>
      <c r="AX243" s="168"/>
      <c r="AY243" s="176">
        <v>32</v>
      </c>
      <c r="AZ243" s="176">
        <v>41</v>
      </c>
      <c r="BA243" s="167"/>
      <c r="BB243" s="184">
        <v>101.2</v>
      </c>
      <c r="BC243" s="180">
        <v>36.2688459283832</v>
      </c>
      <c r="BD243" s="181" t="s">
        <v>55</v>
      </c>
      <c r="BE243" s="182">
        <v>1.1334014352619699</v>
      </c>
      <c r="BF243" s="183">
        <v>-3.8035726948692901</v>
      </c>
      <c r="BG243" s="168">
        <v>1.6E-2</v>
      </c>
      <c r="BH243" s="168">
        <v>1.2999999999999999E-2</v>
      </c>
      <c r="BI243" s="176">
        <v>0</v>
      </c>
      <c r="BJ243" s="176">
        <v>6</v>
      </c>
      <c r="BK243" s="169"/>
      <c r="BL243" s="185">
        <v>0.8</v>
      </c>
      <c r="BM243" s="182">
        <v>0.88</v>
      </c>
      <c r="BN243" s="186">
        <v>3.0000000000000001E-3</v>
      </c>
      <c r="BO243" s="187">
        <v>0.95</v>
      </c>
      <c r="BP243" s="178">
        <v>1</v>
      </c>
      <c r="BQ243" s="186">
        <v>2.5000000000000001E-3</v>
      </c>
    </row>
    <row r="244" spans="1:69" s="156" customFormat="1" ht="22.35" customHeight="1" x14ac:dyDescent="0.2">
      <c r="A244" s="165" t="s">
        <v>275</v>
      </c>
      <c r="B244" s="165" t="s">
        <v>299</v>
      </c>
      <c r="C244" s="165" t="s">
        <v>312</v>
      </c>
      <c r="D244" s="166">
        <v>3.578419974</v>
      </c>
      <c r="E244" s="167"/>
      <c r="F244" s="168">
        <v>2.3E-2</v>
      </c>
      <c r="G244" s="168">
        <v>1.9E-2</v>
      </c>
      <c r="H244" s="169"/>
      <c r="I244" s="170">
        <v>5</v>
      </c>
      <c r="J244" s="170">
        <v>5</v>
      </c>
      <c r="K244" s="167"/>
      <c r="L244" s="171">
        <v>1773.9681</v>
      </c>
      <c r="M244" s="171">
        <v>1675.6718599999999</v>
      </c>
      <c r="N244" s="171">
        <v>3449.63996</v>
      </c>
      <c r="O244" s="166">
        <v>964.01204583707704</v>
      </c>
      <c r="P244" s="172">
        <v>213.536</v>
      </c>
      <c r="Q244" s="178">
        <v>4.5145176730718797</v>
      </c>
      <c r="R244" s="179">
        <v>2551.0330906199601</v>
      </c>
      <c r="S244" s="168">
        <v>0.01</v>
      </c>
      <c r="T244" s="168">
        <v>0.01</v>
      </c>
      <c r="U244" s="175">
        <v>0</v>
      </c>
      <c r="V244" s="176">
        <v>0</v>
      </c>
      <c r="W244" s="167"/>
      <c r="X244" s="175">
        <v>2133.9818300000002</v>
      </c>
      <c r="Y244" s="166">
        <v>596.34750686197697</v>
      </c>
      <c r="Z244" s="177">
        <v>573</v>
      </c>
      <c r="AA244" s="182">
        <v>1.0407460852739601</v>
      </c>
      <c r="AB244" s="183">
        <v>-277.32931263995198</v>
      </c>
      <c r="AC244" s="168">
        <v>6.0000000000000001E-3</v>
      </c>
      <c r="AD244" s="168">
        <v>4.0000000000000001E-3</v>
      </c>
      <c r="AE244" s="176">
        <v>0</v>
      </c>
      <c r="AF244" s="176">
        <v>327</v>
      </c>
      <c r="AG244" s="167"/>
      <c r="AH244" s="180">
        <v>176.55</v>
      </c>
      <c r="AI244" s="166">
        <v>49.337417430813801</v>
      </c>
      <c r="AJ244" s="181" t="s">
        <v>53</v>
      </c>
      <c r="AK244" s="188">
        <v>0.78313361001291804</v>
      </c>
      <c r="AL244" s="171">
        <v>-88.567979033712007</v>
      </c>
      <c r="AM244" s="168"/>
      <c r="AN244" s="168"/>
      <c r="AO244" s="176">
        <v>49</v>
      </c>
      <c r="AP244" s="176">
        <v>94</v>
      </c>
      <c r="AQ244" s="167"/>
      <c r="AR244" s="180">
        <v>42.8</v>
      </c>
      <c r="AS244" s="166">
        <v>11.960586043833599</v>
      </c>
      <c r="AT244" s="181" t="s">
        <v>54</v>
      </c>
      <c r="AU244" s="173">
        <v>0.74753662773960305</v>
      </c>
      <c r="AV244" s="174">
        <v>-24.531550230783999</v>
      </c>
      <c r="AW244" s="168"/>
      <c r="AX244" s="168"/>
      <c r="AY244" s="176">
        <v>15</v>
      </c>
      <c r="AZ244" s="176">
        <v>26</v>
      </c>
      <c r="BA244" s="167"/>
      <c r="BB244" s="184">
        <v>119.8</v>
      </c>
      <c r="BC244" s="180">
        <v>33.478462804936299</v>
      </c>
      <c r="BD244" s="181" t="s">
        <v>55</v>
      </c>
      <c r="BE244" s="182">
        <v>1.04620196265426</v>
      </c>
      <c r="BF244" s="183">
        <v>-14.863100461567999</v>
      </c>
      <c r="BG244" s="168">
        <v>7.0000000000000001E-3</v>
      </c>
      <c r="BH244" s="168">
        <v>5.0000000000000001E-3</v>
      </c>
      <c r="BI244" s="176">
        <v>0</v>
      </c>
      <c r="BJ244" s="176">
        <v>18</v>
      </c>
      <c r="BK244" s="169"/>
      <c r="BL244" s="185">
        <v>0.8</v>
      </c>
      <c r="BM244" s="182">
        <v>0.81</v>
      </c>
      <c r="BN244" s="186">
        <v>3.7500000000000001E-4</v>
      </c>
      <c r="BO244" s="187">
        <v>0.95</v>
      </c>
      <c r="BP244" s="178">
        <v>1</v>
      </c>
      <c r="BQ244" s="186">
        <v>2.5000000000000001E-3</v>
      </c>
    </row>
    <row r="245" spans="1:69" s="156" customFormat="1" ht="22.35" customHeight="1" x14ac:dyDescent="0.2">
      <c r="A245" s="165" t="s">
        <v>275</v>
      </c>
      <c r="B245" s="165" t="s">
        <v>299</v>
      </c>
      <c r="C245" s="165" t="s">
        <v>313</v>
      </c>
      <c r="D245" s="166">
        <v>3.0802030008888899</v>
      </c>
      <c r="E245" s="167"/>
      <c r="F245" s="168"/>
      <c r="G245" s="168"/>
      <c r="H245" s="169"/>
      <c r="I245" s="170">
        <v>2</v>
      </c>
      <c r="J245" s="170">
        <v>2</v>
      </c>
      <c r="K245" s="167"/>
      <c r="L245" s="171">
        <v>1055.4539299999999</v>
      </c>
      <c r="M245" s="171">
        <v>-605.01516000000004</v>
      </c>
      <c r="N245" s="171">
        <v>450.43876999999998</v>
      </c>
      <c r="O245" s="166">
        <v>146.236715524922</v>
      </c>
      <c r="P245" s="172">
        <v>252.38499999999999</v>
      </c>
      <c r="Q245" s="173">
        <v>0.57941920290398397</v>
      </c>
      <c r="R245" s="174">
        <v>-463.78014243010699</v>
      </c>
      <c r="S245" s="168"/>
      <c r="T245" s="168"/>
      <c r="U245" s="175">
        <v>327</v>
      </c>
      <c r="V245" s="176">
        <v>483</v>
      </c>
      <c r="W245" s="167"/>
      <c r="X245" s="175">
        <v>1118.6918700000001</v>
      </c>
      <c r="Y245" s="166">
        <v>363.187708627375</v>
      </c>
      <c r="Z245" s="177">
        <v>573</v>
      </c>
      <c r="AA245" s="173">
        <v>0.63383544263067204</v>
      </c>
      <c r="AB245" s="174">
        <v>-956.89676174297699</v>
      </c>
      <c r="AC245" s="168"/>
      <c r="AD245" s="168"/>
      <c r="AE245" s="176">
        <v>647</v>
      </c>
      <c r="AF245" s="176">
        <v>1000</v>
      </c>
      <c r="AG245" s="167"/>
      <c r="AH245" s="180">
        <v>84.1</v>
      </c>
      <c r="AI245" s="166">
        <v>27.303395255354999</v>
      </c>
      <c r="AJ245" s="181" t="s">
        <v>53</v>
      </c>
      <c r="AK245" s="173">
        <v>0.43338722627547599</v>
      </c>
      <c r="AL245" s="174">
        <v>-144.10607992985601</v>
      </c>
      <c r="AM245" s="168"/>
      <c r="AN245" s="168"/>
      <c r="AO245" s="176">
        <v>110</v>
      </c>
      <c r="AP245" s="176">
        <v>149</v>
      </c>
      <c r="AQ245" s="167"/>
      <c r="AR245" s="180">
        <v>15.3</v>
      </c>
      <c r="AS245" s="166">
        <v>4.9672050821276104</v>
      </c>
      <c r="AT245" s="181" t="s">
        <v>54</v>
      </c>
      <c r="AU245" s="173">
        <v>0.31045031763297598</v>
      </c>
      <c r="AV245" s="174">
        <v>-42.657099664725301</v>
      </c>
      <c r="AW245" s="168"/>
      <c r="AX245" s="168"/>
      <c r="AY245" s="176">
        <v>34</v>
      </c>
      <c r="AZ245" s="176">
        <v>44</v>
      </c>
      <c r="BA245" s="167"/>
      <c r="BB245" s="184">
        <v>95.4</v>
      </c>
      <c r="BC245" s="180">
        <v>30.971984629736799</v>
      </c>
      <c r="BD245" s="181" t="s">
        <v>55</v>
      </c>
      <c r="BE245" s="188">
        <v>0.96787451967927696</v>
      </c>
      <c r="BF245" s="171">
        <v>-20.514199329450701</v>
      </c>
      <c r="BG245" s="168"/>
      <c r="BH245" s="168"/>
      <c r="BI245" s="176">
        <v>4</v>
      </c>
      <c r="BJ245" s="176">
        <v>23</v>
      </c>
      <c r="BK245" s="169"/>
      <c r="BL245" s="185">
        <v>0.8</v>
      </c>
      <c r="BM245" s="182">
        <v>0.81</v>
      </c>
      <c r="BN245" s="186">
        <v>3.7500000000000001E-4</v>
      </c>
      <c r="BO245" s="187">
        <v>0.95</v>
      </c>
      <c r="BP245" s="178">
        <v>1</v>
      </c>
      <c r="BQ245" s="186">
        <v>2.5000000000000001E-3</v>
      </c>
    </row>
    <row r="246" spans="1:69" s="156" customFormat="1" ht="22.35" customHeight="1" x14ac:dyDescent="0.2">
      <c r="A246" s="165" t="s">
        <v>275</v>
      </c>
      <c r="B246" s="165" t="s">
        <v>299</v>
      </c>
      <c r="C246" s="165" t="s">
        <v>314</v>
      </c>
      <c r="D246" s="166">
        <v>6.0121721623333304</v>
      </c>
      <c r="E246" s="167"/>
      <c r="F246" s="168">
        <v>3.9E-2</v>
      </c>
      <c r="G246" s="168">
        <v>3.5000000000000003E-2</v>
      </c>
      <c r="H246" s="169"/>
      <c r="I246" s="170">
        <v>5</v>
      </c>
      <c r="J246" s="170">
        <v>5</v>
      </c>
      <c r="K246" s="167"/>
      <c r="L246" s="171">
        <v>5328.52934</v>
      </c>
      <c r="M246" s="171">
        <v>472.67518000000001</v>
      </c>
      <c r="N246" s="171">
        <v>5801.2045200000002</v>
      </c>
      <c r="O246" s="166">
        <v>964.90991331634496</v>
      </c>
      <c r="P246" s="172">
        <v>220.02799999999999</v>
      </c>
      <c r="Q246" s="178">
        <v>4.3853960101275504</v>
      </c>
      <c r="R246" s="179">
        <v>4245.5373693561596</v>
      </c>
      <c r="S246" s="168">
        <v>0.01</v>
      </c>
      <c r="T246" s="168">
        <v>0.01</v>
      </c>
      <c r="U246" s="175">
        <v>0</v>
      </c>
      <c r="V246" s="176">
        <v>0</v>
      </c>
      <c r="W246" s="167"/>
      <c r="X246" s="175">
        <v>3667.6442950000001</v>
      </c>
      <c r="Y246" s="166">
        <v>610.03647200558203</v>
      </c>
      <c r="Z246" s="177">
        <v>573</v>
      </c>
      <c r="AA246" s="182">
        <v>1.0646360767985701</v>
      </c>
      <c r="AB246" s="183">
        <v>-383.64589224398901</v>
      </c>
      <c r="AC246" s="168">
        <v>8.9999999999999993E-3</v>
      </c>
      <c r="AD246" s="168">
        <v>6.0000000000000001E-3</v>
      </c>
      <c r="AE246" s="176">
        <v>0</v>
      </c>
      <c r="AF246" s="176">
        <v>467</v>
      </c>
      <c r="AG246" s="167"/>
      <c r="AH246" s="180">
        <v>340.25</v>
      </c>
      <c r="AI246" s="166">
        <v>56.593522409702302</v>
      </c>
      <c r="AJ246" s="181" t="s">
        <v>53</v>
      </c>
      <c r="AK246" s="188">
        <v>0.89830987951908403</v>
      </c>
      <c r="AL246" s="171">
        <v>-105.17981116295201</v>
      </c>
      <c r="AM246" s="168"/>
      <c r="AN246" s="168"/>
      <c r="AO246" s="176">
        <v>39</v>
      </c>
      <c r="AP246" s="176">
        <v>115</v>
      </c>
      <c r="AQ246" s="167"/>
      <c r="AR246" s="180">
        <v>33.799999999999997</v>
      </c>
      <c r="AS246" s="166">
        <v>5.6219281629623499</v>
      </c>
      <c r="AT246" s="181" t="s">
        <v>54</v>
      </c>
      <c r="AU246" s="173">
        <v>0.35137051018514698</v>
      </c>
      <c r="AV246" s="174">
        <v>-79.325031406463907</v>
      </c>
      <c r="AW246" s="168"/>
      <c r="AX246" s="168"/>
      <c r="AY246" s="176">
        <v>63</v>
      </c>
      <c r="AZ246" s="176">
        <v>82</v>
      </c>
      <c r="BA246" s="167"/>
      <c r="BB246" s="184">
        <v>228.2</v>
      </c>
      <c r="BC246" s="180">
        <v>37.9563315617754</v>
      </c>
      <c r="BD246" s="181" t="s">
        <v>55</v>
      </c>
      <c r="BE246" s="178">
        <v>1.1861353613054799</v>
      </c>
      <c r="BF246" s="179">
        <v>1.94993718707218</v>
      </c>
      <c r="BG246" s="168">
        <v>0.02</v>
      </c>
      <c r="BH246" s="168">
        <v>1.9E-2</v>
      </c>
      <c r="BI246" s="176">
        <v>0</v>
      </c>
      <c r="BJ246" s="176">
        <v>3</v>
      </c>
      <c r="BK246" s="169"/>
      <c r="BL246" s="185">
        <v>0.8</v>
      </c>
      <c r="BM246" s="182">
        <v>0.81</v>
      </c>
      <c r="BN246" s="186">
        <v>3.7500000000000001E-4</v>
      </c>
      <c r="BO246" s="187">
        <v>0.95</v>
      </c>
      <c r="BP246" s="178">
        <v>1</v>
      </c>
      <c r="BQ246" s="186">
        <v>2.5000000000000001E-3</v>
      </c>
    </row>
    <row r="247" spans="1:69" s="156" customFormat="1" ht="22.35" customHeight="1" x14ac:dyDescent="0.2">
      <c r="A247" s="165" t="s">
        <v>275</v>
      </c>
      <c r="B247" s="165" t="s">
        <v>299</v>
      </c>
      <c r="C247" s="165" t="s">
        <v>315</v>
      </c>
      <c r="D247" s="166">
        <v>8.5561773496666707</v>
      </c>
      <c r="E247" s="167"/>
      <c r="F247" s="168">
        <v>0.01</v>
      </c>
      <c r="G247" s="168">
        <v>0.01</v>
      </c>
      <c r="H247" s="169"/>
      <c r="I247" s="170">
        <v>2</v>
      </c>
      <c r="J247" s="170">
        <v>2</v>
      </c>
      <c r="K247" s="167"/>
      <c r="L247" s="171">
        <v>3658.4410800000001</v>
      </c>
      <c r="M247" s="171">
        <v>3306.5454300000001</v>
      </c>
      <c r="N247" s="171">
        <v>6964.9865099999997</v>
      </c>
      <c r="O247" s="166">
        <v>814.03017087664102</v>
      </c>
      <c r="P247" s="172">
        <v>215.38300000000001</v>
      </c>
      <c r="Q247" s="178">
        <v>3.7794541392618801</v>
      </c>
      <c r="R247" s="179">
        <v>4797.78885818257</v>
      </c>
      <c r="S247" s="168">
        <v>0.01</v>
      </c>
      <c r="T247" s="168">
        <v>0.01</v>
      </c>
      <c r="U247" s="175">
        <v>0</v>
      </c>
      <c r="V247" s="176">
        <v>0</v>
      </c>
      <c r="W247" s="167"/>
      <c r="X247" s="175">
        <v>4798.9388049999998</v>
      </c>
      <c r="Y247" s="166">
        <v>560.87416247711997</v>
      </c>
      <c r="Z247" s="177">
        <v>573</v>
      </c>
      <c r="AA247" s="188">
        <v>0.978837979890262</v>
      </c>
      <c r="AB247" s="171">
        <v>-966.62418971818602</v>
      </c>
      <c r="AC247" s="168">
        <v>0</v>
      </c>
      <c r="AD247" s="168"/>
      <c r="AE247" s="176">
        <v>104</v>
      </c>
      <c r="AF247" s="176">
        <v>1085</v>
      </c>
      <c r="AG247" s="167"/>
      <c r="AH247" s="180">
        <v>287.89999999999998</v>
      </c>
      <c r="AI247" s="166">
        <v>33.648203892269201</v>
      </c>
      <c r="AJ247" s="181" t="s">
        <v>53</v>
      </c>
      <c r="AK247" s="173">
        <v>0.53409847448046399</v>
      </c>
      <c r="AL247" s="174">
        <v>-346.01006748210398</v>
      </c>
      <c r="AM247" s="168"/>
      <c r="AN247" s="168"/>
      <c r="AO247" s="176">
        <v>252</v>
      </c>
      <c r="AP247" s="176">
        <v>359</v>
      </c>
      <c r="AQ247" s="167"/>
      <c r="AR247" s="180">
        <v>73.5</v>
      </c>
      <c r="AS247" s="166">
        <v>8.5902847727745399</v>
      </c>
      <c r="AT247" s="181" t="s">
        <v>54</v>
      </c>
      <c r="AU247" s="173">
        <v>0.53689279829840897</v>
      </c>
      <c r="AV247" s="174">
        <v>-87.493033011328095</v>
      </c>
      <c r="AW247" s="168"/>
      <c r="AX247" s="168"/>
      <c r="AY247" s="176">
        <v>64</v>
      </c>
      <c r="AZ247" s="176">
        <v>91</v>
      </c>
      <c r="BA247" s="167"/>
      <c r="BB247" s="184">
        <v>259.60000000000002</v>
      </c>
      <c r="BC247" s="180">
        <v>30.340652068194199</v>
      </c>
      <c r="BD247" s="181" t="s">
        <v>55</v>
      </c>
      <c r="BE247" s="188">
        <v>0.94814537713106695</v>
      </c>
      <c r="BF247" s="171">
        <v>-62.386066022656102</v>
      </c>
      <c r="BG247" s="168"/>
      <c r="BH247" s="168"/>
      <c r="BI247" s="176">
        <v>15</v>
      </c>
      <c r="BJ247" s="176">
        <v>69</v>
      </c>
      <c r="BK247" s="169"/>
      <c r="BL247" s="185">
        <v>0.8</v>
      </c>
      <c r="BM247" s="188">
        <v>0.79</v>
      </c>
      <c r="BN247" s="186"/>
      <c r="BO247" s="187">
        <v>0.95</v>
      </c>
      <c r="BP247" s="178">
        <v>1</v>
      </c>
      <c r="BQ247" s="186">
        <v>2.5000000000000001E-3</v>
      </c>
    </row>
    <row r="248" spans="1:69" s="156" customFormat="1" ht="22.35" customHeight="1" x14ac:dyDescent="0.2">
      <c r="A248" s="165" t="s">
        <v>275</v>
      </c>
      <c r="B248" s="165" t="s">
        <v>299</v>
      </c>
      <c r="C248" s="165" t="s">
        <v>316</v>
      </c>
      <c r="D248" s="166">
        <v>7.66372503566667</v>
      </c>
      <c r="E248" s="167"/>
      <c r="F248" s="168">
        <v>0.01</v>
      </c>
      <c r="G248" s="168">
        <v>0.01</v>
      </c>
      <c r="H248" s="169"/>
      <c r="I248" s="170">
        <v>2</v>
      </c>
      <c r="J248" s="170">
        <v>2</v>
      </c>
      <c r="K248" s="167"/>
      <c r="L248" s="171">
        <v>4709.9885000000004</v>
      </c>
      <c r="M248" s="171">
        <v>1759.88977</v>
      </c>
      <c r="N248" s="171">
        <v>6469.8782700000002</v>
      </c>
      <c r="O248" s="166">
        <v>844.22108568476096</v>
      </c>
      <c r="P248" s="172">
        <v>245.339</v>
      </c>
      <c r="Q248" s="178">
        <v>3.4410390752581601</v>
      </c>
      <c r="R248" s="179">
        <v>4258.7505614460997</v>
      </c>
      <c r="S248" s="168">
        <v>0.01</v>
      </c>
      <c r="T248" s="168">
        <v>0.01</v>
      </c>
      <c r="U248" s="175">
        <v>0</v>
      </c>
      <c r="V248" s="176">
        <v>0</v>
      </c>
      <c r="W248" s="167"/>
      <c r="X248" s="175">
        <v>3499.0842699999998</v>
      </c>
      <c r="Y248" s="166">
        <v>456.57748075712601</v>
      </c>
      <c r="Z248" s="177">
        <v>573</v>
      </c>
      <c r="AA248" s="188">
        <v>0.796819338145071</v>
      </c>
      <c r="AB248" s="171">
        <v>-1665.1015178339101</v>
      </c>
      <c r="AC248" s="168"/>
      <c r="AD248" s="168"/>
      <c r="AE248" s="176">
        <v>893</v>
      </c>
      <c r="AF248" s="176">
        <v>1771</v>
      </c>
      <c r="AG248" s="167"/>
      <c r="AH248" s="180">
        <v>322.3</v>
      </c>
      <c r="AI248" s="166">
        <v>42.055266662103399</v>
      </c>
      <c r="AJ248" s="181" t="s">
        <v>53</v>
      </c>
      <c r="AK248" s="173">
        <v>0.66754391527148305</v>
      </c>
      <c r="AL248" s="174">
        <v>-245.49006044247199</v>
      </c>
      <c r="AM248" s="168"/>
      <c r="AN248" s="168"/>
      <c r="AO248" s="176">
        <v>161</v>
      </c>
      <c r="AP248" s="176">
        <v>258</v>
      </c>
      <c r="AQ248" s="167"/>
      <c r="AR248" s="180">
        <v>37.4</v>
      </c>
      <c r="AS248" s="166">
        <v>4.8801333328038101</v>
      </c>
      <c r="AT248" s="181" t="s">
        <v>54</v>
      </c>
      <c r="AU248" s="173">
        <v>0.30500833330023802</v>
      </c>
      <c r="AV248" s="174">
        <v>-106.800650271104</v>
      </c>
      <c r="AW248" s="168"/>
      <c r="AX248" s="168"/>
      <c r="AY248" s="176">
        <v>86</v>
      </c>
      <c r="AZ248" s="176">
        <v>110</v>
      </c>
      <c r="BA248" s="167"/>
      <c r="BB248" s="184">
        <v>190.2</v>
      </c>
      <c r="BC248" s="180">
        <v>24.818218179125299</v>
      </c>
      <c r="BD248" s="181" t="s">
        <v>55</v>
      </c>
      <c r="BE248" s="173">
        <v>0.77556931809766505</v>
      </c>
      <c r="BF248" s="174">
        <v>-98.201300542208003</v>
      </c>
      <c r="BG248" s="168"/>
      <c r="BH248" s="168"/>
      <c r="BI248" s="176">
        <v>56</v>
      </c>
      <c r="BJ248" s="176">
        <v>105</v>
      </c>
      <c r="BK248" s="169"/>
      <c r="BL248" s="185">
        <v>0.8</v>
      </c>
      <c r="BM248" s="188">
        <v>0.77</v>
      </c>
      <c r="BN248" s="186"/>
      <c r="BO248" s="187">
        <v>0.95</v>
      </c>
      <c r="BP248" s="178">
        <v>1</v>
      </c>
      <c r="BQ248" s="186">
        <v>2.5000000000000001E-3</v>
      </c>
    </row>
    <row r="249" spans="1:69" s="156" customFormat="1" ht="22.35" customHeight="1" x14ac:dyDescent="0.2">
      <c r="A249" s="165" t="s">
        <v>275</v>
      </c>
      <c r="B249" s="165" t="s">
        <v>299</v>
      </c>
      <c r="C249" s="165" t="s">
        <v>317</v>
      </c>
      <c r="D249" s="166">
        <v>4.1744710626666697</v>
      </c>
      <c r="E249" s="167"/>
      <c r="F249" s="168">
        <v>1.0999999999999999E-2</v>
      </c>
      <c r="G249" s="168">
        <v>0.01</v>
      </c>
      <c r="H249" s="169"/>
      <c r="I249" s="170">
        <v>4</v>
      </c>
      <c r="J249" s="170">
        <v>3</v>
      </c>
      <c r="K249" s="167"/>
      <c r="L249" s="171">
        <v>1576.8494000000001</v>
      </c>
      <c r="M249" s="171">
        <v>1100.4701399999999</v>
      </c>
      <c r="N249" s="171">
        <v>2677.31954</v>
      </c>
      <c r="O249" s="166">
        <v>641.35539564375802</v>
      </c>
      <c r="P249" s="172">
        <v>233.489</v>
      </c>
      <c r="Q249" s="178">
        <v>2.74683345101379</v>
      </c>
      <c r="R249" s="179">
        <v>1531.0804850336499</v>
      </c>
      <c r="S249" s="168">
        <v>0.01</v>
      </c>
      <c r="T249" s="168">
        <v>0.01</v>
      </c>
      <c r="U249" s="175">
        <v>0</v>
      </c>
      <c r="V249" s="176">
        <v>0</v>
      </c>
      <c r="W249" s="167"/>
      <c r="X249" s="175">
        <v>2316.8428450000001</v>
      </c>
      <c r="Y249" s="166">
        <v>555.00273213536002</v>
      </c>
      <c r="Z249" s="177">
        <v>573</v>
      </c>
      <c r="AA249" s="188">
        <v>0.96859115555909203</v>
      </c>
      <c r="AB249" s="171">
        <v>-496.11613163581001</v>
      </c>
      <c r="AC249" s="168"/>
      <c r="AD249" s="168"/>
      <c r="AE249" s="176">
        <v>76</v>
      </c>
      <c r="AF249" s="176">
        <v>554</v>
      </c>
      <c r="AG249" s="167"/>
      <c r="AH249" s="180">
        <v>154.19999999999999</v>
      </c>
      <c r="AI249" s="166">
        <v>36.9388115728119</v>
      </c>
      <c r="AJ249" s="181" t="s">
        <v>53</v>
      </c>
      <c r="AK249" s="173">
        <v>0.58633034242558602</v>
      </c>
      <c r="AL249" s="174">
        <v>-155.07821209084801</v>
      </c>
      <c r="AM249" s="168"/>
      <c r="AN249" s="168"/>
      <c r="AO249" s="176">
        <v>109</v>
      </c>
      <c r="AP249" s="176">
        <v>162</v>
      </c>
      <c r="AQ249" s="167"/>
      <c r="AR249" s="180">
        <v>30.6</v>
      </c>
      <c r="AS249" s="166">
        <v>7.3302700008303798</v>
      </c>
      <c r="AT249" s="181" t="s">
        <v>54</v>
      </c>
      <c r="AU249" s="173">
        <v>0.45814187505189902</v>
      </c>
      <c r="AV249" s="174">
        <v>-47.946847515136</v>
      </c>
      <c r="AW249" s="168"/>
      <c r="AX249" s="168"/>
      <c r="AY249" s="176">
        <v>37</v>
      </c>
      <c r="AZ249" s="176">
        <v>50</v>
      </c>
      <c r="BA249" s="167"/>
      <c r="BB249" s="184">
        <v>132.4</v>
      </c>
      <c r="BC249" s="180">
        <v>31.716593075488301</v>
      </c>
      <c r="BD249" s="181" t="s">
        <v>55</v>
      </c>
      <c r="BE249" s="182">
        <v>0.99114353360900997</v>
      </c>
      <c r="BF249" s="183">
        <v>-24.693695030272099</v>
      </c>
      <c r="BG249" s="168">
        <v>1E-3</v>
      </c>
      <c r="BH249" s="168"/>
      <c r="BI249" s="176">
        <v>2</v>
      </c>
      <c r="BJ249" s="176">
        <v>28</v>
      </c>
      <c r="BK249" s="169"/>
      <c r="BL249" s="185">
        <v>0.8</v>
      </c>
      <c r="BM249" s="182">
        <v>0.82</v>
      </c>
      <c r="BN249" s="186">
        <v>7.5000000000000002E-4</v>
      </c>
      <c r="BO249" s="187">
        <v>0.95</v>
      </c>
      <c r="BP249" s="178">
        <v>1</v>
      </c>
      <c r="BQ249" s="186">
        <v>2.5000000000000001E-3</v>
      </c>
    </row>
    <row r="250" spans="1:69" s="156" customFormat="1" ht="22.35" customHeight="1" x14ac:dyDescent="0.2">
      <c r="A250" s="165" t="s">
        <v>275</v>
      </c>
      <c r="B250" s="165" t="s">
        <v>318</v>
      </c>
      <c r="C250" s="165" t="s">
        <v>319</v>
      </c>
      <c r="D250" s="166">
        <v>2.5533062174444399</v>
      </c>
      <c r="E250" s="167"/>
      <c r="F250" s="168">
        <v>7.0000000000000007E-2</v>
      </c>
      <c r="G250" s="168">
        <v>6.9000000000000006E-2</v>
      </c>
      <c r="H250" s="169"/>
      <c r="I250" s="170">
        <v>5</v>
      </c>
      <c r="J250" s="170">
        <v>5</v>
      </c>
      <c r="K250" s="167"/>
      <c r="L250" s="171">
        <v>865.56267000000003</v>
      </c>
      <c r="M250" s="171">
        <v>-17.210799999999999</v>
      </c>
      <c r="N250" s="171">
        <v>848.35186999999996</v>
      </c>
      <c r="O250" s="166">
        <v>332.25621909505998</v>
      </c>
      <c r="P250" s="172">
        <v>240.12899999999999</v>
      </c>
      <c r="Q250" s="178">
        <v>1.3836571971526099</v>
      </c>
      <c r="R250" s="179">
        <v>127.31937642206999</v>
      </c>
      <c r="S250" s="168">
        <v>0.01</v>
      </c>
      <c r="T250" s="168">
        <v>0.01</v>
      </c>
      <c r="U250" s="175">
        <v>0</v>
      </c>
      <c r="V250" s="176">
        <v>0</v>
      </c>
      <c r="W250" s="167"/>
      <c r="X250" s="175">
        <v>1735.8881449999999</v>
      </c>
      <c r="Y250" s="166">
        <v>679.85897388266096</v>
      </c>
      <c r="Z250" s="177">
        <v>573</v>
      </c>
      <c r="AA250" s="178">
        <v>1.1864903558161599</v>
      </c>
      <c r="AB250" s="179">
        <v>15.3478569874994</v>
      </c>
      <c r="AC250" s="168">
        <v>0.02</v>
      </c>
      <c r="AD250" s="168">
        <v>1.9E-2</v>
      </c>
      <c r="AE250" s="176">
        <v>0</v>
      </c>
      <c r="AF250" s="176">
        <v>20</v>
      </c>
      <c r="AG250" s="167"/>
      <c r="AH250" s="180">
        <v>232.55</v>
      </c>
      <c r="AI250" s="166">
        <v>91.0779907287246</v>
      </c>
      <c r="AJ250" s="181" t="s">
        <v>53</v>
      </c>
      <c r="AK250" s="178">
        <v>1.44568239251944</v>
      </c>
      <c r="AL250" s="179">
        <v>43.380648961976398</v>
      </c>
      <c r="AM250" s="168">
        <v>0.02</v>
      </c>
      <c r="AN250" s="168">
        <v>0.02</v>
      </c>
      <c r="AO250" s="176">
        <v>0</v>
      </c>
      <c r="AP250" s="176">
        <v>0</v>
      </c>
      <c r="AQ250" s="167"/>
      <c r="AR250" s="180">
        <v>11.8</v>
      </c>
      <c r="AS250" s="166">
        <v>4.6214590006405096</v>
      </c>
      <c r="AT250" s="181" t="s">
        <v>54</v>
      </c>
      <c r="AU250" s="173">
        <v>0.28884118754003202</v>
      </c>
      <c r="AV250" s="174">
        <v>-36.243009787434602</v>
      </c>
      <c r="AW250" s="168"/>
      <c r="AX250" s="168"/>
      <c r="AY250" s="176">
        <v>30</v>
      </c>
      <c r="AZ250" s="176">
        <v>38</v>
      </c>
      <c r="BA250" s="167"/>
      <c r="BB250" s="184">
        <v>102.6</v>
      </c>
      <c r="BC250" s="180">
        <v>40.1831943615014</v>
      </c>
      <c r="BD250" s="181" t="s">
        <v>55</v>
      </c>
      <c r="BE250" s="178">
        <v>1.2557248237969201</v>
      </c>
      <c r="BF250" s="179">
        <v>6.5139804251308497</v>
      </c>
      <c r="BG250" s="168">
        <v>0.02</v>
      </c>
      <c r="BH250" s="168">
        <v>0.02</v>
      </c>
      <c r="BI250" s="176">
        <v>0</v>
      </c>
      <c r="BJ250" s="176">
        <v>0</v>
      </c>
      <c r="BK250" s="169"/>
      <c r="BL250" s="185">
        <v>0.8</v>
      </c>
      <c r="BM250" s="188">
        <v>0.77</v>
      </c>
      <c r="BN250" s="186"/>
      <c r="BO250" s="187">
        <v>0.95</v>
      </c>
      <c r="BP250" s="178">
        <v>1</v>
      </c>
      <c r="BQ250" s="186">
        <v>2.5000000000000001E-3</v>
      </c>
    </row>
    <row r="251" spans="1:69" s="156" customFormat="1" ht="22.35" customHeight="1" x14ac:dyDescent="0.2">
      <c r="A251" s="165" t="s">
        <v>275</v>
      </c>
      <c r="B251" s="165" t="s">
        <v>318</v>
      </c>
      <c r="C251" s="165" t="s">
        <v>320</v>
      </c>
      <c r="D251" s="166">
        <v>2.2514665105555598</v>
      </c>
      <c r="E251" s="167"/>
      <c r="F251" s="168">
        <v>0.01</v>
      </c>
      <c r="G251" s="168">
        <v>0.01</v>
      </c>
      <c r="H251" s="169"/>
      <c r="I251" s="170">
        <v>3</v>
      </c>
      <c r="J251" s="170">
        <v>3</v>
      </c>
      <c r="K251" s="167"/>
      <c r="L251" s="171">
        <v>928.72492</v>
      </c>
      <c r="M251" s="171">
        <v>716.49708999999996</v>
      </c>
      <c r="N251" s="171">
        <v>1645.22201</v>
      </c>
      <c r="O251" s="166">
        <v>730.73350293539897</v>
      </c>
      <c r="P251" s="172">
        <v>255.477</v>
      </c>
      <c r="Q251" s="178">
        <v>2.8602711905001201</v>
      </c>
      <c r="R251" s="179">
        <v>968.789268172569</v>
      </c>
      <c r="S251" s="168">
        <v>0.01</v>
      </c>
      <c r="T251" s="168">
        <v>0.01</v>
      </c>
      <c r="U251" s="175">
        <v>0</v>
      </c>
      <c r="V251" s="176">
        <v>0</v>
      </c>
      <c r="W251" s="167"/>
      <c r="X251" s="175">
        <v>1261.6990000000001</v>
      </c>
      <c r="Y251" s="166">
        <v>560.38985882524696</v>
      </c>
      <c r="Z251" s="177">
        <v>573</v>
      </c>
      <c r="AA251" s="188">
        <v>0.97799277281893104</v>
      </c>
      <c r="AB251" s="171">
        <v>-255.44720520484299</v>
      </c>
      <c r="AC251" s="168">
        <v>0</v>
      </c>
      <c r="AD251" s="168"/>
      <c r="AE251" s="176">
        <v>29</v>
      </c>
      <c r="AF251" s="176">
        <v>287</v>
      </c>
      <c r="AG251" s="167"/>
      <c r="AH251" s="180">
        <v>65.8</v>
      </c>
      <c r="AI251" s="166">
        <v>29.2253958437799</v>
      </c>
      <c r="AJ251" s="181" t="s">
        <v>53</v>
      </c>
      <c r="AK251" s="173">
        <v>0.46389517212349102</v>
      </c>
      <c r="AL251" s="174">
        <v>-101.00665083404</v>
      </c>
      <c r="AM251" s="168"/>
      <c r="AN251" s="168"/>
      <c r="AO251" s="176">
        <v>77</v>
      </c>
      <c r="AP251" s="176">
        <v>105</v>
      </c>
      <c r="AQ251" s="167"/>
      <c r="AR251" s="180">
        <v>7.8</v>
      </c>
      <c r="AS251" s="166">
        <v>3.4644086258584101</v>
      </c>
      <c r="AT251" s="181" t="s">
        <v>54</v>
      </c>
      <c r="AU251" s="173">
        <v>0.21652553911615099</v>
      </c>
      <c r="AV251" s="174">
        <v>-34.563593862613402</v>
      </c>
      <c r="AW251" s="168"/>
      <c r="AX251" s="168"/>
      <c r="AY251" s="176">
        <v>29</v>
      </c>
      <c r="AZ251" s="176">
        <v>36</v>
      </c>
      <c r="BA251" s="167"/>
      <c r="BB251" s="184">
        <v>63.6</v>
      </c>
      <c r="BC251" s="180">
        <v>28.248254949307</v>
      </c>
      <c r="BD251" s="181" t="s">
        <v>55</v>
      </c>
      <c r="BE251" s="188">
        <v>0.88275796716584398</v>
      </c>
      <c r="BF251" s="171">
        <v>-21.127187725226801</v>
      </c>
      <c r="BG251" s="168"/>
      <c r="BH251" s="168"/>
      <c r="BI251" s="176">
        <v>9</v>
      </c>
      <c r="BJ251" s="176">
        <v>23</v>
      </c>
      <c r="BK251" s="169"/>
      <c r="BL251" s="185">
        <v>0.8</v>
      </c>
      <c r="BM251" s="182">
        <v>0.91</v>
      </c>
      <c r="BN251" s="186">
        <v>4.1250000000000002E-3</v>
      </c>
      <c r="BO251" s="187">
        <v>0.95</v>
      </c>
      <c r="BP251" s="178">
        <v>1</v>
      </c>
      <c r="BQ251" s="186">
        <v>2.5000000000000001E-3</v>
      </c>
    </row>
    <row r="252" spans="1:69" s="156" customFormat="1" ht="22.35" customHeight="1" x14ac:dyDescent="0.2">
      <c r="A252" s="165" t="s">
        <v>275</v>
      </c>
      <c r="B252" s="165" t="s">
        <v>318</v>
      </c>
      <c r="C252" s="165" t="s">
        <v>321</v>
      </c>
      <c r="D252" s="166">
        <v>2.8395425426666701</v>
      </c>
      <c r="E252" s="167"/>
      <c r="F252" s="168">
        <v>0.01</v>
      </c>
      <c r="G252" s="168">
        <v>0.01</v>
      </c>
      <c r="H252" s="169"/>
      <c r="I252" s="170">
        <v>3</v>
      </c>
      <c r="J252" s="170">
        <v>3</v>
      </c>
      <c r="K252" s="167"/>
      <c r="L252" s="171">
        <v>249.59396000000001</v>
      </c>
      <c r="M252" s="171">
        <v>1922.73227</v>
      </c>
      <c r="N252" s="171">
        <v>2172.3262300000001</v>
      </c>
      <c r="O252" s="166">
        <v>765.02682997660895</v>
      </c>
      <c r="P252" s="172">
        <v>222.37200000000001</v>
      </c>
      <c r="Q252" s="178">
        <v>3.4403019713660399</v>
      </c>
      <c r="R252" s="179">
        <v>1429.7589589457</v>
      </c>
      <c r="S252" s="168">
        <v>0.01</v>
      </c>
      <c r="T252" s="168">
        <v>0.01</v>
      </c>
      <c r="U252" s="175">
        <v>0</v>
      </c>
      <c r="V252" s="176">
        <v>0</v>
      </c>
      <c r="W252" s="167"/>
      <c r="X252" s="175">
        <v>910.53312000000005</v>
      </c>
      <c r="Y252" s="166">
        <v>320.66190462668698</v>
      </c>
      <c r="Z252" s="177">
        <v>573</v>
      </c>
      <c r="AA252" s="173">
        <v>0.55961937980224696</v>
      </c>
      <c r="AB252" s="174">
        <v>-1002.88694329085</v>
      </c>
      <c r="AC252" s="168"/>
      <c r="AD252" s="168"/>
      <c r="AE252" s="176">
        <v>717</v>
      </c>
      <c r="AF252" s="176">
        <v>1042</v>
      </c>
      <c r="AG252" s="167"/>
      <c r="AH252" s="180">
        <v>116.8</v>
      </c>
      <c r="AI252" s="166">
        <v>41.133386186322497</v>
      </c>
      <c r="AJ252" s="181" t="s">
        <v>53</v>
      </c>
      <c r="AK252" s="173">
        <v>0.65291089184638795</v>
      </c>
      <c r="AL252" s="174">
        <v>-93.576027901088196</v>
      </c>
      <c r="AM252" s="168"/>
      <c r="AN252" s="168"/>
      <c r="AO252" s="176">
        <v>63</v>
      </c>
      <c r="AP252" s="176">
        <v>98</v>
      </c>
      <c r="AQ252" s="167"/>
      <c r="AR252" s="180">
        <v>7</v>
      </c>
      <c r="AS252" s="166">
        <v>2.4651858159611102</v>
      </c>
      <c r="AT252" s="181" t="s">
        <v>54</v>
      </c>
      <c r="AU252" s="173">
        <v>0.154074113497569</v>
      </c>
      <c r="AV252" s="174">
        <v>-46.428832482816098</v>
      </c>
      <c r="AW252" s="168"/>
      <c r="AX252" s="168"/>
      <c r="AY252" s="176">
        <v>39</v>
      </c>
      <c r="AZ252" s="176">
        <v>48</v>
      </c>
      <c r="BA252" s="167"/>
      <c r="BB252" s="184">
        <v>53.4</v>
      </c>
      <c r="BC252" s="180">
        <v>18.8058460817604</v>
      </c>
      <c r="BD252" s="181" t="s">
        <v>55</v>
      </c>
      <c r="BE252" s="173">
        <v>0.58768269005501295</v>
      </c>
      <c r="BF252" s="174">
        <v>-53.457664965632098</v>
      </c>
      <c r="BG252" s="168"/>
      <c r="BH252" s="168"/>
      <c r="BI252" s="176">
        <v>38</v>
      </c>
      <c r="BJ252" s="176">
        <v>56</v>
      </c>
      <c r="BK252" s="169"/>
      <c r="BL252" s="185">
        <v>0.8</v>
      </c>
      <c r="BM252" s="182">
        <v>0.83</v>
      </c>
      <c r="BN252" s="186">
        <v>1.1249999999999999E-3</v>
      </c>
      <c r="BO252" s="187">
        <v>0.95</v>
      </c>
      <c r="BP252" s="178">
        <v>1</v>
      </c>
      <c r="BQ252" s="186">
        <v>2.5000000000000001E-3</v>
      </c>
    </row>
    <row r="253" spans="1:69" s="156" customFormat="1" ht="22.35" customHeight="1" x14ac:dyDescent="0.2">
      <c r="A253" s="165" t="s">
        <v>275</v>
      </c>
      <c r="B253" s="165" t="s">
        <v>318</v>
      </c>
      <c r="C253" s="165" t="s">
        <v>322</v>
      </c>
      <c r="D253" s="166">
        <v>2.59845626488889</v>
      </c>
      <c r="E253" s="167"/>
      <c r="F253" s="168">
        <v>0.04</v>
      </c>
      <c r="G253" s="168">
        <v>3.6999999999999998E-2</v>
      </c>
      <c r="H253" s="169"/>
      <c r="I253" s="170">
        <v>6</v>
      </c>
      <c r="J253" s="170">
        <v>6</v>
      </c>
      <c r="K253" s="167"/>
      <c r="L253" s="171">
        <v>836.37577999999996</v>
      </c>
      <c r="M253" s="171">
        <v>259.67698999999999</v>
      </c>
      <c r="N253" s="171">
        <v>1096.05277</v>
      </c>
      <c r="O253" s="166">
        <v>421.80920449198601</v>
      </c>
      <c r="P253" s="172">
        <v>286.47199999999998</v>
      </c>
      <c r="Q253" s="178">
        <v>1.47242733842046</v>
      </c>
      <c r="R253" s="179">
        <v>220.65605337646599</v>
      </c>
      <c r="S253" s="168">
        <v>0.01</v>
      </c>
      <c r="T253" s="168">
        <v>0.01</v>
      </c>
      <c r="U253" s="175">
        <v>0</v>
      </c>
      <c r="V253" s="176">
        <v>0</v>
      </c>
      <c r="W253" s="167"/>
      <c r="X253" s="175">
        <v>1993.5757149999999</v>
      </c>
      <c r="Y253" s="166">
        <v>767.21542014687202</v>
      </c>
      <c r="Z253" s="177">
        <v>573</v>
      </c>
      <c r="AA253" s="178">
        <v>1.3389448868182801</v>
      </c>
      <c r="AB253" s="179">
        <v>242.611157817151</v>
      </c>
      <c r="AC253" s="168">
        <v>0.02</v>
      </c>
      <c r="AD253" s="168">
        <v>0.02</v>
      </c>
      <c r="AE253" s="176">
        <v>0</v>
      </c>
      <c r="AF253" s="176">
        <v>0</v>
      </c>
      <c r="AG253" s="167"/>
      <c r="AH253" s="180">
        <v>164.4</v>
      </c>
      <c r="AI253" s="166">
        <v>63.268334442038302</v>
      </c>
      <c r="AJ253" s="181" t="s">
        <v>53</v>
      </c>
      <c r="AK253" s="182">
        <v>1.0042592768577501</v>
      </c>
      <c r="AL253" s="183">
        <v>-28.114427753088101</v>
      </c>
      <c r="AM253" s="168">
        <v>2E-3</v>
      </c>
      <c r="AN253" s="168">
        <v>1E-3</v>
      </c>
      <c r="AO253" s="176">
        <v>0</v>
      </c>
      <c r="AP253" s="176">
        <v>33</v>
      </c>
      <c r="AQ253" s="167"/>
      <c r="AR253" s="180">
        <v>21.6</v>
      </c>
      <c r="AS253" s="166">
        <v>8.3126278828955495</v>
      </c>
      <c r="AT253" s="181" t="s">
        <v>54</v>
      </c>
      <c r="AU253" s="173">
        <v>0.51953924268097196</v>
      </c>
      <c r="AV253" s="174">
        <v>-27.2925530801494</v>
      </c>
      <c r="AW253" s="168"/>
      <c r="AX253" s="168"/>
      <c r="AY253" s="176">
        <v>20</v>
      </c>
      <c r="AZ253" s="176">
        <v>29</v>
      </c>
      <c r="BA253" s="167"/>
      <c r="BB253" s="184">
        <v>87.8</v>
      </c>
      <c r="BC253" s="180">
        <v>33.789292968436499</v>
      </c>
      <c r="BD253" s="181" t="s">
        <v>55</v>
      </c>
      <c r="BE253" s="182">
        <v>1.0559154052636399</v>
      </c>
      <c r="BF253" s="183">
        <v>-9.9851061602987308</v>
      </c>
      <c r="BG253" s="168">
        <v>8.0000000000000002E-3</v>
      </c>
      <c r="BH253" s="168">
        <v>6.0000000000000001E-3</v>
      </c>
      <c r="BI253" s="176">
        <v>0</v>
      </c>
      <c r="BJ253" s="176">
        <v>12</v>
      </c>
      <c r="BK253" s="169"/>
      <c r="BL253" s="185">
        <v>0.8</v>
      </c>
      <c r="BM253" s="182">
        <v>0.87</v>
      </c>
      <c r="BN253" s="186">
        <v>2.6250000000000002E-3</v>
      </c>
      <c r="BO253" s="187">
        <v>0.95</v>
      </c>
      <c r="BP253" s="178">
        <v>1</v>
      </c>
      <c r="BQ253" s="186">
        <v>2.5000000000000001E-3</v>
      </c>
    </row>
    <row r="254" spans="1:69" s="156" customFormat="1" ht="22.35" customHeight="1" x14ac:dyDescent="0.2">
      <c r="A254" s="165" t="s">
        <v>275</v>
      </c>
      <c r="B254" s="165" t="s">
        <v>318</v>
      </c>
      <c r="C254" s="165" t="s">
        <v>323</v>
      </c>
      <c r="D254" s="166">
        <v>3.4220960403333298</v>
      </c>
      <c r="E254" s="167"/>
      <c r="F254" s="168">
        <v>0.05</v>
      </c>
      <c r="G254" s="168">
        <v>0.05</v>
      </c>
      <c r="H254" s="169"/>
      <c r="I254" s="170">
        <v>4</v>
      </c>
      <c r="J254" s="170">
        <v>4</v>
      </c>
      <c r="K254" s="167"/>
      <c r="L254" s="171">
        <v>2508.60232</v>
      </c>
      <c r="M254" s="171">
        <v>1659.3983499999999</v>
      </c>
      <c r="N254" s="171">
        <v>4168.0006700000004</v>
      </c>
      <c r="O254" s="166">
        <v>1217.96718177261</v>
      </c>
      <c r="P254" s="172">
        <v>237.096</v>
      </c>
      <c r="Q254" s="178">
        <v>5.1370212140762002</v>
      </c>
      <c r="R254" s="179">
        <v>3213.8350974520499</v>
      </c>
      <c r="S254" s="168">
        <v>0.01</v>
      </c>
      <c r="T254" s="168">
        <v>0.01</v>
      </c>
      <c r="U254" s="175">
        <v>0</v>
      </c>
      <c r="V254" s="176">
        <v>0</v>
      </c>
      <c r="W254" s="167"/>
      <c r="X254" s="175">
        <v>2463.3458249999999</v>
      </c>
      <c r="Y254" s="166">
        <v>719.83538625644599</v>
      </c>
      <c r="Z254" s="177">
        <v>573</v>
      </c>
      <c r="AA254" s="178">
        <v>1.2562572185976399</v>
      </c>
      <c r="AB254" s="179">
        <v>157.37325241346699</v>
      </c>
      <c r="AC254" s="168">
        <v>0.02</v>
      </c>
      <c r="AD254" s="168">
        <v>0.02</v>
      </c>
      <c r="AE254" s="176">
        <v>0</v>
      </c>
      <c r="AF254" s="176">
        <v>0</v>
      </c>
      <c r="AG254" s="167"/>
      <c r="AH254" s="180">
        <v>123.25</v>
      </c>
      <c r="AI254" s="166">
        <v>36.015938345200503</v>
      </c>
      <c r="AJ254" s="181" t="s">
        <v>53</v>
      </c>
      <c r="AK254" s="173">
        <v>0.57168156103492795</v>
      </c>
      <c r="AL254" s="174">
        <v>-130.28625143621599</v>
      </c>
      <c r="AM254" s="168"/>
      <c r="AN254" s="168"/>
      <c r="AO254" s="176">
        <v>93</v>
      </c>
      <c r="AP254" s="176">
        <v>136</v>
      </c>
      <c r="AQ254" s="167"/>
      <c r="AR254" s="180">
        <v>15</v>
      </c>
      <c r="AS254" s="166">
        <v>4.3832785004300803</v>
      </c>
      <c r="AT254" s="181" t="s">
        <v>54</v>
      </c>
      <c r="AU254" s="173">
        <v>0.27395490627688002</v>
      </c>
      <c r="AV254" s="174">
        <v>-49.390159094911901</v>
      </c>
      <c r="AW254" s="168"/>
      <c r="AX254" s="168"/>
      <c r="AY254" s="176">
        <v>40</v>
      </c>
      <c r="AZ254" s="176">
        <v>51</v>
      </c>
      <c r="BA254" s="167"/>
      <c r="BB254" s="184">
        <v>150.6</v>
      </c>
      <c r="BC254" s="180">
        <v>44.008116144318002</v>
      </c>
      <c r="BD254" s="181" t="s">
        <v>55</v>
      </c>
      <c r="BE254" s="178">
        <v>1.37525362950994</v>
      </c>
      <c r="BF254" s="179">
        <v>21.8196818101761</v>
      </c>
      <c r="BG254" s="168">
        <v>0.02</v>
      </c>
      <c r="BH254" s="168">
        <v>0.02</v>
      </c>
      <c r="BI254" s="176">
        <v>0</v>
      </c>
      <c r="BJ254" s="176">
        <v>0</v>
      </c>
      <c r="BK254" s="169"/>
      <c r="BL254" s="185">
        <v>0.8</v>
      </c>
      <c r="BM254" s="188">
        <v>0.77</v>
      </c>
      <c r="BN254" s="186"/>
      <c r="BO254" s="187">
        <v>0.95</v>
      </c>
      <c r="BP254" s="178">
        <v>1</v>
      </c>
      <c r="BQ254" s="186">
        <v>2.5000000000000001E-3</v>
      </c>
    </row>
    <row r="255" spans="1:69" s="156" customFormat="1" ht="22.35" customHeight="1" x14ac:dyDescent="0.2">
      <c r="A255" s="165" t="s">
        <v>275</v>
      </c>
      <c r="B255" s="165" t="s">
        <v>318</v>
      </c>
      <c r="C255" s="165" t="s">
        <v>324</v>
      </c>
      <c r="D255" s="166">
        <v>2.6425147733333301</v>
      </c>
      <c r="E255" s="167"/>
      <c r="F255" s="168">
        <v>0.08</v>
      </c>
      <c r="G255" s="168">
        <v>0.08</v>
      </c>
      <c r="H255" s="169"/>
      <c r="I255" s="170">
        <v>6</v>
      </c>
      <c r="J255" s="170">
        <v>6</v>
      </c>
      <c r="K255" s="167"/>
      <c r="L255" s="171">
        <v>2477.3892099999998</v>
      </c>
      <c r="M255" s="171">
        <v>777.31741</v>
      </c>
      <c r="N255" s="171">
        <v>3254.7066199999999</v>
      </c>
      <c r="O255" s="166">
        <v>1231.6701699625401</v>
      </c>
      <c r="P255" s="172">
        <v>265.19900000000001</v>
      </c>
      <c r="Q255" s="178">
        <v>4.6443243374316596</v>
      </c>
      <c r="R255" s="179">
        <v>2430.5749041610902</v>
      </c>
      <c r="S255" s="168">
        <v>0.01</v>
      </c>
      <c r="T255" s="168">
        <v>0.01</v>
      </c>
      <c r="U255" s="175">
        <v>0</v>
      </c>
      <c r="V255" s="176">
        <v>0</v>
      </c>
      <c r="W255" s="167"/>
      <c r="X255" s="175">
        <v>2047.00441</v>
      </c>
      <c r="Y255" s="166">
        <v>774.64256043415003</v>
      </c>
      <c r="Z255" s="177">
        <v>573</v>
      </c>
      <c r="AA255" s="178">
        <v>1.3519067372323701</v>
      </c>
      <c r="AB255" s="179">
        <v>266.35111501888298</v>
      </c>
      <c r="AC255" s="168">
        <v>0.02</v>
      </c>
      <c r="AD255" s="168">
        <v>0.02</v>
      </c>
      <c r="AE255" s="176">
        <v>0</v>
      </c>
      <c r="AF255" s="176">
        <v>0</v>
      </c>
      <c r="AG255" s="167"/>
      <c r="AH255" s="180">
        <v>207.3</v>
      </c>
      <c r="AI255" s="166">
        <v>78.448000401718303</v>
      </c>
      <c r="AJ255" s="181" t="s">
        <v>53</v>
      </c>
      <c r="AK255" s="178">
        <v>1.2452063555828301</v>
      </c>
      <c r="AL255" s="179">
        <v>11.5213654732803</v>
      </c>
      <c r="AM255" s="168">
        <v>0.02</v>
      </c>
      <c r="AN255" s="168">
        <v>0.02</v>
      </c>
      <c r="AO255" s="176">
        <v>0</v>
      </c>
      <c r="AP255" s="176">
        <v>0</v>
      </c>
      <c r="AQ255" s="167"/>
      <c r="AR255" s="180">
        <v>61.2</v>
      </c>
      <c r="AS255" s="166">
        <v>23.1597569926925</v>
      </c>
      <c r="AT255" s="181" t="s">
        <v>54</v>
      </c>
      <c r="AU255" s="178">
        <v>1.4474848120432799</v>
      </c>
      <c r="AV255" s="179">
        <v>11.478442024960099</v>
      </c>
      <c r="AW255" s="168">
        <v>0.01</v>
      </c>
      <c r="AX255" s="168">
        <v>0.01</v>
      </c>
      <c r="AY255" s="176">
        <v>0</v>
      </c>
      <c r="AZ255" s="176">
        <v>0</v>
      </c>
      <c r="BA255" s="167"/>
      <c r="BB255" s="184">
        <v>175.8</v>
      </c>
      <c r="BC255" s="180">
        <v>66.527537243714804</v>
      </c>
      <c r="BD255" s="181" t="s">
        <v>55</v>
      </c>
      <c r="BE255" s="178">
        <v>2.0789855388660898</v>
      </c>
      <c r="BF255" s="179">
        <v>76.356884049920197</v>
      </c>
      <c r="BG255" s="168">
        <v>0.02</v>
      </c>
      <c r="BH255" s="168">
        <v>0.02</v>
      </c>
      <c r="BI255" s="176">
        <v>0</v>
      </c>
      <c r="BJ255" s="176">
        <v>0</v>
      </c>
      <c r="BK255" s="169"/>
      <c r="BL255" s="185">
        <v>0.8</v>
      </c>
      <c r="BM255" s="188">
        <v>0.79</v>
      </c>
      <c r="BN255" s="186"/>
      <c r="BO255" s="187">
        <v>0.95</v>
      </c>
      <c r="BP255" s="178">
        <v>1</v>
      </c>
      <c r="BQ255" s="186">
        <v>2.5000000000000001E-3</v>
      </c>
    </row>
    <row r="256" spans="1:69" s="156" customFormat="1" ht="22.35" customHeight="1" x14ac:dyDescent="0.2">
      <c r="A256" s="165" t="s">
        <v>275</v>
      </c>
      <c r="B256" s="165" t="s">
        <v>318</v>
      </c>
      <c r="C256" s="165" t="s">
        <v>325</v>
      </c>
      <c r="D256" s="166">
        <v>3.04966082633333</v>
      </c>
      <c r="E256" s="167"/>
      <c r="F256" s="168">
        <v>2.8000000000000001E-2</v>
      </c>
      <c r="G256" s="168">
        <v>2.3E-2</v>
      </c>
      <c r="H256" s="169"/>
      <c r="I256" s="170">
        <v>5</v>
      </c>
      <c r="J256" s="170">
        <v>5</v>
      </c>
      <c r="K256" s="167"/>
      <c r="L256" s="171">
        <v>1040.4178999999999</v>
      </c>
      <c r="M256" s="171">
        <v>2462.9405299999999</v>
      </c>
      <c r="N256" s="171">
        <v>3503.3584300000002</v>
      </c>
      <c r="O256" s="166">
        <v>1148.7698565522601</v>
      </c>
      <c r="P256" s="172">
        <v>266.08300000000003</v>
      </c>
      <c r="Q256" s="178">
        <v>4.31733653240628</v>
      </c>
      <c r="R256" s="179">
        <v>2549.07805765578</v>
      </c>
      <c r="S256" s="168">
        <v>0.01</v>
      </c>
      <c r="T256" s="168">
        <v>0.01</v>
      </c>
      <c r="U256" s="175">
        <v>0</v>
      </c>
      <c r="V256" s="176">
        <v>0</v>
      </c>
      <c r="W256" s="167"/>
      <c r="X256" s="175">
        <v>1929.5554099999999</v>
      </c>
      <c r="Y256" s="166">
        <v>632.71147838428396</v>
      </c>
      <c r="Z256" s="177">
        <v>573</v>
      </c>
      <c r="AA256" s="182">
        <v>1.10420851375966</v>
      </c>
      <c r="AB256" s="183">
        <v>-125.452438503062</v>
      </c>
      <c r="AC256" s="168">
        <v>1.2999999999999999E-2</v>
      </c>
      <c r="AD256" s="168">
        <v>0.01</v>
      </c>
      <c r="AE256" s="176">
        <v>0</v>
      </c>
      <c r="AF256" s="176">
        <v>168</v>
      </c>
      <c r="AG256" s="167"/>
      <c r="AH256" s="180">
        <v>121.75</v>
      </c>
      <c r="AI256" s="166">
        <v>39.922472344697603</v>
      </c>
      <c r="AJ256" s="181" t="s">
        <v>53</v>
      </c>
      <c r="AK256" s="173">
        <v>0.63369003721742101</v>
      </c>
      <c r="AL256" s="174">
        <v>-104.193271301384</v>
      </c>
      <c r="AM256" s="168"/>
      <c r="AN256" s="168"/>
      <c r="AO256" s="176">
        <v>71</v>
      </c>
      <c r="AP256" s="176">
        <v>109</v>
      </c>
      <c r="AQ256" s="167"/>
      <c r="AR256" s="180">
        <v>5.5</v>
      </c>
      <c r="AS256" s="166">
        <v>1.8034792434976299</v>
      </c>
      <c r="AT256" s="181" t="s">
        <v>54</v>
      </c>
      <c r="AU256" s="173">
        <v>0.11271745271860199</v>
      </c>
      <c r="AV256" s="174">
        <v>-51.882418108287901</v>
      </c>
      <c r="AW256" s="168"/>
      <c r="AX256" s="168"/>
      <c r="AY256" s="176">
        <v>44</v>
      </c>
      <c r="AZ256" s="176">
        <v>54</v>
      </c>
      <c r="BA256" s="167"/>
      <c r="BB256" s="184">
        <v>100.4</v>
      </c>
      <c r="BC256" s="180">
        <v>32.921693826756702</v>
      </c>
      <c r="BD256" s="181" t="s">
        <v>55</v>
      </c>
      <c r="BE256" s="182">
        <v>1.02880293208615</v>
      </c>
      <c r="BF256" s="183">
        <v>-14.364836216575901</v>
      </c>
      <c r="BG256" s="168">
        <v>5.0000000000000001E-3</v>
      </c>
      <c r="BH256" s="168">
        <v>3.0000000000000001E-3</v>
      </c>
      <c r="BI256" s="176">
        <v>0</v>
      </c>
      <c r="BJ256" s="176">
        <v>17</v>
      </c>
      <c r="BK256" s="169"/>
      <c r="BL256" s="185">
        <v>0.8</v>
      </c>
      <c r="BM256" s="182">
        <v>0.86</v>
      </c>
      <c r="BN256" s="186">
        <v>2.2499999999999998E-3</v>
      </c>
      <c r="BO256" s="187">
        <v>0.95</v>
      </c>
      <c r="BP256" s="178">
        <v>1</v>
      </c>
      <c r="BQ256" s="186">
        <v>2.5000000000000001E-3</v>
      </c>
    </row>
    <row r="257" spans="1:69" s="156" customFormat="1" ht="22.35" customHeight="1" x14ac:dyDescent="0.2">
      <c r="A257" s="165" t="s">
        <v>275</v>
      </c>
      <c r="B257" s="165" t="s">
        <v>318</v>
      </c>
      <c r="C257" s="165" t="s">
        <v>326</v>
      </c>
      <c r="D257" s="166">
        <v>2.8493458841111101</v>
      </c>
      <c r="E257" s="167"/>
      <c r="F257" s="168">
        <v>5.0999999999999997E-2</v>
      </c>
      <c r="G257" s="168">
        <v>4.8000000000000001E-2</v>
      </c>
      <c r="H257" s="169"/>
      <c r="I257" s="170">
        <v>6</v>
      </c>
      <c r="J257" s="170">
        <v>5</v>
      </c>
      <c r="K257" s="167"/>
      <c r="L257" s="171">
        <v>1897.5000700000001</v>
      </c>
      <c r="M257" s="171">
        <v>2546.1459599999998</v>
      </c>
      <c r="N257" s="171">
        <v>4443.6460299999999</v>
      </c>
      <c r="O257" s="166">
        <v>1559.5319805781501</v>
      </c>
      <c r="P257" s="172">
        <v>263.75299999999999</v>
      </c>
      <c r="Q257" s="178">
        <v>5.9128502067394502</v>
      </c>
      <c r="R257" s="179">
        <v>3559.8543646329799</v>
      </c>
      <c r="S257" s="168">
        <v>0.01</v>
      </c>
      <c r="T257" s="168">
        <v>0.01</v>
      </c>
      <c r="U257" s="175">
        <v>0</v>
      </c>
      <c r="V257" s="176">
        <v>0</v>
      </c>
      <c r="W257" s="167"/>
      <c r="X257" s="175">
        <v>1934.5632700000001</v>
      </c>
      <c r="Y257" s="166">
        <v>678.94995858093603</v>
      </c>
      <c r="Z257" s="177">
        <v>573</v>
      </c>
      <c r="AA257" s="178">
        <v>1.1849039416770299</v>
      </c>
      <c r="AB257" s="179">
        <v>14.537244683497001</v>
      </c>
      <c r="AC257" s="168">
        <v>0.02</v>
      </c>
      <c r="AD257" s="168">
        <v>1.7999999999999999E-2</v>
      </c>
      <c r="AE257" s="176">
        <v>0</v>
      </c>
      <c r="AF257" s="176">
        <v>25</v>
      </c>
      <c r="AG257" s="167"/>
      <c r="AH257" s="180">
        <v>176.25</v>
      </c>
      <c r="AI257" s="166">
        <v>61.856302171957402</v>
      </c>
      <c r="AJ257" s="181" t="s">
        <v>53</v>
      </c>
      <c r="AK257" s="182">
        <v>0.98184606622154602</v>
      </c>
      <c r="AL257" s="183">
        <v>-34.852337862023901</v>
      </c>
      <c r="AM257" s="168">
        <v>1E-3</v>
      </c>
      <c r="AN257" s="168"/>
      <c r="AO257" s="176">
        <v>4</v>
      </c>
      <c r="AP257" s="176">
        <v>40</v>
      </c>
      <c r="AQ257" s="167"/>
      <c r="AR257" s="180">
        <v>35.9</v>
      </c>
      <c r="AS257" s="166">
        <v>12.5993829672242</v>
      </c>
      <c r="AT257" s="181" t="s">
        <v>54</v>
      </c>
      <c r="AU257" s="188">
        <v>0.78746143545151404</v>
      </c>
      <c r="AV257" s="171">
        <v>-17.713292155434601</v>
      </c>
      <c r="AW257" s="168"/>
      <c r="AX257" s="168"/>
      <c r="AY257" s="176">
        <v>10</v>
      </c>
      <c r="AZ257" s="176">
        <v>19</v>
      </c>
      <c r="BA257" s="167"/>
      <c r="BB257" s="184">
        <v>114</v>
      </c>
      <c r="BC257" s="180">
        <v>40.0091826814363</v>
      </c>
      <c r="BD257" s="181" t="s">
        <v>55</v>
      </c>
      <c r="BE257" s="178">
        <v>1.2502869587948799</v>
      </c>
      <c r="BF257" s="179">
        <v>6.7734156891307196</v>
      </c>
      <c r="BG257" s="168">
        <v>0.02</v>
      </c>
      <c r="BH257" s="168">
        <v>0.02</v>
      </c>
      <c r="BI257" s="176">
        <v>0</v>
      </c>
      <c r="BJ257" s="176">
        <v>0</v>
      </c>
      <c r="BK257" s="169"/>
      <c r="BL257" s="185">
        <v>0.8</v>
      </c>
      <c r="BM257" s="182">
        <v>0.88</v>
      </c>
      <c r="BN257" s="186">
        <v>3.0000000000000001E-3</v>
      </c>
      <c r="BO257" s="187">
        <v>0.95</v>
      </c>
      <c r="BP257" s="178">
        <v>1</v>
      </c>
      <c r="BQ257" s="186">
        <v>2.5000000000000001E-3</v>
      </c>
    </row>
    <row r="258" spans="1:69" s="156" customFormat="1" ht="22.35" customHeight="1" x14ac:dyDescent="0.2">
      <c r="A258" s="165" t="s">
        <v>275</v>
      </c>
      <c r="B258" s="165" t="s">
        <v>318</v>
      </c>
      <c r="C258" s="165" t="s">
        <v>327</v>
      </c>
      <c r="D258" s="166">
        <v>7.8533208782222204</v>
      </c>
      <c r="E258" s="167"/>
      <c r="F258" s="168">
        <v>2.5999999999999999E-2</v>
      </c>
      <c r="G258" s="168">
        <v>2.1999999999999999E-2</v>
      </c>
      <c r="H258" s="169"/>
      <c r="I258" s="170">
        <v>5</v>
      </c>
      <c r="J258" s="170">
        <v>5</v>
      </c>
      <c r="K258" s="167"/>
      <c r="L258" s="171">
        <v>3798.9518400000002</v>
      </c>
      <c r="M258" s="171">
        <v>-1225.1152400000001</v>
      </c>
      <c r="N258" s="171">
        <v>2573.8366000000001</v>
      </c>
      <c r="O258" s="166">
        <v>327.73862674291303</v>
      </c>
      <c r="P258" s="172">
        <v>267.36500000000001</v>
      </c>
      <c r="Q258" s="178">
        <v>1.2258097609743701</v>
      </c>
      <c r="R258" s="179">
        <v>104.585711351481</v>
      </c>
      <c r="S258" s="168">
        <v>0.01</v>
      </c>
      <c r="T258" s="168">
        <v>0.01</v>
      </c>
      <c r="U258" s="175">
        <v>0</v>
      </c>
      <c r="V258" s="176">
        <v>0</v>
      </c>
      <c r="W258" s="167"/>
      <c r="X258" s="175">
        <v>4838.8231299999998</v>
      </c>
      <c r="Y258" s="166">
        <v>616.14993262511098</v>
      </c>
      <c r="Z258" s="177">
        <v>573</v>
      </c>
      <c r="AA258" s="182">
        <v>1.0753052925394599</v>
      </c>
      <c r="AB258" s="183">
        <v>-453.12143714828699</v>
      </c>
      <c r="AC258" s="168">
        <v>0.01</v>
      </c>
      <c r="AD258" s="168">
        <v>8.0000000000000002E-3</v>
      </c>
      <c r="AE258" s="176">
        <v>0</v>
      </c>
      <c r="AF258" s="176">
        <v>562</v>
      </c>
      <c r="AG258" s="167"/>
      <c r="AH258" s="180">
        <v>427.8</v>
      </c>
      <c r="AI258" s="166">
        <v>54.473770604015101</v>
      </c>
      <c r="AJ258" s="181" t="s">
        <v>53</v>
      </c>
      <c r="AK258" s="188">
        <v>0.86466302546055795</v>
      </c>
      <c r="AL258" s="171">
        <v>-154.03683722572799</v>
      </c>
      <c r="AM258" s="168"/>
      <c r="AN258" s="168"/>
      <c r="AO258" s="176">
        <v>67</v>
      </c>
      <c r="AP258" s="176">
        <v>166</v>
      </c>
      <c r="AQ258" s="167"/>
      <c r="AR258" s="180">
        <v>61.6</v>
      </c>
      <c r="AS258" s="166">
        <v>7.8438154960433204</v>
      </c>
      <c r="AT258" s="181" t="s">
        <v>54</v>
      </c>
      <c r="AU258" s="173">
        <v>0.49023846850270802</v>
      </c>
      <c r="AV258" s="174">
        <v>-86.168085644629301</v>
      </c>
      <c r="AW258" s="168"/>
      <c r="AX258" s="168"/>
      <c r="AY258" s="176">
        <v>65</v>
      </c>
      <c r="AZ258" s="176">
        <v>90</v>
      </c>
      <c r="BA258" s="167"/>
      <c r="BB258" s="184">
        <v>261.2</v>
      </c>
      <c r="BC258" s="180">
        <v>33.259815057898003</v>
      </c>
      <c r="BD258" s="181" t="s">
        <v>55</v>
      </c>
      <c r="BE258" s="182">
        <v>1.0393692205593099</v>
      </c>
      <c r="BF258" s="183">
        <v>-34.336171289258601</v>
      </c>
      <c r="BG258" s="168">
        <v>6.0000000000000001E-3</v>
      </c>
      <c r="BH258" s="168">
        <v>4.0000000000000001E-3</v>
      </c>
      <c r="BI258" s="176">
        <v>0</v>
      </c>
      <c r="BJ258" s="176">
        <v>41</v>
      </c>
      <c r="BK258" s="169"/>
      <c r="BL258" s="185">
        <v>0.8</v>
      </c>
      <c r="BM258" s="182">
        <v>0.82</v>
      </c>
      <c r="BN258" s="186">
        <v>7.5000000000000002E-4</v>
      </c>
      <c r="BO258" s="187">
        <v>0.95</v>
      </c>
      <c r="BP258" s="178">
        <v>1</v>
      </c>
      <c r="BQ258" s="186">
        <v>2.5000000000000001E-3</v>
      </c>
    </row>
    <row r="259" spans="1:69" s="156" customFormat="1" ht="22.35" customHeight="1" x14ac:dyDescent="0.2">
      <c r="A259" s="165" t="s">
        <v>275</v>
      </c>
      <c r="B259" s="165" t="s">
        <v>318</v>
      </c>
      <c r="C259" s="165" t="s">
        <v>328</v>
      </c>
      <c r="D259" s="166">
        <v>8.9100383940000007</v>
      </c>
      <c r="E259" s="167"/>
      <c r="F259" s="168"/>
      <c r="G259" s="168"/>
      <c r="H259" s="169"/>
      <c r="I259" s="170">
        <v>1</v>
      </c>
      <c r="J259" s="170">
        <v>1</v>
      </c>
      <c r="K259" s="167"/>
      <c r="L259" s="171">
        <v>4377.8224399999999</v>
      </c>
      <c r="M259" s="171">
        <v>-2200.3710599999999</v>
      </c>
      <c r="N259" s="171">
        <v>2177.45138</v>
      </c>
      <c r="O259" s="166">
        <v>244.381817868068</v>
      </c>
      <c r="P259" s="172">
        <v>266.08300000000003</v>
      </c>
      <c r="Q259" s="188">
        <v>0.91844205705763904</v>
      </c>
      <c r="R259" s="171">
        <v>-610.62088128506502</v>
      </c>
      <c r="S259" s="168"/>
      <c r="T259" s="168"/>
      <c r="U259" s="175">
        <v>194</v>
      </c>
      <c r="V259" s="176">
        <v>668</v>
      </c>
      <c r="W259" s="167"/>
      <c r="X259" s="175">
        <v>3744.1683950000001</v>
      </c>
      <c r="Y259" s="166">
        <v>420.21910899074402</v>
      </c>
      <c r="Z259" s="177">
        <v>573</v>
      </c>
      <c r="AA259" s="173">
        <v>0.73336668235732005</v>
      </c>
      <c r="AB259" s="174">
        <v>-2259.8431567201101</v>
      </c>
      <c r="AC259" s="168"/>
      <c r="AD259" s="168"/>
      <c r="AE259" s="176">
        <v>1362</v>
      </c>
      <c r="AF259" s="176">
        <v>2383</v>
      </c>
      <c r="AG259" s="167"/>
      <c r="AH259" s="180">
        <v>424.95</v>
      </c>
      <c r="AI259" s="166">
        <v>47.6933971784185</v>
      </c>
      <c r="AJ259" s="181" t="s">
        <v>53</v>
      </c>
      <c r="AK259" s="173">
        <v>0.75703805045108696</v>
      </c>
      <c r="AL259" s="174">
        <v>-235.176924534672</v>
      </c>
      <c r="AM259" s="168"/>
      <c r="AN259" s="168"/>
      <c r="AO259" s="176">
        <v>137</v>
      </c>
      <c r="AP259" s="176">
        <v>249</v>
      </c>
      <c r="AQ259" s="167"/>
      <c r="AR259" s="180">
        <v>64.599999999999994</v>
      </c>
      <c r="AS259" s="166">
        <v>7.2502493416303899</v>
      </c>
      <c r="AT259" s="181" t="s">
        <v>54</v>
      </c>
      <c r="AU259" s="173">
        <v>0.45314058385189898</v>
      </c>
      <c r="AV259" s="174">
        <v>-103.051282421504</v>
      </c>
      <c r="AW259" s="168"/>
      <c r="AX259" s="168"/>
      <c r="AY259" s="176">
        <v>78</v>
      </c>
      <c r="AZ259" s="176">
        <v>107</v>
      </c>
      <c r="BA259" s="167"/>
      <c r="BB259" s="184">
        <v>274.2</v>
      </c>
      <c r="BC259" s="180">
        <v>30.7742781652485</v>
      </c>
      <c r="BD259" s="181" t="s">
        <v>55</v>
      </c>
      <c r="BE259" s="188">
        <v>0.96169619266401496</v>
      </c>
      <c r="BF259" s="171">
        <v>-61.102564843007997</v>
      </c>
      <c r="BG259" s="168"/>
      <c r="BH259" s="168"/>
      <c r="BI259" s="176">
        <v>11</v>
      </c>
      <c r="BJ259" s="176">
        <v>68</v>
      </c>
      <c r="BK259" s="169"/>
      <c r="BL259" s="185">
        <v>0.8</v>
      </c>
      <c r="BM259" s="188">
        <v>0.74</v>
      </c>
      <c r="BN259" s="186"/>
      <c r="BO259" s="187">
        <v>0.95</v>
      </c>
      <c r="BP259" s="178">
        <v>1</v>
      </c>
      <c r="BQ259" s="186">
        <v>2.5000000000000001E-3</v>
      </c>
    </row>
    <row r="260" spans="1:69" s="156" customFormat="1" ht="22.35" customHeight="1" x14ac:dyDescent="0.2">
      <c r="A260" s="165" t="s">
        <v>275</v>
      </c>
      <c r="B260" s="165" t="s">
        <v>318</v>
      </c>
      <c r="C260" s="165" t="s">
        <v>329</v>
      </c>
      <c r="D260" s="166">
        <v>3.7235578407777798</v>
      </c>
      <c r="E260" s="167"/>
      <c r="F260" s="168">
        <v>5.3999999999999999E-2</v>
      </c>
      <c r="G260" s="168">
        <v>5.1999999999999998E-2</v>
      </c>
      <c r="H260" s="169"/>
      <c r="I260" s="170">
        <v>5</v>
      </c>
      <c r="J260" s="170">
        <v>5</v>
      </c>
      <c r="K260" s="167"/>
      <c r="L260" s="171">
        <v>1155.0283400000001</v>
      </c>
      <c r="M260" s="171">
        <v>1810.1803299999999</v>
      </c>
      <c r="N260" s="171">
        <v>2965.20867</v>
      </c>
      <c r="O260" s="166">
        <v>796.33748065549798</v>
      </c>
      <c r="P260" s="172">
        <v>287.5</v>
      </c>
      <c r="Q260" s="178">
        <v>2.7698694979321701</v>
      </c>
      <c r="R260" s="179">
        <v>1706.2737640330299</v>
      </c>
      <c r="S260" s="168">
        <v>0.01</v>
      </c>
      <c r="T260" s="168">
        <v>0.01</v>
      </c>
      <c r="U260" s="175">
        <v>0</v>
      </c>
      <c r="V260" s="176">
        <v>0</v>
      </c>
      <c r="W260" s="167"/>
      <c r="X260" s="175">
        <v>2869.381515</v>
      </c>
      <c r="Y260" s="166">
        <v>770.60210629107405</v>
      </c>
      <c r="Z260" s="177">
        <v>573</v>
      </c>
      <c r="AA260" s="178">
        <v>1.3448553338413201</v>
      </c>
      <c r="AB260" s="179">
        <v>360.269511107575</v>
      </c>
      <c r="AC260" s="168">
        <v>0.02</v>
      </c>
      <c r="AD260" s="168">
        <v>0.02</v>
      </c>
      <c r="AE260" s="176">
        <v>0</v>
      </c>
      <c r="AF260" s="176">
        <v>0</v>
      </c>
      <c r="AG260" s="167"/>
      <c r="AH260" s="180">
        <v>239.55</v>
      </c>
      <c r="AI260" s="166">
        <v>64.333632037783204</v>
      </c>
      <c r="AJ260" s="181" t="s">
        <v>53</v>
      </c>
      <c r="AK260" s="182">
        <v>1.0211687625044901</v>
      </c>
      <c r="AL260" s="183">
        <v>-36.320953307544102</v>
      </c>
      <c r="AM260" s="168">
        <v>4.0000000000000001E-3</v>
      </c>
      <c r="AN260" s="168">
        <v>2E-3</v>
      </c>
      <c r="AO260" s="176">
        <v>0</v>
      </c>
      <c r="AP260" s="176">
        <v>42</v>
      </c>
      <c r="AQ260" s="167"/>
      <c r="AR260" s="180">
        <v>31.2</v>
      </c>
      <c r="AS260" s="166">
        <v>8.3790829454345008</v>
      </c>
      <c r="AT260" s="181" t="s">
        <v>54</v>
      </c>
      <c r="AU260" s="173">
        <v>0.52369268408965597</v>
      </c>
      <c r="AV260" s="174">
        <v>-38.862464332074701</v>
      </c>
      <c r="AW260" s="168"/>
      <c r="AX260" s="168"/>
      <c r="AY260" s="176">
        <v>29</v>
      </c>
      <c r="AZ260" s="176">
        <v>41</v>
      </c>
      <c r="BA260" s="167"/>
      <c r="BB260" s="184">
        <v>155.80000000000001</v>
      </c>
      <c r="BC260" s="180">
        <v>41.841702657009499</v>
      </c>
      <c r="BD260" s="181" t="s">
        <v>55</v>
      </c>
      <c r="BE260" s="178">
        <v>1.30755320803155</v>
      </c>
      <c r="BF260" s="179">
        <v>15.6750713358506</v>
      </c>
      <c r="BG260" s="168">
        <v>0.02</v>
      </c>
      <c r="BH260" s="168">
        <v>0.02</v>
      </c>
      <c r="BI260" s="176">
        <v>0</v>
      </c>
      <c r="BJ260" s="176">
        <v>0</v>
      </c>
      <c r="BK260" s="169"/>
      <c r="BL260" s="185">
        <v>0.8</v>
      </c>
      <c r="BM260" s="188">
        <v>0.79</v>
      </c>
      <c r="BN260" s="186"/>
      <c r="BO260" s="187">
        <v>0.95</v>
      </c>
      <c r="BP260" s="178">
        <v>1</v>
      </c>
      <c r="BQ260" s="186">
        <v>2.5000000000000001E-3</v>
      </c>
    </row>
    <row r="261" spans="1:69" s="156" customFormat="1" ht="22.35" customHeight="1" x14ac:dyDescent="0.2">
      <c r="A261" s="165" t="s">
        <v>275</v>
      </c>
      <c r="B261" s="165" t="s">
        <v>318</v>
      </c>
      <c r="C261" s="165" t="s">
        <v>330</v>
      </c>
      <c r="D261" s="166">
        <v>2.4875433197777799</v>
      </c>
      <c r="E261" s="167"/>
      <c r="F261" s="168">
        <v>3.5000000000000003E-2</v>
      </c>
      <c r="G261" s="168">
        <v>3.1E-2</v>
      </c>
      <c r="H261" s="169"/>
      <c r="I261" s="170">
        <v>5</v>
      </c>
      <c r="J261" s="170">
        <v>5</v>
      </c>
      <c r="K261" s="167"/>
      <c r="L261" s="171">
        <v>376.62234000000001</v>
      </c>
      <c r="M261" s="171">
        <v>965.84307000000001</v>
      </c>
      <c r="N261" s="171">
        <v>1342.46541</v>
      </c>
      <c r="O261" s="166">
        <v>539.675188498799</v>
      </c>
      <c r="P261" s="172">
        <v>263.75299999999999</v>
      </c>
      <c r="Q261" s="178">
        <v>2.0461385785139798</v>
      </c>
      <c r="R261" s="179">
        <v>570.89532245169403</v>
      </c>
      <c r="S261" s="168">
        <v>0.01</v>
      </c>
      <c r="T261" s="168">
        <v>0.01</v>
      </c>
      <c r="U261" s="175">
        <v>0</v>
      </c>
      <c r="V261" s="176">
        <v>0</v>
      </c>
      <c r="W261" s="167"/>
      <c r="X261" s="175">
        <v>1366.229765</v>
      </c>
      <c r="Y261" s="166">
        <v>549.22853167519895</v>
      </c>
      <c r="Z261" s="177">
        <v>573</v>
      </c>
      <c r="AA261" s="188">
        <v>0.95851401688516502</v>
      </c>
      <c r="AB261" s="171">
        <v>-309.99632594561803</v>
      </c>
      <c r="AC261" s="168"/>
      <c r="AD261" s="168"/>
      <c r="AE261" s="176">
        <v>60</v>
      </c>
      <c r="AF261" s="176">
        <v>345</v>
      </c>
      <c r="AG261" s="167"/>
      <c r="AH261" s="180">
        <v>161.6</v>
      </c>
      <c r="AI261" s="166">
        <v>64.963692778800095</v>
      </c>
      <c r="AJ261" s="181" t="s">
        <v>53</v>
      </c>
      <c r="AK261" s="182">
        <v>1.0311697266476201</v>
      </c>
      <c r="AL261" s="183">
        <v>-22.697109475696202</v>
      </c>
      <c r="AM261" s="168">
        <v>5.0000000000000001E-3</v>
      </c>
      <c r="AN261" s="168">
        <v>3.0000000000000001E-3</v>
      </c>
      <c r="AO261" s="176">
        <v>0</v>
      </c>
      <c r="AP261" s="176">
        <v>27</v>
      </c>
      <c r="AQ261" s="167"/>
      <c r="AR261" s="180">
        <v>18.399999999999999</v>
      </c>
      <c r="AS261" s="166">
        <v>7.3968561084772402</v>
      </c>
      <c r="AT261" s="181" t="s">
        <v>54</v>
      </c>
      <c r="AU261" s="173">
        <v>0.46230350677982701</v>
      </c>
      <c r="AV261" s="174">
        <v>-28.4056151049387</v>
      </c>
      <c r="AW261" s="168"/>
      <c r="AX261" s="168"/>
      <c r="AY261" s="176">
        <v>22</v>
      </c>
      <c r="AZ261" s="176">
        <v>30</v>
      </c>
      <c r="BA261" s="167"/>
      <c r="BB261" s="184">
        <v>93.6</v>
      </c>
      <c r="BC261" s="180">
        <v>37.6274854213842</v>
      </c>
      <c r="BD261" s="181" t="s">
        <v>55</v>
      </c>
      <c r="BE261" s="178">
        <v>1.17585891941826</v>
      </c>
      <c r="BF261" s="179">
        <v>-1.1230209877410901E-2</v>
      </c>
      <c r="BG261" s="168">
        <v>0.02</v>
      </c>
      <c r="BH261" s="168">
        <v>1.7999999999999999E-2</v>
      </c>
      <c r="BI261" s="176">
        <v>0</v>
      </c>
      <c r="BJ261" s="176">
        <v>2</v>
      </c>
      <c r="BK261" s="169"/>
      <c r="BL261" s="185">
        <v>0.8</v>
      </c>
      <c r="BM261" s="182">
        <v>0.9</v>
      </c>
      <c r="BN261" s="186">
        <v>3.7499999999999999E-3</v>
      </c>
      <c r="BO261" s="187">
        <v>0.95</v>
      </c>
      <c r="BP261" s="178">
        <v>1</v>
      </c>
      <c r="BQ261" s="186">
        <v>2.5000000000000001E-3</v>
      </c>
    </row>
    <row r="262" spans="1:69" s="156" customFormat="1" ht="22.35" customHeight="1" x14ac:dyDescent="0.2">
      <c r="A262" s="165" t="s">
        <v>275</v>
      </c>
      <c r="B262" s="165" t="s">
        <v>318</v>
      </c>
      <c r="C262" s="165" t="s">
        <v>331</v>
      </c>
      <c r="D262" s="166">
        <v>2.6455275504444402</v>
      </c>
      <c r="E262" s="167"/>
      <c r="F262" s="168">
        <v>7.0000000000000007E-2</v>
      </c>
      <c r="G262" s="168">
        <v>7.0000000000000007E-2</v>
      </c>
      <c r="H262" s="169"/>
      <c r="I262" s="170">
        <v>6</v>
      </c>
      <c r="J262" s="170">
        <v>6</v>
      </c>
      <c r="K262" s="167"/>
      <c r="L262" s="171">
        <v>419.31195000000002</v>
      </c>
      <c r="M262" s="171">
        <v>473.20605</v>
      </c>
      <c r="N262" s="171">
        <v>892.51800000000003</v>
      </c>
      <c r="O262" s="166">
        <v>337.36862798879503</v>
      </c>
      <c r="P262" s="172">
        <v>266.08300000000003</v>
      </c>
      <c r="Q262" s="178">
        <v>1.26790748747118</v>
      </c>
      <c r="R262" s="179">
        <v>64.696429127028395</v>
      </c>
      <c r="S262" s="168">
        <v>0.01</v>
      </c>
      <c r="T262" s="168">
        <v>0.01</v>
      </c>
      <c r="U262" s="175">
        <v>0</v>
      </c>
      <c r="V262" s="176">
        <v>0</v>
      </c>
      <c r="W262" s="167"/>
      <c r="X262" s="175">
        <v>1994.7981050000001</v>
      </c>
      <c r="Y262" s="166">
        <v>754.02658523245304</v>
      </c>
      <c r="Z262" s="177">
        <v>573</v>
      </c>
      <c r="AA262" s="178">
        <v>1.31592772291877</v>
      </c>
      <c r="AB262" s="179">
        <v>212.11465618811499</v>
      </c>
      <c r="AC262" s="168">
        <v>0.02</v>
      </c>
      <c r="AD262" s="168">
        <v>0.02</v>
      </c>
      <c r="AE262" s="176">
        <v>0</v>
      </c>
      <c r="AF262" s="176">
        <v>0</v>
      </c>
      <c r="AG262" s="167"/>
      <c r="AH262" s="180">
        <v>289.45</v>
      </c>
      <c r="AI262" s="166">
        <v>109.411069996747</v>
      </c>
      <c r="AJ262" s="181" t="s">
        <v>53</v>
      </c>
      <c r="AK262" s="178">
        <v>1.73668365074202</v>
      </c>
      <c r="AL262" s="179">
        <v>93.448154842672395</v>
      </c>
      <c r="AM262" s="168">
        <v>0.02</v>
      </c>
      <c r="AN262" s="168">
        <v>0.02</v>
      </c>
      <c r="AO262" s="176">
        <v>0</v>
      </c>
      <c r="AP262" s="176">
        <v>0</v>
      </c>
      <c r="AQ262" s="167"/>
      <c r="AR262" s="180">
        <v>36.200000000000003</v>
      </c>
      <c r="AS262" s="166">
        <v>13.6834711828718</v>
      </c>
      <c r="AT262" s="181" t="s">
        <v>54</v>
      </c>
      <c r="AU262" s="188">
        <v>0.85521694892948696</v>
      </c>
      <c r="AV262" s="171">
        <v>-13.578246389162601</v>
      </c>
      <c r="AW262" s="168"/>
      <c r="AX262" s="168"/>
      <c r="AY262" s="176">
        <v>7</v>
      </c>
      <c r="AZ262" s="176">
        <v>15</v>
      </c>
      <c r="BA262" s="167"/>
      <c r="BB262" s="184">
        <v>175.8</v>
      </c>
      <c r="BC262" s="180">
        <v>66.451774418476901</v>
      </c>
      <c r="BD262" s="181" t="s">
        <v>55</v>
      </c>
      <c r="BE262" s="178">
        <v>2.0766179505774001</v>
      </c>
      <c r="BF262" s="179">
        <v>76.243507221674903</v>
      </c>
      <c r="BG262" s="168">
        <v>0.02</v>
      </c>
      <c r="BH262" s="168">
        <v>0.02</v>
      </c>
      <c r="BI262" s="176">
        <v>0</v>
      </c>
      <c r="BJ262" s="176">
        <v>0</v>
      </c>
      <c r="BK262" s="169"/>
      <c r="BL262" s="185">
        <v>0.8</v>
      </c>
      <c r="BM262" s="182">
        <v>0.81</v>
      </c>
      <c r="BN262" s="186">
        <v>3.7500000000000001E-4</v>
      </c>
      <c r="BO262" s="187">
        <v>0.95</v>
      </c>
      <c r="BP262" s="178">
        <v>1</v>
      </c>
      <c r="BQ262" s="186">
        <v>2.5000000000000001E-3</v>
      </c>
    </row>
    <row r="263" spans="1:69" s="156" customFormat="1" ht="22.35" customHeight="1" x14ac:dyDescent="0.2">
      <c r="A263" s="165" t="s">
        <v>275</v>
      </c>
      <c r="B263" s="165" t="s">
        <v>318</v>
      </c>
      <c r="C263" s="165" t="s">
        <v>332</v>
      </c>
      <c r="D263" s="166">
        <v>2.5458872463333302</v>
      </c>
      <c r="E263" s="167"/>
      <c r="F263" s="168">
        <v>2.5999999999999999E-2</v>
      </c>
      <c r="G263" s="168">
        <v>2.4E-2</v>
      </c>
      <c r="H263" s="169"/>
      <c r="I263" s="170">
        <v>4</v>
      </c>
      <c r="J263" s="170">
        <v>4</v>
      </c>
      <c r="K263" s="167"/>
      <c r="L263" s="171">
        <v>1152.6405999999999</v>
      </c>
      <c r="M263" s="171">
        <v>1068.0595800000001</v>
      </c>
      <c r="N263" s="171">
        <v>2220.7001799999998</v>
      </c>
      <c r="O263" s="166">
        <v>872.26965106106798</v>
      </c>
      <c r="P263" s="172">
        <v>287.5</v>
      </c>
      <c r="Q263" s="178">
        <v>3.0339813949950201</v>
      </c>
      <c r="R263" s="179">
        <v>1359.9357020146999</v>
      </c>
      <c r="S263" s="168">
        <v>0.01</v>
      </c>
      <c r="T263" s="168">
        <v>0.01</v>
      </c>
      <c r="U263" s="175">
        <v>0</v>
      </c>
      <c r="V263" s="176">
        <v>0</v>
      </c>
      <c r="W263" s="167"/>
      <c r="X263" s="175">
        <v>1325.947995</v>
      </c>
      <c r="Y263" s="166">
        <v>520.81960696007695</v>
      </c>
      <c r="Z263" s="177">
        <v>573</v>
      </c>
      <c r="AA263" s="188">
        <v>0.90893474164062404</v>
      </c>
      <c r="AB263" s="171">
        <v>-389.59303416722099</v>
      </c>
      <c r="AC263" s="168"/>
      <c r="AD263" s="168"/>
      <c r="AE263" s="176">
        <v>133</v>
      </c>
      <c r="AF263" s="176">
        <v>425</v>
      </c>
      <c r="AG263" s="167"/>
      <c r="AH263" s="180">
        <v>123.95</v>
      </c>
      <c r="AI263" s="166">
        <v>48.686366679638603</v>
      </c>
      <c r="AJ263" s="181" t="s">
        <v>53</v>
      </c>
      <c r="AK263" s="173">
        <v>0.77279947110537395</v>
      </c>
      <c r="AL263" s="174">
        <v>-64.6696943063437</v>
      </c>
      <c r="AM263" s="168"/>
      <c r="AN263" s="168"/>
      <c r="AO263" s="176">
        <v>37</v>
      </c>
      <c r="AP263" s="176">
        <v>69</v>
      </c>
      <c r="AQ263" s="167"/>
      <c r="AR263" s="180">
        <v>10.8</v>
      </c>
      <c r="AS263" s="166">
        <v>4.2421360237200201</v>
      </c>
      <c r="AT263" s="181" t="s">
        <v>54</v>
      </c>
      <c r="AU263" s="173">
        <v>0.26513350148250098</v>
      </c>
      <c r="AV263" s="174">
        <v>-37.103414427007898</v>
      </c>
      <c r="AW263" s="168"/>
      <c r="AX263" s="168"/>
      <c r="AY263" s="176">
        <v>30</v>
      </c>
      <c r="AZ263" s="176">
        <v>39</v>
      </c>
      <c r="BA263" s="167"/>
      <c r="BB263" s="184">
        <v>92.6</v>
      </c>
      <c r="BC263" s="180">
        <v>36.372388499673498</v>
      </c>
      <c r="BD263" s="181" t="s">
        <v>55</v>
      </c>
      <c r="BE263" s="182">
        <v>1.1366371406147999</v>
      </c>
      <c r="BF263" s="183">
        <v>-3.2068288540158698</v>
      </c>
      <c r="BG263" s="168">
        <v>1.6E-2</v>
      </c>
      <c r="BH263" s="168">
        <v>1.4E-2</v>
      </c>
      <c r="BI263" s="176">
        <v>0</v>
      </c>
      <c r="BJ263" s="176">
        <v>6</v>
      </c>
      <c r="BK263" s="169"/>
      <c r="BL263" s="185">
        <v>0.8</v>
      </c>
      <c r="BM263" s="182">
        <v>0.81</v>
      </c>
      <c r="BN263" s="186">
        <v>3.7500000000000001E-4</v>
      </c>
      <c r="BO263" s="187">
        <v>0.95</v>
      </c>
      <c r="BP263" s="178">
        <v>1</v>
      </c>
      <c r="BQ263" s="186">
        <v>2.5000000000000001E-3</v>
      </c>
    </row>
    <row r="264" spans="1:69" s="156" customFormat="1" ht="22.35" customHeight="1" x14ac:dyDescent="0.2">
      <c r="A264" s="165" t="s">
        <v>275</v>
      </c>
      <c r="B264" s="165" t="s">
        <v>318</v>
      </c>
      <c r="C264" s="165" t="s">
        <v>333</v>
      </c>
      <c r="D264" s="166">
        <v>2.3152426593333302</v>
      </c>
      <c r="E264" s="167"/>
      <c r="F264" s="168">
        <v>2.4E-2</v>
      </c>
      <c r="G264" s="168">
        <v>2.1999999999999999E-2</v>
      </c>
      <c r="H264" s="169"/>
      <c r="I264" s="170">
        <v>4</v>
      </c>
      <c r="J264" s="170">
        <v>4</v>
      </c>
      <c r="K264" s="167"/>
      <c r="L264" s="171">
        <v>2295.4466000000002</v>
      </c>
      <c r="M264" s="171">
        <v>-1276.1294600000001</v>
      </c>
      <c r="N264" s="171">
        <v>1019.31714</v>
      </c>
      <c r="O264" s="166">
        <v>440.26363106729798</v>
      </c>
      <c r="P264" s="172">
        <v>247.95</v>
      </c>
      <c r="Q264" s="178">
        <v>1.77561456369146</v>
      </c>
      <c r="R264" s="179">
        <v>344.21738515912199</v>
      </c>
      <c r="S264" s="168">
        <v>0.01</v>
      </c>
      <c r="T264" s="168">
        <v>0.01</v>
      </c>
      <c r="U264" s="175">
        <v>0</v>
      </c>
      <c r="V264" s="176">
        <v>0</v>
      </c>
      <c r="W264" s="167"/>
      <c r="X264" s="175">
        <v>1479.6974949999999</v>
      </c>
      <c r="Y264" s="166">
        <v>639.11119166492597</v>
      </c>
      <c r="Z264" s="177">
        <v>573</v>
      </c>
      <c r="AA264" s="182">
        <v>1.11537729784455</v>
      </c>
      <c r="AB264" s="183">
        <v>-80.424140506445596</v>
      </c>
      <c r="AC264" s="168">
        <v>1.4E-2</v>
      </c>
      <c r="AD264" s="168">
        <v>1.2E-2</v>
      </c>
      <c r="AE264" s="176">
        <v>0</v>
      </c>
      <c r="AF264" s="176">
        <v>113</v>
      </c>
      <c r="AG264" s="167"/>
      <c r="AH264" s="180">
        <v>68.349999999999994</v>
      </c>
      <c r="AI264" s="166">
        <v>29.521743530624601</v>
      </c>
      <c r="AJ264" s="181" t="s">
        <v>53</v>
      </c>
      <c r="AK264" s="173">
        <v>0.46859910366070801</v>
      </c>
      <c r="AL264" s="174">
        <v>-103.181698144688</v>
      </c>
      <c r="AM264" s="168"/>
      <c r="AN264" s="168"/>
      <c r="AO264" s="176">
        <v>78</v>
      </c>
      <c r="AP264" s="176">
        <v>107</v>
      </c>
      <c r="AQ264" s="167"/>
      <c r="AR264" s="180">
        <v>7</v>
      </c>
      <c r="AS264" s="166">
        <v>3.02344118089791</v>
      </c>
      <c r="AT264" s="181" t="s">
        <v>54</v>
      </c>
      <c r="AU264" s="173">
        <v>0.18896507380611899</v>
      </c>
      <c r="AV264" s="174">
        <v>-36.563605878015899</v>
      </c>
      <c r="AW264" s="168"/>
      <c r="AX264" s="168"/>
      <c r="AY264" s="176">
        <v>31</v>
      </c>
      <c r="AZ264" s="176">
        <v>38</v>
      </c>
      <c r="BA264" s="167"/>
      <c r="BB264" s="184">
        <v>63</v>
      </c>
      <c r="BC264" s="180">
        <v>27.210970628081199</v>
      </c>
      <c r="BD264" s="181" t="s">
        <v>55</v>
      </c>
      <c r="BE264" s="188">
        <v>0.85034283212753803</v>
      </c>
      <c r="BF264" s="171">
        <v>-24.127211756031901</v>
      </c>
      <c r="BG264" s="168"/>
      <c r="BH264" s="168"/>
      <c r="BI264" s="176">
        <v>12</v>
      </c>
      <c r="BJ264" s="176">
        <v>26</v>
      </c>
      <c r="BK264" s="169"/>
      <c r="BL264" s="185">
        <v>0.8</v>
      </c>
      <c r="BM264" s="182">
        <v>0.86</v>
      </c>
      <c r="BN264" s="186">
        <v>2.2499999999999998E-3</v>
      </c>
      <c r="BO264" s="187">
        <v>0.95</v>
      </c>
      <c r="BP264" s="178">
        <v>1</v>
      </c>
      <c r="BQ264" s="186">
        <v>2.5000000000000001E-3</v>
      </c>
    </row>
    <row r="265" spans="1:69" s="156" customFormat="1" ht="22.35" customHeight="1" x14ac:dyDescent="0.2">
      <c r="A265" s="165" t="s">
        <v>275</v>
      </c>
      <c r="B265" s="165" t="s">
        <v>318</v>
      </c>
      <c r="C265" s="165" t="s">
        <v>334</v>
      </c>
      <c r="D265" s="166">
        <v>8.72427697</v>
      </c>
      <c r="E265" s="167"/>
      <c r="F265" s="168">
        <v>1.4E-2</v>
      </c>
      <c r="G265" s="168">
        <v>1.2E-2</v>
      </c>
      <c r="H265" s="169"/>
      <c r="I265" s="170">
        <v>3</v>
      </c>
      <c r="J265" s="170">
        <v>3</v>
      </c>
      <c r="K265" s="167"/>
      <c r="L265" s="171">
        <v>9807.5955400000003</v>
      </c>
      <c r="M265" s="171">
        <v>1224.3472099999999</v>
      </c>
      <c r="N265" s="171">
        <v>11031.94275</v>
      </c>
      <c r="O265" s="166">
        <v>1264.51083430012</v>
      </c>
      <c r="P265" s="172">
        <v>287.5</v>
      </c>
      <c r="Q265" s="178">
        <v>4.3982985540873702</v>
      </c>
      <c r="R265" s="179">
        <v>8082.2647064430003</v>
      </c>
      <c r="S265" s="168">
        <v>0.01</v>
      </c>
      <c r="T265" s="168">
        <v>0.01</v>
      </c>
      <c r="U265" s="175">
        <v>0</v>
      </c>
      <c r="V265" s="176">
        <v>0</v>
      </c>
      <c r="W265" s="167"/>
      <c r="X265" s="175">
        <v>3673.2817100000002</v>
      </c>
      <c r="Y265" s="166">
        <v>421.04139089476899</v>
      </c>
      <c r="Z265" s="177">
        <v>573</v>
      </c>
      <c r="AA265" s="173">
        <v>0.73480172931024201</v>
      </c>
      <c r="AB265" s="174">
        <v>-2205.5548776805599</v>
      </c>
      <c r="AC265" s="168"/>
      <c r="AD265" s="168"/>
      <c r="AE265" s="176">
        <v>1326</v>
      </c>
      <c r="AF265" s="176">
        <v>2326</v>
      </c>
      <c r="AG265" s="167"/>
      <c r="AH265" s="180">
        <v>490.75</v>
      </c>
      <c r="AI265" s="166">
        <v>56.251079795785103</v>
      </c>
      <c r="AJ265" s="181" t="s">
        <v>53</v>
      </c>
      <c r="AK265" s="188">
        <v>0.892874282472779</v>
      </c>
      <c r="AL265" s="171">
        <v>-155.61423215336001</v>
      </c>
      <c r="AM265" s="168"/>
      <c r="AN265" s="168"/>
      <c r="AO265" s="176">
        <v>59</v>
      </c>
      <c r="AP265" s="176">
        <v>169</v>
      </c>
      <c r="AQ265" s="167"/>
      <c r="AR265" s="180">
        <v>24.6</v>
      </c>
      <c r="AS265" s="166">
        <v>2.8197179072365</v>
      </c>
      <c r="AT265" s="181" t="s">
        <v>54</v>
      </c>
      <c r="AU265" s="173">
        <v>0.176232369202281</v>
      </c>
      <c r="AV265" s="174">
        <v>-139.55599546752001</v>
      </c>
      <c r="AW265" s="168"/>
      <c r="AX265" s="168"/>
      <c r="AY265" s="176">
        <v>115</v>
      </c>
      <c r="AZ265" s="176">
        <v>143</v>
      </c>
      <c r="BA265" s="167"/>
      <c r="BB265" s="184">
        <v>284</v>
      </c>
      <c r="BC265" s="180">
        <v>32.552840880291299</v>
      </c>
      <c r="BD265" s="181" t="s">
        <v>55</v>
      </c>
      <c r="BE265" s="182">
        <v>1.0172762775091</v>
      </c>
      <c r="BF265" s="183">
        <v>-44.311990935040001</v>
      </c>
      <c r="BG265" s="168">
        <v>4.0000000000000001E-3</v>
      </c>
      <c r="BH265" s="168">
        <v>2E-3</v>
      </c>
      <c r="BI265" s="176">
        <v>0</v>
      </c>
      <c r="BJ265" s="176">
        <v>52</v>
      </c>
      <c r="BK265" s="169"/>
      <c r="BL265" s="185">
        <v>0.8</v>
      </c>
      <c r="BM265" s="188">
        <v>0.73</v>
      </c>
      <c r="BN265" s="186"/>
      <c r="BO265" s="187">
        <v>0.95</v>
      </c>
      <c r="BP265" s="178">
        <v>1</v>
      </c>
      <c r="BQ265" s="186">
        <v>2.5000000000000001E-3</v>
      </c>
    </row>
    <row r="266" spans="1:69" s="156" customFormat="1" ht="22.35" customHeight="1" x14ac:dyDescent="0.2">
      <c r="A266" s="165" t="s">
        <v>275</v>
      </c>
      <c r="B266" s="165" t="s">
        <v>318</v>
      </c>
      <c r="C266" s="165" t="s">
        <v>335</v>
      </c>
      <c r="D266" s="166">
        <v>1.9537440934444401</v>
      </c>
      <c r="E266" s="167"/>
      <c r="F266" s="168">
        <v>0.08</v>
      </c>
      <c r="G266" s="168">
        <v>0.08</v>
      </c>
      <c r="H266" s="169"/>
      <c r="I266" s="170">
        <v>7</v>
      </c>
      <c r="J266" s="170">
        <v>7</v>
      </c>
      <c r="K266" s="167"/>
      <c r="L266" s="171">
        <v>1543.88888</v>
      </c>
      <c r="M266" s="171">
        <v>3145.6570000000002</v>
      </c>
      <c r="N266" s="171">
        <v>4689.5458799999997</v>
      </c>
      <c r="O266" s="166">
        <v>2400.2866576719098</v>
      </c>
      <c r="P266" s="172">
        <v>242.66300000000001</v>
      </c>
      <c r="Q266" s="178">
        <v>9.8914406303058495</v>
      </c>
      <c r="R266" s="179">
        <v>4132.0026301337302</v>
      </c>
      <c r="S266" s="168">
        <v>0.01</v>
      </c>
      <c r="T266" s="168">
        <v>0.01</v>
      </c>
      <c r="U266" s="175">
        <v>0</v>
      </c>
      <c r="V266" s="176">
        <v>0</v>
      </c>
      <c r="W266" s="167"/>
      <c r="X266" s="175">
        <v>1777.197635</v>
      </c>
      <c r="Y266" s="166">
        <v>909.63685621017305</v>
      </c>
      <c r="Z266" s="177">
        <v>573</v>
      </c>
      <c r="AA266" s="178">
        <v>1.5874988764575499</v>
      </c>
      <c r="AB266" s="179">
        <v>460.67108512065101</v>
      </c>
      <c r="AC266" s="168">
        <v>0.02</v>
      </c>
      <c r="AD266" s="168">
        <v>0.02</v>
      </c>
      <c r="AE266" s="176">
        <v>0</v>
      </c>
      <c r="AF266" s="176">
        <v>0</v>
      </c>
      <c r="AG266" s="167"/>
      <c r="AH266" s="180">
        <v>161.19999999999999</v>
      </c>
      <c r="AI266" s="166">
        <v>82.508246878845299</v>
      </c>
      <c r="AJ266" s="181" t="s">
        <v>53</v>
      </c>
      <c r="AK266" s="178">
        <v>1.3096547123626201</v>
      </c>
      <c r="AL266" s="179">
        <v>16.4510076048884</v>
      </c>
      <c r="AM266" s="168">
        <v>0.02</v>
      </c>
      <c r="AN266" s="168">
        <v>0.02</v>
      </c>
      <c r="AO266" s="176">
        <v>0</v>
      </c>
      <c r="AP266" s="176">
        <v>0</v>
      </c>
      <c r="AQ266" s="167"/>
      <c r="AR266" s="180">
        <v>45.7</v>
      </c>
      <c r="AS266" s="166">
        <v>23.390985622600699</v>
      </c>
      <c r="AT266" s="181" t="s">
        <v>54</v>
      </c>
      <c r="AU266" s="178">
        <v>1.4619366014125399</v>
      </c>
      <c r="AV266" s="179">
        <v>8.9383511377494198</v>
      </c>
      <c r="AW266" s="168">
        <v>0.01</v>
      </c>
      <c r="AX266" s="168">
        <v>0.01</v>
      </c>
      <c r="AY266" s="176">
        <v>0</v>
      </c>
      <c r="AZ266" s="176">
        <v>0</v>
      </c>
      <c r="BA266" s="167"/>
      <c r="BB266" s="184">
        <v>103.8</v>
      </c>
      <c r="BC266" s="180">
        <v>53.128759466650997</v>
      </c>
      <c r="BD266" s="181" t="s">
        <v>55</v>
      </c>
      <c r="BE266" s="178">
        <v>1.6602737333328399</v>
      </c>
      <c r="BF266" s="179">
        <v>30.276702275498799</v>
      </c>
      <c r="BG266" s="168">
        <v>0.02</v>
      </c>
      <c r="BH266" s="168">
        <v>0.02</v>
      </c>
      <c r="BI266" s="176">
        <v>0</v>
      </c>
      <c r="BJ266" s="176">
        <v>0</v>
      </c>
      <c r="BK266" s="169"/>
      <c r="BL266" s="185">
        <v>0.8</v>
      </c>
      <c r="BM266" s="182">
        <v>0.88</v>
      </c>
      <c r="BN266" s="186">
        <v>3.0000000000000001E-3</v>
      </c>
      <c r="BO266" s="187">
        <v>0.95</v>
      </c>
      <c r="BP266" s="178">
        <v>1</v>
      </c>
      <c r="BQ266" s="186">
        <v>2.5000000000000001E-3</v>
      </c>
    </row>
    <row r="267" spans="1:69" s="156" customFormat="1" ht="22.35" customHeight="1" x14ac:dyDescent="0.2">
      <c r="A267" s="165" t="s">
        <v>275</v>
      </c>
      <c r="B267" s="165" t="s">
        <v>318</v>
      </c>
      <c r="C267" s="165" t="s">
        <v>336</v>
      </c>
      <c r="D267" s="166">
        <v>1.6595588506666701</v>
      </c>
      <c r="E267" s="167"/>
      <c r="F267" s="168"/>
      <c r="G267" s="168"/>
      <c r="H267" s="169"/>
      <c r="I267" s="170">
        <v>1</v>
      </c>
      <c r="J267" s="170">
        <v>1</v>
      </c>
      <c r="K267" s="167"/>
      <c r="L267" s="171"/>
      <c r="M267" s="171">
        <v>149.07517000000001</v>
      </c>
      <c r="N267" s="171">
        <v>149.07517000000001</v>
      </c>
      <c r="O267" s="166">
        <v>89.828191353451899</v>
      </c>
      <c r="P267" s="172">
        <v>287.5</v>
      </c>
      <c r="Q267" s="173">
        <v>0.31244588296852799</v>
      </c>
      <c r="R267" s="174">
        <v>-412.02167741040103</v>
      </c>
      <c r="S267" s="168"/>
      <c r="T267" s="168"/>
      <c r="U267" s="175">
        <v>329</v>
      </c>
      <c r="V267" s="176">
        <v>424</v>
      </c>
      <c r="W267" s="167"/>
      <c r="X267" s="175">
        <v>186.24148</v>
      </c>
      <c r="Y267" s="166">
        <v>112.223486335049</v>
      </c>
      <c r="Z267" s="177">
        <v>573</v>
      </c>
      <c r="AA267" s="173">
        <v>0.19585250669293</v>
      </c>
      <c r="AB267" s="174">
        <v>-932.04893240403396</v>
      </c>
      <c r="AC267" s="168"/>
      <c r="AD267" s="168"/>
      <c r="AE267" s="176">
        <v>765</v>
      </c>
      <c r="AF267" s="176">
        <v>955</v>
      </c>
      <c r="AG267" s="167"/>
      <c r="AH267" s="180">
        <v>13.8</v>
      </c>
      <c r="AI267" s="166">
        <v>8.3154628680123999</v>
      </c>
      <c r="AJ267" s="181" t="s">
        <v>53</v>
      </c>
      <c r="AK267" s="173">
        <v>0.13199147409543499</v>
      </c>
      <c r="AL267" s="174">
        <v>-109.153396128192</v>
      </c>
      <c r="AM267" s="168"/>
      <c r="AN267" s="168"/>
      <c r="AO267" s="176">
        <v>91</v>
      </c>
      <c r="AP267" s="176">
        <v>112</v>
      </c>
      <c r="AQ267" s="167"/>
      <c r="AR267" s="180"/>
      <c r="AS267" s="166" t="s">
        <v>145</v>
      </c>
      <c r="AT267" s="181" t="s">
        <v>54</v>
      </c>
      <c r="AU267" s="173"/>
      <c r="AV267" s="174"/>
      <c r="AW267" s="168"/>
      <c r="AX267" s="168"/>
      <c r="AY267" s="176">
        <v>27</v>
      </c>
      <c r="AZ267" s="176">
        <v>32</v>
      </c>
      <c r="BA267" s="167"/>
      <c r="BB267" s="184">
        <v>1</v>
      </c>
      <c r="BC267" s="180">
        <v>0.60256977304437698</v>
      </c>
      <c r="BD267" s="181" t="s">
        <v>55</v>
      </c>
      <c r="BE267" s="173">
        <v>1.8830305407636801E-2</v>
      </c>
      <c r="BF267" s="174">
        <v>-61.4525186682881</v>
      </c>
      <c r="BG267" s="168"/>
      <c r="BH267" s="168"/>
      <c r="BI267" s="176">
        <v>53</v>
      </c>
      <c r="BJ267" s="176">
        <v>63</v>
      </c>
      <c r="BK267" s="169"/>
      <c r="BL267" s="185">
        <v>0.8</v>
      </c>
      <c r="BM267" s="173"/>
      <c r="BN267" s="186"/>
      <c r="BO267" s="187">
        <v>0.95</v>
      </c>
      <c r="BP267" s="178">
        <v>1</v>
      </c>
      <c r="BQ267" s="186">
        <v>2.5000000000000001E-3</v>
      </c>
    </row>
    <row r="268" spans="1:69" s="156" customFormat="1" ht="22.35" customHeight="1" x14ac:dyDescent="0.2">
      <c r="A268" s="165" t="s">
        <v>275</v>
      </c>
      <c r="B268" s="165" t="s">
        <v>318</v>
      </c>
      <c r="C268" s="165" t="s">
        <v>337</v>
      </c>
      <c r="D268" s="166">
        <v>1.9110045248888901</v>
      </c>
      <c r="E268" s="167"/>
      <c r="F268" s="168">
        <v>7.9500000000000001E-2</v>
      </c>
      <c r="G268" s="168">
        <v>7.85E-2</v>
      </c>
      <c r="H268" s="169"/>
      <c r="I268" s="170">
        <v>6</v>
      </c>
      <c r="J268" s="170">
        <v>6</v>
      </c>
      <c r="K268" s="167"/>
      <c r="L268" s="171">
        <v>992.47204999999997</v>
      </c>
      <c r="M268" s="171">
        <v>1176.9031600000001</v>
      </c>
      <c r="N268" s="171">
        <v>2169.3752100000002</v>
      </c>
      <c r="O268" s="166">
        <v>1135.20150357893</v>
      </c>
      <c r="P268" s="172">
        <v>245.202</v>
      </c>
      <c r="Q268" s="178">
        <v>4.6296584186871597</v>
      </c>
      <c r="R268" s="179">
        <v>1618.3226233421201</v>
      </c>
      <c r="S268" s="168">
        <v>0.01</v>
      </c>
      <c r="T268" s="168">
        <v>0.01</v>
      </c>
      <c r="U268" s="175">
        <v>0</v>
      </c>
      <c r="V268" s="176">
        <v>0</v>
      </c>
      <c r="W268" s="167"/>
      <c r="X268" s="175">
        <v>1426.083005</v>
      </c>
      <c r="Y268" s="166">
        <v>746.24784317709396</v>
      </c>
      <c r="Z268" s="177">
        <v>573</v>
      </c>
      <c r="AA268" s="178">
        <v>1.3023522568535699</v>
      </c>
      <c r="AB268" s="179">
        <v>138.35642791267199</v>
      </c>
      <c r="AC268" s="168">
        <v>0.02</v>
      </c>
      <c r="AD268" s="168">
        <v>0.02</v>
      </c>
      <c r="AE268" s="176">
        <v>0</v>
      </c>
      <c r="AF268" s="176">
        <v>0</v>
      </c>
      <c r="AG268" s="167"/>
      <c r="AH268" s="180">
        <v>167.7</v>
      </c>
      <c r="AI268" s="166">
        <v>87.754894253717396</v>
      </c>
      <c r="AJ268" s="181" t="s">
        <v>53</v>
      </c>
      <c r="AK268" s="178">
        <v>1.39293482942409</v>
      </c>
      <c r="AL268" s="179">
        <v>26.117496760032001</v>
      </c>
      <c r="AM268" s="168">
        <v>0.02</v>
      </c>
      <c r="AN268" s="168">
        <v>0.02</v>
      </c>
      <c r="AO268" s="176">
        <v>0</v>
      </c>
      <c r="AP268" s="176">
        <v>0</v>
      </c>
      <c r="AQ268" s="167"/>
      <c r="AR268" s="180">
        <v>35.799999999999997</v>
      </c>
      <c r="AS268" s="166">
        <v>18.733602947424501</v>
      </c>
      <c r="AT268" s="181" t="s">
        <v>54</v>
      </c>
      <c r="AU268" s="182">
        <v>1.17085018421403</v>
      </c>
      <c r="AV268" s="183">
        <v>-0.15746114030934399</v>
      </c>
      <c r="AW268" s="168">
        <v>9.4999999999999998E-3</v>
      </c>
      <c r="AX268" s="168">
        <v>8.5000000000000006E-3</v>
      </c>
      <c r="AY268" s="176">
        <v>0</v>
      </c>
      <c r="AZ268" s="176">
        <v>1</v>
      </c>
      <c r="BA268" s="167"/>
      <c r="BB268" s="184">
        <v>130</v>
      </c>
      <c r="BC268" s="180">
        <v>68.027049809083294</v>
      </c>
      <c r="BD268" s="181" t="s">
        <v>55</v>
      </c>
      <c r="BE268" s="178">
        <v>2.1258453065338498</v>
      </c>
      <c r="BF268" s="179">
        <v>58.085077719381303</v>
      </c>
      <c r="BG268" s="168">
        <v>0.02</v>
      </c>
      <c r="BH268" s="168">
        <v>0.02</v>
      </c>
      <c r="BI268" s="176">
        <v>0</v>
      </c>
      <c r="BJ268" s="176">
        <v>0</v>
      </c>
      <c r="BK268" s="169"/>
      <c r="BL268" s="185">
        <v>0.8</v>
      </c>
      <c r="BM268" s="188">
        <v>0.77</v>
      </c>
      <c r="BN268" s="186"/>
      <c r="BO268" s="187">
        <v>0.95</v>
      </c>
      <c r="BP268" s="178">
        <v>1</v>
      </c>
      <c r="BQ268" s="186">
        <v>2.5000000000000001E-3</v>
      </c>
    </row>
    <row r="269" spans="1:69" s="156" customFormat="1" ht="22.35" customHeight="1" x14ac:dyDescent="0.2">
      <c r="A269" s="165" t="s">
        <v>275</v>
      </c>
      <c r="B269" s="165" t="s">
        <v>318</v>
      </c>
      <c r="C269" s="165" t="s">
        <v>338</v>
      </c>
      <c r="D269" s="166">
        <v>4.3293466174444397</v>
      </c>
      <c r="E269" s="167"/>
      <c r="F269" s="168">
        <v>2.4E-2</v>
      </c>
      <c r="G269" s="168">
        <v>2.1999999999999999E-2</v>
      </c>
      <c r="H269" s="169"/>
      <c r="I269" s="170">
        <v>3</v>
      </c>
      <c r="J269" s="170">
        <v>3</v>
      </c>
      <c r="K269" s="167"/>
      <c r="L269" s="171">
        <v>2153.5802699999999</v>
      </c>
      <c r="M269" s="171">
        <v>856.62224000000003</v>
      </c>
      <c r="N269" s="171">
        <v>3010.2025100000001</v>
      </c>
      <c r="O269" s="166">
        <v>695.30180324921196</v>
      </c>
      <c r="P269" s="172">
        <v>287.5</v>
      </c>
      <c r="Q269" s="178">
        <v>2.41844105477987</v>
      </c>
      <c r="R269" s="179">
        <v>1546.4504186420299</v>
      </c>
      <c r="S269" s="168">
        <v>0.01</v>
      </c>
      <c r="T269" s="168">
        <v>0.01</v>
      </c>
      <c r="U269" s="175">
        <v>0</v>
      </c>
      <c r="V269" s="176">
        <v>0</v>
      </c>
      <c r="W269" s="167"/>
      <c r="X269" s="175">
        <v>2352.364955</v>
      </c>
      <c r="Y269" s="166">
        <v>543.35334240079203</v>
      </c>
      <c r="Z269" s="177">
        <v>573</v>
      </c>
      <c r="AA269" s="188">
        <v>0.94826063246211401</v>
      </c>
      <c r="AB269" s="171">
        <v>-564.95660447170098</v>
      </c>
      <c r="AC269" s="168"/>
      <c r="AD269" s="168"/>
      <c r="AE269" s="176">
        <v>129</v>
      </c>
      <c r="AF269" s="176">
        <v>625</v>
      </c>
      <c r="AG269" s="167"/>
      <c r="AH269" s="180">
        <v>208.3</v>
      </c>
      <c r="AI269" s="166">
        <v>48.113495731824003</v>
      </c>
      <c r="AJ269" s="181" t="s">
        <v>53</v>
      </c>
      <c r="AK269" s="173">
        <v>0.76370628145752395</v>
      </c>
      <c r="AL269" s="174">
        <v>-112.45263219322401</v>
      </c>
      <c r="AM269" s="168"/>
      <c r="AN269" s="168"/>
      <c r="AO269" s="176">
        <v>65</v>
      </c>
      <c r="AP269" s="176">
        <v>119</v>
      </c>
      <c r="AQ269" s="167"/>
      <c r="AR269" s="180">
        <v>30.6</v>
      </c>
      <c r="AS269" s="166">
        <v>7.0680411396726601</v>
      </c>
      <c r="AT269" s="181" t="s">
        <v>54</v>
      </c>
      <c r="AU269" s="173">
        <v>0.44175257122954098</v>
      </c>
      <c r="AV269" s="174">
        <v>-50.8609859538346</v>
      </c>
      <c r="AW269" s="168"/>
      <c r="AX269" s="168"/>
      <c r="AY269" s="176">
        <v>39</v>
      </c>
      <c r="AZ269" s="176">
        <v>53</v>
      </c>
      <c r="BA269" s="167"/>
      <c r="BB269" s="184">
        <v>154.80000000000001</v>
      </c>
      <c r="BC269" s="180">
        <v>35.755972824226397</v>
      </c>
      <c r="BD269" s="181" t="s">
        <v>55</v>
      </c>
      <c r="BE269" s="182">
        <v>1.11737415075707</v>
      </c>
      <c r="BF269" s="183">
        <v>-8.1219719076691508</v>
      </c>
      <c r="BG269" s="168">
        <v>1.4E-2</v>
      </c>
      <c r="BH269" s="168">
        <v>1.2E-2</v>
      </c>
      <c r="BI269" s="176">
        <v>0</v>
      </c>
      <c r="BJ269" s="176">
        <v>12</v>
      </c>
      <c r="BK269" s="169"/>
      <c r="BL269" s="185">
        <v>0.8</v>
      </c>
      <c r="BM269" s="188">
        <v>0.8</v>
      </c>
      <c r="BN269" s="186">
        <v>0</v>
      </c>
      <c r="BO269" s="187">
        <v>0.95</v>
      </c>
      <c r="BP269" s="178">
        <v>1</v>
      </c>
      <c r="BQ269" s="186">
        <v>2.5000000000000001E-3</v>
      </c>
    </row>
    <row r="270" spans="1:69" s="156" customFormat="1" ht="22.35" customHeight="1" x14ac:dyDescent="0.2">
      <c r="A270" s="165" t="s">
        <v>339</v>
      </c>
      <c r="B270" s="165" t="s">
        <v>340</v>
      </c>
      <c r="C270" s="165" t="s">
        <v>341</v>
      </c>
      <c r="D270" s="166">
        <v>3.4371100664444398</v>
      </c>
      <c r="E270" s="167"/>
      <c r="F270" s="168">
        <v>0.01</v>
      </c>
      <c r="G270" s="168">
        <v>0.01</v>
      </c>
      <c r="H270" s="169"/>
      <c r="I270" s="170">
        <v>3</v>
      </c>
      <c r="J270" s="170">
        <v>3</v>
      </c>
      <c r="K270" s="167"/>
      <c r="L270" s="171">
        <v>1867.4073800000001</v>
      </c>
      <c r="M270" s="171">
        <v>2687.13157</v>
      </c>
      <c r="N270" s="171">
        <v>4554.5389500000001</v>
      </c>
      <c r="O270" s="166">
        <v>1325.1070992647899</v>
      </c>
      <c r="P270" s="172">
        <v>242.35900000000001</v>
      </c>
      <c r="Q270" s="178">
        <v>5.4675382356949402</v>
      </c>
      <c r="R270" s="179">
        <v>3574.9138290941501</v>
      </c>
      <c r="S270" s="168">
        <v>0.01</v>
      </c>
      <c r="T270" s="168">
        <v>0.01</v>
      </c>
      <c r="U270" s="175">
        <v>0</v>
      </c>
      <c r="V270" s="176">
        <v>0</v>
      </c>
      <c r="W270" s="167"/>
      <c r="X270" s="175">
        <v>1403.34959</v>
      </c>
      <c r="Y270" s="166">
        <v>408.29346831238098</v>
      </c>
      <c r="Z270" s="177">
        <v>573</v>
      </c>
      <c r="AA270" s="173">
        <v>0.71255404592038496</v>
      </c>
      <c r="AB270" s="174">
        <v>-912.74015405345301</v>
      </c>
      <c r="AC270" s="168"/>
      <c r="AD270" s="168"/>
      <c r="AE270" s="176">
        <v>567</v>
      </c>
      <c r="AF270" s="176">
        <v>961</v>
      </c>
      <c r="AG270" s="167"/>
      <c r="AH270" s="180">
        <v>134.6</v>
      </c>
      <c r="AI270" s="166">
        <v>39.160805850840397</v>
      </c>
      <c r="AJ270" s="181" t="s">
        <v>53</v>
      </c>
      <c r="AK270" s="173">
        <v>0.62160009287048201</v>
      </c>
      <c r="AL270" s="174">
        <v>-120.04861060273601</v>
      </c>
      <c r="AM270" s="168"/>
      <c r="AN270" s="168"/>
      <c r="AO270" s="176">
        <v>82</v>
      </c>
      <c r="AP270" s="176">
        <v>126</v>
      </c>
      <c r="AQ270" s="167"/>
      <c r="AR270" s="180">
        <v>15.8</v>
      </c>
      <c r="AS270" s="166">
        <v>4.5968850850169298</v>
      </c>
      <c r="AT270" s="181" t="s">
        <v>54</v>
      </c>
      <c r="AU270" s="173">
        <v>0.287305317813558</v>
      </c>
      <c r="AV270" s="174">
        <v>-48.872663010218602</v>
      </c>
      <c r="AW270" s="168"/>
      <c r="AX270" s="168"/>
      <c r="AY270" s="176">
        <v>40</v>
      </c>
      <c r="AZ270" s="176">
        <v>51</v>
      </c>
      <c r="BA270" s="167"/>
      <c r="BB270" s="184">
        <v>95.6</v>
      </c>
      <c r="BC270" s="180">
        <v>27.814064185292299</v>
      </c>
      <c r="BD270" s="181" t="s">
        <v>55</v>
      </c>
      <c r="BE270" s="188">
        <v>0.86918950579038401</v>
      </c>
      <c r="BF270" s="171">
        <v>-33.745326020437098</v>
      </c>
      <c r="BG270" s="168"/>
      <c r="BH270" s="168"/>
      <c r="BI270" s="176">
        <v>15</v>
      </c>
      <c r="BJ270" s="176">
        <v>37</v>
      </c>
      <c r="BK270" s="169"/>
      <c r="BL270" s="185">
        <v>0.8</v>
      </c>
      <c r="BM270" s="182">
        <v>0.84</v>
      </c>
      <c r="BN270" s="186">
        <v>1.5E-3</v>
      </c>
      <c r="BO270" s="187">
        <v>0.95</v>
      </c>
      <c r="BP270" s="178">
        <v>1</v>
      </c>
      <c r="BQ270" s="186">
        <v>2.5000000000000001E-3</v>
      </c>
    </row>
    <row r="271" spans="1:69" s="156" customFormat="1" ht="22.35" customHeight="1" x14ac:dyDescent="0.2">
      <c r="A271" s="165" t="s">
        <v>339</v>
      </c>
      <c r="B271" s="165" t="s">
        <v>340</v>
      </c>
      <c r="C271" s="165" t="s">
        <v>342</v>
      </c>
      <c r="D271" s="166">
        <v>2.6865209235555598</v>
      </c>
      <c r="E271" s="167"/>
      <c r="F271" s="168">
        <v>4.7E-2</v>
      </c>
      <c r="G271" s="168">
        <v>4.3999999999999997E-2</v>
      </c>
      <c r="H271" s="169"/>
      <c r="I271" s="170">
        <v>4</v>
      </c>
      <c r="J271" s="170">
        <v>4</v>
      </c>
      <c r="K271" s="167"/>
      <c r="L271" s="171">
        <v>1274.1777500000001</v>
      </c>
      <c r="M271" s="171">
        <v>-26.32264</v>
      </c>
      <c r="N271" s="171">
        <v>1247.85511</v>
      </c>
      <c r="O271" s="166">
        <v>464.48739671399602</v>
      </c>
      <c r="P271" s="172">
        <v>212.5</v>
      </c>
      <c r="Q271" s="178">
        <v>2.1858230433599801</v>
      </c>
      <c r="R271" s="179">
        <v>576.49353120346598</v>
      </c>
      <c r="S271" s="168">
        <v>0.01</v>
      </c>
      <c r="T271" s="168">
        <v>0.01</v>
      </c>
      <c r="U271" s="175">
        <v>0</v>
      </c>
      <c r="V271" s="176">
        <v>0</v>
      </c>
      <c r="W271" s="167"/>
      <c r="X271" s="175">
        <v>1884.6997699999999</v>
      </c>
      <c r="Y271" s="166">
        <v>701.539211355048</v>
      </c>
      <c r="Z271" s="177">
        <v>573</v>
      </c>
      <c r="AA271" s="178">
        <v>1.22432672138752</v>
      </c>
      <c r="AB271" s="179">
        <v>74.393018703933194</v>
      </c>
      <c r="AC271" s="168">
        <v>0.02</v>
      </c>
      <c r="AD271" s="168">
        <v>0.02</v>
      </c>
      <c r="AE271" s="176">
        <v>0</v>
      </c>
      <c r="AF271" s="176">
        <v>0</v>
      </c>
      <c r="AG271" s="167"/>
      <c r="AH271" s="180">
        <v>159.9</v>
      </c>
      <c r="AI271" s="166">
        <v>59.5193577678805</v>
      </c>
      <c r="AJ271" s="181" t="s">
        <v>53</v>
      </c>
      <c r="AK271" s="188">
        <v>0.94475171060127905</v>
      </c>
      <c r="AL271" s="171">
        <v>-39.138962184384297</v>
      </c>
      <c r="AM271" s="168"/>
      <c r="AN271" s="168"/>
      <c r="AO271" s="176">
        <v>10</v>
      </c>
      <c r="AP271" s="176">
        <v>44</v>
      </c>
      <c r="AQ271" s="167"/>
      <c r="AR271" s="180">
        <v>16</v>
      </c>
      <c r="AS271" s="166">
        <v>5.9556580630774798</v>
      </c>
      <c r="AT271" s="181" t="s">
        <v>54</v>
      </c>
      <c r="AU271" s="173">
        <v>0.37222862894234199</v>
      </c>
      <c r="AV271" s="174">
        <v>-34.549577697621402</v>
      </c>
      <c r="AW271" s="168"/>
      <c r="AX271" s="168"/>
      <c r="AY271" s="176">
        <v>27</v>
      </c>
      <c r="AZ271" s="176">
        <v>36</v>
      </c>
      <c r="BA271" s="167"/>
      <c r="BB271" s="184">
        <v>98.4</v>
      </c>
      <c r="BC271" s="180">
        <v>36.6272970879265</v>
      </c>
      <c r="BD271" s="181" t="s">
        <v>55</v>
      </c>
      <c r="BE271" s="182">
        <v>1.1446030339977</v>
      </c>
      <c r="BF271" s="183">
        <v>-2.6991553952428098</v>
      </c>
      <c r="BG271" s="168">
        <v>1.7000000000000001E-2</v>
      </c>
      <c r="BH271" s="168">
        <v>1.4E-2</v>
      </c>
      <c r="BI271" s="176">
        <v>0</v>
      </c>
      <c r="BJ271" s="176">
        <v>5</v>
      </c>
      <c r="BK271" s="169"/>
      <c r="BL271" s="185">
        <v>0.8</v>
      </c>
      <c r="BM271" s="188">
        <v>0.76</v>
      </c>
      <c r="BN271" s="186"/>
      <c r="BO271" s="187">
        <v>0.95</v>
      </c>
      <c r="BP271" s="178">
        <v>1</v>
      </c>
      <c r="BQ271" s="186">
        <v>2.5000000000000001E-3</v>
      </c>
    </row>
    <row r="272" spans="1:69" s="156" customFormat="1" ht="22.35" customHeight="1" x14ac:dyDescent="0.2">
      <c r="A272" s="165" t="s">
        <v>339</v>
      </c>
      <c r="B272" s="165" t="s">
        <v>340</v>
      </c>
      <c r="C272" s="165" t="s">
        <v>343</v>
      </c>
      <c r="D272" s="166">
        <v>1</v>
      </c>
      <c r="E272" s="167"/>
      <c r="F272" s="168">
        <v>0.03</v>
      </c>
      <c r="G272" s="168">
        <v>0.03</v>
      </c>
      <c r="H272" s="169"/>
      <c r="I272" s="170">
        <v>4</v>
      </c>
      <c r="J272" s="170">
        <v>4</v>
      </c>
      <c r="K272" s="167"/>
      <c r="L272" s="171">
        <v>578.85206000000005</v>
      </c>
      <c r="M272" s="171">
        <v>196.58707000000001</v>
      </c>
      <c r="N272" s="171">
        <v>775.43912999999998</v>
      </c>
      <c r="O272" s="166">
        <v>775.43912999999998</v>
      </c>
      <c r="P272" s="172">
        <v>212.5</v>
      </c>
      <c r="Q272" s="178">
        <v>3.6491253176470599</v>
      </c>
      <c r="R272" s="179">
        <v>525.53913</v>
      </c>
      <c r="S272" s="168">
        <v>0.01</v>
      </c>
      <c r="T272" s="168">
        <v>0.01</v>
      </c>
      <c r="U272" s="175">
        <v>0</v>
      </c>
      <c r="V272" s="176">
        <v>0</v>
      </c>
      <c r="W272" s="167"/>
      <c r="X272" s="175">
        <v>350.64173499999998</v>
      </c>
      <c r="Y272" s="166">
        <v>350.64173499999998</v>
      </c>
      <c r="Z272" s="177">
        <v>573</v>
      </c>
      <c r="AA272" s="173">
        <v>0.61194020069807997</v>
      </c>
      <c r="AB272" s="174">
        <v>-323.20626499999997</v>
      </c>
      <c r="AC272" s="168"/>
      <c r="AD272" s="168"/>
      <c r="AE272" s="176">
        <v>223</v>
      </c>
      <c r="AF272" s="176">
        <v>337</v>
      </c>
      <c r="AG272" s="167"/>
      <c r="AH272" s="180">
        <v>52.7</v>
      </c>
      <c r="AI272" s="166">
        <v>52.7</v>
      </c>
      <c r="AJ272" s="181" t="s">
        <v>53</v>
      </c>
      <c r="AK272" s="188">
        <v>0.83650793650793698</v>
      </c>
      <c r="AL272" s="171">
        <v>-21.388000000000002</v>
      </c>
      <c r="AM272" s="168"/>
      <c r="AN272" s="168"/>
      <c r="AO272" s="176">
        <v>11</v>
      </c>
      <c r="AP272" s="176">
        <v>23</v>
      </c>
      <c r="AQ272" s="167"/>
      <c r="AR272" s="180">
        <v>1</v>
      </c>
      <c r="AS272" s="166">
        <v>1</v>
      </c>
      <c r="AT272" s="181" t="s">
        <v>54</v>
      </c>
      <c r="AU272" s="173">
        <v>6.25E-2</v>
      </c>
      <c r="AV272" s="174">
        <v>-17.815999999999999</v>
      </c>
      <c r="AW272" s="168"/>
      <c r="AX272" s="168"/>
      <c r="AY272" s="176">
        <v>15</v>
      </c>
      <c r="AZ272" s="176">
        <v>19</v>
      </c>
      <c r="BA272" s="167"/>
      <c r="BB272" s="184">
        <v>49.2</v>
      </c>
      <c r="BC272" s="180">
        <v>49.2</v>
      </c>
      <c r="BD272" s="181" t="s">
        <v>55</v>
      </c>
      <c r="BE272" s="178">
        <v>1.5375000000000001</v>
      </c>
      <c r="BF272" s="179">
        <v>11.568</v>
      </c>
      <c r="BG272" s="168">
        <v>0.02</v>
      </c>
      <c r="BH272" s="168">
        <v>0.02</v>
      </c>
      <c r="BI272" s="176">
        <v>0</v>
      </c>
      <c r="BJ272" s="176">
        <v>0</v>
      </c>
      <c r="BK272" s="169"/>
      <c r="BL272" s="185">
        <v>0.8</v>
      </c>
      <c r="BM272" s="182">
        <v>0.85</v>
      </c>
      <c r="BN272" s="186">
        <v>1.8749999999999999E-3</v>
      </c>
      <c r="BO272" s="187">
        <v>0.95</v>
      </c>
      <c r="BP272" s="178">
        <v>1</v>
      </c>
      <c r="BQ272" s="186">
        <v>2.5000000000000001E-3</v>
      </c>
    </row>
    <row r="273" spans="1:69" s="156" customFormat="1" ht="22.35" customHeight="1" x14ac:dyDescent="0.2">
      <c r="A273" s="165" t="s">
        <v>339</v>
      </c>
      <c r="B273" s="165" t="s">
        <v>340</v>
      </c>
      <c r="C273" s="165" t="s">
        <v>344</v>
      </c>
      <c r="D273" s="166">
        <v>2.6251377059999998</v>
      </c>
      <c r="E273" s="167"/>
      <c r="F273" s="168"/>
      <c r="G273" s="168"/>
      <c r="H273" s="169"/>
      <c r="I273" s="170">
        <v>2</v>
      </c>
      <c r="J273" s="170">
        <v>2</v>
      </c>
      <c r="K273" s="167"/>
      <c r="L273" s="171">
        <v>867.99607000000003</v>
      </c>
      <c r="M273" s="171">
        <v>-830.18709000000001</v>
      </c>
      <c r="N273" s="171">
        <v>37.808979999999998</v>
      </c>
      <c r="O273" s="166">
        <v>14.4026653967843</v>
      </c>
      <c r="P273" s="172">
        <v>212.5</v>
      </c>
      <c r="Q273" s="173">
        <v>6.7777248926043795E-2</v>
      </c>
      <c r="R273" s="174">
        <v>-618.21293272939999</v>
      </c>
      <c r="S273" s="168"/>
      <c r="T273" s="168"/>
      <c r="U273" s="175">
        <v>521</v>
      </c>
      <c r="V273" s="176">
        <v>632</v>
      </c>
      <c r="W273" s="167"/>
      <c r="X273" s="175">
        <v>1370.8777500000001</v>
      </c>
      <c r="Y273" s="166">
        <v>522.21174792725299</v>
      </c>
      <c r="Z273" s="177">
        <v>573</v>
      </c>
      <c r="AA273" s="188">
        <v>0.91136430702836502</v>
      </c>
      <c r="AB273" s="171">
        <v>-398.06604291268798</v>
      </c>
      <c r="AC273" s="168"/>
      <c r="AD273" s="168"/>
      <c r="AE273" s="176">
        <v>134</v>
      </c>
      <c r="AF273" s="176">
        <v>435</v>
      </c>
      <c r="AG273" s="167"/>
      <c r="AH273" s="180">
        <v>80.7</v>
      </c>
      <c r="AI273" s="166">
        <v>30.741244474738401</v>
      </c>
      <c r="AJ273" s="181" t="s">
        <v>53</v>
      </c>
      <c r="AK273" s="173">
        <v>0.48795626150378402</v>
      </c>
      <c r="AL273" s="174">
        <v>-113.791202362128</v>
      </c>
      <c r="AM273" s="168"/>
      <c r="AN273" s="168"/>
      <c r="AO273" s="176">
        <v>85</v>
      </c>
      <c r="AP273" s="176">
        <v>118</v>
      </c>
      <c r="AQ273" s="167"/>
      <c r="AR273" s="180">
        <v>6</v>
      </c>
      <c r="AS273" s="166">
        <v>2.28559438473892</v>
      </c>
      <c r="AT273" s="181" t="s">
        <v>54</v>
      </c>
      <c r="AU273" s="173">
        <v>0.142849649046182</v>
      </c>
      <c r="AV273" s="174">
        <v>-43.394591076095999</v>
      </c>
      <c r="AW273" s="168"/>
      <c r="AX273" s="168"/>
      <c r="AY273" s="176">
        <v>37</v>
      </c>
      <c r="AZ273" s="176">
        <v>45</v>
      </c>
      <c r="BA273" s="167"/>
      <c r="BB273" s="184">
        <v>43.6</v>
      </c>
      <c r="BC273" s="180">
        <v>16.608652529102802</v>
      </c>
      <c r="BD273" s="181" t="s">
        <v>55</v>
      </c>
      <c r="BE273" s="173">
        <v>0.519020391534462</v>
      </c>
      <c r="BF273" s="174">
        <v>-55.189182152191997</v>
      </c>
      <c r="BG273" s="168"/>
      <c r="BH273" s="168"/>
      <c r="BI273" s="176">
        <v>41</v>
      </c>
      <c r="BJ273" s="176">
        <v>58</v>
      </c>
      <c r="BK273" s="169"/>
      <c r="BL273" s="185">
        <v>0.8</v>
      </c>
      <c r="BM273" s="182">
        <v>0.82</v>
      </c>
      <c r="BN273" s="186">
        <v>7.5000000000000002E-4</v>
      </c>
      <c r="BO273" s="187">
        <v>0.95</v>
      </c>
      <c r="BP273" s="178">
        <v>1</v>
      </c>
      <c r="BQ273" s="186">
        <v>2.5000000000000001E-3</v>
      </c>
    </row>
    <row r="274" spans="1:69" s="156" customFormat="1" ht="22.35" customHeight="1" x14ac:dyDescent="0.2">
      <c r="A274" s="165" t="s">
        <v>339</v>
      </c>
      <c r="B274" s="165" t="s">
        <v>340</v>
      </c>
      <c r="C274" s="165" t="s">
        <v>345</v>
      </c>
      <c r="D274" s="166">
        <v>4.5014537384444404</v>
      </c>
      <c r="E274" s="167"/>
      <c r="F274" s="168">
        <v>0.01</v>
      </c>
      <c r="G274" s="168">
        <v>0.01</v>
      </c>
      <c r="H274" s="169"/>
      <c r="I274" s="170">
        <v>3</v>
      </c>
      <c r="J274" s="170">
        <v>3</v>
      </c>
      <c r="K274" s="167"/>
      <c r="L274" s="171">
        <v>3120.8884400000002</v>
      </c>
      <c r="M274" s="171">
        <v>-146.85722999999999</v>
      </c>
      <c r="N274" s="171">
        <v>2974.0312100000001</v>
      </c>
      <c r="O274" s="166">
        <v>660.68238902477901</v>
      </c>
      <c r="P274" s="172">
        <v>218.52799999999999</v>
      </c>
      <c r="Q274" s="178">
        <v>3.02333059848065</v>
      </c>
      <c r="R274" s="179">
        <v>1817.2074393155699</v>
      </c>
      <c r="S274" s="168">
        <v>0.01</v>
      </c>
      <c r="T274" s="168">
        <v>0.01</v>
      </c>
      <c r="U274" s="175">
        <v>0</v>
      </c>
      <c r="V274" s="176">
        <v>0</v>
      </c>
      <c r="W274" s="167"/>
      <c r="X274" s="175">
        <v>2403.4753500000002</v>
      </c>
      <c r="Y274" s="166">
        <v>533.93314463575098</v>
      </c>
      <c r="Z274" s="177">
        <v>573</v>
      </c>
      <c r="AA274" s="188">
        <v>0.93182049674651102</v>
      </c>
      <c r="AB274" s="171">
        <v>-629.82024874330796</v>
      </c>
      <c r="AC274" s="168"/>
      <c r="AD274" s="168"/>
      <c r="AE274" s="176">
        <v>176</v>
      </c>
      <c r="AF274" s="176">
        <v>692</v>
      </c>
      <c r="AG274" s="167"/>
      <c r="AH274" s="180">
        <v>173.4</v>
      </c>
      <c r="AI274" s="166">
        <v>38.5208890450402</v>
      </c>
      <c r="AJ274" s="181" t="s">
        <v>53</v>
      </c>
      <c r="AK274" s="173">
        <v>0.61144268325460704</v>
      </c>
      <c r="AL274" s="174">
        <v>-160.10370457387199</v>
      </c>
      <c r="AM274" s="168"/>
      <c r="AN274" s="168"/>
      <c r="AO274" s="176">
        <v>111</v>
      </c>
      <c r="AP274" s="176">
        <v>167</v>
      </c>
      <c r="AQ274" s="167"/>
      <c r="AR274" s="180">
        <v>18.3</v>
      </c>
      <c r="AS274" s="166">
        <v>4.0653533421236201</v>
      </c>
      <c r="AT274" s="181" t="s">
        <v>54</v>
      </c>
      <c r="AU274" s="173">
        <v>0.25408458388272598</v>
      </c>
      <c r="AV274" s="174">
        <v>-66.399353542570594</v>
      </c>
      <c r="AW274" s="168"/>
      <c r="AX274" s="168"/>
      <c r="AY274" s="176">
        <v>54</v>
      </c>
      <c r="AZ274" s="176">
        <v>69</v>
      </c>
      <c r="BA274" s="167"/>
      <c r="BB274" s="184">
        <v>128.4</v>
      </c>
      <c r="BC274" s="180">
        <v>28.5241185316215</v>
      </c>
      <c r="BD274" s="181" t="s">
        <v>55</v>
      </c>
      <c r="BE274" s="188">
        <v>0.89137870411317099</v>
      </c>
      <c r="BF274" s="171">
        <v>-40.998707085141099</v>
      </c>
      <c r="BG274" s="168"/>
      <c r="BH274" s="168"/>
      <c r="BI274" s="176">
        <v>16</v>
      </c>
      <c r="BJ274" s="176">
        <v>45</v>
      </c>
      <c r="BK274" s="169"/>
      <c r="BL274" s="185">
        <v>0.8</v>
      </c>
      <c r="BM274" s="182">
        <v>0.85</v>
      </c>
      <c r="BN274" s="186">
        <v>1.8749999999999999E-3</v>
      </c>
      <c r="BO274" s="187">
        <v>0.95</v>
      </c>
      <c r="BP274" s="178">
        <v>1</v>
      </c>
      <c r="BQ274" s="186">
        <v>2.5000000000000001E-3</v>
      </c>
    </row>
    <row r="275" spans="1:69" s="156" customFormat="1" ht="22.35" customHeight="1" x14ac:dyDescent="0.2">
      <c r="A275" s="165" t="s">
        <v>339</v>
      </c>
      <c r="B275" s="165" t="s">
        <v>340</v>
      </c>
      <c r="C275" s="165" t="s">
        <v>346</v>
      </c>
      <c r="D275" s="166">
        <v>8.6759634033333306</v>
      </c>
      <c r="E275" s="167"/>
      <c r="F275" s="168">
        <v>0.03</v>
      </c>
      <c r="G275" s="168">
        <v>0.03</v>
      </c>
      <c r="H275" s="169"/>
      <c r="I275" s="170">
        <v>3</v>
      </c>
      <c r="J275" s="170">
        <v>3</v>
      </c>
      <c r="K275" s="167"/>
      <c r="L275" s="171">
        <v>7071.8955900000001</v>
      </c>
      <c r="M275" s="171">
        <v>3689.38229</v>
      </c>
      <c r="N275" s="171">
        <v>10761.27788</v>
      </c>
      <c r="O275" s="166">
        <v>1240.3553795380799</v>
      </c>
      <c r="P275" s="172">
        <v>246.08699999999999</v>
      </c>
      <c r="Q275" s="178">
        <v>5.04031248923381</v>
      </c>
      <c r="R275" s="179">
        <v>8250.4687161015609</v>
      </c>
      <c r="S275" s="168">
        <v>0.01</v>
      </c>
      <c r="T275" s="168">
        <v>0.01</v>
      </c>
      <c r="U275" s="175">
        <v>0</v>
      </c>
      <c r="V275" s="176">
        <v>0</v>
      </c>
      <c r="W275" s="167"/>
      <c r="X275" s="175">
        <v>4271.0447000000004</v>
      </c>
      <c r="Y275" s="166">
        <v>492.28477593151803</v>
      </c>
      <c r="Z275" s="177">
        <v>573</v>
      </c>
      <c r="AA275" s="188">
        <v>0.85913573460997905</v>
      </c>
      <c r="AB275" s="171">
        <v>-1575.23588740936</v>
      </c>
      <c r="AC275" s="168"/>
      <c r="AD275" s="168"/>
      <c r="AE275" s="176">
        <v>701</v>
      </c>
      <c r="AF275" s="176">
        <v>1695</v>
      </c>
      <c r="AG275" s="167"/>
      <c r="AH275" s="180">
        <v>511.15</v>
      </c>
      <c r="AI275" s="166">
        <v>58.9156473163101</v>
      </c>
      <c r="AJ275" s="181" t="s">
        <v>53</v>
      </c>
      <c r="AK275" s="188">
        <v>0.93516900502079503</v>
      </c>
      <c r="AL275" s="171">
        <v>-131.63477662616</v>
      </c>
      <c r="AM275" s="168"/>
      <c r="AN275" s="168"/>
      <c r="AO275" s="176">
        <v>36</v>
      </c>
      <c r="AP275" s="176">
        <v>145</v>
      </c>
      <c r="AQ275" s="167"/>
      <c r="AR275" s="180">
        <v>53.7</v>
      </c>
      <c r="AS275" s="166">
        <v>6.1895143517281603</v>
      </c>
      <c r="AT275" s="181" t="s">
        <v>54</v>
      </c>
      <c r="AU275" s="173">
        <v>0.38684464698301002</v>
      </c>
      <c r="AV275" s="174">
        <v>-109.54692739712</v>
      </c>
      <c r="AW275" s="168"/>
      <c r="AX275" s="168"/>
      <c r="AY275" s="176">
        <v>86</v>
      </c>
      <c r="AZ275" s="176">
        <v>113</v>
      </c>
      <c r="BA275" s="167"/>
      <c r="BB275" s="184">
        <v>571.79999999999995</v>
      </c>
      <c r="BC275" s="180">
        <v>65.906225443541203</v>
      </c>
      <c r="BD275" s="181" t="s">
        <v>55</v>
      </c>
      <c r="BE275" s="178">
        <v>2.0595695451106599</v>
      </c>
      <c r="BF275" s="179">
        <v>245.30614520576</v>
      </c>
      <c r="BG275" s="168">
        <v>0.02</v>
      </c>
      <c r="BH275" s="168">
        <v>0.02</v>
      </c>
      <c r="BI275" s="176">
        <v>0</v>
      </c>
      <c r="BJ275" s="176">
        <v>0</v>
      </c>
      <c r="BK275" s="169"/>
      <c r="BL275" s="185">
        <v>0.8</v>
      </c>
      <c r="BM275" s="188">
        <v>0.74</v>
      </c>
      <c r="BN275" s="186"/>
      <c r="BO275" s="187">
        <v>0.95</v>
      </c>
      <c r="BP275" s="178">
        <v>1</v>
      </c>
      <c r="BQ275" s="186">
        <v>2.5000000000000001E-3</v>
      </c>
    </row>
    <row r="276" spans="1:69" s="156" customFormat="1" ht="22.35" customHeight="1" x14ac:dyDescent="0.2">
      <c r="A276" s="165" t="s">
        <v>339</v>
      </c>
      <c r="B276" s="165" t="s">
        <v>340</v>
      </c>
      <c r="C276" s="165" t="s">
        <v>347</v>
      </c>
      <c r="D276" s="166">
        <v>1.8989247312222199</v>
      </c>
      <c r="E276" s="167"/>
      <c r="F276" s="168">
        <v>0.03</v>
      </c>
      <c r="G276" s="168">
        <v>0.03</v>
      </c>
      <c r="H276" s="169"/>
      <c r="I276" s="170">
        <v>3</v>
      </c>
      <c r="J276" s="170">
        <v>3</v>
      </c>
      <c r="K276" s="167"/>
      <c r="L276" s="171">
        <v>1029.15381</v>
      </c>
      <c r="M276" s="171">
        <v>533.85126000000002</v>
      </c>
      <c r="N276" s="171">
        <v>1563.0050699999999</v>
      </c>
      <c r="O276" s="166">
        <v>823.10006515844805</v>
      </c>
      <c r="P276" s="172">
        <v>246.08699999999999</v>
      </c>
      <c r="Q276" s="178">
        <v>3.3447523240091801</v>
      </c>
      <c r="R276" s="179">
        <v>1013.45945816924</v>
      </c>
      <c r="S276" s="168">
        <v>0.01</v>
      </c>
      <c r="T276" s="168">
        <v>0.01</v>
      </c>
      <c r="U276" s="175">
        <v>0</v>
      </c>
      <c r="V276" s="176">
        <v>0</v>
      </c>
      <c r="W276" s="167"/>
      <c r="X276" s="175">
        <v>975.00736500000005</v>
      </c>
      <c r="Y276" s="166">
        <v>513.45234962127597</v>
      </c>
      <c r="Z276" s="177">
        <v>573</v>
      </c>
      <c r="AA276" s="188">
        <v>0.89607739899001004</v>
      </c>
      <c r="AB276" s="171">
        <v>-304.57926728463099</v>
      </c>
      <c r="AC276" s="168"/>
      <c r="AD276" s="168"/>
      <c r="AE276" s="176">
        <v>114</v>
      </c>
      <c r="AF276" s="176">
        <v>331</v>
      </c>
      <c r="AG276" s="167"/>
      <c r="AH276" s="180">
        <v>107.7</v>
      </c>
      <c r="AI276" s="166">
        <v>56.716308039592498</v>
      </c>
      <c r="AJ276" s="181" t="s">
        <v>53</v>
      </c>
      <c r="AK276" s="188">
        <v>0.90025885777130998</v>
      </c>
      <c r="AL276" s="171">
        <v>-32.987535486791799</v>
      </c>
      <c r="AM276" s="168"/>
      <c r="AN276" s="168"/>
      <c r="AO276" s="176">
        <v>12</v>
      </c>
      <c r="AP276" s="176">
        <v>36</v>
      </c>
      <c r="AQ276" s="167"/>
      <c r="AR276" s="180">
        <v>15.8</v>
      </c>
      <c r="AS276" s="166">
        <v>8.320498301073</v>
      </c>
      <c r="AT276" s="181" t="s">
        <v>54</v>
      </c>
      <c r="AU276" s="173">
        <v>0.52003114381706295</v>
      </c>
      <c r="AV276" s="174">
        <v>-19.930167742677298</v>
      </c>
      <c r="AW276" s="168"/>
      <c r="AX276" s="168"/>
      <c r="AY276" s="176">
        <v>15</v>
      </c>
      <c r="AZ276" s="176">
        <v>21</v>
      </c>
      <c r="BA276" s="167"/>
      <c r="BB276" s="184">
        <v>87.4</v>
      </c>
      <c r="BC276" s="180">
        <v>46.026047564163299</v>
      </c>
      <c r="BD276" s="181" t="s">
        <v>55</v>
      </c>
      <c r="BE276" s="178">
        <v>1.4383139863801</v>
      </c>
      <c r="BF276" s="179">
        <v>15.939664514645401</v>
      </c>
      <c r="BG276" s="168">
        <v>0.02</v>
      </c>
      <c r="BH276" s="168">
        <v>0.02</v>
      </c>
      <c r="BI276" s="176">
        <v>0</v>
      </c>
      <c r="BJ276" s="176">
        <v>0</v>
      </c>
      <c r="BK276" s="169"/>
      <c r="BL276" s="185">
        <v>0.8</v>
      </c>
      <c r="BM276" s="188">
        <v>0.78</v>
      </c>
      <c r="BN276" s="186"/>
      <c r="BO276" s="187">
        <v>0.95</v>
      </c>
      <c r="BP276" s="178">
        <v>1</v>
      </c>
      <c r="BQ276" s="186">
        <v>2.5000000000000001E-3</v>
      </c>
    </row>
    <row r="277" spans="1:69" s="156" customFormat="1" ht="22.35" customHeight="1" x14ac:dyDescent="0.2">
      <c r="A277" s="165" t="s">
        <v>339</v>
      </c>
      <c r="B277" s="165" t="s">
        <v>340</v>
      </c>
      <c r="C277" s="165" t="s">
        <v>348</v>
      </c>
      <c r="D277" s="166">
        <v>1.8613756613333301</v>
      </c>
      <c r="E277" s="167"/>
      <c r="F277" s="168">
        <v>0.08</v>
      </c>
      <c r="G277" s="168">
        <v>0.08</v>
      </c>
      <c r="H277" s="169"/>
      <c r="I277" s="170">
        <v>7</v>
      </c>
      <c r="J277" s="170">
        <v>7</v>
      </c>
      <c r="K277" s="167"/>
      <c r="L277" s="171">
        <v>1347.90382</v>
      </c>
      <c r="M277" s="171">
        <v>2867.6502599999999</v>
      </c>
      <c r="N277" s="171">
        <v>4215.5540799999999</v>
      </c>
      <c r="O277" s="166">
        <v>2264.75190772632</v>
      </c>
      <c r="P277" s="172">
        <v>246.08699999999999</v>
      </c>
      <c r="Q277" s="178">
        <v>9.2030538294437303</v>
      </c>
      <c r="R277" s="179">
        <v>3676.8751056122501</v>
      </c>
      <c r="S277" s="168">
        <v>0.01</v>
      </c>
      <c r="T277" s="168">
        <v>0.01</v>
      </c>
      <c r="U277" s="175">
        <v>0</v>
      </c>
      <c r="V277" s="176">
        <v>0</v>
      </c>
      <c r="W277" s="167"/>
      <c r="X277" s="175">
        <v>1633.7663849999999</v>
      </c>
      <c r="Y277" s="166">
        <v>877.71986006828195</v>
      </c>
      <c r="Z277" s="177">
        <v>573</v>
      </c>
      <c r="AA277" s="178">
        <v>1.5317973125100901</v>
      </c>
      <c r="AB277" s="179">
        <v>379.482118361858</v>
      </c>
      <c r="AC277" s="168">
        <v>0.02</v>
      </c>
      <c r="AD277" s="168">
        <v>0.02</v>
      </c>
      <c r="AE277" s="176">
        <v>0</v>
      </c>
      <c r="AF277" s="176">
        <v>0</v>
      </c>
      <c r="AG277" s="167"/>
      <c r="AH277" s="180">
        <v>144.80000000000001</v>
      </c>
      <c r="AI277" s="166">
        <v>77.791927233150503</v>
      </c>
      <c r="AJ277" s="181" t="s">
        <v>53</v>
      </c>
      <c r="AK277" s="178">
        <v>1.23479249576429</v>
      </c>
      <c r="AL277" s="179">
        <v>6.89440000313627</v>
      </c>
      <c r="AM277" s="168">
        <v>0.02</v>
      </c>
      <c r="AN277" s="168">
        <v>0.02</v>
      </c>
      <c r="AO277" s="176">
        <v>0</v>
      </c>
      <c r="AP277" s="176">
        <v>0</v>
      </c>
      <c r="AQ277" s="167"/>
      <c r="AR277" s="180">
        <v>49</v>
      </c>
      <c r="AS277" s="166">
        <v>26.324616259836802</v>
      </c>
      <c r="AT277" s="181" t="s">
        <v>54</v>
      </c>
      <c r="AU277" s="178">
        <v>1.6452885162398001</v>
      </c>
      <c r="AV277" s="179">
        <v>13.9763555563521</v>
      </c>
      <c r="AW277" s="168">
        <v>0.01</v>
      </c>
      <c r="AX277" s="168">
        <v>0.01</v>
      </c>
      <c r="AY277" s="176">
        <v>0</v>
      </c>
      <c r="AZ277" s="176">
        <v>0</v>
      </c>
      <c r="BA277" s="167"/>
      <c r="BB277" s="184">
        <v>109.8</v>
      </c>
      <c r="BC277" s="180">
        <v>58.9886299046956</v>
      </c>
      <c r="BD277" s="181" t="s">
        <v>55</v>
      </c>
      <c r="BE277" s="178">
        <v>1.8433946845217399</v>
      </c>
      <c r="BF277" s="179">
        <v>39.752711112704098</v>
      </c>
      <c r="BG277" s="168">
        <v>0.02</v>
      </c>
      <c r="BH277" s="168">
        <v>0.02</v>
      </c>
      <c r="BI277" s="176">
        <v>0</v>
      </c>
      <c r="BJ277" s="176">
        <v>0</v>
      </c>
      <c r="BK277" s="169"/>
      <c r="BL277" s="185">
        <v>0.8</v>
      </c>
      <c r="BM277" s="182">
        <v>0.88</v>
      </c>
      <c r="BN277" s="186">
        <v>3.0000000000000001E-3</v>
      </c>
      <c r="BO277" s="187">
        <v>0.95</v>
      </c>
      <c r="BP277" s="178">
        <v>1</v>
      </c>
      <c r="BQ277" s="186">
        <v>2.5000000000000001E-3</v>
      </c>
    </row>
    <row r="278" spans="1:69" s="156" customFormat="1" ht="22.35" customHeight="1" x14ac:dyDescent="0.2">
      <c r="A278" s="165" t="s">
        <v>339</v>
      </c>
      <c r="B278" s="165" t="s">
        <v>340</v>
      </c>
      <c r="C278" s="165" t="s">
        <v>349</v>
      </c>
      <c r="D278" s="166">
        <v>4.0649831650000001</v>
      </c>
      <c r="E278" s="167"/>
      <c r="F278" s="168">
        <v>2.3E-2</v>
      </c>
      <c r="G278" s="168">
        <v>2.1000000000000001E-2</v>
      </c>
      <c r="H278" s="169"/>
      <c r="I278" s="170">
        <v>3</v>
      </c>
      <c r="J278" s="170">
        <v>3</v>
      </c>
      <c r="K278" s="167"/>
      <c r="L278" s="171">
        <v>1050.3257000000001</v>
      </c>
      <c r="M278" s="171">
        <v>511.46042999999997</v>
      </c>
      <c r="N278" s="171">
        <v>1561.78613</v>
      </c>
      <c r="O278" s="166">
        <v>384.20482117789999</v>
      </c>
      <c r="P278" s="172">
        <v>212.5</v>
      </c>
      <c r="Q278" s="178">
        <v>1.808022687896</v>
      </c>
      <c r="R278" s="179">
        <v>545.94683706650005</v>
      </c>
      <c r="S278" s="168">
        <v>0.01</v>
      </c>
      <c r="T278" s="168">
        <v>0.01</v>
      </c>
      <c r="U278" s="175">
        <v>0</v>
      </c>
      <c r="V278" s="176">
        <v>0</v>
      </c>
      <c r="W278" s="167"/>
      <c r="X278" s="175">
        <v>1554.8527099999999</v>
      </c>
      <c r="Y278" s="166">
        <v>382.49917573766902</v>
      </c>
      <c r="Z278" s="177">
        <v>573</v>
      </c>
      <c r="AA278" s="173">
        <v>0.66753782851251098</v>
      </c>
      <c r="AB278" s="174">
        <v>-1184.3280657689199</v>
      </c>
      <c r="AC278" s="168"/>
      <c r="AD278" s="168"/>
      <c r="AE278" s="176">
        <v>775</v>
      </c>
      <c r="AF278" s="176">
        <v>1241</v>
      </c>
      <c r="AG278" s="167"/>
      <c r="AH278" s="180">
        <v>161</v>
      </c>
      <c r="AI278" s="166">
        <v>39.606560092604902</v>
      </c>
      <c r="AJ278" s="181" t="s">
        <v>53</v>
      </c>
      <c r="AK278" s="173">
        <v>0.62867555702547495</v>
      </c>
      <c r="AL278" s="174">
        <v>-140.16647272852001</v>
      </c>
      <c r="AM278" s="168"/>
      <c r="AN278" s="168"/>
      <c r="AO278" s="176">
        <v>96</v>
      </c>
      <c r="AP278" s="176">
        <v>147</v>
      </c>
      <c r="AQ278" s="167"/>
      <c r="AR278" s="180">
        <v>24.4</v>
      </c>
      <c r="AS278" s="166">
        <v>6.0024848835997604</v>
      </c>
      <c r="AT278" s="181" t="s">
        <v>54</v>
      </c>
      <c r="AU278" s="173">
        <v>0.37515530522498503</v>
      </c>
      <c r="AV278" s="174">
        <v>-52.086723232639997</v>
      </c>
      <c r="AW278" s="168"/>
      <c r="AX278" s="168"/>
      <c r="AY278" s="176">
        <v>41</v>
      </c>
      <c r="AZ278" s="176">
        <v>54</v>
      </c>
      <c r="BA278" s="167"/>
      <c r="BB278" s="184">
        <v>144.4</v>
      </c>
      <c r="BC278" s="180">
        <v>35.522902343926397</v>
      </c>
      <c r="BD278" s="181" t="s">
        <v>55</v>
      </c>
      <c r="BE278" s="182">
        <v>1.1100906982476999</v>
      </c>
      <c r="BF278" s="183">
        <v>-8.57344646528</v>
      </c>
      <c r="BG278" s="168">
        <v>1.2999999999999999E-2</v>
      </c>
      <c r="BH278" s="168">
        <v>1.0999999999999999E-2</v>
      </c>
      <c r="BI278" s="176">
        <v>0</v>
      </c>
      <c r="BJ278" s="176">
        <v>12</v>
      </c>
      <c r="BK278" s="169"/>
      <c r="BL278" s="185">
        <v>0.8</v>
      </c>
      <c r="BM278" s="188">
        <v>0.79</v>
      </c>
      <c r="BN278" s="186"/>
      <c r="BO278" s="187">
        <v>0.95</v>
      </c>
      <c r="BP278" s="178">
        <v>1</v>
      </c>
      <c r="BQ278" s="186">
        <v>2.5000000000000001E-3</v>
      </c>
    </row>
    <row r="279" spans="1:69" s="156" customFormat="1" ht="22.35" customHeight="1" x14ac:dyDescent="0.2">
      <c r="A279" s="165" t="s">
        <v>339</v>
      </c>
      <c r="B279" s="165" t="s">
        <v>340</v>
      </c>
      <c r="C279" s="165" t="s">
        <v>350</v>
      </c>
      <c r="D279" s="166">
        <v>2.7843147968888902</v>
      </c>
      <c r="E279" s="167"/>
      <c r="F279" s="168">
        <v>0.01</v>
      </c>
      <c r="G279" s="168">
        <v>0.01</v>
      </c>
      <c r="H279" s="169"/>
      <c r="I279" s="170">
        <v>3</v>
      </c>
      <c r="J279" s="170">
        <v>3</v>
      </c>
      <c r="K279" s="167"/>
      <c r="L279" s="171">
        <v>1628.7787499999999</v>
      </c>
      <c r="M279" s="171">
        <v>396.78611999999998</v>
      </c>
      <c r="N279" s="171">
        <v>2025.5648699999999</v>
      </c>
      <c r="O279" s="166">
        <v>727.49132830214</v>
      </c>
      <c r="P279" s="172">
        <v>243.43</v>
      </c>
      <c r="Q279" s="178">
        <v>2.98850317669203</v>
      </c>
      <c r="R279" s="179">
        <v>1228.4888268161701</v>
      </c>
      <c r="S279" s="168">
        <v>0.01</v>
      </c>
      <c r="T279" s="168">
        <v>0.01</v>
      </c>
      <c r="U279" s="175">
        <v>0</v>
      </c>
      <c r="V279" s="176">
        <v>0</v>
      </c>
      <c r="W279" s="167"/>
      <c r="X279" s="175">
        <v>791.15385500000002</v>
      </c>
      <c r="Y279" s="166">
        <v>284.14669773834902</v>
      </c>
      <c r="Z279" s="177">
        <v>573</v>
      </c>
      <c r="AA279" s="173">
        <v>0.49589301525017299</v>
      </c>
      <c r="AB279" s="174">
        <v>-1085.0511022539799</v>
      </c>
      <c r="AC279" s="168"/>
      <c r="AD279" s="168"/>
      <c r="AE279" s="176">
        <v>805</v>
      </c>
      <c r="AF279" s="176">
        <v>1124</v>
      </c>
      <c r="AG279" s="167"/>
      <c r="AH279" s="180">
        <v>161.69999999999999</v>
      </c>
      <c r="AI279" s="166">
        <v>58.075329765398202</v>
      </c>
      <c r="AJ279" s="181" t="s">
        <v>53</v>
      </c>
      <c r="AK279" s="188">
        <v>0.92183063119679698</v>
      </c>
      <c r="AL279" s="171">
        <v>-44.584314671904103</v>
      </c>
      <c r="AM279" s="168"/>
      <c r="AN279" s="168"/>
      <c r="AO279" s="176">
        <v>14</v>
      </c>
      <c r="AP279" s="176">
        <v>49</v>
      </c>
      <c r="AQ279" s="167"/>
      <c r="AR279" s="180">
        <v>9.8000000000000007</v>
      </c>
      <c r="AS279" s="166">
        <v>3.51971695547868</v>
      </c>
      <c r="AT279" s="181" t="s">
        <v>54</v>
      </c>
      <c r="AU279" s="173">
        <v>0.219982309717417</v>
      </c>
      <c r="AV279" s="174">
        <v>-42.589667218261397</v>
      </c>
      <c r="AW279" s="168"/>
      <c r="AX279" s="168"/>
      <c r="AY279" s="176">
        <v>35</v>
      </c>
      <c r="AZ279" s="176">
        <v>44</v>
      </c>
      <c r="BA279" s="167"/>
      <c r="BB279" s="184">
        <v>85.8</v>
      </c>
      <c r="BC279" s="180">
        <v>30.815481100007201</v>
      </c>
      <c r="BD279" s="181" t="s">
        <v>55</v>
      </c>
      <c r="BE279" s="188">
        <v>0.96298378437522503</v>
      </c>
      <c r="BF279" s="171">
        <v>-18.979334436522699</v>
      </c>
      <c r="BG279" s="168"/>
      <c r="BH279" s="168"/>
      <c r="BI279" s="176">
        <v>4</v>
      </c>
      <c r="BJ279" s="176">
        <v>22</v>
      </c>
      <c r="BK279" s="169"/>
      <c r="BL279" s="185">
        <v>0.8</v>
      </c>
      <c r="BM279" s="182">
        <v>0.83</v>
      </c>
      <c r="BN279" s="186">
        <v>1.1249999999999999E-3</v>
      </c>
      <c r="BO279" s="187">
        <v>0.95</v>
      </c>
      <c r="BP279" s="178">
        <v>1</v>
      </c>
      <c r="BQ279" s="186">
        <v>2.5000000000000001E-3</v>
      </c>
    </row>
    <row r="280" spans="1:69" s="156" customFormat="1" ht="22.35" customHeight="1" x14ac:dyDescent="0.2">
      <c r="A280" s="165" t="s">
        <v>339</v>
      </c>
      <c r="B280" s="165" t="s">
        <v>340</v>
      </c>
      <c r="C280" s="165" t="s">
        <v>351</v>
      </c>
      <c r="D280" s="166">
        <v>4.6097894054444399</v>
      </c>
      <c r="E280" s="167"/>
      <c r="F280" s="168">
        <v>1.7000000000000001E-2</v>
      </c>
      <c r="G280" s="168">
        <v>1.4999999999999999E-2</v>
      </c>
      <c r="H280" s="169"/>
      <c r="I280" s="170">
        <v>3</v>
      </c>
      <c r="J280" s="170">
        <v>3</v>
      </c>
      <c r="K280" s="167"/>
      <c r="L280" s="171">
        <v>1761.6659</v>
      </c>
      <c r="M280" s="171">
        <v>-154.26836</v>
      </c>
      <c r="N280" s="171">
        <v>1607.3975399999999</v>
      </c>
      <c r="O280" s="166">
        <v>348.69218496219497</v>
      </c>
      <c r="P280" s="172">
        <v>254.44499999999999</v>
      </c>
      <c r="Q280" s="178">
        <v>1.37040297495409</v>
      </c>
      <c r="R280" s="179">
        <v>228.02261044446701</v>
      </c>
      <c r="S280" s="168">
        <v>0.01</v>
      </c>
      <c r="T280" s="168">
        <v>0.01</v>
      </c>
      <c r="U280" s="175">
        <v>0</v>
      </c>
      <c r="V280" s="176">
        <v>0</v>
      </c>
      <c r="W280" s="167"/>
      <c r="X280" s="175">
        <v>1752.8277700000001</v>
      </c>
      <c r="Y280" s="166">
        <v>380.240313783055</v>
      </c>
      <c r="Z280" s="177">
        <v>573</v>
      </c>
      <c r="AA280" s="173">
        <v>0.66359566105245305</v>
      </c>
      <c r="AB280" s="174">
        <v>-1353.46960127992</v>
      </c>
      <c r="AC280" s="168"/>
      <c r="AD280" s="168"/>
      <c r="AE280" s="176">
        <v>889</v>
      </c>
      <c r="AF280" s="176">
        <v>1417</v>
      </c>
      <c r="AG280" s="167"/>
      <c r="AH280" s="180">
        <v>243.2</v>
      </c>
      <c r="AI280" s="166">
        <v>52.757290758828603</v>
      </c>
      <c r="AJ280" s="181" t="s">
        <v>53</v>
      </c>
      <c r="AK280" s="188">
        <v>0.83741731363219896</v>
      </c>
      <c r="AL280" s="171">
        <v>-98.330077470567602</v>
      </c>
      <c r="AM280" s="168"/>
      <c r="AN280" s="168"/>
      <c r="AO280" s="176">
        <v>48</v>
      </c>
      <c r="AP280" s="176">
        <v>106</v>
      </c>
      <c r="AQ280" s="167"/>
      <c r="AR280" s="180">
        <v>13</v>
      </c>
      <c r="AS280" s="166">
        <v>2.8200854435229101</v>
      </c>
      <c r="AT280" s="181" t="s">
        <v>54</v>
      </c>
      <c r="AU280" s="173">
        <v>0.17625534022018199</v>
      </c>
      <c r="AV280" s="174">
        <v>-73.737797452842599</v>
      </c>
      <c r="AW280" s="168"/>
      <c r="AX280" s="168"/>
      <c r="AY280" s="176">
        <v>61</v>
      </c>
      <c r="AZ280" s="176">
        <v>76</v>
      </c>
      <c r="BA280" s="167"/>
      <c r="BB280" s="184">
        <v>155.19999999999999</v>
      </c>
      <c r="BC280" s="180">
        <v>33.667481602673497</v>
      </c>
      <c r="BD280" s="181" t="s">
        <v>55</v>
      </c>
      <c r="BE280" s="182">
        <v>1.0521088000835499</v>
      </c>
      <c r="BF280" s="183">
        <v>-18.2755949056851</v>
      </c>
      <c r="BG280" s="168">
        <v>7.0000000000000001E-3</v>
      </c>
      <c r="BH280" s="168">
        <v>5.0000000000000001E-3</v>
      </c>
      <c r="BI280" s="176">
        <v>0</v>
      </c>
      <c r="BJ280" s="176">
        <v>22</v>
      </c>
      <c r="BK280" s="169"/>
      <c r="BL280" s="185">
        <v>0.8</v>
      </c>
      <c r="BM280" s="188">
        <v>0.78</v>
      </c>
      <c r="BN280" s="186"/>
      <c r="BO280" s="187">
        <v>0.95</v>
      </c>
      <c r="BP280" s="178">
        <v>1</v>
      </c>
      <c r="BQ280" s="186">
        <v>2.5000000000000001E-3</v>
      </c>
    </row>
    <row r="281" spans="1:69" s="156" customFormat="1" ht="22.35" customHeight="1" x14ac:dyDescent="0.2">
      <c r="A281" s="165" t="s">
        <v>339</v>
      </c>
      <c r="B281" s="165" t="s">
        <v>340</v>
      </c>
      <c r="C281" s="165" t="s">
        <v>352</v>
      </c>
      <c r="D281" s="166">
        <v>4.6161616162222199</v>
      </c>
      <c r="E281" s="167"/>
      <c r="F281" s="168">
        <v>1.7000000000000001E-2</v>
      </c>
      <c r="G281" s="168">
        <v>1.4999999999999999E-2</v>
      </c>
      <c r="H281" s="169"/>
      <c r="I281" s="170">
        <v>3</v>
      </c>
      <c r="J281" s="170">
        <v>3</v>
      </c>
      <c r="K281" s="167"/>
      <c r="L281" s="171">
        <v>2403.2882</v>
      </c>
      <c r="M281" s="171">
        <v>3298.8061600000001</v>
      </c>
      <c r="N281" s="171">
        <v>5702.0943600000001</v>
      </c>
      <c r="O281" s="166">
        <v>1235.2458241413301</v>
      </c>
      <c r="P281" s="172">
        <v>212.5</v>
      </c>
      <c r="Q281" s="178">
        <v>5.8129215253709603</v>
      </c>
      <c r="R281" s="179">
        <v>4548.5155721060701</v>
      </c>
      <c r="S281" s="168">
        <v>0.01</v>
      </c>
      <c r="T281" s="168">
        <v>0.01</v>
      </c>
      <c r="U281" s="175">
        <v>0</v>
      </c>
      <c r="V281" s="176">
        <v>0</v>
      </c>
      <c r="W281" s="167"/>
      <c r="X281" s="175">
        <v>2536.6203949999999</v>
      </c>
      <c r="Y281" s="166">
        <v>549.50857571488598</v>
      </c>
      <c r="Z281" s="177">
        <v>573</v>
      </c>
      <c r="AA281" s="188">
        <v>0.95900274993871903</v>
      </c>
      <c r="AB281" s="171">
        <v>-573.97087776810997</v>
      </c>
      <c r="AC281" s="168"/>
      <c r="AD281" s="168"/>
      <c r="AE281" s="176">
        <v>109</v>
      </c>
      <c r="AF281" s="176">
        <v>638</v>
      </c>
      <c r="AG281" s="167"/>
      <c r="AH281" s="180">
        <v>175.45</v>
      </c>
      <c r="AI281" s="166">
        <v>38.007768052017397</v>
      </c>
      <c r="AJ281" s="181" t="s">
        <v>53</v>
      </c>
      <c r="AK281" s="173">
        <v>0.60329790558757801</v>
      </c>
      <c r="AL281" s="174">
        <v>-166.552181822672</v>
      </c>
      <c r="AM281" s="168"/>
      <c r="AN281" s="168"/>
      <c r="AO281" s="176">
        <v>116</v>
      </c>
      <c r="AP281" s="176">
        <v>174</v>
      </c>
      <c r="AQ281" s="167"/>
      <c r="AR281" s="180">
        <v>39.799999999999997</v>
      </c>
      <c r="AS281" s="166">
        <v>8.6218818379611992</v>
      </c>
      <c r="AT281" s="181" t="s">
        <v>54</v>
      </c>
      <c r="AU281" s="173">
        <v>0.53886761487257495</v>
      </c>
      <c r="AV281" s="174">
        <v>-47.057696970837299</v>
      </c>
      <c r="AW281" s="168"/>
      <c r="AX281" s="168"/>
      <c r="AY281" s="176">
        <v>35</v>
      </c>
      <c r="AZ281" s="176">
        <v>49</v>
      </c>
      <c r="BA281" s="167"/>
      <c r="BB281" s="184">
        <v>155.19999999999999</v>
      </c>
      <c r="BC281" s="180">
        <v>33.621006564109997</v>
      </c>
      <c r="BD281" s="181" t="s">
        <v>55</v>
      </c>
      <c r="BE281" s="182">
        <v>1.0506564551284401</v>
      </c>
      <c r="BF281" s="183">
        <v>-18.5153939416745</v>
      </c>
      <c r="BG281" s="168">
        <v>7.0000000000000001E-3</v>
      </c>
      <c r="BH281" s="168">
        <v>5.0000000000000001E-3</v>
      </c>
      <c r="BI281" s="176">
        <v>0</v>
      </c>
      <c r="BJ281" s="176">
        <v>23</v>
      </c>
      <c r="BK281" s="169"/>
      <c r="BL281" s="185">
        <v>0.8</v>
      </c>
      <c r="BM281" s="188">
        <v>0.77</v>
      </c>
      <c r="BN281" s="186"/>
      <c r="BO281" s="187">
        <v>0.95</v>
      </c>
      <c r="BP281" s="178">
        <v>1</v>
      </c>
      <c r="BQ281" s="186">
        <v>2.5000000000000001E-3</v>
      </c>
    </row>
    <row r="282" spans="1:69" s="156" customFormat="1" ht="22.35" customHeight="1" x14ac:dyDescent="0.2">
      <c r="A282" s="165" t="s">
        <v>339</v>
      </c>
      <c r="B282" s="165" t="s">
        <v>340</v>
      </c>
      <c r="C282" s="165" t="s">
        <v>353</v>
      </c>
      <c r="D282" s="166">
        <v>6.3981030344444401</v>
      </c>
      <c r="E282" s="167"/>
      <c r="F282" s="168">
        <v>0.03</v>
      </c>
      <c r="G282" s="168">
        <v>2.9000000000000001E-2</v>
      </c>
      <c r="H282" s="169"/>
      <c r="I282" s="170">
        <v>3</v>
      </c>
      <c r="J282" s="170">
        <v>3</v>
      </c>
      <c r="K282" s="167"/>
      <c r="L282" s="171">
        <v>3013.06979</v>
      </c>
      <c r="M282" s="171">
        <v>3316.2507300000002</v>
      </c>
      <c r="N282" s="171">
        <v>6329.3205200000002</v>
      </c>
      <c r="O282" s="166">
        <v>989.24954567406098</v>
      </c>
      <c r="P282" s="172">
        <v>250.489</v>
      </c>
      <c r="Q282" s="178">
        <v>3.94927340391818</v>
      </c>
      <c r="R282" s="179">
        <v>4444.5989091499296</v>
      </c>
      <c r="S282" s="168">
        <v>0.01</v>
      </c>
      <c r="T282" s="168">
        <v>0.01</v>
      </c>
      <c r="U282" s="175">
        <v>0</v>
      </c>
      <c r="V282" s="176">
        <v>0</v>
      </c>
      <c r="W282" s="167"/>
      <c r="X282" s="175">
        <v>2631.65272</v>
      </c>
      <c r="Y282" s="166">
        <v>411.31765240922101</v>
      </c>
      <c r="Z282" s="177">
        <v>573</v>
      </c>
      <c r="AA282" s="173">
        <v>0.71783185411731398</v>
      </c>
      <c r="AB282" s="174">
        <v>-1679.6962135543199</v>
      </c>
      <c r="AC282" s="168"/>
      <c r="AD282" s="168"/>
      <c r="AE282" s="176">
        <v>1035</v>
      </c>
      <c r="AF282" s="176">
        <v>1768</v>
      </c>
      <c r="AG282" s="167"/>
      <c r="AH282" s="180">
        <v>253.9</v>
      </c>
      <c r="AI282" s="166">
        <v>39.683637264532798</v>
      </c>
      <c r="AJ282" s="181" t="s">
        <v>53</v>
      </c>
      <c r="AK282" s="173">
        <v>0.62989900419893297</v>
      </c>
      <c r="AL282" s="174">
        <v>-220.12265761591999</v>
      </c>
      <c r="AM282" s="168"/>
      <c r="AN282" s="168"/>
      <c r="AO282" s="176">
        <v>150</v>
      </c>
      <c r="AP282" s="176">
        <v>230</v>
      </c>
      <c r="AQ282" s="167"/>
      <c r="AR282" s="180">
        <v>52.4</v>
      </c>
      <c r="AS282" s="166">
        <v>8.1899275016207902</v>
      </c>
      <c r="AT282" s="181" t="s">
        <v>54</v>
      </c>
      <c r="AU282" s="173">
        <v>0.51187046885129905</v>
      </c>
      <c r="AV282" s="174">
        <v>-67.986706696106594</v>
      </c>
      <c r="AW282" s="168"/>
      <c r="AX282" s="168"/>
      <c r="AY282" s="176">
        <v>50</v>
      </c>
      <c r="AZ282" s="176">
        <v>71</v>
      </c>
      <c r="BA282" s="167"/>
      <c r="BB282" s="184">
        <v>242.8</v>
      </c>
      <c r="BC282" s="180">
        <v>37.948748041861201</v>
      </c>
      <c r="BD282" s="181" t="s">
        <v>55</v>
      </c>
      <c r="BE282" s="178">
        <v>1.1858983763081601</v>
      </c>
      <c r="BF282" s="179">
        <v>2.0265866077868702</v>
      </c>
      <c r="BG282" s="168">
        <v>0.02</v>
      </c>
      <c r="BH282" s="168">
        <v>1.9E-2</v>
      </c>
      <c r="BI282" s="176">
        <v>0</v>
      </c>
      <c r="BJ282" s="176">
        <v>3</v>
      </c>
      <c r="BK282" s="169"/>
      <c r="BL282" s="185">
        <v>0.8</v>
      </c>
      <c r="BM282" s="188">
        <v>0.77</v>
      </c>
      <c r="BN282" s="186"/>
      <c r="BO282" s="187">
        <v>0.95</v>
      </c>
      <c r="BP282" s="178">
        <v>1</v>
      </c>
      <c r="BQ282" s="186">
        <v>2.5000000000000001E-3</v>
      </c>
    </row>
    <row r="283" spans="1:69" s="156" customFormat="1" ht="22.35" customHeight="1" x14ac:dyDescent="0.2">
      <c r="A283" s="165" t="s">
        <v>339</v>
      </c>
      <c r="B283" s="165" t="s">
        <v>340</v>
      </c>
      <c r="C283" s="165" t="s">
        <v>354</v>
      </c>
      <c r="D283" s="166">
        <v>5.0444772765555603</v>
      </c>
      <c r="E283" s="167"/>
      <c r="F283" s="168">
        <v>4.2000000000000003E-2</v>
      </c>
      <c r="G283" s="168">
        <v>3.5999999999999997E-2</v>
      </c>
      <c r="H283" s="169"/>
      <c r="I283" s="170">
        <v>4</v>
      </c>
      <c r="J283" s="170">
        <v>4</v>
      </c>
      <c r="K283" s="167"/>
      <c r="L283" s="171">
        <v>2003.68759</v>
      </c>
      <c r="M283" s="171">
        <v>1255.7361100000001</v>
      </c>
      <c r="N283" s="171">
        <v>3259.4236999999998</v>
      </c>
      <c r="O283" s="166">
        <v>646.13705668738498</v>
      </c>
      <c r="P283" s="172">
        <v>216.363</v>
      </c>
      <c r="Q283" s="178">
        <v>2.9863565243936598</v>
      </c>
      <c r="R283" s="179">
        <v>1975.8923333028299</v>
      </c>
      <c r="S283" s="168">
        <v>0.01</v>
      </c>
      <c r="T283" s="168">
        <v>0.01</v>
      </c>
      <c r="U283" s="175">
        <v>0</v>
      </c>
      <c r="V283" s="176">
        <v>0</v>
      </c>
      <c r="W283" s="167"/>
      <c r="X283" s="175">
        <v>3162.29547</v>
      </c>
      <c r="Y283" s="166">
        <v>626.88268707184295</v>
      </c>
      <c r="Z283" s="177">
        <v>573</v>
      </c>
      <c r="AA283" s="182">
        <v>1.0940361030922201</v>
      </c>
      <c r="AB283" s="183">
        <v>-236.91545385241</v>
      </c>
      <c r="AC283" s="168">
        <v>1.2E-2</v>
      </c>
      <c r="AD283" s="168">
        <v>8.9999999999999993E-3</v>
      </c>
      <c r="AE283" s="176">
        <v>0</v>
      </c>
      <c r="AF283" s="176">
        <v>307</v>
      </c>
      <c r="AG283" s="167"/>
      <c r="AH283" s="180">
        <v>214.6</v>
      </c>
      <c r="AI283" s="166">
        <v>42.541573335529399</v>
      </c>
      <c r="AJ283" s="181" t="s">
        <v>53</v>
      </c>
      <c r="AK283" s="173">
        <v>0.67526306881792797</v>
      </c>
      <c r="AL283" s="174">
        <v>-159.13523246544801</v>
      </c>
      <c r="AM283" s="168"/>
      <c r="AN283" s="168"/>
      <c r="AO283" s="176">
        <v>104</v>
      </c>
      <c r="AP283" s="176">
        <v>167</v>
      </c>
      <c r="AQ283" s="167"/>
      <c r="AR283" s="180">
        <v>28.8</v>
      </c>
      <c r="AS283" s="166">
        <v>5.7092139425128003</v>
      </c>
      <c r="AT283" s="181" t="s">
        <v>54</v>
      </c>
      <c r="AU283" s="173">
        <v>0.35682587140705002</v>
      </c>
      <c r="AV283" s="174">
        <v>-66.116884435669405</v>
      </c>
      <c r="AW283" s="168"/>
      <c r="AX283" s="168"/>
      <c r="AY283" s="176">
        <v>52</v>
      </c>
      <c r="AZ283" s="176">
        <v>69</v>
      </c>
      <c r="BA283" s="167"/>
      <c r="BB283" s="184">
        <v>189.2</v>
      </c>
      <c r="BC283" s="180">
        <v>37.506363816785502</v>
      </c>
      <c r="BD283" s="181" t="s">
        <v>55</v>
      </c>
      <c r="BE283" s="178">
        <v>1.17207386927455</v>
      </c>
      <c r="BF283" s="179">
        <v>-0.63376887133878801</v>
      </c>
      <c r="BG283" s="168">
        <v>0.02</v>
      </c>
      <c r="BH283" s="168">
        <v>1.7000000000000001E-2</v>
      </c>
      <c r="BI283" s="176">
        <v>0</v>
      </c>
      <c r="BJ283" s="176">
        <v>5</v>
      </c>
      <c r="BK283" s="169"/>
      <c r="BL283" s="185">
        <v>0.8</v>
      </c>
      <c r="BM283" s="188">
        <v>0.8</v>
      </c>
      <c r="BN283" s="186">
        <v>0</v>
      </c>
      <c r="BO283" s="187">
        <v>0.95</v>
      </c>
      <c r="BP283" s="178">
        <v>1</v>
      </c>
      <c r="BQ283" s="186">
        <v>2.5000000000000001E-3</v>
      </c>
    </row>
    <row r="284" spans="1:69" s="156" customFormat="1" ht="22.35" customHeight="1" x14ac:dyDescent="0.2">
      <c r="A284" s="165" t="s">
        <v>339</v>
      </c>
      <c r="B284" s="165" t="s">
        <v>340</v>
      </c>
      <c r="C284" s="165" t="s">
        <v>355</v>
      </c>
      <c r="D284" s="166">
        <v>3.2630691803333298</v>
      </c>
      <c r="E284" s="167"/>
      <c r="F284" s="168">
        <v>3.7999999999999999E-2</v>
      </c>
      <c r="G284" s="168">
        <v>3.5999999999999997E-2</v>
      </c>
      <c r="H284" s="169"/>
      <c r="I284" s="170">
        <v>5</v>
      </c>
      <c r="J284" s="170">
        <v>5</v>
      </c>
      <c r="K284" s="167"/>
      <c r="L284" s="171">
        <v>2398.0965000000001</v>
      </c>
      <c r="M284" s="171">
        <v>857.31957</v>
      </c>
      <c r="N284" s="171">
        <v>3255.4160700000002</v>
      </c>
      <c r="O284" s="166">
        <v>997.65462823177097</v>
      </c>
      <c r="P284" s="172">
        <v>249.714</v>
      </c>
      <c r="Q284" s="178">
        <v>3.9951890091535498</v>
      </c>
      <c r="R284" s="179">
        <v>2297.1712186178402</v>
      </c>
      <c r="S284" s="168">
        <v>0.01</v>
      </c>
      <c r="T284" s="168">
        <v>0.01</v>
      </c>
      <c r="U284" s="175">
        <v>0</v>
      </c>
      <c r="V284" s="176">
        <v>0</v>
      </c>
      <c r="W284" s="167"/>
      <c r="X284" s="175">
        <v>1808.3795500000001</v>
      </c>
      <c r="Y284" s="166">
        <v>554.19589658079803</v>
      </c>
      <c r="Z284" s="177">
        <v>573</v>
      </c>
      <c r="AA284" s="188">
        <v>0.96718306558603395</v>
      </c>
      <c r="AB284" s="171">
        <v>-390.43309102925298</v>
      </c>
      <c r="AC284" s="168"/>
      <c r="AD284" s="168"/>
      <c r="AE284" s="176">
        <v>62</v>
      </c>
      <c r="AF284" s="176">
        <v>436</v>
      </c>
      <c r="AG284" s="167"/>
      <c r="AH284" s="180">
        <v>217.3</v>
      </c>
      <c r="AI284" s="166">
        <v>66.593745946202105</v>
      </c>
      <c r="AJ284" s="181" t="s">
        <v>53</v>
      </c>
      <c r="AK284" s="182">
        <v>1.05704358644765</v>
      </c>
      <c r="AL284" s="183">
        <v>-24.4542694325357</v>
      </c>
      <c r="AM284" s="168">
        <v>8.0000000000000002E-3</v>
      </c>
      <c r="AN284" s="168">
        <v>6.0000000000000001E-3</v>
      </c>
      <c r="AO284" s="176">
        <v>0</v>
      </c>
      <c r="AP284" s="176">
        <v>30</v>
      </c>
      <c r="AQ284" s="167"/>
      <c r="AR284" s="180">
        <v>14.3</v>
      </c>
      <c r="AS284" s="166">
        <v>4.3823772067680196</v>
      </c>
      <c r="AT284" s="181" t="s">
        <v>54</v>
      </c>
      <c r="AU284" s="173">
        <v>0.273898575423001</v>
      </c>
      <c r="AV284" s="174">
        <v>-47.097909697151898</v>
      </c>
      <c r="AW284" s="168"/>
      <c r="AX284" s="168"/>
      <c r="AY284" s="176">
        <v>38</v>
      </c>
      <c r="AZ284" s="176">
        <v>49</v>
      </c>
      <c r="BA284" s="167"/>
      <c r="BB284" s="184">
        <v>125.2</v>
      </c>
      <c r="BC284" s="180">
        <v>38.368785055059803</v>
      </c>
      <c r="BD284" s="181" t="s">
        <v>55</v>
      </c>
      <c r="BE284" s="178">
        <v>1.1990245329706199</v>
      </c>
      <c r="BF284" s="179">
        <v>2.4041806056961401</v>
      </c>
      <c r="BG284" s="168">
        <v>0.02</v>
      </c>
      <c r="BH284" s="168">
        <v>0.02</v>
      </c>
      <c r="BI284" s="176">
        <v>0</v>
      </c>
      <c r="BJ284" s="176">
        <v>1</v>
      </c>
      <c r="BK284" s="169"/>
      <c r="BL284" s="185">
        <v>0.8</v>
      </c>
      <c r="BM284" s="182">
        <v>0.85</v>
      </c>
      <c r="BN284" s="186">
        <v>1.8749999999999999E-3</v>
      </c>
      <c r="BO284" s="187">
        <v>0.95</v>
      </c>
      <c r="BP284" s="178">
        <v>1</v>
      </c>
      <c r="BQ284" s="186">
        <v>2.5000000000000001E-3</v>
      </c>
    </row>
    <row r="285" spans="1:69" s="156" customFormat="1" ht="22.35" customHeight="1" x14ac:dyDescent="0.2">
      <c r="A285" s="165" t="s">
        <v>339</v>
      </c>
      <c r="B285" s="165" t="s">
        <v>340</v>
      </c>
      <c r="C285" s="165" t="s">
        <v>356</v>
      </c>
      <c r="D285" s="166">
        <v>2.6091871092222201</v>
      </c>
      <c r="E285" s="167"/>
      <c r="F285" s="168">
        <v>6.4000000000000001E-2</v>
      </c>
      <c r="G285" s="168">
        <v>6.0999999999999999E-2</v>
      </c>
      <c r="H285" s="169"/>
      <c r="I285" s="170">
        <v>6</v>
      </c>
      <c r="J285" s="170">
        <v>6</v>
      </c>
      <c r="K285" s="167"/>
      <c r="L285" s="171">
        <v>1096.4637499999999</v>
      </c>
      <c r="M285" s="171">
        <v>330.02505000000002</v>
      </c>
      <c r="N285" s="171">
        <v>1426.4888000000001</v>
      </c>
      <c r="O285" s="166">
        <v>546.71770949582196</v>
      </c>
      <c r="P285" s="172">
        <v>212.5</v>
      </c>
      <c r="Q285" s="178">
        <v>2.57278922115681</v>
      </c>
      <c r="R285" s="179">
        <v>774.45294140536703</v>
      </c>
      <c r="S285" s="168">
        <v>0.01</v>
      </c>
      <c r="T285" s="168">
        <v>0.01</v>
      </c>
      <c r="U285" s="175">
        <v>0</v>
      </c>
      <c r="V285" s="176">
        <v>0</v>
      </c>
      <c r="W285" s="167"/>
      <c r="X285" s="175">
        <v>1913.3752950000001</v>
      </c>
      <c r="Y285" s="166">
        <v>733.32237777702403</v>
      </c>
      <c r="Z285" s="177">
        <v>573</v>
      </c>
      <c r="AA285" s="178">
        <v>1.27979472561435</v>
      </c>
      <c r="AB285" s="179">
        <v>155.179779824825</v>
      </c>
      <c r="AC285" s="168">
        <v>0.02</v>
      </c>
      <c r="AD285" s="168">
        <v>0.02</v>
      </c>
      <c r="AE285" s="176">
        <v>0</v>
      </c>
      <c r="AF285" s="176">
        <v>0</v>
      </c>
      <c r="AG285" s="167"/>
      <c r="AH285" s="180">
        <v>182.9</v>
      </c>
      <c r="AI285" s="166">
        <v>70.098460686677598</v>
      </c>
      <c r="AJ285" s="181" t="s">
        <v>53</v>
      </c>
      <c r="AK285" s="182">
        <v>1.11267397915361</v>
      </c>
      <c r="AL285" s="183">
        <v>-10.4094545480558</v>
      </c>
      <c r="AM285" s="168">
        <v>1.4E-2</v>
      </c>
      <c r="AN285" s="168">
        <v>1.0999999999999999E-2</v>
      </c>
      <c r="AO285" s="176">
        <v>0</v>
      </c>
      <c r="AP285" s="176">
        <v>15</v>
      </c>
      <c r="AQ285" s="167"/>
      <c r="AR285" s="180">
        <v>13.2</v>
      </c>
      <c r="AS285" s="166">
        <v>5.0590469166984402</v>
      </c>
      <c r="AT285" s="181" t="s">
        <v>54</v>
      </c>
      <c r="AU285" s="173">
        <v>0.31619043229365201</v>
      </c>
      <c r="AV285" s="174">
        <v>-35.894464647125297</v>
      </c>
      <c r="AW285" s="168"/>
      <c r="AX285" s="168"/>
      <c r="AY285" s="176">
        <v>29</v>
      </c>
      <c r="AZ285" s="176">
        <v>37</v>
      </c>
      <c r="BA285" s="167"/>
      <c r="BB285" s="184">
        <v>119</v>
      </c>
      <c r="BC285" s="180">
        <v>45.608074476296501</v>
      </c>
      <c r="BD285" s="181" t="s">
        <v>55</v>
      </c>
      <c r="BE285" s="178">
        <v>1.4252523273842701</v>
      </c>
      <c r="BF285" s="179">
        <v>20.811070705749401</v>
      </c>
      <c r="BG285" s="168">
        <v>0.02</v>
      </c>
      <c r="BH285" s="168">
        <v>0.02</v>
      </c>
      <c r="BI285" s="176">
        <v>0</v>
      </c>
      <c r="BJ285" s="176">
        <v>0</v>
      </c>
      <c r="BK285" s="169"/>
      <c r="BL285" s="185">
        <v>0.8</v>
      </c>
      <c r="BM285" s="182">
        <v>0.85</v>
      </c>
      <c r="BN285" s="186">
        <v>1.8749999999999999E-3</v>
      </c>
      <c r="BO285" s="187">
        <v>0.95</v>
      </c>
      <c r="BP285" s="178">
        <v>1</v>
      </c>
      <c r="BQ285" s="186">
        <v>2.5000000000000001E-3</v>
      </c>
    </row>
    <row r="286" spans="1:69" s="156" customFormat="1" ht="22.35" customHeight="1" x14ac:dyDescent="0.2">
      <c r="A286" s="165" t="s">
        <v>339</v>
      </c>
      <c r="B286" s="165" t="s">
        <v>357</v>
      </c>
      <c r="C286" s="165" t="s">
        <v>358</v>
      </c>
      <c r="D286" s="166">
        <v>2.5673660413333299</v>
      </c>
      <c r="E286" s="167"/>
      <c r="F286" s="168">
        <v>7.0000000000000007E-2</v>
      </c>
      <c r="G286" s="168">
        <v>7.0000000000000007E-2</v>
      </c>
      <c r="H286" s="169"/>
      <c r="I286" s="170">
        <v>6</v>
      </c>
      <c r="J286" s="170">
        <v>6</v>
      </c>
      <c r="K286" s="167"/>
      <c r="L286" s="171">
        <v>5591.2634900000003</v>
      </c>
      <c r="M286" s="171">
        <v>1707.5461700000001</v>
      </c>
      <c r="N286" s="171">
        <v>7298.8096599999999</v>
      </c>
      <c r="O286" s="166">
        <v>2842.9174268463298</v>
      </c>
      <c r="P286" s="172">
        <v>212.5</v>
      </c>
      <c r="Q286" s="178">
        <v>13.378434949865101</v>
      </c>
      <c r="R286" s="179">
        <v>6657.2248862708002</v>
      </c>
      <c r="S286" s="168">
        <v>0.01</v>
      </c>
      <c r="T286" s="168">
        <v>0.01</v>
      </c>
      <c r="U286" s="175">
        <v>0</v>
      </c>
      <c r="V286" s="176">
        <v>0</v>
      </c>
      <c r="W286" s="167"/>
      <c r="X286" s="175">
        <v>2265.5671400000001</v>
      </c>
      <c r="Y286" s="166">
        <v>882.44804345211401</v>
      </c>
      <c r="Z286" s="177">
        <v>573</v>
      </c>
      <c r="AA286" s="178">
        <v>1.5400489414522101</v>
      </c>
      <c r="AB286" s="179">
        <v>535.55266777961901</v>
      </c>
      <c r="AC286" s="168">
        <v>0.02</v>
      </c>
      <c r="AD286" s="168">
        <v>0.02</v>
      </c>
      <c r="AE286" s="176">
        <v>0</v>
      </c>
      <c r="AF286" s="176">
        <v>0</v>
      </c>
      <c r="AG286" s="167"/>
      <c r="AH286" s="180">
        <v>229.3</v>
      </c>
      <c r="AI286" s="166">
        <v>89.313325917840501</v>
      </c>
      <c r="AJ286" s="181" t="s">
        <v>53</v>
      </c>
      <c r="AK286" s="178">
        <v>1.41767183996572</v>
      </c>
      <c r="AL286" s="179">
        <v>39.0889847296963</v>
      </c>
      <c r="AM286" s="168">
        <v>0.02</v>
      </c>
      <c r="AN286" s="168">
        <v>0.02</v>
      </c>
      <c r="AO286" s="176">
        <v>0</v>
      </c>
      <c r="AP286" s="176">
        <v>0</v>
      </c>
      <c r="AQ286" s="167"/>
      <c r="AR286" s="180">
        <v>23.4</v>
      </c>
      <c r="AS286" s="166">
        <v>9.1143995921389802</v>
      </c>
      <c r="AT286" s="181" t="s">
        <v>54</v>
      </c>
      <c r="AU286" s="173">
        <v>0.56964997450868604</v>
      </c>
      <c r="AV286" s="174">
        <v>-24.907559433727901</v>
      </c>
      <c r="AW286" s="168"/>
      <c r="AX286" s="168"/>
      <c r="AY286" s="176">
        <v>18</v>
      </c>
      <c r="AZ286" s="176">
        <v>26</v>
      </c>
      <c r="BA286" s="167"/>
      <c r="BB286" s="184">
        <v>135.4</v>
      </c>
      <c r="BC286" s="180">
        <v>52.738876272462299</v>
      </c>
      <c r="BD286" s="181" t="s">
        <v>55</v>
      </c>
      <c r="BE286" s="178">
        <v>1.64808988351445</v>
      </c>
      <c r="BF286" s="179">
        <v>38.784881132544101</v>
      </c>
      <c r="BG286" s="168">
        <v>0.02</v>
      </c>
      <c r="BH286" s="168">
        <v>0.02</v>
      </c>
      <c r="BI286" s="176">
        <v>0</v>
      </c>
      <c r="BJ286" s="176">
        <v>0</v>
      </c>
      <c r="BK286" s="169"/>
      <c r="BL286" s="185">
        <v>0.8</v>
      </c>
      <c r="BM286" s="182">
        <v>0.81</v>
      </c>
      <c r="BN286" s="186">
        <v>3.7500000000000001E-4</v>
      </c>
      <c r="BO286" s="187">
        <v>0.95</v>
      </c>
      <c r="BP286" s="178">
        <v>1</v>
      </c>
      <c r="BQ286" s="186">
        <v>2.5000000000000001E-3</v>
      </c>
    </row>
    <row r="287" spans="1:69" s="156" customFormat="1" ht="22.35" customHeight="1" x14ac:dyDescent="0.2">
      <c r="A287" s="165" t="s">
        <v>339</v>
      </c>
      <c r="B287" s="165" t="s">
        <v>357</v>
      </c>
      <c r="C287" s="165" t="s">
        <v>359</v>
      </c>
      <c r="D287" s="166">
        <v>2.9278143756666699</v>
      </c>
      <c r="E287" s="167"/>
      <c r="F287" s="168">
        <v>6.8000000000000005E-2</v>
      </c>
      <c r="G287" s="168">
        <v>6.5000000000000002E-2</v>
      </c>
      <c r="H287" s="169"/>
      <c r="I287" s="170">
        <v>6</v>
      </c>
      <c r="J287" s="170">
        <v>6</v>
      </c>
      <c r="K287" s="167"/>
      <c r="L287" s="171">
        <v>1462.04519</v>
      </c>
      <c r="M287" s="171">
        <v>929.62657000000002</v>
      </c>
      <c r="N287" s="171">
        <v>2391.6717600000002</v>
      </c>
      <c r="O287" s="166">
        <v>816.87957401855897</v>
      </c>
      <c r="P287" s="172">
        <v>220.75700000000001</v>
      </c>
      <c r="Q287" s="178">
        <v>3.7003563828941299</v>
      </c>
      <c r="R287" s="179">
        <v>1631.5811906802401</v>
      </c>
      <c r="S287" s="168">
        <v>0.01</v>
      </c>
      <c r="T287" s="168">
        <v>0.01</v>
      </c>
      <c r="U287" s="175">
        <v>0</v>
      </c>
      <c r="V287" s="176">
        <v>0</v>
      </c>
      <c r="W287" s="167"/>
      <c r="X287" s="175">
        <v>2082.1570550000001</v>
      </c>
      <c r="Y287" s="166">
        <v>711.16429795037504</v>
      </c>
      <c r="Z287" s="177">
        <v>573</v>
      </c>
      <c r="AA287" s="178">
        <v>1.2411244292327701</v>
      </c>
      <c r="AB287" s="179">
        <v>109.25519358576599</v>
      </c>
      <c r="AC287" s="168">
        <v>0.02</v>
      </c>
      <c r="AD287" s="168">
        <v>0.02</v>
      </c>
      <c r="AE287" s="176">
        <v>0</v>
      </c>
      <c r="AF287" s="176">
        <v>0</v>
      </c>
      <c r="AG287" s="167"/>
      <c r="AH287" s="180">
        <v>212.4</v>
      </c>
      <c r="AI287" s="166">
        <v>72.545582727264403</v>
      </c>
      <c r="AJ287" s="181" t="s">
        <v>53</v>
      </c>
      <c r="AK287" s="182">
        <v>1.1515171861470499</v>
      </c>
      <c r="AL287" s="183">
        <v>-4.5159114643922198</v>
      </c>
      <c r="AM287" s="168">
        <v>1.7999999999999999E-2</v>
      </c>
      <c r="AN287" s="168">
        <v>1.4999999999999999E-2</v>
      </c>
      <c r="AO287" s="176">
        <v>0</v>
      </c>
      <c r="AP287" s="176">
        <v>9</v>
      </c>
      <c r="AQ287" s="167"/>
      <c r="AR287" s="180">
        <v>13</v>
      </c>
      <c r="AS287" s="166">
        <v>4.4401722008212596</v>
      </c>
      <c r="AT287" s="181" t="s">
        <v>54</v>
      </c>
      <c r="AU287" s="173">
        <v>0.277510762551329</v>
      </c>
      <c r="AV287" s="174">
        <v>-42.089755292544098</v>
      </c>
      <c r="AW287" s="168"/>
      <c r="AX287" s="168"/>
      <c r="AY287" s="176">
        <v>34</v>
      </c>
      <c r="AZ287" s="176">
        <v>44</v>
      </c>
      <c r="BA287" s="167"/>
      <c r="BB287" s="184">
        <v>123.8</v>
      </c>
      <c r="BC287" s="180">
        <v>42.2841014201286</v>
      </c>
      <c r="BD287" s="181" t="s">
        <v>55</v>
      </c>
      <c r="BE287" s="178">
        <v>1.3213781693790201</v>
      </c>
      <c r="BF287" s="179">
        <v>13.6204894149119</v>
      </c>
      <c r="BG287" s="168">
        <v>0.02</v>
      </c>
      <c r="BH287" s="168">
        <v>0.02</v>
      </c>
      <c r="BI287" s="176">
        <v>0</v>
      </c>
      <c r="BJ287" s="176">
        <v>0</v>
      </c>
      <c r="BK287" s="169"/>
      <c r="BL287" s="185">
        <v>0.8</v>
      </c>
      <c r="BM287" s="182">
        <v>0.87</v>
      </c>
      <c r="BN287" s="186">
        <v>2.6250000000000002E-3</v>
      </c>
      <c r="BO287" s="187">
        <v>0.95</v>
      </c>
      <c r="BP287" s="178">
        <v>1</v>
      </c>
      <c r="BQ287" s="186">
        <v>2.5000000000000001E-3</v>
      </c>
    </row>
    <row r="288" spans="1:69" s="156" customFormat="1" ht="22.35" customHeight="1" x14ac:dyDescent="0.2">
      <c r="A288" s="165" t="s">
        <v>339</v>
      </c>
      <c r="B288" s="165" t="s">
        <v>357</v>
      </c>
      <c r="C288" s="165" t="s">
        <v>360</v>
      </c>
      <c r="D288" s="166">
        <v>3.9837235643333302</v>
      </c>
      <c r="E288" s="167"/>
      <c r="F288" s="168">
        <v>2.3E-2</v>
      </c>
      <c r="G288" s="168">
        <v>1.9E-2</v>
      </c>
      <c r="H288" s="169"/>
      <c r="I288" s="170">
        <v>5</v>
      </c>
      <c r="J288" s="170">
        <v>5</v>
      </c>
      <c r="K288" s="167"/>
      <c r="L288" s="171">
        <v>1659.39426</v>
      </c>
      <c r="M288" s="171">
        <v>451.82402000000002</v>
      </c>
      <c r="N288" s="171">
        <v>2111.21828</v>
      </c>
      <c r="O288" s="166">
        <v>529.96103919005395</v>
      </c>
      <c r="P288" s="172">
        <v>222.58099999999999</v>
      </c>
      <c r="Q288" s="178">
        <v>2.3809805832036601</v>
      </c>
      <c r="R288" s="179">
        <v>1068.4576985847</v>
      </c>
      <c r="S288" s="168">
        <v>0.01</v>
      </c>
      <c r="T288" s="168">
        <v>0.01</v>
      </c>
      <c r="U288" s="175">
        <v>0</v>
      </c>
      <c r="V288" s="176">
        <v>0</v>
      </c>
      <c r="W288" s="167"/>
      <c r="X288" s="175">
        <v>2318.4013</v>
      </c>
      <c r="Y288" s="166">
        <v>581.96841787840697</v>
      </c>
      <c r="Z288" s="177">
        <v>573</v>
      </c>
      <c r="AA288" s="182">
        <v>1.0156516891420699</v>
      </c>
      <c r="AB288" s="183">
        <v>-366.02285637888599</v>
      </c>
      <c r="AC288" s="168">
        <v>4.0000000000000001E-3</v>
      </c>
      <c r="AD288" s="168">
        <v>2E-3</v>
      </c>
      <c r="AE288" s="176">
        <v>0</v>
      </c>
      <c r="AF288" s="176">
        <v>421</v>
      </c>
      <c r="AG288" s="167"/>
      <c r="AH288" s="180">
        <v>191.45</v>
      </c>
      <c r="AI288" s="166">
        <v>48.058053453826602</v>
      </c>
      <c r="AJ288" s="181" t="s">
        <v>53</v>
      </c>
      <c r="AK288" s="173">
        <v>0.76282624529883503</v>
      </c>
      <c r="AL288" s="174">
        <v>-103.696111434328</v>
      </c>
      <c r="AM288" s="168"/>
      <c r="AN288" s="168"/>
      <c r="AO288" s="176">
        <v>60</v>
      </c>
      <c r="AP288" s="176">
        <v>110</v>
      </c>
      <c r="AQ288" s="167"/>
      <c r="AR288" s="180">
        <v>12.8</v>
      </c>
      <c r="AS288" s="166">
        <v>3.2130743494853999</v>
      </c>
      <c r="AT288" s="181" t="s">
        <v>54</v>
      </c>
      <c r="AU288" s="173">
        <v>0.200817146842837</v>
      </c>
      <c r="AV288" s="174">
        <v>-62.1577425864959</v>
      </c>
      <c r="AW288" s="168"/>
      <c r="AX288" s="168"/>
      <c r="AY288" s="176">
        <v>51</v>
      </c>
      <c r="AZ288" s="176">
        <v>64</v>
      </c>
      <c r="BA288" s="167"/>
      <c r="BB288" s="184">
        <v>136.6</v>
      </c>
      <c r="BC288" s="180">
        <v>34.289527823414502</v>
      </c>
      <c r="BD288" s="181" t="s">
        <v>55</v>
      </c>
      <c r="BE288" s="182">
        <v>1.0715477444817001</v>
      </c>
      <c r="BF288" s="183">
        <v>-13.315485172991901</v>
      </c>
      <c r="BG288" s="168">
        <v>8.9999999999999993E-3</v>
      </c>
      <c r="BH288" s="168">
        <v>7.0000000000000001E-3</v>
      </c>
      <c r="BI288" s="176">
        <v>0</v>
      </c>
      <c r="BJ288" s="176">
        <v>17</v>
      </c>
      <c r="BK288" s="169"/>
      <c r="BL288" s="185">
        <v>0.8</v>
      </c>
      <c r="BM288" s="182">
        <v>0.82</v>
      </c>
      <c r="BN288" s="186">
        <v>7.5000000000000002E-4</v>
      </c>
      <c r="BO288" s="187">
        <v>0.95</v>
      </c>
      <c r="BP288" s="178">
        <v>1</v>
      </c>
      <c r="BQ288" s="186">
        <v>2.5000000000000001E-3</v>
      </c>
    </row>
    <row r="289" spans="1:69" s="156" customFormat="1" ht="22.35" customHeight="1" x14ac:dyDescent="0.2">
      <c r="A289" s="165" t="s">
        <v>339</v>
      </c>
      <c r="B289" s="165" t="s">
        <v>357</v>
      </c>
      <c r="C289" s="165" t="s">
        <v>361</v>
      </c>
      <c r="D289" s="166">
        <v>5.0138817773333297</v>
      </c>
      <c r="E289" s="167"/>
      <c r="F289" s="168">
        <v>4.9000000000000002E-2</v>
      </c>
      <c r="G289" s="168">
        <v>4.2999999999999997E-2</v>
      </c>
      <c r="H289" s="169"/>
      <c r="I289" s="170">
        <v>6</v>
      </c>
      <c r="J289" s="170">
        <v>6</v>
      </c>
      <c r="K289" s="167"/>
      <c r="L289" s="171">
        <v>4143.0157600000002</v>
      </c>
      <c r="M289" s="171">
        <v>3675.2511399999999</v>
      </c>
      <c r="N289" s="171">
        <v>7818.2668999999996</v>
      </c>
      <c r="O289" s="166">
        <v>1559.3241418943501</v>
      </c>
      <c r="P289" s="172">
        <v>268.01799999999997</v>
      </c>
      <c r="Q289" s="178">
        <v>5.81798290373911</v>
      </c>
      <c r="R289" s="179">
        <v>6237.9456741519498</v>
      </c>
      <c r="S289" s="168">
        <v>0.01</v>
      </c>
      <c r="T289" s="168">
        <v>0.01</v>
      </c>
      <c r="U289" s="175">
        <v>0</v>
      </c>
      <c r="V289" s="176">
        <v>0</v>
      </c>
      <c r="W289" s="167"/>
      <c r="X289" s="175">
        <v>3259.3477549999998</v>
      </c>
      <c r="Y289" s="166">
        <v>650.06474020484495</v>
      </c>
      <c r="Z289" s="177">
        <v>573</v>
      </c>
      <c r="AA289" s="182">
        <v>1.13449343840287</v>
      </c>
      <c r="AB289" s="183">
        <v>-119.24645289251001</v>
      </c>
      <c r="AC289" s="168">
        <v>1.6E-2</v>
      </c>
      <c r="AD289" s="168">
        <v>1.2999999999999999E-2</v>
      </c>
      <c r="AE289" s="176">
        <v>0</v>
      </c>
      <c r="AF289" s="176">
        <v>189</v>
      </c>
      <c r="AG289" s="167"/>
      <c r="AH289" s="180">
        <v>318.14999999999998</v>
      </c>
      <c r="AI289" s="166">
        <v>63.453829613272198</v>
      </c>
      <c r="AJ289" s="181" t="s">
        <v>53</v>
      </c>
      <c r="AK289" s="182">
        <v>1.00720364465512</v>
      </c>
      <c r="AL289" s="183">
        <v>-53.318473119071697</v>
      </c>
      <c r="AM289" s="168">
        <v>3.0000000000000001E-3</v>
      </c>
      <c r="AN289" s="168">
        <v>1E-3</v>
      </c>
      <c r="AO289" s="176">
        <v>0</v>
      </c>
      <c r="AP289" s="176">
        <v>61</v>
      </c>
      <c r="AQ289" s="167"/>
      <c r="AR289" s="180">
        <v>60.5</v>
      </c>
      <c r="AS289" s="166">
        <v>12.066499109234501</v>
      </c>
      <c r="AT289" s="181" t="s">
        <v>54</v>
      </c>
      <c r="AU289" s="173">
        <v>0.75415619432715897</v>
      </c>
      <c r="AV289" s="174">
        <v>-33.841199522303903</v>
      </c>
      <c r="AW289" s="168"/>
      <c r="AX289" s="168"/>
      <c r="AY289" s="176">
        <v>20</v>
      </c>
      <c r="AZ289" s="176">
        <v>36</v>
      </c>
      <c r="BA289" s="167"/>
      <c r="BB289" s="184">
        <v>190.2</v>
      </c>
      <c r="BC289" s="180">
        <v>37.934679844238197</v>
      </c>
      <c r="BD289" s="181" t="s">
        <v>55</v>
      </c>
      <c r="BE289" s="178">
        <v>1.1854587451324401</v>
      </c>
      <c r="BF289" s="179">
        <v>1.5176009553921701</v>
      </c>
      <c r="BG289" s="168">
        <v>0.02</v>
      </c>
      <c r="BH289" s="168">
        <v>1.9E-2</v>
      </c>
      <c r="BI289" s="176">
        <v>0</v>
      </c>
      <c r="BJ289" s="176">
        <v>3</v>
      </c>
      <c r="BK289" s="169"/>
      <c r="BL289" s="185">
        <v>0.8</v>
      </c>
      <c r="BM289" s="182">
        <v>0.83</v>
      </c>
      <c r="BN289" s="186">
        <v>1.1249999999999999E-3</v>
      </c>
      <c r="BO289" s="187">
        <v>0.95</v>
      </c>
      <c r="BP289" s="178">
        <v>1</v>
      </c>
      <c r="BQ289" s="186">
        <v>2.5000000000000001E-3</v>
      </c>
    </row>
    <row r="290" spans="1:69" s="156" customFormat="1" ht="22.35" customHeight="1" x14ac:dyDescent="0.2">
      <c r="A290" s="165" t="s">
        <v>339</v>
      </c>
      <c r="B290" s="165" t="s">
        <v>357</v>
      </c>
      <c r="C290" s="165" t="s">
        <v>362</v>
      </c>
      <c r="D290" s="166">
        <v>1.8723945526666701</v>
      </c>
      <c r="E290" s="167"/>
      <c r="F290" s="168">
        <v>0.06</v>
      </c>
      <c r="G290" s="168">
        <v>0.06</v>
      </c>
      <c r="H290" s="169"/>
      <c r="I290" s="170">
        <v>4</v>
      </c>
      <c r="J290" s="170">
        <v>4</v>
      </c>
      <c r="K290" s="167"/>
      <c r="L290" s="171">
        <v>-3222.7905500000002</v>
      </c>
      <c r="M290" s="171">
        <v>216.99044000000001</v>
      </c>
      <c r="N290" s="171">
        <v>-3005.8001100000001</v>
      </c>
      <c r="O290" s="166">
        <v>-1605.3241052849301</v>
      </c>
      <c r="P290" s="172">
        <v>218.47</v>
      </c>
      <c r="Q290" s="173">
        <v>-7.3480299596508898</v>
      </c>
      <c r="R290" s="174">
        <v>-3486.8570665952002</v>
      </c>
      <c r="S290" s="168"/>
      <c r="T290" s="168"/>
      <c r="U290" s="175">
        <v>3415</v>
      </c>
      <c r="V290" s="176">
        <v>3497</v>
      </c>
      <c r="W290" s="167"/>
      <c r="X290" s="175">
        <v>1861.2276099999999</v>
      </c>
      <c r="Y290" s="166">
        <v>994.03600985125502</v>
      </c>
      <c r="Z290" s="177">
        <v>573</v>
      </c>
      <c r="AA290" s="178">
        <v>1.73479233830935</v>
      </c>
      <c r="AB290" s="179">
        <v>599.51828547467005</v>
      </c>
      <c r="AC290" s="168">
        <v>0.02</v>
      </c>
      <c r="AD290" s="168">
        <v>0.02</v>
      </c>
      <c r="AE290" s="176">
        <v>0</v>
      </c>
      <c r="AF290" s="176">
        <v>0</v>
      </c>
      <c r="AG290" s="167"/>
      <c r="AH290" s="180">
        <v>173</v>
      </c>
      <c r="AI290" s="166">
        <v>92.395056241545404</v>
      </c>
      <c r="AJ290" s="181" t="s">
        <v>53</v>
      </c>
      <c r="AK290" s="178">
        <v>1.4665881943102499</v>
      </c>
      <c r="AL290" s="179">
        <v>34.278032382031803</v>
      </c>
      <c r="AM290" s="168">
        <v>0.02</v>
      </c>
      <c r="AN290" s="168">
        <v>0.02</v>
      </c>
      <c r="AO290" s="176">
        <v>0</v>
      </c>
      <c r="AP290" s="176">
        <v>0</v>
      </c>
      <c r="AQ290" s="167"/>
      <c r="AR290" s="180">
        <v>8</v>
      </c>
      <c r="AS290" s="166">
        <v>4.2726037568344699</v>
      </c>
      <c r="AT290" s="181" t="s">
        <v>54</v>
      </c>
      <c r="AU290" s="173">
        <v>0.26703773480215398</v>
      </c>
      <c r="AV290" s="174">
        <v>-27.230975902976098</v>
      </c>
      <c r="AW290" s="168"/>
      <c r="AX290" s="168"/>
      <c r="AY290" s="176">
        <v>22</v>
      </c>
      <c r="AZ290" s="176">
        <v>28</v>
      </c>
      <c r="BA290" s="167"/>
      <c r="BB290" s="184">
        <v>85.4</v>
      </c>
      <c r="BC290" s="180">
        <v>45.610045104207998</v>
      </c>
      <c r="BD290" s="181" t="s">
        <v>55</v>
      </c>
      <c r="BE290" s="178">
        <v>1.4253139095064999</v>
      </c>
      <c r="BF290" s="179">
        <v>14.9380481940479</v>
      </c>
      <c r="BG290" s="168">
        <v>0.02</v>
      </c>
      <c r="BH290" s="168">
        <v>0.02</v>
      </c>
      <c r="BI290" s="176">
        <v>0</v>
      </c>
      <c r="BJ290" s="176">
        <v>0</v>
      </c>
      <c r="BK290" s="169"/>
      <c r="BL290" s="185">
        <v>0.8</v>
      </c>
      <c r="BM290" s="173"/>
      <c r="BN290" s="186"/>
      <c r="BO290" s="187">
        <v>0.95</v>
      </c>
      <c r="BP290" s="178">
        <v>1</v>
      </c>
      <c r="BQ290" s="186">
        <v>2.5000000000000001E-3</v>
      </c>
    </row>
    <row r="291" spans="1:69" s="156" customFormat="1" ht="22.35" customHeight="1" x14ac:dyDescent="0.2">
      <c r="A291" s="165" t="s">
        <v>339</v>
      </c>
      <c r="B291" s="165" t="s">
        <v>357</v>
      </c>
      <c r="C291" s="165" t="s">
        <v>363</v>
      </c>
      <c r="D291" s="166">
        <v>2.0195966231111102</v>
      </c>
      <c r="E291" s="167"/>
      <c r="F291" s="168">
        <v>0.01</v>
      </c>
      <c r="G291" s="168">
        <v>0.01</v>
      </c>
      <c r="H291" s="169"/>
      <c r="I291" s="170">
        <v>2</v>
      </c>
      <c r="J291" s="170">
        <v>2</v>
      </c>
      <c r="K291" s="167"/>
      <c r="L291" s="171">
        <v>1083.05331</v>
      </c>
      <c r="M291" s="171">
        <v>-189.01915</v>
      </c>
      <c r="N291" s="171">
        <v>894.03416000000004</v>
      </c>
      <c r="O291" s="166">
        <v>442.67956767662599</v>
      </c>
      <c r="P291" s="172">
        <v>212.5</v>
      </c>
      <c r="Q291" s="178">
        <v>2.0831979655370598</v>
      </c>
      <c r="R291" s="179">
        <v>389.33696388453399</v>
      </c>
      <c r="S291" s="168">
        <v>0.01</v>
      </c>
      <c r="T291" s="168">
        <v>0.01</v>
      </c>
      <c r="U291" s="175">
        <v>0</v>
      </c>
      <c r="V291" s="176">
        <v>0</v>
      </c>
      <c r="W291" s="167"/>
      <c r="X291" s="175">
        <v>954.96393499999999</v>
      </c>
      <c r="Y291" s="166">
        <v>472.84884717667802</v>
      </c>
      <c r="Z291" s="177">
        <v>573</v>
      </c>
      <c r="AA291" s="188">
        <v>0.82521613817919304</v>
      </c>
      <c r="AB291" s="171">
        <v>-405.93721029017502</v>
      </c>
      <c r="AC291" s="168"/>
      <c r="AD291" s="168"/>
      <c r="AE291" s="176">
        <v>203</v>
      </c>
      <c r="AF291" s="176">
        <v>434</v>
      </c>
      <c r="AG291" s="167"/>
      <c r="AH291" s="180">
        <v>79.7</v>
      </c>
      <c r="AI291" s="166">
        <v>39.463326036476097</v>
      </c>
      <c r="AJ291" s="181" t="s">
        <v>53</v>
      </c>
      <c r="AK291" s="173">
        <v>0.62640200057898598</v>
      </c>
      <c r="AL291" s="174">
        <v>-69.927874613055906</v>
      </c>
      <c r="AM291" s="168"/>
      <c r="AN291" s="168"/>
      <c r="AO291" s="176">
        <v>48</v>
      </c>
      <c r="AP291" s="176">
        <v>73</v>
      </c>
      <c r="AQ291" s="167"/>
      <c r="AR291" s="180">
        <v>6</v>
      </c>
      <c r="AS291" s="166">
        <v>2.9708902913281898</v>
      </c>
      <c r="AT291" s="181" t="s">
        <v>54</v>
      </c>
      <c r="AU291" s="173">
        <v>0.185680643208012</v>
      </c>
      <c r="AV291" s="174">
        <v>-32.000730060458601</v>
      </c>
      <c r="AW291" s="168"/>
      <c r="AX291" s="168"/>
      <c r="AY291" s="176">
        <v>27</v>
      </c>
      <c r="AZ291" s="176">
        <v>33</v>
      </c>
      <c r="BA291" s="167"/>
      <c r="BB291" s="184">
        <v>59</v>
      </c>
      <c r="BC291" s="180">
        <v>29.213754531393899</v>
      </c>
      <c r="BD291" s="181" t="s">
        <v>55</v>
      </c>
      <c r="BE291" s="188">
        <v>0.91292982910605802</v>
      </c>
      <c r="BF291" s="171">
        <v>-17.001460120917301</v>
      </c>
      <c r="BG291" s="168"/>
      <c r="BH291" s="168"/>
      <c r="BI291" s="176">
        <v>6</v>
      </c>
      <c r="BJ291" s="176">
        <v>19</v>
      </c>
      <c r="BK291" s="169"/>
      <c r="BL291" s="185">
        <v>0.8</v>
      </c>
      <c r="BM291" s="188">
        <v>0.76</v>
      </c>
      <c r="BN291" s="186"/>
      <c r="BO291" s="187">
        <v>0.95</v>
      </c>
      <c r="BP291" s="178">
        <v>1</v>
      </c>
      <c r="BQ291" s="186">
        <v>2.5000000000000001E-3</v>
      </c>
    </row>
    <row r="292" spans="1:69" s="156" customFormat="1" ht="22.35" customHeight="1" x14ac:dyDescent="0.2">
      <c r="A292" s="165" t="s">
        <v>339</v>
      </c>
      <c r="B292" s="165" t="s">
        <v>357</v>
      </c>
      <c r="C292" s="165" t="s">
        <v>364</v>
      </c>
      <c r="D292" s="166">
        <v>2.89402288477778</v>
      </c>
      <c r="E292" s="167"/>
      <c r="F292" s="168">
        <v>0.01</v>
      </c>
      <c r="G292" s="168">
        <v>0.01</v>
      </c>
      <c r="H292" s="169"/>
      <c r="I292" s="170">
        <v>3</v>
      </c>
      <c r="J292" s="170">
        <v>3</v>
      </c>
      <c r="K292" s="167"/>
      <c r="L292" s="171">
        <v>1129.3476000000001</v>
      </c>
      <c r="M292" s="171">
        <v>658.50149999999996</v>
      </c>
      <c r="N292" s="171">
        <v>1787.8490999999999</v>
      </c>
      <c r="O292" s="166">
        <v>617.77296558499199</v>
      </c>
      <c r="P292" s="172">
        <v>212.5</v>
      </c>
      <c r="Q292" s="178">
        <v>2.90716689687055</v>
      </c>
      <c r="R292" s="179">
        <v>1064.63278109403</v>
      </c>
      <c r="S292" s="168">
        <v>0.01</v>
      </c>
      <c r="T292" s="168">
        <v>0.01</v>
      </c>
      <c r="U292" s="175">
        <v>0</v>
      </c>
      <c r="V292" s="176">
        <v>0</v>
      </c>
      <c r="W292" s="167"/>
      <c r="X292" s="175">
        <v>1407.946465</v>
      </c>
      <c r="Y292" s="166">
        <v>486.50149672472702</v>
      </c>
      <c r="Z292" s="177">
        <v>573</v>
      </c>
      <c r="AA292" s="188">
        <v>0.849042751701093</v>
      </c>
      <c r="AB292" s="171">
        <v>-542.18506786173702</v>
      </c>
      <c r="AC292" s="168"/>
      <c r="AD292" s="168"/>
      <c r="AE292" s="176">
        <v>251</v>
      </c>
      <c r="AF292" s="176">
        <v>582</v>
      </c>
      <c r="AG292" s="167"/>
      <c r="AH292" s="180">
        <v>95.9</v>
      </c>
      <c r="AI292" s="166">
        <v>33.137263877359999</v>
      </c>
      <c r="AJ292" s="181" t="s">
        <v>53</v>
      </c>
      <c r="AK292" s="173">
        <v>0.52598831551365199</v>
      </c>
      <c r="AL292" s="174">
        <v>-118.512367487416</v>
      </c>
      <c r="AM292" s="168"/>
      <c r="AN292" s="168"/>
      <c r="AO292" s="176">
        <v>87</v>
      </c>
      <c r="AP292" s="176">
        <v>123</v>
      </c>
      <c r="AQ292" s="167"/>
      <c r="AR292" s="180">
        <v>1</v>
      </c>
      <c r="AS292" s="166">
        <v>0.34553976931553798</v>
      </c>
      <c r="AT292" s="181" t="s">
        <v>54</v>
      </c>
      <c r="AU292" s="173">
        <v>2.15962355822211E-2</v>
      </c>
      <c r="AV292" s="174">
        <v>-53.453934599978702</v>
      </c>
      <c r="AW292" s="168"/>
      <c r="AX292" s="168"/>
      <c r="AY292" s="176">
        <v>46</v>
      </c>
      <c r="AZ292" s="176">
        <v>55</v>
      </c>
      <c r="BA292" s="167"/>
      <c r="BB292" s="184">
        <v>69.2</v>
      </c>
      <c r="BC292" s="180">
        <v>23.911352036635201</v>
      </c>
      <c r="BD292" s="181" t="s">
        <v>55</v>
      </c>
      <c r="BE292" s="173">
        <v>0.74722975114485002</v>
      </c>
      <c r="BF292" s="174">
        <v>-39.7078691999574</v>
      </c>
      <c r="BG292" s="168"/>
      <c r="BH292" s="168"/>
      <c r="BI292" s="176">
        <v>24</v>
      </c>
      <c r="BJ292" s="176">
        <v>42</v>
      </c>
      <c r="BK292" s="169"/>
      <c r="BL292" s="185">
        <v>0.8</v>
      </c>
      <c r="BM292" s="182">
        <v>0.86</v>
      </c>
      <c r="BN292" s="186">
        <v>2.2499999999999998E-3</v>
      </c>
      <c r="BO292" s="187">
        <v>0.95</v>
      </c>
      <c r="BP292" s="178">
        <v>1</v>
      </c>
      <c r="BQ292" s="186">
        <v>2.5000000000000001E-3</v>
      </c>
    </row>
    <row r="293" spans="1:69" s="156" customFormat="1" ht="22.35" customHeight="1" x14ac:dyDescent="0.2">
      <c r="A293" s="165" t="s">
        <v>339</v>
      </c>
      <c r="B293" s="165" t="s">
        <v>357</v>
      </c>
      <c r="C293" s="165" t="s">
        <v>365</v>
      </c>
      <c r="D293" s="166">
        <v>3.7017378756666699</v>
      </c>
      <c r="E293" s="167"/>
      <c r="F293" s="168">
        <v>4.2999999999999997E-2</v>
      </c>
      <c r="G293" s="168">
        <v>3.7999999999999999E-2</v>
      </c>
      <c r="H293" s="169"/>
      <c r="I293" s="170">
        <v>4</v>
      </c>
      <c r="J293" s="170">
        <v>4</v>
      </c>
      <c r="K293" s="167"/>
      <c r="L293" s="171">
        <v>2422.6076600000001</v>
      </c>
      <c r="M293" s="171">
        <v>-357.58850999999999</v>
      </c>
      <c r="N293" s="171">
        <v>2065.0191500000001</v>
      </c>
      <c r="O293" s="166">
        <v>557.85126320650102</v>
      </c>
      <c r="P293" s="172">
        <v>229.78899999999999</v>
      </c>
      <c r="Q293" s="178">
        <v>2.4276673957695998</v>
      </c>
      <c r="R293" s="179">
        <v>1064.6916238192</v>
      </c>
      <c r="S293" s="168">
        <v>0.01</v>
      </c>
      <c r="T293" s="168">
        <v>0.01</v>
      </c>
      <c r="U293" s="175">
        <v>0</v>
      </c>
      <c r="V293" s="176">
        <v>0</v>
      </c>
      <c r="W293" s="167"/>
      <c r="X293" s="175">
        <v>2343.3539799999999</v>
      </c>
      <c r="Y293" s="166">
        <v>633.04157633743102</v>
      </c>
      <c r="Z293" s="177">
        <v>573</v>
      </c>
      <c r="AA293" s="182">
        <v>1.1047846009379301</v>
      </c>
      <c r="AB293" s="183">
        <v>-151.05468404223399</v>
      </c>
      <c r="AC293" s="168">
        <v>1.2999999999999999E-2</v>
      </c>
      <c r="AD293" s="168">
        <v>0.01</v>
      </c>
      <c r="AE293" s="176">
        <v>0</v>
      </c>
      <c r="AF293" s="176">
        <v>202</v>
      </c>
      <c r="AG293" s="167"/>
      <c r="AH293" s="180">
        <v>168.2</v>
      </c>
      <c r="AI293" s="166">
        <v>45.438117351760901</v>
      </c>
      <c r="AJ293" s="181" t="s">
        <v>53</v>
      </c>
      <c r="AK293" s="173">
        <v>0.72123995796445795</v>
      </c>
      <c r="AL293" s="174">
        <v>-106.054355732392</v>
      </c>
      <c r="AM293" s="168"/>
      <c r="AN293" s="168"/>
      <c r="AO293" s="176">
        <v>66</v>
      </c>
      <c r="AP293" s="176">
        <v>112</v>
      </c>
      <c r="AQ293" s="167"/>
      <c r="AR293" s="180">
        <v>18</v>
      </c>
      <c r="AS293" s="166">
        <v>4.8625809294393303</v>
      </c>
      <c r="AT293" s="181" t="s">
        <v>54</v>
      </c>
      <c r="AU293" s="173">
        <v>0.30391130808995798</v>
      </c>
      <c r="AV293" s="174">
        <v>-51.651899868544099</v>
      </c>
      <c r="AW293" s="168"/>
      <c r="AX293" s="168"/>
      <c r="AY293" s="176">
        <v>42</v>
      </c>
      <c r="AZ293" s="176">
        <v>54</v>
      </c>
      <c r="BA293" s="167"/>
      <c r="BB293" s="184">
        <v>139.80000000000001</v>
      </c>
      <c r="BC293" s="180">
        <v>37.766045218645502</v>
      </c>
      <c r="BD293" s="181" t="s">
        <v>55</v>
      </c>
      <c r="BE293" s="178">
        <v>1.1801889130826699</v>
      </c>
      <c r="BF293" s="179">
        <v>0.49620026291188402</v>
      </c>
      <c r="BG293" s="168">
        <v>0.02</v>
      </c>
      <c r="BH293" s="168">
        <v>1.7999999999999999E-2</v>
      </c>
      <c r="BI293" s="176">
        <v>0</v>
      </c>
      <c r="BJ293" s="176">
        <v>3</v>
      </c>
      <c r="BK293" s="169"/>
      <c r="BL293" s="185">
        <v>0.8</v>
      </c>
      <c r="BM293" s="188">
        <v>0.77</v>
      </c>
      <c r="BN293" s="186"/>
      <c r="BO293" s="187">
        <v>0.95</v>
      </c>
      <c r="BP293" s="178">
        <v>1</v>
      </c>
      <c r="BQ293" s="186">
        <v>2.5000000000000001E-3</v>
      </c>
    </row>
    <row r="294" spans="1:69" s="156" customFormat="1" ht="22.35" customHeight="1" x14ac:dyDescent="0.2">
      <c r="A294" s="165" t="s">
        <v>339</v>
      </c>
      <c r="B294" s="165" t="s">
        <v>357</v>
      </c>
      <c r="C294" s="165" t="s">
        <v>366</v>
      </c>
      <c r="D294" s="166">
        <v>3.4620816407777801</v>
      </c>
      <c r="E294" s="167"/>
      <c r="F294" s="168">
        <v>0.05</v>
      </c>
      <c r="G294" s="168">
        <v>0.05</v>
      </c>
      <c r="H294" s="169"/>
      <c r="I294" s="170">
        <v>5</v>
      </c>
      <c r="J294" s="170">
        <v>5</v>
      </c>
      <c r="K294" s="167"/>
      <c r="L294" s="171">
        <v>1409.4838400000001</v>
      </c>
      <c r="M294" s="171">
        <v>302.60638</v>
      </c>
      <c r="N294" s="171">
        <v>1712.09022</v>
      </c>
      <c r="O294" s="166">
        <v>494.52624104363099</v>
      </c>
      <c r="P294" s="172">
        <v>212.5</v>
      </c>
      <c r="Q294" s="178">
        <v>2.3271823107935599</v>
      </c>
      <c r="R294" s="179">
        <v>846.916017969633</v>
      </c>
      <c r="S294" s="168">
        <v>0.01</v>
      </c>
      <c r="T294" s="168">
        <v>0.01</v>
      </c>
      <c r="U294" s="175">
        <v>0</v>
      </c>
      <c r="V294" s="176">
        <v>0</v>
      </c>
      <c r="W294" s="167"/>
      <c r="X294" s="175">
        <v>2378.2544250000001</v>
      </c>
      <c r="Y294" s="166">
        <v>686.94348422867097</v>
      </c>
      <c r="Z294" s="177">
        <v>573</v>
      </c>
      <c r="AA294" s="178">
        <v>1.1988542482175799</v>
      </c>
      <c r="AB294" s="179">
        <v>45.337635525174399</v>
      </c>
      <c r="AC294" s="168">
        <v>0.02</v>
      </c>
      <c r="AD294" s="168">
        <v>0.02</v>
      </c>
      <c r="AE294" s="176">
        <v>0</v>
      </c>
      <c r="AF294" s="176">
        <v>3</v>
      </c>
      <c r="AG294" s="167"/>
      <c r="AH294" s="180">
        <v>190.8</v>
      </c>
      <c r="AI294" s="166">
        <v>55.111352012234903</v>
      </c>
      <c r="AJ294" s="181" t="s">
        <v>53</v>
      </c>
      <c r="AK294" s="188">
        <v>0.87478336527357003</v>
      </c>
      <c r="AL294" s="171">
        <v>-65.698704601944101</v>
      </c>
      <c r="AM294" s="168"/>
      <c r="AN294" s="168"/>
      <c r="AO294" s="176">
        <v>28</v>
      </c>
      <c r="AP294" s="176">
        <v>71</v>
      </c>
      <c r="AQ294" s="167"/>
      <c r="AR294" s="180">
        <v>40.9</v>
      </c>
      <c r="AS294" s="166">
        <v>11.813701767821801</v>
      </c>
      <c r="AT294" s="181" t="s">
        <v>54</v>
      </c>
      <c r="AU294" s="173">
        <v>0.73835636048886499</v>
      </c>
      <c r="AV294" s="174">
        <v>-24.242528152874701</v>
      </c>
      <c r="AW294" s="168"/>
      <c r="AX294" s="168"/>
      <c r="AY294" s="176">
        <v>15</v>
      </c>
      <c r="AZ294" s="176">
        <v>26</v>
      </c>
      <c r="BA294" s="167"/>
      <c r="BB294" s="184">
        <v>142.80000000000001</v>
      </c>
      <c r="BC294" s="180">
        <v>41.246860939974603</v>
      </c>
      <c r="BD294" s="181" t="s">
        <v>55</v>
      </c>
      <c r="BE294" s="178">
        <v>1.2889644043742099</v>
      </c>
      <c r="BF294" s="179">
        <v>12.514943694250601</v>
      </c>
      <c r="BG294" s="168">
        <v>0.02</v>
      </c>
      <c r="BH294" s="168">
        <v>0.02</v>
      </c>
      <c r="BI294" s="176">
        <v>0</v>
      </c>
      <c r="BJ294" s="176">
        <v>0</v>
      </c>
      <c r="BK294" s="169"/>
      <c r="BL294" s="185">
        <v>0.8</v>
      </c>
      <c r="BM294" s="182">
        <v>0.81</v>
      </c>
      <c r="BN294" s="186">
        <v>3.7500000000000001E-4</v>
      </c>
      <c r="BO294" s="187">
        <v>0.95</v>
      </c>
      <c r="BP294" s="178">
        <v>1</v>
      </c>
      <c r="BQ294" s="186">
        <v>2.5000000000000001E-3</v>
      </c>
    </row>
    <row r="295" spans="1:69" s="156" customFormat="1" ht="22.35" customHeight="1" x14ac:dyDescent="0.2">
      <c r="A295" s="165" t="s">
        <v>339</v>
      </c>
      <c r="B295" s="165" t="s">
        <v>357</v>
      </c>
      <c r="C295" s="165" t="s">
        <v>357</v>
      </c>
      <c r="D295" s="166">
        <v>10.277247066999999</v>
      </c>
      <c r="E295" s="167"/>
      <c r="F295" s="168">
        <v>0.03</v>
      </c>
      <c r="G295" s="168">
        <v>0.03</v>
      </c>
      <c r="H295" s="169"/>
      <c r="I295" s="170">
        <v>3</v>
      </c>
      <c r="J295" s="170">
        <v>3</v>
      </c>
      <c r="K295" s="167"/>
      <c r="L295" s="171">
        <v>6581.5316700000003</v>
      </c>
      <c r="M295" s="171">
        <v>4366.6061200000004</v>
      </c>
      <c r="N295" s="171">
        <v>10948.137790000001</v>
      </c>
      <c r="O295" s="166">
        <v>1065.27922493507</v>
      </c>
      <c r="P295" s="172">
        <v>263.10899999999998</v>
      </c>
      <c r="Q295" s="178">
        <v>4.0488133242689202</v>
      </c>
      <c r="R295" s="179">
        <v>7768.1912205036697</v>
      </c>
      <c r="S295" s="168">
        <v>0.01</v>
      </c>
      <c r="T295" s="168">
        <v>0.01</v>
      </c>
      <c r="U295" s="175">
        <v>0</v>
      </c>
      <c r="V295" s="176">
        <v>0</v>
      </c>
      <c r="W295" s="167"/>
      <c r="X295" s="175">
        <v>4849.0174800000004</v>
      </c>
      <c r="Y295" s="166">
        <v>471.82065862463099</v>
      </c>
      <c r="Z295" s="177">
        <v>573</v>
      </c>
      <c r="AA295" s="188">
        <v>0.82342174280040403</v>
      </c>
      <c r="AB295" s="171">
        <v>-2076.2849016038099</v>
      </c>
      <c r="AC295" s="168"/>
      <c r="AD295" s="168"/>
      <c r="AE295" s="176">
        <v>1040</v>
      </c>
      <c r="AF295" s="176">
        <v>2218</v>
      </c>
      <c r="AG295" s="167"/>
      <c r="AH295" s="180">
        <v>452.45</v>
      </c>
      <c r="AI295" s="166">
        <v>44.024435439798502</v>
      </c>
      <c r="AJ295" s="181" t="s">
        <v>53</v>
      </c>
      <c r="AK295" s="173">
        <v>0.69880056253648404</v>
      </c>
      <c r="AL295" s="174">
        <v>-308.97068069989598</v>
      </c>
      <c r="AM295" s="168"/>
      <c r="AN295" s="168"/>
      <c r="AO295" s="176">
        <v>196</v>
      </c>
      <c r="AP295" s="176">
        <v>325</v>
      </c>
      <c r="AQ295" s="167"/>
      <c r="AR295" s="180">
        <v>51.1</v>
      </c>
      <c r="AS295" s="166">
        <v>4.9721486373603803</v>
      </c>
      <c r="AT295" s="181" t="s">
        <v>54</v>
      </c>
      <c r="AU295" s="173">
        <v>0.31075928983502399</v>
      </c>
      <c r="AV295" s="174">
        <v>-142.276680812672</v>
      </c>
      <c r="AW295" s="168"/>
      <c r="AX295" s="168"/>
      <c r="AY295" s="176">
        <v>114</v>
      </c>
      <c r="AZ295" s="176">
        <v>147</v>
      </c>
      <c r="BA295" s="167"/>
      <c r="BB295" s="184">
        <v>402.2</v>
      </c>
      <c r="BC295" s="180">
        <v>39.134993775858</v>
      </c>
      <c r="BD295" s="181" t="s">
        <v>55</v>
      </c>
      <c r="BE295" s="178">
        <v>1.2229685554955601</v>
      </c>
      <c r="BF295" s="179">
        <v>15.4466383746561</v>
      </c>
      <c r="BG295" s="168">
        <v>0.02</v>
      </c>
      <c r="BH295" s="168">
        <v>0.02</v>
      </c>
      <c r="BI295" s="176">
        <v>0</v>
      </c>
      <c r="BJ295" s="176">
        <v>0</v>
      </c>
      <c r="BK295" s="169"/>
      <c r="BL295" s="185">
        <v>0.8</v>
      </c>
      <c r="BM295" s="188">
        <v>0.8</v>
      </c>
      <c r="BN295" s="186">
        <v>0</v>
      </c>
      <c r="BO295" s="187">
        <v>0.95</v>
      </c>
      <c r="BP295" s="178">
        <v>1</v>
      </c>
      <c r="BQ295" s="186">
        <v>2.5000000000000001E-3</v>
      </c>
    </row>
    <row r="296" spans="1:69" s="156" customFormat="1" ht="22.35" customHeight="1" x14ac:dyDescent="0.2">
      <c r="A296" s="165" t="s">
        <v>339</v>
      </c>
      <c r="B296" s="165" t="s">
        <v>357</v>
      </c>
      <c r="C296" s="165" t="s">
        <v>367</v>
      </c>
      <c r="D296" s="166">
        <v>3.9912457913333301</v>
      </c>
      <c r="E296" s="167"/>
      <c r="F296" s="168">
        <v>2.1999999999999999E-2</v>
      </c>
      <c r="G296" s="168">
        <v>0.02</v>
      </c>
      <c r="H296" s="169"/>
      <c r="I296" s="170">
        <v>4</v>
      </c>
      <c r="J296" s="170">
        <v>4</v>
      </c>
      <c r="K296" s="167"/>
      <c r="L296" s="171">
        <v>1537.3201300000001</v>
      </c>
      <c r="M296" s="171">
        <v>404.04946000000001</v>
      </c>
      <c r="N296" s="171">
        <v>1941.36959</v>
      </c>
      <c r="O296" s="166">
        <v>486.40692442833898</v>
      </c>
      <c r="P296" s="172">
        <v>212.5</v>
      </c>
      <c r="Q296" s="178">
        <v>2.28897376201571</v>
      </c>
      <c r="R296" s="179">
        <v>943.95726674580101</v>
      </c>
      <c r="S296" s="168">
        <v>0.01</v>
      </c>
      <c r="T296" s="168">
        <v>0.01</v>
      </c>
      <c r="U296" s="175">
        <v>0</v>
      </c>
      <c r="V296" s="176">
        <v>0</v>
      </c>
      <c r="W296" s="167"/>
      <c r="X296" s="175">
        <v>2506.2029750000002</v>
      </c>
      <c r="Y296" s="166">
        <v>627.92499034813</v>
      </c>
      <c r="Z296" s="177">
        <v>573</v>
      </c>
      <c r="AA296" s="182">
        <v>1.0958551314976099</v>
      </c>
      <c r="AB296" s="183">
        <v>-183.29001899838099</v>
      </c>
      <c r="AC296" s="168">
        <v>1.2E-2</v>
      </c>
      <c r="AD296" s="168">
        <v>0.01</v>
      </c>
      <c r="AE296" s="176">
        <v>0</v>
      </c>
      <c r="AF296" s="176">
        <v>239</v>
      </c>
      <c r="AG296" s="167"/>
      <c r="AH296" s="180">
        <v>220.55</v>
      </c>
      <c r="AI296" s="166">
        <v>55.2584359697682</v>
      </c>
      <c r="AJ296" s="181" t="s">
        <v>53</v>
      </c>
      <c r="AK296" s="188">
        <v>0.87711803126616195</v>
      </c>
      <c r="AL296" s="171">
        <v>-75.153418188303704</v>
      </c>
      <c r="AM296" s="168"/>
      <c r="AN296" s="168"/>
      <c r="AO296" s="176">
        <v>31</v>
      </c>
      <c r="AP296" s="176">
        <v>82</v>
      </c>
      <c r="AQ296" s="167"/>
      <c r="AR296" s="180">
        <v>17.8</v>
      </c>
      <c r="AS296" s="166">
        <v>4.45976041832634</v>
      </c>
      <c r="AT296" s="181" t="s">
        <v>54</v>
      </c>
      <c r="AU296" s="173">
        <v>0.27873502614539603</v>
      </c>
      <c r="AV296" s="174">
        <v>-57.299280809727897</v>
      </c>
      <c r="AW296" s="168"/>
      <c r="AX296" s="168"/>
      <c r="AY296" s="176">
        <v>47</v>
      </c>
      <c r="AZ296" s="176">
        <v>59</v>
      </c>
      <c r="BA296" s="167"/>
      <c r="BB296" s="184">
        <v>100.6</v>
      </c>
      <c r="BC296" s="180">
        <v>25.2051628136871</v>
      </c>
      <c r="BD296" s="181" t="s">
        <v>55</v>
      </c>
      <c r="BE296" s="188">
        <v>0.78766133792772097</v>
      </c>
      <c r="BF296" s="171">
        <v>-49.5985616194559</v>
      </c>
      <c r="BG296" s="168"/>
      <c r="BH296" s="168"/>
      <c r="BI296" s="176">
        <v>28</v>
      </c>
      <c r="BJ296" s="176">
        <v>53</v>
      </c>
      <c r="BK296" s="169"/>
      <c r="BL296" s="185">
        <v>0.8</v>
      </c>
      <c r="BM296" s="182">
        <v>0.82</v>
      </c>
      <c r="BN296" s="186">
        <v>7.5000000000000002E-4</v>
      </c>
      <c r="BO296" s="187">
        <v>0.95</v>
      </c>
      <c r="BP296" s="178">
        <v>1</v>
      </c>
      <c r="BQ296" s="186">
        <v>2.5000000000000001E-3</v>
      </c>
    </row>
    <row r="297" spans="1:69" s="156" customFormat="1" ht="22.35" customHeight="1" x14ac:dyDescent="0.2">
      <c r="A297" s="165" t="s">
        <v>339</v>
      </c>
      <c r="B297" s="165" t="s">
        <v>357</v>
      </c>
      <c r="C297" s="165" t="s">
        <v>368</v>
      </c>
      <c r="D297" s="166">
        <v>1.8887926887777799</v>
      </c>
      <c r="E297" s="167"/>
      <c r="F297" s="168">
        <v>5.5E-2</v>
      </c>
      <c r="G297" s="168">
        <v>5.2999999999999999E-2</v>
      </c>
      <c r="H297" s="169"/>
      <c r="I297" s="170">
        <v>4</v>
      </c>
      <c r="J297" s="170">
        <v>4</v>
      </c>
      <c r="K297" s="167"/>
      <c r="L297" s="171">
        <v>231.08972</v>
      </c>
      <c r="M297" s="171">
        <v>-67.278099999999995</v>
      </c>
      <c r="N297" s="171">
        <v>163.81162</v>
      </c>
      <c r="O297" s="166">
        <v>86.728215845647497</v>
      </c>
      <c r="P297" s="172">
        <v>212.5</v>
      </c>
      <c r="Q297" s="173">
        <v>0.40813278045010598</v>
      </c>
      <c r="R297" s="174">
        <v>-308.19767292556702</v>
      </c>
      <c r="S297" s="168"/>
      <c r="T297" s="168"/>
      <c r="U297" s="175">
        <v>238</v>
      </c>
      <c r="V297" s="176">
        <v>318</v>
      </c>
      <c r="W297" s="167"/>
      <c r="X297" s="175">
        <v>1467.5634399999999</v>
      </c>
      <c r="Y297" s="166">
        <v>776.98492201896897</v>
      </c>
      <c r="Z297" s="177">
        <v>573</v>
      </c>
      <c r="AA297" s="178">
        <v>1.3559946283053601</v>
      </c>
      <c r="AB297" s="179">
        <v>194.804264252471</v>
      </c>
      <c r="AC297" s="168">
        <v>0.02</v>
      </c>
      <c r="AD297" s="168">
        <v>0.02</v>
      </c>
      <c r="AE297" s="176">
        <v>0</v>
      </c>
      <c r="AF297" s="176">
        <v>0</v>
      </c>
      <c r="AG297" s="167"/>
      <c r="AH297" s="180">
        <v>186.75</v>
      </c>
      <c r="AI297" s="166">
        <v>98.872682592203603</v>
      </c>
      <c r="AJ297" s="181" t="s">
        <v>53</v>
      </c>
      <c r="AK297" s="178">
        <v>1.5694076601937099</v>
      </c>
      <c r="AL297" s="179">
        <v>46.813127273831903</v>
      </c>
      <c r="AM297" s="168">
        <v>0.02</v>
      </c>
      <c r="AN297" s="168">
        <v>0.02</v>
      </c>
      <c r="AO297" s="176">
        <v>0</v>
      </c>
      <c r="AP297" s="176">
        <v>0</v>
      </c>
      <c r="AQ297" s="167"/>
      <c r="AR297" s="180">
        <v>14.6</v>
      </c>
      <c r="AS297" s="166">
        <v>7.7298054396046698</v>
      </c>
      <c r="AT297" s="181" t="s">
        <v>54</v>
      </c>
      <c r="AU297" s="173">
        <v>0.48311283997529197</v>
      </c>
      <c r="AV297" s="174">
        <v>-20.939523232042699</v>
      </c>
      <c r="AW297" s="168"/>
      <c r="AX297" s="168"/>
      <c r="AY297" s="176">
        <v>16</v>
      </c>
      <c r="AZ297" s="176">
        <v>22</v>
      </c>
      <c r="BA297" s="167"/>
      <c r="BB297" s="184">
        <v>68.400000000000006</v>
      </c>
      <c r="BC297" s="180">
        <v>36.213609045819098</v>
      </c>
      <c r="BD297" s="181" t="s">
        <v>55</v>
      </c>
      <c r="BE297" s="182">
        <v>1.1316752826818499</v>
      </c>
      <c r="BF297" s="183">
        <v>-2.6790464640853999</v>
      </c>
      <c r="BG297" s="168">
        <v>1.4999999999999999E-2</v>
      </c>
      <c r="BH297" s="168">
        <v>1.2999999999999999E-2</v>
      </c>
      <c r="BI297" s="176">
        <v>0</v>
      </c>
      <c r="BJ297" s="176">
        <v>5</v>
      </c>
      <c r="BK297" s="169"/>
      <c r="BL297" s="185">
        <v>0.8</v>
      </c>
      <c r="BM297" s="188">
        <v>0.78</v>
      </c>
      <c r="BN297" s="186"/>
      <c r="BO297" s="187">
        <v>0.95</v>
      </c>
      <c r="BP297" s="178">
        <v>1</v>
      </c>
      <c r="BQ297" s="186">
        <v>2.5000000000000001E-3</v>
      </c>
    </row>
    <row r="298" spans="1:69" s="156" customFormat="1" ht="22.35" customHeight="1" x14ac:dyDescent="0.2">
      <c r="A298" s="165" t="s">
        <v>339</v>
      </c>
      <c r="B298" s="165" t="s">
        <v>357</v>
      </c>
      <c r="C298" s="165" t="s">
        <v>369</v>
      </c>
      <c r="D298" s="166">
        <v>3.20739114933333</v>
      </c>
      <c r="E298" s="167"/>
      <c r="F298" s="168">
        <v>2.9000000000000001E-2</v>
      </c>
      <c r="G298" s="168">
        <v>2.5000000000000001E-2</v>
      </c>
      <c r="H298" s="169"/>
      <c r="I298" s="170">
        <v>5</v>
      </c>
      <c r="J298" s="170">
        <v>4</v>
      </c>
      <c r="K298" s="167"/>
      <c r="L298" s="171">
        <v>2119.7171600000001</v>
      </c>
      <c r="M298" s="171">
        <v>476.70006000000001</v>
      </c>
      <c r="N298" s="171">
        <v>2596.4172199999998</v>
      </c>
      <c r="O298" s="166">
        <v>809.51062689677701</v>
      </c>
      <c r="P298" s="172">
        <v>236.798</v>
      </c>
      <c r="Q298" s="178">
        <v>3.4185703717800702</v>
      </c>
      <c r="R298" s="179">
        <v>1703.2407401693199</v>
      </c>
      <c r="S298" s="168">
        <v>0.01</v>
      </c>
      <c r="T298" s="168">
        <v>0.01</v>
      </c>
      <c r="U298" s="175">
        <v>0</v>
      </c>
      <c r="V298" s="176">
        <v>0</v>
      </c>
      <c r="W298" s="167"/>
      <c r="X298" s="175">
        <v>1805.44361</v>
      </c>
      <c r="Y298" s="166">
        <v>562.90097650711095</v>
      </c>
      <c r="Z298" s="177">
        <v>573</v>
      </c>
      <c r="AA298" s="182">
        <v>0.982375177150281</v>
      </c>
      <c r="AB298" s="183">
        <v>-355.85050119596599</v>
      </c>
      <c r="AC298" s="168">
        <v>1E-3</v>
      </c>
      <c r="AD298" s="168"/>
      <c r="AE298" s="176">
        <v>33</v>
      </c>
      <c r="AF298" s="176">
        <v>400</v>
      </c>
      <c r="AG298" s="167"/>
      <c r="AH298" s="180">
        <v>122.25</v>
      </c>
      <c r="AI298" s="166">
        <v>38.115089276033601</v>
      </c>
      <c r="AJ298" s="181" t="s">
        <v>53</v>
      </c>
      <c r="AK298" s="173">
        <v>0.60500141707989796</v>
      </c>
      <c r="AL298" s="174">
        <v>-115.379195471808</v>
      </c>
      <c r="AM298" s="168"/>
      <c r="AN298" s="168"/>
      <c r="AO298" s="176">
        <v>80</v>
      </c>
      <c r="AP298" s="176">
        <v>121</v>
      </c>
      <c r="AQ298" s="167"/>
      <c r="AR298" s="180">
        <v>12</v>
      </c>
      <c r="AS298" s="166">
        <v>3.7413584565431699</v>
      </c>
      <c r="AT298" s="181" t="s">
        <v>54</v>
      </c>
      <c r="AU298" s="173">
        <v>0.23383490353394801</v>
      </c>
      <c r="AV298" s="174">
        <v>-48.350271865855902</v>
      </c>
      <c r="AW298" s="168"/>
      <c r="AX298" s="168"/>
      <c r="AY298" s="176">
        <v>40</v>
      </c>
      <c r="AZ298" s="176">
        <v>50</v>
      </c>
      <c r="BA298" s="167"/>
      <c r="BB298" s="184">
        <v>118.2</v>
      </c>
      <c r="BC298" s="180">
        <v>36.8523807969503</v>
      </c>
      <c r="BD298" s="181" t="s">
        <v>55</v>
      </c>
      <c r="BE298" s="182">
        <v>1.1516368999047</v>
      </c>
      <c r="BF298" s="183">
        <v>-2.5005437317118702</v>
      </c>
      <c r="BG298" s="168">
        <v>1.7999999999999999E-2</v>
      </c>
      <c r="BH298" s="168">
        <v>1.4999999999999999E-2</v>
      </c>
      <c r="BI298" s="176">
        <v>0</v>
      </c>
      <c r="BJ298" s="176">
        <v>5</v>
      </c>
      <c r="BK298" s="169"/>
      <c r="BL298" s="185">
        <v>0.8</v>
      </c>
      <c r="BM298" s="182">
        <v>0.85</v>
      </c>
      <c r="BN298" s="186">
        <v>1.8749999999999999E-3</v>
      </c>
      <c r="BO298" s="187">
        <v>0.95</v>
      </c>
      <c r="BP298" s="178">
        <v>1</v>
      </c>
      <c r="BQ298" s="186">
        <v>2.5000000000000001E-3</v>
      </c>
    </row>
    <row r="299" spans="1:69" s="156" customFormat="1" ht="21.95" customHeight="1" x14ac:dyDescent="0.2">
      <c r="A299" s="189"/>
      <c r="B299" s="189"/>
      <c r="C299" s="190" t="s">
        <v>370</v>
      </c>
      <c r="D299" s="191">
        <v>1158.2086281173299</v>
      </c>
      <c r="E299" s="192"/>
      <c r="F299" s="189"/>
      <c r="G299" s="189"/>
      <c r="H299" s="193"/>
      <c r="I299" s="189"/>
      <c r="J299" s="189"/>
      <c r="K299" s="192"/>
      <c r="L299" s="194">
        <v>685000.53384000005</v>
      </c>
      <c r="M299" s="194">
        <v>358981.93582999997</v>
      </c>
      <c r="N299" s="194">
        <v>1043982.46967</v>
      </c>
      <c r="O299" s="191">
        <v>901.37687142513698</v>
      </c>
      <c r="P299" s="195"/>
      <c r="Q299" s="189"/>
      <c r="R299" s="189"/>
      <c r="S299" s="189"/>
      <c r="T299" s="189"/>
      <c r="U299" s="196">
        <v>39631</v>
      </c>
      <c r="V299" s="196">
        <v>44066</v>
      </c>
      <c r="W299" s="192"/>
      <c r="X299" s="197">
        <v>667141.07117999997</v>
      </c>
      <c r="Y299" s="198">
        <v>576.01113908505204</v>
      </c>
      <c r="Z299" s="199"/>
      <c r="AA299" s="200"/>
      <c r="AB299" s="200"/>
      <c r="AC299" s="200"/>
      <c r="AD299" s="200"/>
      <c r="AE299" s="201">
        <v>63984</v>
      </c>
      <c r="AF299" s="201">
        <v>154149</v>
      </c>
      <c r="AG299" s="192"/>
      <c r="AH299" s="198">
        <v>62406.1</v>
      </c>
      <c r="AI299" s="202">
        <v>53.8815706298451</v>
      </c>
      <c r="AJ299" s="199"/>
      <c r="AK299" s="200"/>
      <c r="AL299" s="200"/>
      <c r="AM299" s="200"/>
      <c r="AN299" s="200"/>
      <c r="AO299" s="201">
        <v>14694</v>
      </c>
      <c r="AP299" s="201">
        <v>27445</v>
      </c>
      <c r="AQ299" s="192"/>
      <c r="AR299" s="198">
        <v>12096.4</v>
      </c>
      <c r="AS299" s="202">
        <v>10.444059650688899</v>
      </c>
      <c r="AT299" s="199"/>
      <c r="AU299" s="200"/>
      <c r="AV299" s="200"/>
      <c r="AW299" s="200"/>
      <c r="AX299" s="203"/>
      <c r="AY299" s="201">
        <v>8320</v>
      </c>
      <c r="AZ299" s="201">
        <v>11512</v>
      </c>
      <c r="BA299" s="192"/>
      <c r="BB299" s="200">
        <v>46510.8</v>
      </c>
      <c r="BC299" s="202">
        <v>40.157531960026297</v>
      </c>
      <c r="BD299" s="199"/>
      <c r="BE299" s="200"/>
      <c r="BF299" s="200"/>
      <c r="BG299" s="200"/>
      <c r="BH299" s="200"/>
      <c r="BI299" s="201">
        <v>1219</v>
      </c>
      <c r="BJ299" s="201">
        <v>3922</v>
      </c>
      <c r="BK299" s="200"/>
      <c r="BL299" s="200"/>
      <c r="BM299" s="200"/>
      <c r="BN299" s="200"/>
      <c r="BO299" s="200"/>
      <c r="BP299" s="200"/>
      <c r="BQ299" s="200"/>
    </row>
    <row r="300" spans="1:69" s="156" customFormat="1" ht="28.7" customHeight="1" x14ac:dyDescent="0.2"/>
  </sheetData>
  <mergeCells count="73">
    <mergeCell ref="G2:G4"/>
    <mergeCell ref="A2:A5"/>
    <mergeCell ref="B2:B5"/>
    <mergeCell ref="C2:C5"/>
    <mergeCell ref="D2:D4"/>
    <mergeCell ref="F2:F4"/>
    <mergeCell ref="I2:I4"/>
    <mergeCell ref="J2:J4"/>
    <mergeCell ref="L2:V2"/>
    <mergeCell ref="X2:AF2"/>
    <mergeCell ref="AH2:AP2"/>
    <mergeCell ref="L4:L5"/>
    <mergeCell ref="M4:M5"/>
    <mergeCell ref="N4:N5"/>
    <mergeCell ref="O4:O5"/>
    <mergeCell ref="U4:U5"/>
    <mergeCell ref="P4:P5"/>
    <mergeCell ref="Q4:Q5"/>
    <mergeCell ref="R4:R5"/>
    <mergeCell ref="S4:S5"/>
    <mergeCell ref="T4:T5"/>
    <mergeCell ref="AI4:AI5"/>
    <mergeCell ref="BB2:BJ2"/>
    <mergeCell ref="BL2:BQ2"/>
    <mergeCell ref="L3:V3"/>
    <mergeCell ref="X3:AF3"/>
    <mergeCell ref="AH3:AP3"/>
    <mergeCell ref="AR3:AZ3"/>
    <mergeCell ref="BB3:BJ3"/>
    <mergeCell ref="BL3:BQ3"/>
    <mergeCell ref="AR2:AZ2"/>
    <mergeCell ref="V4:V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H4:AH5"/>
    <mergeCell ref="AV4:AV5"/>
    <mergeCell ref="AJ4:AJ5"/>
    <mergeCell ref="AK4:AK5"/>
    <mergeCell ref="AL4:AL5"/>
    <mergeCell ref="AM4:AM5"/>
    <mergeCell ref="AN4:AN5"/>
    <mergeCell ref="AO4:AO5"/>
    <mergeCell ref="AP4:AP5"/>
    <mergeCell ref="AR4:AR5"/>
    <mergeCell ref="AS4:AS5"/>
    <mergeCell ref="AT4:AT5"/>
    <mergeCell ref="AU4:AU5"/>
    <mergeCell ref="BI4:BI5"/>
    <mergeCell ref="AW4:AW5"/>
    <mergeCell ref="AX4:AX5"/>
    <mergeCell ref="AY4:AY5"/>
    <mergeCell ref="AZ4:AZ5"/>
    <mergeCell ref="BB4:BB5"/>
    <mergeCell ref="BC4:BC5"/>
    <mergeCell ref="BD4:BD5"/>
    <mergeCell ref="BE4:BE5"/>
    <mergeCell ref="BF4:BF5"/>
    <mergeCell ref="BG4:BG5"/>
    <mergeCell ref="BH4:BH5"/>
    <mergeCell ref="BQ4:BQ5"/>
    <mergeCell ref="BJ4:BJ5"/>
    <mergeCell ref="BL4:BL5"/>
    <mergeCell ref="BM4:BM5"/>
    <mergeCell ref="BN4:BN5"/>
    <mergeCell ref="BO4:BO5"/>
    <mergeCell ref="BP4:BP5"/>
  </mergeCells>
  <hyperlinks>
    <hyperlink ref="F5" r:id="rId1"/>
    <hyperlink ref="G5" r:id="rId2"/>
    <hyperlink ref="I5" r:id="rId3"/>
    <hyperlink ref="J5" r:id="rId4"/>
  </hyperlinks>
  <pageMargins left="0.7" right="0.7" top="0.75" bottom="0.75" header="0.3" footer="0.3"/>
  <pageSetup paperSize="9" orientation="portrait" r:id="rId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"/>
  <sheetViews>
    <sheetView workbookViewId="0">
      <selection activeCell="K3" sqref="K3"/>
    </sheetView>
  </sheetViews>
  <sheetFormatPr baseColWidth="10" defaultRowHeight="15" x14ac:dyDescent="0.25"/>
  <sheetData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"/>
  <sheetViews>
    <sheetView workbookViewId="0">
      <selection activeCell="K3" sqref="K3"/>
    </sheetView>
  </sheetViews>
  <sheetFormatPr baseColWidth="10" defaultRowHeight="15" x14ac:dyDescent="0.25"/>
  <sheetData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"/>
  <sheetViews>
    <sheetView workbookViewId="0">
      <selection activeCell="K3" sqref="K3"/>
    </sheetView>
  </sheetViews>
  <sheetFormatPr baseColWidth="10" defaultRowHeight="15" x14ac:dyDescent="0.25"/>
  <sheetData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BQ300"/>
  <sheetViews>
    <sheetView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9.28515625" customWidth="1"/>
    <col min="7" max="7" width="8.28515625" customWidth="1"/>
    <col min="8" max="8" width="0.28515625" customWidth="1"/>
    <col min="9" max="10" width="9.7109375" customWidth="1"/>
    <col min="11" max="11" width="0.28515625" customWidth="1"/>
    <col min="12" max="12" width="10.7109375" customWidth="1"/>
    <col min="13" max="14" width="9.5703125" customWidth="1"/>
    <col min="15" max="17" width="7.85546875" customWidth="1"/>
    <col min="18" max="18" width="10" customWidth="1"/>
    <col min="19" max="20" width="7.85546875" customWidth="1"/>
    <col min="21" max="22" width="9.5703125" customWidth="1"/>
    <col min="23" max="23" width="0.28515625" customWidth="1"/>
    <col min="24" max="25" width="9.5703125" customWidth="1"/>
    <col min="26" max="27" width="7.85546875" customWidth="1"/>
    <col min="28" max="28" width="10" customWidth="1"/>
    <col min="29" max="30" width="7.85546875" customWidth="1"/>
    <col min="31" max="32" width="9.5703125" customWidth="1"/>
    <col min="33" max="33" width="0.28515625" customWidth="1"/>
    <col min="34" max="34" width="9" customWidth="1"/>
    <col min="35" max="37" width="7.85546875" customWidth="1"/>
    <col min="38" max="38" width="10" customWidth="1"/>
    <col min="39" max="40" width="7.85546875" customWidth="1"/>
    <col min="41" max="41" width="8.85546875" customWidth="1"/>
    <col min="42" max="42" width="7.85546875" customWidth="1"/>
    <col min="43" max="43" width="0.28515625" customWidth="1"/>
    <col min="44" max="44" width="7.5703125" customWidth="1"/>
    <col min="45" max="47" width="7.85546875" customWidth="1"/>
    <col min="48" max="48" width="10" customWidth="1"/>
    <col min="49" max="49" width="7.42578125" customWidth="1"/>
    <col min="50" max="50" width="7.85546875" customWidth="1"/>
    <col min="51" max="51" width="8.85546875" customWidth="1"/>
    <col min="52" max="52" width="7.85546875" customWidth="1"/>
    <col min="53" max="53" width="0.28515625" customWidth="1"/>
    <col min="54" max="54" width="9.42578125" customWidth="1"/>
    <col min="55" max="55" width="9" customWidth="1"/>
    <col min="56" max="57" width="7.85546875" customWidth="1"/>
    <col min="58" max="58" width="10" customWidth="1"/>
    <col min="59" max="59" width="8.85546875" customWidth="1"/>
    <col min="60" max="60" width="7.85546875" customWidth="1"/>
    <col min="61" max="61" width="8.85546875" customWidth="1"/>
    <col min="62" max="62" width="7.85546875" customWidth="1"/>
    <col min="63" max="63" width="0.28515625" customWidth="1"/>
    <col min="64" max="64" width="8.140625" customWidth="1"/>
    <col min="65" max="65" width="9.140625" customWidth="1"/>
    <col min="66" max="66" width="10.7109375" customWidth="1"/>
    <col min="67" max="67" width="8.140625" customWidth="1"/>
    <col min="68" max="68" width="9.140625" customWidth="1"/>
    <col min="69" max="69" width="10.140625" customWidth="1"/>
    <col min="70" max="70" width="4.7109375" customWidth="1"/>
  </cols>
  <sheetData>
    <row r="1" spans="1:69" s="156" customFormat="1" ht="3.75" customHeight="1" x14ac:dyDescent="0.2"/>
    <row r="2" spans="1:69" s="156" customFormat="1" ht="24" customHeight="1" x14ac:dyDescent="0.2">
      <c r="A2" s="282" t="s">
        <v>19</v>
      </c>
      <c r="B2" s="283" t="s">
        <v>20</v>
      </c>
      <c r="C2" s="283" t="s">
        <v>21</v>
      </c>
      <c r="D2" s="284" t="s">
        <v>22</v>
      </c>
      <c r="E2" s="157"/>
      <c r="F2" s="281" t="s">
        <v>23</v>
      </c>
      <c r="G2" s="280" t="s">
        <v>24</v>
      </c>
      <c r="H2" s="158"/>
      <c r="I2" s="280" t="s">
        <v>25</v>
      </c>
      <c r="J2" s="281" t="s">
        <v>26</v>
      </c>
      <c r="K2" s="158"/>
      <c r="L2" s="276" t="s">
        <v>27</v>
      </c>
      <c r="M2" s="276"/>
      <c r="N2" s="276"/>
      <c r="O2" s="276"/>
      <c r="P2" s="276"/>
      <c r="Q2" s="276"/>
      <c r="R2" s="276"/>
      <c r="S2" s="276"/>
      <c r="T2" s="276"/>
      <c r="U2" s="276"/>
      <c r="V2" s="276"/>
      <c r="W2" s="159"/>
      <c r="X2" s="277" t="s">
        <v>28</v>
      </c>
      <c r="Y2" s="277"/>
      <c r="Z2" s="277"/>
      <c r="AA2" s="277"/>
      <c r="AB2" s="277"/>
      <c r="AC2" s="277"/>
      <c r="AD2" s="277"/>
      <c r="AE2" s="277"/>
      <c r="AF2" s="277"/>
      <c r="AG2" s="160"/>
      <c r="AH2" s="278" t="s">
        <v>29</v>
      </c>
      <c r="AI2" s="278"/>
      <c r="AJ2" s="278"/>
      <c r="AK2" s="278"/>
      <c r="AL2" s="278"/>
      <c r="AM2" s="278"/>
      <c r="AN2" s="278"/>
      <c r="AO2" s="278"/>
      <c r="AP2" s="278"/>
      <c r="AQ2" s="161"/>
      <c r="AR2" s="279" t="s">
        <v>30</v>
      </c>
      <c r="AS2" s="279"/>
      <c r="AT2" s="279"/>
      <c r="AU2" s="279"/>
      <c r="AV2" s="279"/>
      <c r="AW2" s="279"/>
      <c r="AX2" s="279"/>
      <c r="AY2" s="279"/>
      <c r="AZ2" s="279"/>
      <c r="BA2" s="161"/>
      <c r="BB2" s="274" t="s">
        <v>31</v>
      </c>
      <c r="BC2" s="274"/>
      <c r="BD2" s="274"/>
      <c r="BE2" s="274"/>
      <c r="BF2" s="274"/>
      <c r="BG2" s="274"/>
      <c r="BH2" s="274"/>
      <c r="BI2" s="274"/>
      <c r="BJ2" s="274"/>
      <c r="BK2" s="162"/>
      <c r="BL2" s="275" t="s">
        <v>32</v>
      </c>
      <c r="BM2" s="275"/>
      <c r="BN2" s="275"/>
      <c r="BO2" s="275"/>
      <c r="BP2" s="275"/>
      <c r="BQ2" s="275"/>
    </row>
    <row r="3" spans="1:69" s="156" customFormat="1" ht="20.25" customHeight="1" x14ac:dyDescent="0.2">
      <c r="A3" s="282"/>
      <c r="B3" s="283"/>
      <c r="C3" s="283"/>
      <c r="D3" s="284"/>
      <c r="E3" s="157"/>
      <c r="F3" s="281"/>
      <c r="G3" s="280"/>
      <c r="H3" s="158"/>
      <c r="I3" s="280"/>
      <c r="J3" s="281"/>
      <c r="K3" s="158"/>
      <c r="L3" s="276" t="s">
        <v>701</v>
      </c>
      <c r="M3" s="276"/>
      <c r="N3" s="276"/>
      <c r="O3" s="276"/>
      <c r="P3" s="276"/>
      <c r="Q3" s="276"/>
      <c r="R3" s="276"/>
      <c r="S3" s="276"/>
      <c r="T3" s="276"/>
      <c r="U3" s="276"/>
      <c r="V3" s="276"/>
      <c r="W3" s="159"/>
      <c r="X3" s="277" t="s">
        <v>702</v>
      </c>
      <c r="Y3" s="277"/>
      <c r="Z3" s="277"/>
      <c r="AA3" s="277"/>
      <c r="AB3" s="277"/>
      <c r="AC3" s="277"/>
      <c r="AD3" s="277"/>
      <c r="AE3" s="277"/>
      <c r="AF3" s="277"/>
      <c r="AG3" s="159"/>
      <c r="AH3" s="278" t="s">
        <v>699</v>
      </c>
      <c r="AI3" s="278"/>
      <c r="AJ3" s="278"/>
      <c r="AK3" s="278"/>
      <c r="AL3" s="278"/>
      <c r="AM3" s="278"/>
      <c r="AN3" s="278"/>
      <c r="AO3" s="278"/>
      <c r="AP3" s="278"/>
      <c r="AQ3" s="159"/>
      <c r="AR3" s="279" t="s">
        <v>698</v>
      </c>
      <c r="AS3" s="279"/>
      <c r="AT3" s="279"/>
      <c r="AU3" s="279"/>
      <c r="AV3" s="279"/>
      <c r="AW3" s="279"/>
      <c r="AX3" s="279"/>
      <c r="AY3" s="279"/>
      <c r="AZ3" s="279"/>
      <c r="BA3" s="159"/>
      <c r="BB3" s="274" t="s">
        <v>703</v>
      </c>
      <c r="BC3" s="274"/>
      <c r="BD3" s="274"/>
      <c r="BE3" s="274"/>
      <c r="BF3" s="274"/>
      <c r="BG3" s="274"/>
      <c r="BH3" s="274"/>
      <c r="BI3" s="274"/>
      <c r="BJ3" s="274"/>
      <c r="BK3" s="162"/>
      <c r="BL3" s="275" t="s">
        <v>700</v>
      </c>
      <c r="BM3" s="275"/>
      <c r="BN3" s="275"/>
      <c r="BO3" s="275"/>
      <c r="BP3" s="275"/>
      <c r="BQ3" s="275"/>
    </row>
    <row r="4" spans="1:69" s="156" customFormat="1" ht="20.25" customHeight="1" x14ac:dyDescent="0.2">
      <c r="A4" s="282"/>
      <c r="B4" s="283"/>
      <c r="C4" s="283"/>
      <c r="D4" s="284"/>
      <c r="E4" s="157"/>
      <c r="F4" s="281"/>
      <c r="G4" s="280"/>
      <c r="H4" s="158"/>
      <c r="I4" s="280"/>
      <c r="J4" s="281"/>
      <c r="K4" s="158"/>
      <c r="L4" s="273" t="s">
        <v>33</v>
      </c>
      <c r="M4" s="273" t="s">
        <v>34</v>
      </c>
      <c r="N4" s="273" t="s">
        <v>35</v>
      </c>
      <c r="O4" s="273" t="s">
        <v>36</v>
      </c>
      <c r="P4" s="273" t="s">
        <v>37</v>
      </c>
      <c r="Q4" s="273" t="s">
        <v>38</v>
      </c>
      <c r="R4" s="273" t="s">
        <v>39</v>
      </c>
      <c r="S4" s="273" t="s">
        <v>40</v>
      </c>
      <c r="T4" s="273" t="s">
        <v>41</v>
      </c>
      <c r="U4" s="273" t="s">
        <v>42</v>
      </c>
      <c r="V4" s="273" t="s">
        <v>43</v>
      </c>
      <c r="W4" s="159"/>
      <c r="X4" s="272" t="s">
        <v>44</v>
      </c>
      <c r="Y4" s="272" t="s">
        <v>36</v>
      </c>
      <c r="Z4" s="272" t="s">
        <v>37</v>
      </c>
      <c r="AA4" s="272" t="s">
        <v>38</v>
      </c>
      <c r="AB4" s="272" t="s">
        <v>39</v>
      </c>
      <c r="AC4" s="272" t="s">
        <v>40</v>
      </c>
      <c r="AD4" s="272" t="s">
        <v>41</v>
      </c>
      <c r="AE4" s="272" t="s">
        <v>42</v>
      </c>
      <c r="AF4" s="272" t="s">
        <v>43</v>
      </c>
      <c r="AG4" s="159"/>
      <c r="AH4" s="271" t="s">
        <v>45</v>
      </c>
      <c r="AI4" s="271" t="s">
        <v>36</v>
      </c>
      <c r="AJ4" s="271" t="s">
        <v>37</v>
      </c>
      <c r="AK4" s="271" t="s">
        <v>38</v>
      </c>
      <c r="AL4" s="271" t="s">
        <v>39</v>
      </c>
      <c r="AM4" s="271" t="s">
        <v>40</v>
      </c>
      <c r="AN4" s="271" t="s">
        <v>41</v>
      </c>
      <c r="AO4" s="271" t="s">
        <v>42</v>
      </c>
      <c r="AP4" s="271" t="s">
        <v>43</v>
      </c>
      <c r="AQ4" s="159"/>
      <c r="AR4" s="270" t="s">
        <v>46</v>
      </c>
      <c r="AS4" s="270" t="s">
        <v>36</v>
      </c>
      <c r="AT4" s="270" t="s">
        <v>37</v>
      </c>
      <c r="AU4" s="270" t="s">
        <v>38</v>
      </c>
      <c r="AV4" s="270" t="s">
        <v>39</v>
      </c>
      <c r="AW4" s="270" t="s">
        <v>40</v>
      </c>
      <c r="AX4" s="270" t="s">
        <v>41</v>
      </c>
      <c r="AY4" s="270" t="s">
        <v>42</v>
      </c>
      <c r="AZ4" s="270" t="s">
        <v>43</v>
      </c>
      <c r="BA4" s="159"/>
      <c r="BB4" s="269" t="s">
        <v>47</v>
      </c>
      <c r="BC4" s="269" t="s">
        <v>36</v>
      </c>
      <c r="BD4" s="269" t="s">
        <v>37</v>
      </c>
      <c r="BE4" s="269" t="s">
        <v>38</v>
      </c>
      <c r="BF4" s="269" t="s">
        <v>39</v>
      </c>
      <c r="BG4" s="269" t="s">
        <v>40</v>
      </c>
      <c r="BH4" s="269" t="s">
        <v>41</v>
      </c>
      <c r="BI4" s="269" t="s">
        <v>42</v>
      </c>
      <c r="BJ4" s="269" t="s">
        <v>43</v>
      </c>
      <c r="BK4" s="162"/>
      <c r="BL4" s="268" t="s">
        <v>48</v>
      </c>
      <c r="BM4" s="268" t="s">
        <v>49</v>
      </c>
      <c r="BN4" s="268" t="s">
        <v>41</v>
      </c>
      <c r="BO4" s="268" t="s">
        <v>50</v>
      </c>
      <c r="BP4" s="268" t="s">
        <v>51</v>
      </c>
      <c r="BQ4" s="268" t="s">
        <v>41</v>
      </c>
    </row>
    <row r="5" spans="1:69" s="156" customFormat="1" ht="20.25" customHeight="1" x14ac:dyDescent="0.2">
      <c r="A5" s="282"/>
      <c r="B5" s="283"/>
      <c r="C5" s="283"/>
      <c r="D5" s="211" t="s">
        <v>376</v>
      </c>
      <c r="E5" s="157"/>
      <c r="F5" s="163" t="s">
        <v>52</v>
      </c>
      <c r="G5" s="164" t="s">
        <v>52</v>
      </c>
      <c r="H5" s="158"/>
      <c r="I5" s="163" t="s">
        <v>52</v>
      </c>
      <c r="J5" s="163" t="s">
        <v>52</v>
      </c>
      <c r="K5" s="158"/>
      <c r="L5" s="273"/>
      <c r="M5" s="273"/>
      <c r="N5" s="273"/>
      <c r="O5" s="273"/>
      <c r="P5" s="273"/>
      <c r="Q5" s="273"/>
      <c r="R5" s="273"/>
      <c r="S5" s="273"/>
      <c r="T5" s="273"/>
      <c r="U5" s="273"/>
      <c r="V5" s="273"/>
      <c r="W5" s="159"/>
      <c r="X5" s="272"/>
      <c r="Y5" s="272"/>
      <c r="Z5" s="272"/>
      <c r="AA5" s="272"/>
      <c r="AB5" s="272"/>
      <c r="AC5" s="272"/>
      <c r="AD5" s="272"/>
      <c r="AE5" s="272"/>
      <c r="AF5" s="272"/>
      <c r="AG5" s="159"/>
      <c r="AH5" s="271"/>
      <c r="AI5" s="271"/>
      <c r="AJ5" s="271"/>
      <c r="AK5" s="271"/>
      <c r="AL5" s="271"/>
      <c r="AM5" s="271"/>
      <c r="AN5" s="271"/>
      <c r="AO5" s="271"/>
      <c r="AP5" s="271"/>
      <c r="AQ5" s="159"/>
      <c r="AR5" s="270"/>
      <c r="AS5" s="270"/>
      <c r="AT5" s="270"/>
      <c r="AU5" s="270"/>
      <c r="AV5" s="270"/>
      <c r="AW5" s="270"/>
      <c r="AX5" s="270"/>
      <c r="AY5" s="270"/>
      <c r="AZ5" s="270"/>
      <c r="BA5" s="159"/>
      <c r="BB5" s="269"/>
      <c r="BC5" s="269"/>
      <c r="BD5" s="269"/>
      <c r="BE5" s="269"/>
      <c r="BF5" s="269"/>
      <c r="BG5" s="269"/>
      <c r="BH5" s="269"/>
      <c r="BI5" s="269"/>
      <c r="BJ5" s="269"/>
      <c r="BK5" s="162"/>
      <c r="BL5" s="268"/>
      <c r="BM5" s="268"/>
      <c r="BN5" s="268"/>
      <c r="BO5" s="268"/>
      <c r="BP5" s="268"/>
      <c r="BQ5" s="268"/>
    </row>
    <row r="6" spans="1:69" s="156" customFormat="1" ht="22.35" customHeight="1" x14ac:dyDescent="0.2">
      <c r="A6" s="165" t="s">
        <v>4</v>
      </c>
      <c r="B6" s="165" t="s">
        <v>0</v>
      </c>
      <c r="C6" s="165" t="s">
        <v>5</v>
      </c>
      <c r="D6" s="166">
        <v>1.89995189988889</v>
      </c>
      <c r="E6" s="167"/>
      <c r="F6" s="168">
        <v>4.65E-2</v>
      </c>
      <c r="G6" s="168">
        <v>4.1500000000000002E-2</v>
      </c>
      <c r="H6" s="169"/>
      <c r="I6" s="170">
        <v>6</v>
      </c>
      <c r="J6" s="170">
        <v>6</v>
      </c>
      <c r="K6" s="167"/>
      <c r="L6" s="171">
        <v>265.52704</v>
      </c>
      <c r="M6" s="171">
        <v>219.12684999999999</v>
      </c>
      <c r="N6" s="171">
        <v>484.65388999999999</v>
      </c>
      <c r="O6" s="166">
        <v>255.08745249200399</v>
      </c>
      <c r="P6" s="172">
        <v>234.65600000000001</v>
      </c>
      <c r="Q6" s="182">
        <v>1.08706980640599</v>
      </c>
      <c r="R6" s="183">
        <v>-39.648202911905003</v>
      </c>
      <c r="S6" s="168">
        <v>5.4999999999999997E-3</v>
      </c>
      <c r="T6" s="168">
        <v>4.4999999999999997E-3</v>
      </c>
      <c r="U6" s="175">
        <v>0</v>
      </c>
      <c r="V6" s="176">
        <v>51</v>
      </c>
      <c r="W6" s="167"/>
      <c r="X6" s="175">
        <v>1551.5223149999999</v>
      </c>
      <c r="Y6" s="166">
        <v>816.61136531442401</v>
      </c>
      <c r="Z6" s="177">
        <v>573</v>
      </c>
      <c r="AA6" s="178">
        <v>1.4251507248070201</v>
      </c>
      <c r="AB6" s="179">
        <v>271.24352716367099</v>
      </c>
      <c r="AC6" s="168">
        <v>0.02</v>
      </c>
      <c r="AD6" s="168">
        <v>0.02</v>
      </c>
      <c r="AE6" s="176">
        <v>0</v>
      </c>
      <c r="AF6" s="176">
        <v>0</v>
      </c>
      <c r="AG6" s="167"/>
      <c r="AH6" s="180">
        <v>127.1</v>
      </c>
      <c r="AI6" s="166">
        <v>66.896430381965402</v>
      </c>
      <c r="AJ6" s="181" t="s">
        <v>53</v>
      </c>
      <c r="AK6" s="182">
        <v>1.0618481013010399</v>
      </c>
      <c r="AL6" s="183">
        <v>-13.6636363589681</v>
      </c>
      <c r="AM6" s="168">
        <v>8.0000000000000002E-3</v>
      </c>
      <c r="AN6" s="168">
        <v>6.0000000000000001E-3</v>
      </c>
      <c r="AO6" s="176">
        <v>0</v>
      </c>
      <c r="AP6" s="176">
        <v>17</v>
      </c>
      <c r="AQ6" s="167"/>
      <c r="AR6" s="180">
        <v>20.2</v>
      </c>
      <c r="AS6" s="166">
        <v>10.631848101618401</v>
      </c>
      <c r="AT6" s="181" t="s">
        <v>54</v>
      </c>
      <c r="AU6" s="173">
        <v>0.66449050635115103</v>
      </c>
      <c r="AV6" s="174">
        <v>-15.5494949483094</v>
      </c>
      <c r="AW6" s="168"/>
      <c r="AX6" s="168"/>
      <c r="AY6" s="176">
        <v>11</v>
      </c>
      <c r="AZ6" s="176">
        <v>17</v>
      </c>
      <c r="BA6" s="167"/>
      <c r="BB6" s="184">
        <v>67.400000000000006</v>
      </c>
      <c r="BC6" s="180">
        <v>35.474582279657497</v>
      </c>
      <c r="BD6" s="181" t="s">
        <v>55</v>
      </c>
      <c r="BE6" s="182">
        <v>1.1085806962392999</v>
      </c>
      <c r="BF6" s="183">
        <v>-4.0989898966186997</v>
      </c>
      <c r="BG6" s="168">
        <v>1.2999999999999999E-2</v>
      </c>
      <c r="BH6" s="168">
        <v>1.0999999999999999E-2</v>
      </c>
      <c r="BI6" s="176">
        <v>0</v>
      </c>
      <c r="BJ6" s="176">
        <v>6</v>
      </c>
      <c r="BK6" s="169"/>
      <c r="BL6" s="185">
        <v>0.8</v>
      </c>
      <c r="BM6" s="182">
        <v>0.84</v>
      </c>
      <c r="BN6" s="186">
        <v>1.5E-3</v>
      </c>
      <c r="BO6" s="187">
        <v>0.95</v>
      </c>
      <c r="BP6" s="178">
        <v>1</v>
      </c>
      <c r="BQ6" s="186">
        <v>2.5000000000000001E-3</v>
      </c>
    </row>
    <row r="7" spans="1:69" s="156" customFormat="1" ht="22.35" customHeight="1" x14ac:dyDescent="0.2">
      <c r="A7" s="165" t="s">
        <v>4</v>
      </c>
      <c r="B7" s="165" t="s">
        <v>0</v>
      </c>
      <c r="C7" s="165" t="s">
        <v>56</v>
      </c>
      <c r="D7" s="166">
        <v>9.1914924981111099</v>
      </c>
      <c r="E7" s="167"/>
      <c r="F7" s="168">
        <v>4.8000000000000001E-2</v>
      </c>
      <c r="G7" s="168">
        <v>4.4999999999999998E-2</v>
      </c>
      <c r="H7" s="169"/>
      <c r="I7" s="170">
        <v>5</v>
      </c>
      <c r="J7" s="170">
        <v>5</v>
      </c>
      <c r="K7" s="167"/>
      <c r="L7" s="171">
        <v>3150.5862900000002</v>
      </c>
      <c r="M7" s="171">
        <v>6346.8770500000001</v>
      </c>
      <c r="N7" s="171">
        <v>9497.4633400000002</v>
      </c>
      <c r="O7" s="166">
        <v>1033.28848301315</v>
      </c>
      <c r="P7" s="172">
        <v>244.07400000000001</v>
      </c>
      <c r="Q7" s="178">
        <v>4.23350493298405</v>
      </c>
      <c r="R7" s="179">
        <v>6859.2198361788496</v>
      </c>
      <c r="S7" s="168">
        <v>0.01</v>
      </c>
      <c r="T7" s="168">
        <v>0.01</v>
      </c>
      <c r="U7" s="175">
        <v>0</v>
      </c>
      <c r="V7" s="176">
        <v>0</v>
      </c>
      <c r="W7" s="167"/>
      <c r="X7" s="175">
        <v>6079.8051349999996</v>
      </c>
      <c r="Y7" s="166">
        <v>661.46005518139998</v>
      </c>
      <c r="Z7" s="177">
        <v>573</v>
      </c>
      <c r="AA7" s="182">
        <v>1.1543805500547999</v>
      </c>
      <c r="AB7" s="183">
        <v>-113.863701867175</v>
      </c>
      <c r="AC7" s="168">
        <v>1.7999999999999999E-2</v>
      </c>
      <c r="AD7" s="168">
        <v>1.4999999999999999E-2</v>
      </c>
      <c r="AE7" s="176">
        <v>0</v>
      </c>
      <c r="AF7" s="176">
        <v>241</v>
      </c>
      <c r="AG7" s="167"/>
      <c r="AH7" s="180">
        <v>488.35</v>
      </c>
      <c r="AI7" s="166">
        <v>53.130653166540498</v>
      </c>
      <c r="AJ7" s="181" t="s">
        <v>53</v>
      </c>
      <c r="AK7" s="188">
        <v>0.84334370105619805</v>
      </c>
      <c r="AL7" s="171">
        <v>-192.62929620005599</v>
      </c>
      <c r="AM7" s="168"/>
      <c r="AN7" s="168"/>
      <c r="AO7" s="176">
        <v>91</v>
      </c>
      <c r="AP7" s="176">
        <v>207</v>
      </c>
      <c r="AQ7" s="167"/>
      <c r="AR7" s="180">
        <v>77.7</v>
      </c>
      <c r="AS7" s="166">
        <v>8.4534693376475794</v>
      </c>
      <c r="AT7" s="181" t="s">
        <v>54</v>
      </c>
      <c r="AU7" s="173">
        <v>0.52834183360297404</v>
      </c>
      <c r="AV7" s="174">
        <v>-95.247122844458602</v>
      </c>
      <c r="AW7" s="168"/>
      <c r="AX7" s="168"/>
      <c r="AY7" s="176">
        <v>70</v>
      </c>
      <c r="AZ7" s="176">
        <v>99</v>
      </c>
      <c r="BA7" s="167"/>
      <c r="BB7" s="184">
        <v>389</v>
      </c>
      <c r="BC7" s="180">
        <v>42.321744817823799</v>
      </c>
      <c r="BD7" s="181" t="s">
        <v>55</v>
      </c>
      <c r="BE7" s="178">
        <v>1.3225545255569899</v>
      </c>
      <c r="BF7" s="179">
        <v>43.105754311082698</v>
      </c>
      <c r="BG7" s="168">
        <v>0.02</v>
      </c>
      <c r="BH7" s="168">
        <v>0.02</v>
      </c>
      <c r="BI7" s="176">
        <v>0</v>
      </c>
      <c r="BJ7" s="176">
        <v>0</v>
      </c>
      <c r="BK7" s="169"/>
      <c r="BL7" s="185">
        <v>0.8</v>
      </c>
      <c r="BM7" s="182">
        <v>0.82</v>
      </c>
      <c r="BN7" s="186">
        <v>7.5000000000000002E-4</v>
      </c>
      <c r="BO7" s="187">
        <v>0.95</v>
      </c>
      <c r="BP7" s="178">
        <v>1</v>
      </c>
      <c r="BQ7" s="186">
        <v>2.5000000000000001E-3</v>
      </c>
    </row>
    <row r="8" spans="1:69" s="156" customFormat="1" ht="22.35" customHeight="1" x14ac:dyDescent="0.2">
      <c r="A8" s="165" t="s">
        <v>4</v>
      </c>
      <c r="B8" s="165" t="s">
        <v>0</v>
      </c>
      <c r="C8" s="165" t="s">
        <v>57</v>
      </c>
      <c r="D8" s="166">
        <v>2.4137029143333302</v>
      </c>
      <c r="E8" s="167"/>
      <c r="F8" s="168">
        <v>5.5500000000000001E-2</v>
      </c>
      <c r="G8" s="168">
        <v>5.45E-2</v>
      </c>
      <c r="H8" s="169"/>
      <c r="I8" s="170">
        <v>6</v>
      </c>
      <c r="J8" s="170">
        <v>6</v>
      </c>
      <c r="K8" s="167"/>
      <c r="L8" s="171">
        <v>1159.26242</v>
      </c>
      <c r="M8" s="171">
        <v>733.07960000000003</v>
      </c>
      <c r="N8" s="171">
        <v>1892.34202</v>
      </c>
      <c r="O8" s="166">
        <v>783.99955883662096</v>
      </c>
      <c r="P8" s="172">
        <v>214.66499999999999</v>
      </c>
      <c r="Q8" s="178">
        <v>3.6522002135262901</v>
      </c>
      <c r="R8" s="179">
        <v>1283.0122775400901</v>
      </c>
      <c r="S8" s="168">
        <v>0.01</v>
      </c>
      <c r="T8" s="168">
        <v>0.01</v>
      </c>
      <c r="U8" s="175">
        <v>0</v>
      </c>
      <c r="V8" s="176">
        <v>0</v>
      </c>
      <c r="W8" s="167"/>
      <c r="X8" s="175">
        <v>2262.6126450000002</v>
      </c>
      <c r="Y8" s="166">
        <v>937.40312097395599</v>
      </c>
      <c r="Z8" s="177">
        <v>573</v>
      </c>
      <c r="AA8" s="178">
        <v>1.6359565811063801</v>
      </c>
      <c r="AB8" s="179">
        <v>636.14376358231505</v>
      </c>
      <c r="AC8" s="168">
        <v>0.02</v>
      </c>
      <c r="AD8" s="168">
        <v>0.02</v>
      </c>
      <c r="AE8" s="176">
        <v>0</v>
      </c>
      <c r="AF8" s="176">
        <v>0</v>
      </c>
      <c r="AG8" s="167"/>
      <c r="AH8" s="180">
        <v>114.85</v>
      </c>
      <c r="AI8" s="166">
        <v>47.582492160896997</v>
      </c>
      <c r="AJ8" s="181" t="s">
        <v>53</v>
      </c>
      <c r="AK8" s="173">
        <v>0.75527765334757102</v>
      </c>
      <c r="AL8" s="174">
        <v>-63.976421517127697</v>
      </c>
      <c r="AM8" s="168"/>
      <c r="AN8" s="168"/>
      <c r="AO8" s="176">
        <v>38</v>
      </c>
      <c r="AP8" s="176">
        <v>68</v>
      </c>
      <c r="AQ8" s="167"/>
      <c r="AR8" s="180">
        <v>42.1</v>
      </c>
      <c r="AS8" s="166">
        <v>17.4420802783958</v>
      </c>
      <c r="AT8" s="181" t="s">
        <v>54</v>
      </c>
      <c r="AU8" s="182">
        <v>1.0901300173997399</v>
      </c>
      <c r="AV8" s="183">
        <v>-3.3162340360959299</v>
      </c>
      <c r="AW8" s="168">
        <v>5.4999999999999997E-3</v>
      </c>
      <c r="AX8" s="168">
        <v>4.4999999999999997E-3</v>
      </c>
      <c r="AY8" s="176">
        <v>0</v>
      </c>
      <c r="AZ8" s="176">
        <v>5</v>
      </c>
      <c r="BA8" s="167"/>
      <c r="BB8" s="184">
        <v>117.8</v>
      </c>
      <c r="BC8" s="180">
        <v>48.804680683967497</v>
      </c>
      <c r="BD8" s="181" t="s">
        <v>55</v>
      </c>
      <c r="BE8" s="178">
        <v>1.5251462713739801</v>
      </c>
      <c r="BF8" s="179">
        <v>26.9675319278081</v>
      </c>
      <c r="BG8" s="168">
        <v>0.02</v>
      </c>
      <c r="BH8" s="168">
        <v>0.02</v>
      </c>
      <c r="BI8" s="176">
        <v>0</v>
      </c>
      <c r="BJ8" s="176">
        <v>0</v>
      </c>
      <c r="BK8" s="169"/>
      <c r="BL8" s="185">
        <v>0.8</v>
      </c>
      <c r="BM8" s="182">
        <v>0.89</v>
      </c>
      <c r="BN8" s="186">
        <v>3.375E-3</v>
      </c>
      <c r="BO8" s="187">
        <v>0.95</v>
      </c>
      <c r="BP8" s="178">
        <v>1</v>
      </c>
      <c r="BQ8" s="186">
        <v>2.5000000000000001E-3</v>
      </c>
    </row>
    <row r="9" spans="1:69" s="156" customFormat="1" ht="22.35" customHeight="1" x14ac:dyDescent="0.2">
      <c r="A9" s="165" t="s">
        <v>4</v>
      </c>
      <c r="B9" s="165" t="s">
        <v>0</v>
      </c>
      <c r="C9" s="165" t="s">
        <v>58</v>
      </c>
      <c r="D9" s="166">
        <v>2.8152337733333299</v>
      </c>
      <c r="E9" s="167"/>
      <c r="F9" s="168"/>
      <c r="G9" s="168"/>
      <c r="H9" s="169"/>
      <c r="I9" s="170">
        <v>2</v>
      </c>
      <c r="J9" s="170">
        <v>2</v>
      </c>
      <c r="K9" s="167"/>
      <c r="L9" s="171">
        <v>997.77229999999997</v>
      </c>
      <c r="M9" s="171">
        <v>-673.81940999999995</v>
      </c>
      <c r="N9" s="171">
        <v>323.95289000000002</v>
      </c>
      <c r="O9" s="166">
        <v>115.07139942287201</v>
      </c>
      <c r="P9" s="172">
        <v>212.5</v>
      </c>
      <c r="Q9" s="173">
        <v>0.54151246787233998</v>
      </c>
      <c r="R9" s="174">
        <v>-379.57402995599898</v>
      </c>
      <c r="S9" s="168"/>
      <c r="T9" s="168"/>
      <c r="U9" s="175">
        <v>275</v>
      </c>
      <c r="V9" s="176">
        <v>394</v>
      </c>
      <c r="W9" s="167"/>
      <c r="X9" s="175">
        <v>1542.0214900000001</v>
      </c>
      <c r="Y9" s="166">
        <v>547.741897886581</v>
      </c>
      <c r="Z9" s="177">
        <v>573</v>
      </c>
      <c r="AA9" s="188">
        <v>0.95591954255947797</v>
      </c>
      <c r="AB9" s="171">
        <v>-355.01815769311702</v>
      </c>
      <c r="AC9" s="168"/>
      <c r="AD9" s="168"/>
      <c r="AE9" s="176">
        <v>72</v>
      </c>
      <c r="AF9" s="176">
        <v>394</v>
      </c>
      <c r="AG9" s="167"/>
      <c r="AH9" s="180">
        <v>102</v>
      </c>
      <c r="AI9" s="166">
        <v>36.231449397265699</v>
      </c>
      <c r="AJ9" s="181" t="s">
        <v>53</v>
      </c>
      <c r="AK9" s="173">
        <v>0.57510237138516895</v>
      </c>
      <c r="AL9" s="174">
        <v>-106.57503979872</v>
      </c>
      <c r="AM9" s="168"/>
      <c r="AN9" s="168"/>
      <c r="AO9" s="176">
        <v>76</v>
      </c>
      <c r="AP9" s="176">
        <v>111</v>
      </c>
      <c r="AQ9" s="167"/>
      <c r="AR9" s="180">
        <v>7</v>
      </c>
      <c r="AS9" s="166">
        <v>2.4864720174594099</v>
      </c>
      <c r="AT9" s="181" t="s">
        <v>54</v>
      </c>
      <c r="AU9" s="173">
        <v>0.15540450109121301</v>
      </c>
      <c r="AV9" s="174">
        <v>-45.971438679039899</v>
      </c>
      <c r="AW9" s="168"/>
      <c r="AX9" s="168"/>
      <c r="AY9" s="176">
        <v>39</v>
      </c>
      <c r="AZ9" s="176">
        <v>48</v>
      </c>
      <c r="BA9" s="167"/>
      <c r="BB9" s="184">
        <v>84</v>
      </c>
      <c r="BC9" s="180">
        <v>29.837664209512901</v>
      </c>
      <c r="BD9" s="181" t="s">
        <v>55</v>
      </c>
      <c r="BE9" s="188">
        <v>0.93242700654727795</v>
      </c>
      <c r="BF9" s="171">
        <v>-21.942877358079901</v>
      </c>
      <c r="BG9" s="168"/>
      <c r="BH9" s="168"/>
      <c r="BI9" s="176">
        <v>7</v>
      </c>
      <c r="BJ9" s="176">
        <v>25</v>
      </c>
      <c r="BK9" s="169"/>
      <c r="BL9" s="185">
        <v>0.8</v>
      </c>
      <c r="BM9" s="182">
        <v>0.82</v>
      </c>
      <c r="BN9" s="186">
        <v>7.5000000000000002E-4</v>
      </c>
      <c r="BO9" s="187">
        <v>0.95</v>
      </c>
      <c r="BP9" s="178">
        <v>1</v>
      </c>
      <c r="BQ9" s="186">
        <v>2.5000000000000001E-3</v>
      </c>
    </row>
    <row r="10" spans="1:69" s="156" customFormat="1" ht="22.35" customHeight="1" x14ac:dyDescent="0.2">
      <c r="A10" s="165" t="s">
        <v>4</v>
      </c>
      <c r="B10" s="165" t="s">
        <v>0</v>
      </c>
      <c r="C10" s="165" t="s">
        <v>59</v>
      </c>
      <c r="D10" s="166">
        <v>6.67734879333333</v>
      </c>
      <c r="E10" s="167"/>
      <c r="F10" s="168">
        <v>5.7000000000000002E-2</v>
      </c>
      <c r="G10" s="168">
        <v>5.2999999999999999E-2</v>
      </c>
      <c r="H10" s="169"/>
      <c r="I10" s="170">
        <v>6</v>
      </c>
      <c r="J10" s="170">
        <v>6</v>
      </c>
      <c r="K10" s="167"/>
      <c r="L10" s="171">
        <v>2751.9059999999999</v>
      </c>
      <c r="M10" s="171">
        <v>3131.2479199999998</v>
      </c>
      <c r="N10" s="171">
        <v>5883.1539199999997</v>
      </c>
      <c r="O10" s="166">
        <v>881.06134666407399</v>
      </c>
      <c r="P10" s="172">
        <v>234.65600000000001</v>
      </c>
      <c r="Q10" s="178">
        <v>3.75469345196404</v>
      </c>
      <c r="R10" s="179">
        <v>4040.5030888646502</v>
      </c>
      <c r="S10" s="168">
        <v>0.01</v>
      </c>
      <c r="T10" s="168">
        <v>0.01</v>
      </c>
      <c r="U10" s="175">
        <v>0</v>
      </c>
      <c r="V10" s="176">
        <v>0</v>
      </c>
      <c r="W10" s="167"/>
      <c r="X10" s="175">
        <v>4972.1401400000004</v>
      </c>
      <c r="Y10" s="166">
        <v>744.62788958458896</v>
      </c>
      <c r="Z10" s="177">
        <v>573</v>
      </c>
      <c r="AA10" s="178">
        <v>1.29952511271307</v>
      </c>
      <c r="AB10" s="179">
        <v>472.62201030992298</v>
      </c>
      <c r="AC10" s="168">
        <v>0.02</v>
      </c>
      <c r="AD10" s="168">
        <v>0.02</v>
      </c>
      <c r="AE10" s="176">
        <v>0</v>
      </c>
      <c r="AF10" s="176">
        <v>0</v>
      </c>
      <c r="AG10" s="167"/>
      <c r="AH10" s="180">
        <v>448.1</v>
      </c>
      <c r="AI10" s="166">
        <v>67.107472421896404</v>
      </c>
      <c r="AJ10" s="181" t="s">
        <v>53</v>
      </c>
      <c r="AK10" s="182">
        <v>1.0651979749507401</v>
      </c>
      <c r="AL10" s="183">
        <v>-46.611417400479603</v>
      </c>
      <c r="AM10" s="168">
        <v>8.9999999999999993E-3</v>
      </c>
      <c r="AN10" s="168">
        <v>7.0000000000000001E-3</v>
      </c>
      <c r="AO10" s="176">
        <v>0</v>
      </c>
      <c r="AP10" s="176">
        <v>57</v>
      </c>
      <c r="AQ10" s="167"/>
      <c r="AR10" s="180">
        <v>56.7</v>
      </c>
      <c r="AS10" s="166">
        <v>8.4913940779324406</v>
      </c>
      <c r="AT10" s="181" t="s">
        <v>54</v>
      </c>
      <c r="AU10" s="173">
        <v>0.53071212987077698</v>
      </c>
      <c r="AV10" s="174">
        <v>-68.940994895359907</v>
      </c>
      <c r="AW10" s="168"/>
      <c r="AX10" s="168"/>
      <c r="AY10" s="176">
        <v>51</v>
      </c>
      <c r="AZ10" s="176">
        <v>72</v>
      </c>
      <c r="BA10" s="167"/>
      <c r="BB10" s="184">
        <v>246.8</v>
      </c>
      <c r="BC10" s="180">
        <v>36.960777044686502</v>
      </c>
      <c r="BD10" s="181" t="s">
        <v>55</v>
      </c>
      <c r="BE10" s="182">
        <v>1.1550242826464501</v>
      </c>
      <c r="BF10" s="183">
        <v>-4.4819897907198101</v>
      </c>
      <c r="BG10" s="168">
        <v>1.7999999999999999E-2</v>
      </c>
      <c r="BH10" s="168">
        <v>1.6E-2</v>
      </c>
      <c r="BI10" s="176">
        <v>0</v>
      </c>
      <c r="BJ10" s="176">
        <v>10</v>
      </c>
      <c r="BK10" s="169"/>
      <c r="BL10" s="185">
        <v>0.8</v>
      </c>
      <c r="BM10" s="182">
        <v>0.85</v>
      </c>
      <c r="BN10" s="186">
        <v>1.8749999999999999E-3</v>
      </c>
      <c r="BO10" s="187">
        <v>0.95</v>
      </c>
      <c r="BP10" s="178">
        <v>1</v>
      </c>
      <c r="BQ10" s="186">
        <v>2.5000000000000001E-3</v>
      </c>
    </row>
    <row r="11" spans="1:69" s="156" customFormat="1" ht="22.35" customHeight="1" x14ac:dyDescent="0.2">
      <c r="A11" s="165" t="s">
        <v>4</v>
      </c>
      <c r="B11" s="165" t="s">
        <v>0</v>
      </c>
      <c r="C11" s="165" t="s">
        <v>60</v>
      </c>
      <c r="D11" s="166">
        <v>2.0789473684444402</v>
      </c>
      <c r="E11" s="167"/>
      <c r="F11" s="168">
        <v>4.2999999999999997E-2</v>
      </c>
      <c r="G11" s="168">
        <v>3.9E-2</v>
      </c>
      <c r="H11" s="169"/>
      <c r="I11" s="170">
        <v>6</v>
      </c>
      <c r="J11" s="170">
        <v>6</v>
      </c>
      <c r="K11" s="167"/>
      <c r="L11" s="171">
        <v>483.38405999999998</v>
      </c>
      <c r="M11" s="171">
        <v>332.47917999999999</v>
      </c>
      <c r="N11" s="171">
        <v>815.86324000000002</v>
      </c>
      <c r="O11" s="166">
        <v>392.440545818369</v>
      </c>
      <c r="P11" s="172">
        <v>214.66499999999999</v>
      </c>
      <c r="Q11" s="178">
        <v>1.8281533823323299</v>
      </c>
      <c r="R11" s="179">
        <v>291.04120946777999</v>
      </c>
      <c r="S11" s="168">
        <v>0.01</v>
      </c>
      <c r="T11" s="168">
        <v>0.01</v>
      </c>
      <c r="U11" s="175">
        <v>0</v>
      </c>
      <c r="V11" s="176">
        <v>0</v>
      </c>
      <c r="W11" s="167"/>
      <c r="X11" s="175">
        <v>1277.92544</v>
      </c>
      <c r="Y11" s="166">
        <v>614.69831290447598</v>
      </c>
      <c r="Z11" s="177">
        <v>573</v>
      </c>
      <c r="AA11" s="182">
        <v>1.0727719247896601</v>
      </c>
      <c r="AB11" s="183">
        <v>-122.96908633154899</v>
      </c>
      <c r="AC11" s="168">
        <v>8.9999999999999993E-3</v>
      </c>
      <c r="AD11" s="168">
        <v>7.0000000000000001E-3</v>
      </c>
      <c r="AE11" s="176">
        <v>0</v>
      </c>
      <c r="AF11" s="176">
        <v>152</v>
      </c>
      <c r="AG11" s="167"/>
      <c r="AH11" s="180">
        <v>134</v>
      </c>
      <c r="AI11" s="166">
        <v>64.455696201806404</v>
      </c>
      <c r="AJ11" s="181" t="s">
        <v>53</v>
      </c>
      <c r="AK11" s="182">
        <v>1.0231062889175599</v>
      </c>
      <c r="AL11" s="183">
        <v>-20.025052633311599</v>
      </c>
      <c r="AM11" s="168">
        <v>4.0000000000000001E-3</v>
      </c>
      <c r="AN11" s="168">
        <v>2E-3</v>
      </c>
      <c r="AO11" s="176">
        <v>0</v>
      </c>
      <c r="AP11" s="176">
        <v>24</v>
      </c>
      <c r="AQ11" s="167"/>
      <c r="AR11" s="180">
        <v>25.4</v>
      </c>
      <c r="AS11" s="166">
        <v>12.217721518849901</v>
      </c>
      <c r="AT11" s="181" t="s">
        <v>54</v>
      </c>
      <c r="AU11" s="173">
        <v>0.76360759492811703</v>
      </c>
      <c r="AV11" s="174">
        <v>-13.717473684650599</v>
      </c>
      <c r="AW11" s="168"/>
      <c r="AX11" s="168"/>
      <c r="AY11" s="176">
        <v>8</v>
      </c>
      <c r="AZ11" s="176">
        <v>15</v>
      </c>
      <c r="BA11" s="167"/>
      <c r="BB11" s="184">
        <v>81.8</v>
      </c>
      <c r="BC11" s="180">
        <v>39.3468354425952</v>
      </c>
      <c r="BD11" s="181" t="s">
        <v>55</v>
      </c>
      <c r="BE11" s="178">
        <v>1.2295886075811</v>
      </c>
      <c r="BF11" s="179">
        <v>3.5650526306988399</v>
      </c>
      <c r="BG11" s="168">
        <v>0.02</v>
      </c>
      <c r="BH11" s="168">
        <v>0.02</v>
      </c>
      <c r="BI11" s="176">
        <v>0</v>
      </c>
      <c r="BJ11" s="176">
        <v>0</v>
      </c>
      <c r="BK11" s="169"/>
      <c r="BL11" s="185">
        <v>0.8</v>
      </c>
      <c r="BM11" s="182">
        <v>0.85</v>
      </c>
      <c r="BN11" s="186">
        <v>1.8749999999999999E-3</v>
      </c>
      <c r="BO11" s="187">
        <v>0.95</v>
      </c>
      <c r="BP11" s="178">
        <v>1</v>
      </c>
      <c r="BQ11" s="186">
        <v>2.5000000000000001E-3</v>
      </c>
    </row>
    <row r="12" spans="1:69" s="156" customFormat="1" ht="22.35" customHeight="1" x14ac:dyDescent="0.2">
      <c r="A12" s="165" t="s">
        <v>4</v>
      </c>
      <c r="B12" s="165" t="s">
        <v>0</v>
      </c>
      <c r="C12" s="165" t="s">
        <v>61</v>
      </c>
      <c r="D12" s="166">
        <v>5.4163613696666699</v>
      </c>
      <c r="E12" s="167"/>
      <c r="F12" s="168">
        <v>3.6999999999999998E-2</v>
      </c>
      <c r="G12" s="168">
        <v>3.5000000000000003E-2</v>
      </c>
      <c r="H12" s="169"/>
      <c r="I12" s="170">
        <v>4</v>
      </c>
      <c r="J12" s="170">
        <v>4</v>
      </c>
      <c r="K12" s="167"/>
      <c r="L12" s="171">
        <v>2239.0366100000001</v>
      </c>
      <c r="M12" s="171">
        <v>2129.46144</v>
      </c>
      <c r="N12" s="171">
        <v>4368.4980500000001</v>
      </c>
      <c r="O12" s="166">
        <v>806.53740617547601</v>
      </c>
      <c r="P12" s="172">
        <v>216.447</v>
      </c>
      <c r="Q12" s="178">
        <v>3.72625818872738</v>
      </c>
      <c r="R12" s="179">
        <v>2989.8083708088402</v>
      </c>
      <c r="S12" s="168">
        <v>0.01</v>
      </c>
      <c r="T12" s="168">
        <v>0.01</v>
      </c>
      <c r="U12" s="175">
        <v>0</v>
      </c>
      <c r="V12" s="176">
        <v>0</v>
      </c>
      <c r="W12" s="167"/>
      <c r="X12" s="175">
        <v>3256.31673</v>
      </c>
      <c r="Y12" s="166">
        <v>601.20005069019203</v>
      </c>
      <c r="Z12" s="177">
        <v>573</v>
      </c>
      <c r="AA12" s="182">
        <v>1.0492147481504199</v>
      </c>
      <c r="AB12" s="183">
        <v>-393.487546227145</v>
      </c>
      <c r="AC12" s="168">
        <v>7.0000000000000001E-3</v>
      </c>
      <c r="AD12" s="168">
        <v>5.0000000000000001E-3</v>
      </c>
      <c r="AE12" s="176">
        <v>0</v>
      </c>
      <c r="AF12" s="176">
        <v>468</v>
      </c>
      <c r="AG12" s="167"/>
      <c r="AH12" s="180">
        <v>332.6</v>
      </c>
      <c r="AI12" s="166">
        <v>61.406537950489202</v>
      </c>
      <c r="AJ12" s="181" t="s">
        <v>53</v>
      </c>
      <c r="AK12" s="188">
        <v>0.97470695159506704</v>
      </c>
      <c r="AL12" s="171">
        <v>-68.687381155864102</v>
      </c>
      <c r="AM12" s="168"/>
      <c r="AN12" s="168"/>
      <c r="AO12" s="176">
        <v>9</v>
      </c>
      <c r="AP12" s="176">
        <v>77</v>
      </c>
      <c r="AQ12" s="167"/>
      <c r="AR12" s="180">
        <v>51.2</v>
      </c>
      <c r="AS12" s="166">
        <v>9.4528404782472908</v>
      </c>
      <c r="AT12" s="181" t="s">
        <v>54</v>
      </c>
      <c r="AU12" s="173">
        <v>0.59080252989045601</v>
      </c>
      <c r="AV12" s="174">
        <v>-50.714255531648</v>
      </c>
      <c r="AW12" s="168"/>
      <c r="AX12" s="168"/>
      <c r="AY12" s="176">
        <v>36</v>
      </c>
      <c r="AZ12" s="176">
        <v>53</v>
      </c>
      <c r="BA12" s="167"/>
      <c r="BB12" s="184">
        <v>213.2</v>
      </c>
      <c r="BC12" s="180">
        <v>39.3622185539516</v>
      </c>
      <c r="BD12" s="181" t="s">
        <v>55</v>
      </c>
      <c r="BE12" s="178">
        <v>1.2300693298109899</v>
      </c>
      <c r="BF12" s="179">
        <v>9.3714889367039405</v>
      </c>
      <c r="BG12" s="168">
        <v>0.02</v>
      </c>
      <c r="BH12" s="168">
        <v>0.02</v>
      </c>
      <c r="BI12" s="176">
        <v>0</v>
      </c>
      <c r="BJ12" s="176">
        <v>0</v>
      </c>
      <c r="BK12" s="169"/>
      <c r="BL12" s="185">
        <v>0.8</v>
      </c>
      <c r="BM12" s="188">
        <v>0.78</v>
      </c>
      <c r="BN12" s="186"/>
      <c r="BO12" s="187">
        <v>0.95</v>
      </c>
      <c r="BP12" s="178">
        <v>1</v>
      </c>
      <c r="BQ12" s="186">
        <v>2.5000000000000001E-3</v>
      </c>
    </row>
    <row r="13" spans="1:69" s="156" customFormat="1" ht="22.35" customHeight="1" x14ac:dyDescent="0.2">
      <c r="A13" s="165" t="s">
        <v>4</v>
      </c>
      <c r="B13" s="165" t="s">
        <v>0</v>
      </c>
      <c r="C13" s="165" t="s">
        <v>62</v>
      </c>
      <c r="D13" s="166">
        <v>2.5347178251111102</v>
      </c>
      <c r="E13" s="167"/>
      <c r="F13" s="168">
        <v>6.7000000000000004E-2</v>
      </c>
      <c r="G13" s="168">
        <v>6.4000000000000001E-2</v>
      </c>
      <c r="H13" s="169"/>
      <c r="I13" s="170">
        <v>6</v>
      </c>
      <c r="J13" s="170">
        <v>6</v>
      </c>
      <c r="K13" s="167"/>
      <c r="L13" s="171">
        <v>1992.38537</v>
      </c>
      <c r="M13" s="171">
        <v>1472.79242</v>
      </c>
      <c r="N13" s="171">
        <v>3465.1777900000002</v>
      </c>
      <c r="O13" s="166">
        <v>1367.0862119921001</v>
      </c>
      <c r="P13" s="172">
        <v>223.197</v>
      </c>
      <c r="Q13" s="178">
        <v>6.1250205513160996</v>
      </c>
      <c r="R13" s="179">
        <v>2799.8658866522801</v>
      </c>
      <c r="S13" s="168">
        <v>0.01</v>
      </c>
      <c r="T13" s="168">
        <v>0.01</v>
      </c>
      <c r="U13" s="175">
        <v>0</v>
      </c>
      <c r="V13" s="176">
        <v>0</v>
      </c>
      <c r="W13" s="167"/>
      <c r="X13" s="175">
        <v>2294.2151699999999</v>
      </c>
      <c r="Y13" s="166">
        <v>905.11659612423796</v>
      </c>
      <c r="Z13" s="177">
        <v>573</v>
      </c>
      <c r="AA13" s="178">
        <v>1.5796101154000699</v>
      </c>
      <c r="AB13" s="179">
        <v>586.20063298452897</v>
      </c>
      <c r="AC13" s="168">
        <v>0.02</v>
      </c>
      <c r="AD13" s="168">
        <v>0.02</v>
      </c>
      <c r="AE13" s="176">
        <v>0</v>
      </c>
      <c r="AF13" s="176">
        <v>0</v>
      </c>
      <c r="AG13" s="167"/>
      <c r="AH13" s="180">
        <v>182.45</v>
      </c>
      <c r="AI13" s="166">
        <v>71.980398840648903</v>
      </c>
      <c r="AJ13" s="181" t="s">
        <v>53</v>
      </c>
      <c r="AK13" s="182">
        <v>1.14254601334363</v>
      </c>
      <c r="AL13" s="183">
        <v>-5.3421742268318697</v>
      </c>
      <c r="AM13" s="168">
        <v>1.7000000000000001E-2</v>
      </c>
      <c r="AN13" s="168">
        <v>1.4E-2</v>
      </c>
      <c r="AO13" s="176">
        <v>0</v>
      </c>
      <c r="AP13" s="176">
        <v>10</v>
      </c>
      <c r="AQ13" s="167"/>
      <c r="AR13" s="180">
        <v>38.4</v>
      </c>
      <c r="AS13" s="166">
        <v>15.1496153219014</v>
      </c>
      <c r="AT13" s="181" t="s">
        <v>54</v>
      </c>
      <c r="AU13" s="188">
        <v>0.94685095761883997</v>
      </c>
      <c r="AV13" s="171">
        <v>-9.2932505972906405</v>
      </c>
      <c r="AW13" s="168"/>
      <c r="AX13" s="168"/>
      <c r="AY13" s="176">
        <v>3</v>
      </c>
      <c r="AZ13" s="176">
        <v>11</v>
      </c>
      <c r="BA13" s="167"/>
      <c r="BB13" s="184">
        <v>149.80000000000001</v>
      </c>
      <c r="BC13" s="180">
        <v>59.0992806047093</v>
      </c>
      <c r="BD13" s="181" t="s">
        <v>55</v>
      </c>
      <c r="BE13" s="178">
        <v>1.8468525188971601</v>
      </c>
      <c r="BF13" s="179">
        <v>54.413498805418698</v>
      </c>
      <c r="BG13" s="168">
        <v>0.02</v>
      </c>
      <c r="BH13" s="168">
        <v>0.02</v>
      </c>
      <c r="BI13" s="176">
        <v>0</v>
      </c>
      <c r="BJ13" s="176">
        <v>0</v>
      </c>
      <c r="BK13" s="169"/>
      <c r="BL13" s="185">
        <v>0.8</v>
      </c>
      <c r="BM13" s="182">
        <v>0.82</v>
      </c>
      <c r="BN13" s="186">
        <v>7.5000000000000002E-4</v>
      </c>
      <c r="BO13" s="187">
        <v>0.95</v>
      </c>
      <c r="BP13" s="178">
        <v>1</v>
      </c>
      <c r="BQ13" s="186">
        <v>2.5000000000000001E-3</v>
      </c>
    </row>
    <row r="14" spans="1:69" s="156" customFormat="1" ht="22.35" customHeight="1" x14ac:dyDescent="0.2">
      <c r="A14" s="165" t="s">
        <v>4</v>
      </c>
      <c r="B14" s="165" t="s">
        <v>0</v>
      </c>
      <c r="C14" s="165" t="s">
        <v>63</v>
      </c>
      <c r="D14" s="166">
        <v>2.8184251681111099</v>
      </c>
      <c r="E14" s="167"/>
      <c r="F14" s="168">
        <v>0.02</v>
      </c>
      <c r="G14" s="168">
        <v>0.02</v>
      </c>
      <c r="H14" s="169"/>
      <c r="I14" s="170">
        <v>2</v>
      </c>
      <c r="J14" s="170">
        <v>2</v>
      </c>
      <c r="K14" s="167"/>
      <c r="L14" s="171">
        <v>1009.74608</v>
      </c>
      <c r="M14" s="171">
        <v>-1085.5605599999999</v>
      </c>
      <c r="N14" s="171">
        <v>-75.814480000000003</v>
      </c>
      <c r="O14" s="166">
        <v>-26.899589479187899</v>
      </c>
      <c r="P14" s="172">
        <v>212.5</v>
      </c>
      <c r="Q14" s="173">
        <v>-0.12658630343147201</v>
      </c>
      <c r="R14" s="174">
        <v>-780.13892951096602</v>
      </c>
      <c r="S14" s="168"/>
      <c r="T14" s="168"/>
      <c r="U14" s="175">
        <v>675</v>
      </c>
      <c r="V14" s="176">
        <v>795</v>
      </c>
      <c r="W14" s="167"/>
      <c r="X14" s="175">
        <v>2095.3765549999998</v>
      </c>
      <c r="Y14" s="166">
        <v>743.45651561304601</v>
      </c>
      <c r="Z14" s="177">
        <v>573</v>
      </c>
      <c r="AA14" s="178">
        <v>1.2974808300402201</v>
      </c>
      <c r="AB14" s="179">
        <v>196.18639231866501</v>
      </c>
      <c r="AC14" s="168">
        <v>0.02</v>
      </c>
      <c r="AD14" s="168">
        <v>0.02</v>
      </c>
      <c r="AE14" s="176">
        <v>0</v>
      </c>
      <c r="AF14" s="176">
        <v>0</v>
      </c>
      <c r="AG14" s="167"/>
      <c r="AH14" s="180">
        <v>162.69999999999999</v>
      </c>
      <c r="AI14" s="166">
        <v>57.7272733159136</v>
      </c>
      <c r="AJ14" s="181" t="s">
        <v>53</v>
      </c>
      <c r="AK14" s="188">
        <v>0.91630592564942304</v>
      </c>
      <c r="AL14" s="171">
        <v>-46.111483855015898</v>
      </c>
      <c r="AM14" s="168"/>
      <c r="AN14" s="168"/>
      <c r="AO14" s="176">
        <v>15</v>
      </c>
      <c r="AP14" s="176">
        <v>51</v>
      </c>
      <c r="AQ14" s="167"/>
      <c r="AR14" s="180">
        <v>18.3</v>
      </c>
      <c r="AS14" s="166">
        <v>6.4929877177702497</v>
      </c>
      <c r="AT14" s="181" t="s">
        <v>54</v>
      </c>
      <c r="AU14" s="173">
        <v>0.405811732360641</v>
      </c>
      <c r="AV14" s="174">
        <v>-34.731487963178601</v>
      </c>
      <c r="AW14" s="168"/>
      <c r="AX14" s="168"/>
      <c r="AY14" s="176">
        <v>27</v>
      </c>
      <c r="AZ14" s="176">
        <v>36</v>
      </c>
      <c r="BA14" s="167"/>
      <c r="BB14" s="184">
        <v>67.400000000000006</v>
      </c>
      <c r="BC14" s="180">
        <v>23.914064053427001</v>
      </c>
      <c r="BD14" s="181" t="s">
        <v>55</v>
      </c>
      <c r="BE14" s="173">
        <v>0.74731450166959501</v>
      </c>
      <c r="BF14" s="174">
        <v>-38.662975926357298</v>
      </c>
      <c r="BG14" s="168"/>
      <c r="BH14" s="168"/>
      <c r="BI14" s="176">
        <v>23</v>
      </c>
      <c r="BJ14" s="176">
        <v>41</v>
      </c>
      <c r="BK14" s="169"/>
      <c r="BL14" s="185">
        <v>0.8</v>
      </c>
      <c r="BM14" s="188">
        <v>0.8</v>
      </c>
      <c r="BN14" s="186">
        <v>0</v>
      </c>
      <c r="BO14" s="187">
        <v>0.95</v>
      </c>
      <c r="BP14" s="178">
        <v>1</v>
      </c>
      <c r="BQ14" s="186">
        <v>2.5000000000000001E-3</v>
      </c>
    </row>
    <row r="15" spans="1:69" s="156" customFormat="1" ht="22.35" customHeight="1" x14ac:dyDescent="0.2">
      <c r="A15" s="165" t="s">
        <v>4</v>
      </c>
      <c r="B15" s="165" t="s">
        <v>64</v>
      </c>
      <c r="C15" s="165" t="s">
        <v>65</v>
      </c>
      <c r="D15" s="166">
        <v>3.6851069297777799</v>
      </c>
      <c r="E15" s="167"/>
      <c r="F15" s="168">
        <v>1E-3</v>
      </c>
      <c r="G15" s="168"/>
      <c r="H15" s="169"/>
      <c r="I15" s="170">
        <v>3</v>
      </c>
      <c r="J15" s="170">
        <v>2</v>
      </c>
      <c r="K15" s="167"/>
      <c r="L15" s="171">
        <v>2879.92571</v>
      </c>
      <c r="M15" s="171">
        <v>-2274.8840700000001</v>
      </c>
      <c r="N15" s="171">
        <v>605.04164000000003</v>
      </c>
      <c r="O15" s="166">
        <v>164.18564007218299</v>
      </c>
      <c r="P15" s="172">
        <v>231.52600000000001</v>
      </c>
      <c r="Q15" s="173">
        <v>0.70914558223345303</v>
      </c>
      <c r="R15" s="174">
        <v>-398.31928681990701</v>
      </c>
      <c r="S15" s="168"/>
      <c r="T15" s="168"/>
      <c r="U15" s="175">
        <v>249</v>
      </c>
      <c r="V15" s="176">
        <v>419</v>
      </c>
      <c r="W15" s="167"/>
      <c r="X15" s="175">
        <v>2084.5724850000001</v>
      </c>
      <c r="Y15" s="166">
        <v>565.67489756008399</v>
      </c>
      <c r="Z15" s="177">
        <v>573</v>
      </c>
      <c r="AA15" s="182">
        <v>0.98721622610834903</v>
      </c>
      <c r="AB15" s="183">
        <v>-398.62944941689699</v>
      </c>
      <c r="AC15" s="168">
        <v>1E-3</v>
      </c>
      <c r="AD15" s="168"/>
      <c r="AE15" s="176">
        <v>27</v>
      </c>
      <c r="AF15" s="176">
        <v>450</v>
      </c>
      <c r="AG15" s="167"/>
      <c r="AH15" s="180">
        <v>181.5</v>
      </c>
      <c r="AI15" s="166">
        <v>49.252302160725897</v>
      </c>
      <c r="AJ15" s="181" t="s">
        <v>53</v>
      </c>
      <c r="AK15" s="188">
        <v>0.78178257397977602</v>
      </c>
      <c r="AL15" s="171">
        <v>-91.522202213376104</v>
      </c>
      <c r="AM15" s="168"/>
      <c r="AN15" s="168"/>
      <c r="AO15" s="176">
        <v>51</v>
      </c>
      <c r="AP15" s="176">
        <v>98</v>
      </c>
      <c r="AQ15" s="167"/>
      <c r="AR15" s="180">
        <v>18.600000000000001</v>
      </c>
      <c r="AS15" s="166">
        <v>5.0473433619256296</v>
      </c>
      <c r="AT15" s="181" t="s">
        <v>54</v>
      </c>
      <c r="AU15" s="173">
        <v>0.31545896012035202</v>
      </c>
      <c r="AV15" s="174">
        <v>-50.738971990698701</v>
      </c>
      <c r="AW15" s="168"/>
      <c r="AX15" s="168"/>
      <c r="AY15" s="176">
        <v>41</v>
      </c>
      <c r="AZ15" s="176">
        <v>53</v>
      </c>
      <c r="BA15" s="167"/>
      <c r="BB15" s="184">
        <v>103.4</v>
      </c>
      <c r="BC15" s="180">
        <v>28.058887291565</v>
      </c>
      <c r="BD15" s="181" t="s">
        <v>55</v>
      </c>
      <c r="BE15" s="188">
        <v>0.87684022786140803</v>
      </c>
      <c r="BF15" s="171">
        <v>-35.277943981397399</v>
      </c>
      <c r="BG15" s="168"/>
      <c r="BH15" s="168"/>
      <c r="BI15" s="176">
        <v>15</v>
      </c>
      <c r="BJ15" s="176">
        <v>39</v>
      </c>
      <c r="BK15" s="169"/>
      <c r="BL15" s="185">
        <v>0.8</v>
      </c>
      <c r="BM15" s="182">
        <v>0.81</v>
      </c>
      <c r="BN15" s="186">
        <v>3.7500000000000001E-4</v>
      </c>
      <c r="BO15" s="187">
        <v>0.95</v>
      </c>
      <c r="BP15" s="178">
        <v>1</v>
      </c>
      <c r="BQ15" s="186">
        <v>2.5000000000000001E-3</v>
      </c>
    </row>
    <row r="16" spans="1:69" s="156" customFormat="1" ht="22.35" customHeight="1" x14ac:dyDescent="0.2">
      <c r="A16" s="165" t="s">
        <v>4</v>
      </c>
      <c r="B16" s="165" t="s">
        <v>64</v>
      </c>
      <c r="C16" s="165" t="s">
        <v>66</v>
      </c>
      <c r="D16" s="166">
        <v>2.98808404311111</v>
      </c>
      <c r="E16" s="167"/>
      <c r="F16" s="168">
        <v>5.0999999999999997E-2</v>
      </c>
      <c r="G16" s="168">
        <v>4.8000000000000001E-2</v>
      </c>
      <c r="H16" s="169"/>
      <c r="I16" s="170">
        <v>6</v>
      </c>
      <c r="J16" s="170">
        <v>5</v>
      </c>
      <c r="K16" s="167"/>
      <c r="L16" s="171">
        <v>1465.193</v>
      </c>
      <c r="M16" s="171">
        <v>311.03134</v>
      </c>
      <c r="N16" s="171">
        <v>1776.22434</v>
      </c>
      <c r="O16" s="166">
        <v>594.43587073630101</v>
      </c>
      <c r="P16" s="172">
        <v>233.14400000000001</v>
      </c>
      <c r="Q16" s="178">
        <v>2.5496511629563701</v>
      </c>
      <c r="R16" s="179">
        <v>956.95939341101496</v>
      </c>
      <c r="S16" s="168">
        <v>0.01</v>
      </c>
      <c r="T16" s="168">
        <v>0.01</v>
      </c>
      <c r="U16" s="175">
        <v>0</v>
      </c>
      <c r="V16" s="176">
        <v>0</v>
      </c>
      <c r="W16" s="167"/>
      <c r="X16" s="175">
        <v>2215.2446150000001</v>
      </c>
      <c r="Y16" s="166">
        <v>741.35954111034596</v>
      </c>
      <c r="Z16" s="177">
        <v>573</v>
      </c>
      <c r="AA16" s="178">
        <v>1.2938211886742499</v>
      </c>
      <c r="AB16" s="179">
        <v>201.73015871766501</v>
      </c>
      <c r="AC16" s="168">
        <v>0.02</v>
      </c>
      <c r="AD16" s="168">
        <v>0.02</v>
      </c>
      <c r="AE16" s="176">
        <v>0</v>
      </c>
      <c r="AF16" s="176">
        <v>0</v>
      </c>
      <c r="AG16" s="167"/>
      <c r="AH16" s="180">
        <v>185.3</v>
      </c>
      <c r="AI16" s="166">
        <v>62.012981337389299</v>
      </c>
      <c r="AJ16" s="181" t="s">
        <v>53</v>
      </c>
      <c r="AK16" s="182">
        <v>0.98433303710141695</v>
      </c>
      <c r="AL16" s="183">
        <v>-36.081170586015801</v>
      </c>
      <c r="AM16" s="168">
        <v>1E-3</v>
      </c>
      <c r="AN16" s="168"/>
      <c r="AO16" s="176">
        <v>3</v>
      </c>
      <c r="AP16" s="176">
        <v>41</v>
      </c>
      <c r="AQ16" s="167"/>
      <c r="AR16" s="180">
        <v>20.8</v>
      </c>
      <c r="AS16" s="166">
        <v>6.9609822548175799</v>
      </c>
      <c r="AT16" s="181" t="s">
        <v>54</v>
      </c>
      <c r="AU16" s="173">
        <v>0.43506139092609902</v>
      </c>
      <c r="AV16" s="174">
        <v>-35.423789355178599</v>
      </c>
      <c r="AW16" s="168"/>
      <c r="AX16" s="168"/>
      <c r="AY16" s="176">
        <v>28</v>
      </c>
      <c r="AZ16" s="176">
        <v>37</v>
      </c>
      <c r="BA16" s="167"/>
      <c r="BB16" s="184">
        <v>112.8</v>
      </c>
      <c r="BC16" s="180">
        <v>37.7499422280491</v>
      </c>
      <c r="BD16" s="181" t="s">
        <v>55</v>
      </c>
      <c r="BE16" s="178">
        <v>1.1796856946265399</v>
      </c>
      <c r="BF16" s="179">
        <v>0.352421289642734</v>
      </c>
      <c r="BG16" s="168">
        <v>0.02</v>
      </c>
      <c r="BH16" s="168">
        <v>1.7999999999999999E-2</v>
      </c>
      <c r="BI16" s="176">
        <v>0</v>
      </c>
      <c r="BJ16" s="176">
        <v>2</v>
      </c>
      <c r="BK16" s="169"/>
      <c r="BL16" s="185">
        <v>0.8</v>
      </c>
      <c r="BM16" s="182">
        <v>0.82</v>
      </c>
      <c r="BN16" s="186">
        <v>7.5000000000000002E-4</v>
      </c>
      <c r="BO16" s="187">
        <v>0.95</v>
      </c>
      <c r="BP16" s="178">
        <v>1</v>
      </c>
      <c r="BQ16" s="186">
        <v>2.5000000000000001E-3</v>
      </c>
    </row>
    <row r="17" spans="1:69" s="156" customFormat="1" ht="22.35" customHeight="1" x14ac:dyDescent="0.2">
      <c r="A17" s="165" t="s">
        <v>4</v>
      </c>
      <c r="B17" s="165" t="s">
        <v>64</v>
      </c>
      <c r="C17" s="165" t="s">
        <v>67</v>
      </c>
      <c r="D17" s="166">
        <v>3.7318809292222199</v>
      </c>
      <c r="E17" s="167"/>
      <c r="F17" s="168">
        <v>4.4999999999999998E-2</v>
      </c>
      <c r="G17" s="168">
        <v>4.2000000000000003E-2</v>
      </c>
      <c r="H17" s="169"/>
      <c r="I17" s="170">
        <v>4</v>
      </c>
      <c r="J17" s="170">
        <v>4</v>
      </c>
      <c r="K17" s="167"/>
      <c r="L17" s="171">
        <v>1272.63824</v>
      </c>
      <c r="M17" s="171">
        <v>483.17277000000001</v>
      </c>
      <c r="N17" s="171">
        <v>1755.8110099999999</v>
      </c>
      <c r="O17" s="166">
        <v>470.48955829518798</v>
      </c>
      <c r="P17" s="172">
        <v>246.29499999999999</v>
      </c>
      <c r="Q17" s="178">
        <v>1.9102684110322501</v>
      </c>
      <c r="R17" s="179">
        <v>674.89812056776304</v>
      </c>
      <c r="S17" s="168">
        <v>0.01</v>
      </c>
      <c r="T17" s="168">
        <v>0.01</v>
      </c>
      <c r="U17" s="175">
        <v>0</v>
      </c>
      <c r="V17" s="176">
        <v>0</v>
      </c>
      <c r="W17" s="167"/>
      <c r="X17" s="175">
        <v>2770.3138100000001</v>
      </c>
      <c r="Y17" s="166">
        <v>742.33713844063402</v>
      </c>
      <c r="Z17" s="177">
        <v>573</v>
      </c>
      <c r="AA17" s="178">
        <v>1.2955272922175101</v>
      </c>
      <c r="AB17" s="179">
        <v>255.593309605466</v>
      </c>
      <c r="AC17" s="168">
        <v>0.02</v>
      </c>
      <c r="AD17" s="168">
        <v>0.02</v>
      </c>
      <c r="AE17" s="176">
        <v>0</v>
      </c>
      <c r="AF17" s="176">
        <v>0</v>
      </c>
      <c r="AG17" s="167"/>
      <c r="AH17" s="180">
        <v>149.6</v>
      </c>
      <c r="AI17" s="166">
        <v>40.087023899548399</v>
      </c>
      <c r="AJ17" s="181" t="s">
        <v>53</v>
      </c>
      <c r="AK17" s="173">
        <v>0.63630196665949801</v>
      </c>
      <c r="AL17" s="174">
        <v>-126.88759428421599</v>
      </c>
      <c r="AM17" s="168"/>
      <c r="AN17" s="168"/>
      <c r="AO17" s="176">
        <v>86</v>
      </c>
      <c r="AP17" s="176">
        <v>133</v>
      </c>
      <c r="AQ17" s="167"/>
      <c r="AR17" s="180">
        <v>18.100000000000001</v>
      </c>
      <c r="AS17" s="166">
        <v>4.8501011536218304</v>
      </c>
      <c r="AT17" s="181" t="s">
        <v>54</v>
      </c>
      <c r="AU17" s="173">
        <v>0.30313132210136401</v>
      </c>
      <c r="AV17" s="174">
        <v>-52.119071564245303</v>
      </c>
      <c r="AW17" s="168"/>
      <c r="AX17" s="168"/>
      <c r="AY17" s="176">
        <v>42</v>
      </c>
      <c r="AZ17" s="176">
        <v>54</v>
      </c>
      <c r="BA17" s="167"/>
      <c r="BB17" s="184">
        <v>134.19999999999999</v>
      </c>
      <c r="BC17" s="180">
        <v>35.960418498124298</v>
      </c>
      <c r="BD17" s="181" t="s">
        <v>55</v>
      </c>
      <c r="BE17" s="182">
        <v>1.1237630780663801</v>
      </c>
      <c r="BF17" s="183">
        <v>-6.2381431284905799</v>
      </c>
      <c r="BG17" s="168">
        <v>1.4999999999999999E-2</v>
      </c>
      <c r="BH17" s="168">
        <v>1.2E-2</v>
      </c>
      <c r="BI17" s="176">
        <v>0</v>
      </c>
      <c r="BJ17" s="176">
        <v>10</v>
      </c>
      <c r="BK17" s="169"/>
      <c r="BL17" s="185">
        <v>0.8</v>
      </c>
      <c r="BM17" s="188">
        <v>0.78</v>
      </c>
      <c r="BN17" s="186"/>
      <c r="BO17" s="187">
        <v>0.95</v>
      </c>
      <c r="BP17" s="178">
        <v>1</v>
      </c>
      <c r="BQ17" s="186">
        <v>2.5000000000000001E-3</v>
      </c>
    </row>
    <row r="18" spans="1:69" s="156" customFormat="1" ht="22.35" customHeight="1" x14ac:dyDescent="0.2">
      <c r="A18" s="165" t="s">
        <v>4</v>
      </c>
      <c r="B18" s="165" t="s">
        <v>64</v>
      </c>
      <c r="C18" s="165" t="s">
        <v>68</v>
      </c>
      <c r="D18" s="166">
        <v>2.4135234434444399</v>
      </c>
      <c r="E18" s="167"/>
      <c r="F18" s="168">
        <v>0.06</v>
      </c>
      <c r="G18" s="168">
        <v>5.8000000000000003E-2</v>
      </c>
      <c r="H18" s="169"/>
      <c r="I18" s="170">
        <v>5</v>
      </c>
      <c r="J18" s="170">
        <v>5</v>
      </c>
      <c r="K18" s="167"/>
      <c r="L18" s="171">
        <v>394.63168000000002</v>
      </c>
      <c r="M18" s="171">
        <v>-838.97387000000003</v>
      </c>
      <c r="N18" s="171">
        <v>-444.34219000000002</v>
      </c>
      <c r="O18" s="166">
        <v>-184.10518911963001</v>
      </c>
      <c r="P18" s="172">
        <v>233.14400000000001</v>
      </c>
      <c r="Q18" s="173">
        <v>-0.78966299419942099</v>
      </c>
      <c r="R18" s="174">
        <v>-1106.0756374053301</v>
      </c>
      <c r="S18" s="168"/>
      <c r="T18" s="168"/>
      <c r="U18" s="175">
        <v>1008</v>
      </c>
      <c r="V18" s="176">
        <v>1120</v>
      </c>
      <c r="W18" s="167"/>
      <c r="X18" s="175">
        <v>1738.16885</v>
      </c>
      <c r="Y18" s="166">
        <v>720.17897929318804</v>
      </c>
      <c r="Z18" s="177">
        <v>573</v>
      </c>
      <c r="AA18" s="178">
        <v>1.2568568574052099</v>
      </c>
      <c r="AB18" s="179">
        <v>111.820904681851</v>
      </c>
      <c r="AC18" s="168">
        <v>0.02</v>
      </c>
      <c r="AD18" s="168">
        <v>0.02</v>
      </c>
      <c r="AE18" s="176">
        <v>0</v>
      </c>
      <c r="AF18" s="176">
        <v>0</v>
      </c>
      <c r="AG18" s="167"/>
      <c r="AH18" s="180">
        <v>189.1</v>
      </c>
      <c r="AI18" s="166">
        <v>78.3501815628222</v>
      </c>
      <c r="AJ18" s="181" t="s">
        <v>53</v>
      </c>
      <c r="AK18" s="178">
        <v>1.24365367560035</v>
      </c>
      <c r="AL18" s="179">
        <v>10.286875122088301</v>
      </c>
      <c r="AM18" s="168">
        <v>0.02</v>
      </c>
      <c r="AN18" s="168">
        <v>0.02</v>
      </c>
      <c r="AO18" s="176">
        <v>0</v>
      </c>
      <c r="AP18" s="176">
        <v>0</v>
      </c>
      <c r="AQ18" s="167"/>
      <c r="AR18" s="180">
        <v>17.3</v>
      </c>
      <c r="AS18" s="166">
        <v>7.1679436331931399</v>
      </c>
      <c r="AT18" s="181" t="s">
        <v>54</v>
      </c>
      <c r="AU18" s="173">
        <v>0.44799647707457102</v>
      </c>
      <c r="AV18" s="174">
        <v>-28.112857111850602</v>
      </c>
      <c r="AW18" s="168"/>
      <c r="AX18" s="168"/>
      <c r="AY18" s="176">
        <v>22</v>
      </c>
      <c r="AZ18" s="176">
        <v>30</v>
      </c>
      <c r="BA18" s="167"/>
      <c r="BB18" s="184">
        <v>91</v>
      </c>
      <c r="BC18" s="180">
        <v>37.704212174599803</v>
      </c>
      <c r="BD18" s="181" t="s">
        <v>55</v>
      </c>
      <c r="BE18" s="178">
        <v>1.1782566304562401</v>
      </c>
      <c r="BF18" s="179">
        <v>0.17428577629884501</v>
      </c>
      <c r="BG18" s="168">
        <v>0.02</v>
      </c>
      <c r="BH18" s="168">
        <v>1.7999999999999999E-2</v>
      </c>
      <c r="BI18" s="176">
        <v>0</v>
      </c>
      <c r="BJ18" s="176">
        <v>2</v>
      </c>
      <c r="BK18" s="169"/>
      <c r="BL18" s="185">
        <v>0.8</v>
      </c>
      <c r="BM18" s="182">
        <v>0.88</v>
      </c>
      <c r="BN18" s="186">
        <v>3.0000000000000001E-3</v>
      </c>
      <c r="BO18" s="187">
        <v>0.95</v>
      </c>
      <c r="BP18" s="178">
        <v>1</v>
      </c>
      <c r="BQ18" s="186">
        <v>2.5000000000000001E-3</v>
      </c>
    </row>
    <row r="19" spans="1:69" s="156" customFormat="1" ht="22.35" customHeight="1" x14ac:dyDescent="0.2">
      <c r="A19" s="165" t="s">
        <v>4</v>
      </c>
      <c r="B19" s="165" t="s">
        <v>64</v>
      </c>
      <c r="C19" s="165" t="s">
        <v>69</v>
      </c>
      <c r="D19" s="166">
        <v>5.75203804544444</v>
      </c>
      <c r="E19" s="167"/>
      <c r="F19" s="168">
        <v>0.01</v>
      </c>
      <c r="G19" s="168">
        <v>0.01</v>
      </c>
      <c r="H19" s="169"/>
      <c r="I19" s="170">
        <v>3</v>
      </c>
      <c r="J19" s="170">
        <v>3</v>
      </c>
      <c r="K19" s="167"/>
      <c r="L19" s="171">
        <v>2357.0675099999999</v>
      </c>
      <c r="M19" s="171">
        <v>1845.71921</v>
      </c>
      <c r="N19" s="171">
        <v>4202.7867200000001</v>
      </c>
      <c r="O19" s="166">
        <v>730.66045231195301</v>
      </c>
      <c r="P19" s="172">
        <v>212.5</v>
      </c>
      <c r="Q19" s="178">
        <v>3.4384021285268398</v>
      </c>
      <c r="R19" s="179">
        <v>2765.3524124434298</v>
      </c>
      <c r="S19" s="168">
        <v>0.01</v>
      </c>
      <c r="T19" s="168">
        <v>0.01</v>
      </c>
      <c r="U19" s="175">
        <v>0</v>
      </c>
      <c r="V19" s="176">
        <v>0</v>
      </c>
      <c r="W19" s="167"/>
      <c r="X19" s="175">
        <v>2753.1622750000001</v>
      </c>
      <c r="Y19" s="166">
        <v>478.64117956947001</v>
      </c>
      <c r="Z19" s="177">
        <v>573</v>
      </c>
      <c r="AA19" s="188">
        <v>0.83532492071460795</v>
      </c>
      <c r="AB19" s="171">
        <v>-1122.8370578466499</v>
      </c>
      <c r="AC19" s="168"/>
      <c r="AD19" s="168"/>
      <c r="AE19" s="176">
        <v>543</v>
      </c>
      <c r="AF19" s="176">
        <v>1202</v>
      </c>
      <c r="AG19" s="167"/>
      <c r="AH19" s="180">
        <v>314.89999999999998</v>
      </c>
      <c r="AI19" s="166">
        <v>54.745813138248899</v>
      </c>
      <c r="AJ19" s="181" t="s">
        <v>53</v>
      </c>
      <c r="AK19" s="188">
        <v>0.86898116092458599</v>
      </c>
      <c r="AL19" s="171">
        <v>-111.25699471088799</v>
      </c>
      <c r="AM19" s="168"/>
      <c r="AN19" s="168"/>
      <c r="AO19" s="176">
        <v>48</v>
      </c>
      <c r="AP19" s="176">
        <v>120</v>
      </c>
      <c r="AQ19" s="167"/>
      <c r="AR19" s="180">
        <v>28.8</v>
      </c>
      <c r="AS19" s="166">
        <v>5.0069209856512202</v>
      </c>
      <c r="AT19" s="181" t="s">
        <v>54</v>
      </c>
      <c r="AU19" s="173">
        <v>0.31293256160320099</v>
      </c>
      <c r="AV19" s="174">
        <v>-79.430347863082602</v>
      </c>
      <c r="AW19" s="168"/>
      <c r="AX19" s="168"/>
      <c r="AY19" s="176">
        <v>64</v>
      </c>
      <c r="AZ19" s="176">
        <v>82</v>
      </c>
      <c r="BA19" s="167"/>
      <c r="BB19" s="184">
        <v>164.4</v>
      </c>
      <c r="BC19" s="180">
        <v>28.581173959758999</v>
      </c>
      <c r="BD19" s="181" t="s">
        <v>55</v>
      </c>
      <c r="BE19" s="188">
        <v>0.89316168624247005</v>
      </c>
      <c r="BF19" s="171">
        <v>-52.0606957261651</v>
      </c>
      <c r="BG19" s="168"/>
      <c r="BH19" s="168"/>
      <c r="BI19" s="176">
        <v>20</v>
      </c>
      <c r="BJ19" s="176">
        <v>57</v>
      </c>
      <c r="BK19" s="169"/>
      <c r="BL19" s="185">
        <v>0.8</v>
      </c>
      <c r="BM19" s="182">
        <v>0.81</v>
      </c>
      <c r="BN19" s="186">
        <v>3.7500000000000001E-4</v>
      </c>
      <c r="BO19" s="187">
        <v>0.95</v>
      </c>
      <c r="BP19" s="178">
        <v>1</v>
      </c>
      <c r="BQ19" s="186">
        <v>2.5000000000000001E-3</v>
      </c>
    </row>
    <row r="20" spans="1:69" s="156" customFormat="1" ht="22.35" customHeight="1" x14ac:dyDescent="0.2">
      <c r="A20" s="165" t="s">
        <v>4</v>
      </c>
      <c r="B20" s="165" t="s">
        <v>64</v>
      </c>
      <c r="C20" s="165" t="s">
        <v>70</v>
      </c>
      <c r="D20" s="166">
        <v>3.7144129870000002</v>
      </c>
      <c r="E20" s="167"/>
      <c r="F20" s="168">
        <v>3.9E-2</v>
      </c>
      <c r="G20" s="168">
        <v>3.6999999999999998E-2</v>
      </c>
      <c r="H20" s="169"/>
      <c r="I20" s="170">
        <v>5</v>
      </c>
      <c r="J20" s="170">
        <v>5</v>
      </c>
      <c r="K20" s="167"/>
      <c r="L20" s="171">
        <v>1757.77928</v>
      </c>
      <c r="M20" s="171">
        <v>1109.2037</v>
      </c>
      <c r="N20" s="171">
        <v>2866.9829800000002</v>
      </c>
      <c r="O20" s="166">
        <v>771.853584949788</v>
      </c>
      <c r="P20" s="172">
        <v>231.90199999999999</v>
      </c>
      <c r="Q20" s="178">
        <v>3.3283610531594698</v>
      </c>
      <c r="R20" s="179">
        <v>1854.00033459874</v>
      </c>
      <c r="S20" s="168">
        <v>0.01</v>
      </c>
      <c r="T20" s="168">
        <v>0.01</v>
      </c>
      <c r="U20" s="175">
        <v>0</v>
      </c>
      <c r="V20" s="176">
        <v>0</v>
      </c>
      <c r="W20" s="167"/>
      <c r="X20" s="175">
        <v>2270.525885</v>
      </c>
      <c r="Y20" s="166">
        <v>611.27448480999999</v>
      </c>
      <c r="Z20" s="177">
        <v>573</v>
      </c>
      <c r="AA20" s="182">
        <v>1.0667966576090799</v>
      </c>
      <c r="AB20" s="183">
        <v>-232.423877463976</v>
      </c>
      <c r="AC20" s="168">
        <v>8.9999999999999993E-3</v>
      </c>
      <c r="AD20" s="168">
        <v>7.0000000000000001E-3</v>
      </c>
      <c r="AE20" s="176">
        <v>0</v>
      </c>
      <c r="AF20" s="176">
        <v>284</v>
      </c>
      <c r="AG20" s="167"/>
      <c r="AH20" s="180">
        <v>135.69999999999999</v>
      </c>
      <c r="AI20" s="166">
        <v>36.533363542216101</v>
      </c>
      <c r="AJ20" s="181" t="s">
        <v>53</v>
      </c>
      <c r="AK20" s="173">
        <v>0.57989465940025597</v>
      </c>
      <c r="AL20" s="174">
        <v>-139.49342938085601</v>
      </c>
      <c r="AM20" s="168"/>
      <c r="AN20" s="168"/>
      <c r="AO20" s="176">
        <v>99</v>
      </c>
      <c r="AP20" s="176">
        <v>146</v>
      </c>
      <c r="AQ20" s="167"/>
      <c r="AR20" s="180">
        <v>53</v>
      </c>
      <c r="AS20" s="166">
        <v>14.268741840364401</v>
      </c>
      <c r="AT20" s="181" t="s">
        <v>54</v>
      </c>
      <c r="AU20" s="188">
        <v>0.89179636502277804</v>
      </c>
      <c r="AV20" s="171">
        <v>-16.890394763391999</v>
      </c>
      <c r="AW20" s="168"/>
      <c r="AX20" s="168"/>
      <c r="AY20" s="176">
        <v>7</v>
      </c>
      <c r="AZ20" s="176">
        <v>19</v>
      </c>
      <c r="BA20" s="167"/>
      <c r="BB20" s="184">
        <v>156.19999999999999</v>
      </c>
      <c r="BC20" s="180">
        <v>42.052405197451399</v>
      </c>
      <c r="BD20" s="181" t="s">
        <v>55</v>
      </c>
      <c r="BE20" s="178">
        <v>1.31413766242036</v>
      </c>
      <c r="BF20" s="179">
        <v>16.419210473216001</v>
      </c>
      <c r="BG20" s="168">
        <v>0.02</v>
      </c>
      <c r="BH20" s="168">
        <v>0.02</v>
      </c>
      <c r="BI20" s="176">
        <v>0</v>
      </c>
      <c r="BJ20" s="176">
        <v>0</v>
      </c>
      <c r="BK20" s="169"/>
      <c r="BL20" s="185">
        <v>0.8</v>
      </c>
      <c r="BM20" s="182">
        <v>0.81</v>
      </c>
      <c r="BN20" s="186">
        <v>3.7500000000000001E-4</v>
      </c>
      <c r="BO20" s="187">
        <v>0.95</v>
      </c>
      <c r="BP20" s="178">
        <v>1</v>
      </c>
      <c r="BQ20" s="186">
        <v>2.5000000000000001E-3</v>
      </c>
    </row>
    <row r="21" spans="1:69" s="156" customFormat="1" ht="22.35" customHeight="1" x14ac:dyDescent="0.2">
      <c r="A21" s="165" t="s">
        <v>4</v>
      </c>
      <c r="B21" s="165" t="s">
        <v>64</v>
      </c>
      <c r="C21" s="165" t="s">
        <v>71</v>
      </c>
      <c r="D21" s="166">
        <v>6.6311696409999996</v>
      </c>
      <c r="E21" s="167"/>
      <c r="F21" s="168">
        <v>3.7999999999999999E-2</v>
      </c>
      <c r="G21" s="168">
        <v>3.5999999999999997E-2</v>
      </c>
      <c r="H21" s="169"/>
      <c r="I21" s="170">
        <v>5</v>
      </c>
      <c r="J21" s="170">
        <v>5</v>
      </c>
      <c r="K21" s="167"/>
      <c r="L21" s="171">
        <v>3095.9188100000001</v>
      </c>
      <c r="M21" s="171">
        <v>-1031.17596</v>
      </c>
      <c r="N21" s="171">
        <v>2064.7428500000001</v>
      </c>
      <c r="O21" s="166">
        <v>311.36933026624098</v>
      </c>
      <c r="P21" s="172">
        <v>218.77099999999999</v>
      </c>
      <c r="Q21" s="178">
        <v>1.4232660191078399</v>
      </c>
      <c r="R21" s="179">
        <v>358.71069648729599</v>
      </c>
      <c r="S21" s="168">
        <v>0.01</v>
      </c>
      <c r="T21" s="168">
        <v>0.01</v>
      </c>
      <c r="U21" s="175">
        <v>0</v>
      </c>
      <c r="V21" s="176">
        <v>0</v>
      </c>
      <c r="W21" s="167"/>
      <c r="X21" s="175">
        <v>4027.9739800000002</v>
      </c>
      <c r="Y21" s="166">
        <v>607.43039283678604</v>
      </c>
      <c r="Z21" s="177">
        <v>573</v>
      </c>
      <c r="AA21" s="182">
        <v>1.06008794561394</v>
      </c>
      <c r="AB21" s="183">
        <v>-440.42642024856701</v>
      </c>
      <c r="AC21" s="168">
        <v>8.0000000000000002E-3</v>
      </c>
      <c r="AD21" s="168">
        <v>6.0000000000000001E-3</v>
      </c>
      <c r="AE21" s="176">
        <v>0</v>
      </c>
      <c r="AF21" s="176">
        <v>532</v>
      </c>
      <c r="AG21" s="167"/>
      <c r="AH21" s="180">
        <v>235.4</v>
      </c>
      <c r="AI21" s="166">
        <v>35.499016424574698</v>
      </c>
      <c r="AJ21" s="181" t="s">
        <v>53</v>
      </c>
      <c r="AK21" s="173">
        <v>0.56347645118372502</v>
      </c>
      <c r="AL21" s="174">
        <v>-255.890096362408</v>
      </c>
      <c r="AM21" s="168"/>
      <c r="AN21" s="168"/>
      <c r="AO21" s="176">
        <v>183</v>
      </c>
      <c r="AP21" s="176">
        <v>266</v>
      </c>
      <c r="AQ21" s="167"/>
      <c r="AR21" s="180">
        <v>47</v>
      </c>
      <c r="AS21" s="166">
        <v>7.0877390482370899</v>
      </c>
      <c r="AT21" s="181" t="s">
        <v>54</v>
      </c>
      <c r="AU21" s="173">
        <v>0.44298369051481801</v>
      </c>
      <c r="AV21" s="174">
        <v>-77.772087965056002</v>
      </c>
      <c r="AW21" s="168"/>
      <c r="AX21" s="168"/>
      <c r="AY21" s="176">
        <v>60</v>
      </c>
      <c r="AZ21" s="176">
        <v>81</v>
      </c>
      <c r="BA21" s="167"/>
      <c r="BB21" s="184">
        <v>261.8</v>
      </c>
      <c r="BC21" s="180">
        <v>39.4802145282653</v>
      </c>
      <c r="BD21" s="181" t="s">
        <v>55</v>
      </c>
      <c r="BE21" s="178">
        <v>1.23375670400829</v>
      </c>
      <c r="BF21" s="179">
        <v>12.255824069888</v>
      </c>
      <c r="BG21" s="168">
        <v>0.02</v>
      </c>
      <c r="BH21" s="168">
        <v>0.02</v>
      </c>
      <c r="BI21" s="176">
        <v>0</v>
      </c>
      <c r="BJ21" s="176">
        <v>0</v>
      </c>
      <c r="BK21" s="169"/>
      <c r="BL21" s="185">
        <v>0.8</v>
      </c>
      <c r="BM21" s="182">
        <v>0.81</v>
      </c>
      <c r="BN21" s="186">
        <v>3.7500000000000001E-4</v>
      </c>
      <c r="BO21" s="187">
        <v>0.95</v>
      </c>
      <c r="BP21" s="178">
        <v>1</v>
      </c>
      <c r="BQ21" s="186">
        <v>2.5000000000000001E-3</v>
      </c>
    </row>
    <row r="22" spans="1:69" s="156" customFormat="1" ht="22.35" customHeight="1" x14ac:dyDescent="0.2">
      <c r="A22" s="165" t="s">
        <v>4</v>
      </c>
      <c r="B22" s="165" t="s">
        <v>64</v>
      </c>
      <c r="C22" s="165" t="s">
        <v>72</v>
      </c>
      <c r="D22" s="166">
        <v>4.3170066618888896</v>
      </c>
      <c r="E22" s="167"/>
      <c r="F22" s="168">
        <v>3.3000000000000002E-2</v>
      </c>
      <c r="G22" s="168">
        <v>3.1E-2</v>
      </c>
      <c r="H22" s="169"/>
      <c r="I22" s="170">
        <v>5</v>
      </c>
      <c r="J22" s="170">
        <v>5</v>
      </c>
      <c r="K22" s="167"/>
      <c r="L22" s="171">
        <v>2469.7280599999999</v>
      </c>
      <c r="M22" s="171">
        <v>-375.28021000000001</v>
      </c>
      <c r="N22" s="171">
        <v>2094.44785</v>
      </c>
      <c r="O22" s="166">
        <v>485.16206113139998</v>
      </c>
      <c r="P22" s="172">
        <v>242.99700000000001</v>
      </c>
      <c r="Q22" s="178">
        <v>1.9965763409894</v>
      </c>
      <c r="R22" s="179">
        <v>860.80072064483898</v>
      </c>
      <c r="S22" s="168">
        <v>0.01</v>
      </c>
      <c r="T22" s="168">
        <v>0.01</v>
      </c>
      <c r="U22" s="175">
        <v>0</v>
      </c>
      <c r="V22" s="176">
        <v>0</v>
      </c>
      <c r="W22" s="167"/>
      <c r="X22" s="175">
        <v>2492.23918</v>
      </c>
      <c r="Y22" s="166">
        <v>577.30723512702002</v>
      </c>
      <c r="Z22" s="177">
        <v>573</v>
      </c>
      <c r="AA22" s="182">
        <v>1.0075169897504701</v>
      </c>
      <c r="AB22" s="183">
        <v>-416.76712510050402</v>
      </c>
      <c r="AC22" s="168">
        <v>3.0000000000000001E-3</v>
      </c>
      <c r="AD22" s="168">
        <v>1E-3</v>
      </c>
      <c r="AE22" s="176">
        <v>0</v>
      </c>
      <c r="AF22" s="176">
        <v>477</v>
      </c>
      <c r="AG22" s="167"/>
      <c r="AH22" s="180">
        <v>142</v>
      </c>
      <c r="AI22" s="166">
        <v>32.893162119390503</v>
      </c>
      <c r="AJ22" s="181" t="s">
        <v>53</v>
      </c>
      <c r="AK22" s="173">
        <v>0.52211368443477002</v>
      </c>
      <c r="AL22" s="174">
        <v>-177.83838956602401</v>
      </c>
      <c r="AM22" s="168"/>
      <c r="AN22" s="168"/>
      <c r="AO22" s="176">
        <v>130</v>
      </c>
      <c r="AP22" s="176">
        <v>185</v>
      </c>
      <c r="AQ22" s="167"/>
      <c r="AR22" s="180">
        <v>37.1</v>
      </c>
      <c r="AS22" s="166">
        <v>8.5939177086576599</v>
      </c>
      <c r="AT22" s="181" t="s">
        <v>54</v>
      </c>
      <c r="AU22" s="173">
        <v>0.53711985679110397</v>
      </c>
      <c r="AV22" s="174">
        <v>-44.128797350101301</v>
      </c>
      <c r="AW22" s="168"/>
      <c r="AX22" s="168"/>
      <c r="AY22" s="176">
        <v>32</v>
      </c>
      <c r="AZ22" s="176">
        <v>46</v>
      </c>
      <c r="BA22" s="167"/>
      <c r="BB22" s="184">
        <v>166.4</v>
      </c>
      <c r="BC22" s="180">
        <v>38.545226596243502</v>
      </c>
      <c r="BD22" s="181" t="s">
        <v>55</v>
      </c>
      <c r="BE22" s="178">
        <v>1.2045383311326101</v>
      </c>
      <c r="BF22" s="179">
        <v>3.9424052997973198</v>
      </c>
      <c r="BG22" s="168">
        <v>0.02</v>
      </c>
      <c r="BH22" s="168">
        <v>0.02</v>
      </c>
      <c r="BI22" s="176">
        <v>0</v>
      </c>
      <c r="BJ22" s="176">
        <v>0</v>
      </c>
      <c r="BK22" s="169"/>
      <c r="BL22" s="185">
        <v>0.8</v>
      </c>
      <c r="BM22" s="182">
        <v>0.81</v>
      </c>
      <c r="BN22" s="186">
        <v>3.7500000000000001E-4</v>
      </c>
      <c r="BO22" s="187">
        <v>0.95</v>
      </c>
      <c r="BP22" s="178">
        <v>1</v>
      </c>
      <c r="BQ22" s="186">
        <v>2.5000000000000001E-3</v>
      </c>
    </row>
    <row r="23" spans="1:69" s="156" customFormat="1" ht="22.35" customHeight="1" x14ac:dyDescent="0.2">
      <c r="A23" s="165" t="s">
        <v>4</v>
      </c>
      <c r="B23" s="165" t="s">
        <v>64</v>
      </c>
      <c r="C23" s="165" t="s">
        <v>73</v>
      </c>
      <c r="D23" s="166">
        <v>4.4760896213333297</v>
      </c>
      <c r="E23" s="167"/>
      <c r="F23" s="168">
        <v>0.01</v>
      </c>
      <c r="G23" s="168">
        <v>0.01</v>
      </c>
      <c r="H23" s="169"/>
      <c r="I23" s="170">
        <v>3</v>
      </c>
      <c r="J23" s="170">
        <v>3</v>
      </c>
      <c r="K23" s="167"/>
      <c r="L23" s="171">
        <v>4373.03856</v>
      </c>
      <c r="M23" s="171">
        <v>2683.0613800000001</v>
      </c>
      <c r="N23" s="171">
        <v>7056.0999400000001</v>
      </c>
      <c r="O23" s="166">
        <v>1576.3982710199</v>
      </c>
      <c r="P23" s="172">
        <v>251.20400000000001</v>
      </c>
      <c r="Q23" s="178">
        <v>6.2753708978356197</v>
      </c>
      <c r="R23" s="179">
        <v>5733.7918781287999</v>
      </c>
      <c r="S23" s="168">
        <v>0.01</v>
      </c>
      <c r="T23" s="168">
        <v>0.01</v>
      </c>
      <c r="U23" s="175">
        <v>0</v>
      </c>
      <c r="V23" s="176">
        <v>0</v>
      </c>
      <c r="W23" s="167"/>
      <c r="X23" s="175">
        <v>2365.2550449999999</v>
      </c>
      <c r="Y23" s="166">
        <v>528.41994801154999</v>
      </c>
      <c r="Z23" s="177">
        <v>573</v>
      </c>
      <c r="AA23" s="188">
        <v>0.92219886214930302</v>
      </c>
      <c r="AB23" s="171">
        <v>-650.94899415622103</v>
      </c>
      <c r="AC23" s="168"/>
      <c r="AD23" s="168"/>
      <c r="AE23" s="176">
        <v>200</v>
      </c>
      <c r="AF23" s="176">
        <v>713</v>
      </c>
      <c r="AG23" s="167"/>
      <c r="AH23" s="180">
        <v>91.5</v>
      </c>
      <c r="AI23" s="166">
        <v>20.441949947540198</v>
      </c>
      <c r="AJ23" s="181" t="s">
        <v>53</v>
      </c>
      <c r="AK23" s="173">
        <v>0.32447539599270098</v>
      </c>
      <c r="AL23" s="174">
        <v>-240.12452786534399</v>
      </c>
      <c r="AM23" s="168"/>
      <c r="AN23" s="168"/>
      <c r="AO23" s="176">
        <v>191</v>
      </c>
      <c r="AP23" s="176">
        <v>247</v>
      </c>
      <c r="AQ23" s="167"/>
      <c r="AR23" s="180">
        <v>19.8</v>
      </c>
      <c r="AS23" s="166">
        <v>4.4235039230742599</v>
      </c>
      <c r="AT23" s="181" t="s">
        <v>54</v>
      </c>
      <c r="AU23" s="173">
        <v>0.27646899519214102</v>
      </c>
      <c r="AV23" s="174">
        <v>-64.422102315007905</v>
      </c>
      <c r="AW23" s="168"/>
      <c r="AX23" s="168"/>
      <c r="AY23" s="176">
        <v>52</v>
      </c>
      <c r="AZ23" s="176">
        <v>67</v>
      </c>
      <c r="BA23" s="167"/>
      <c r="BB23" s="184">
        <v>124.6</v>
      </c>
      <c r="BC23" s="180">
        <v>27.836797414901699</v>
      </c>
      <c r="BD23" s="181" t="s">
        <v>55</v>
      </c>
      <c r="BE23" s="188">
        <v>0.869899919215677</v>
      </c>
      <c r="BF23" s="171">
        <v>-43.844204630015902</v>
      </c>
      <c r="BG23" s="168"/>
      <c r="BH23" s="168"/>
      <c r="BI23" s="176">
        <v>19</v>
      </c>
      <c r="BJ23" s="176">
        <v>48</v>
      </c>
      <c r="BK23" s="169"/>
      <c r="BL23" s="185">
        <v>0.8</v>
      </c>
      <c r="BM23" s="182">
        <v>0.81</v>
      </c>
      <c r="BN23" s="186">
        <v>3.7500000000000001E-4</v>
      </c>
      <c r="BO23" s="187">
        <v>0.95</v>
      </c>
      <c r="BP23" s="178">
        <v>1</v>
      </c>
      <c r="BQ23" s="186">
        <v>2.5000000000000001E-3</v>
      </c>
    </row>
    <row r="24" spans="1:69" s="156" customFormat="1" ht="22.35" customHeight="1" x14ac:dyDescent="0.2">
      <c r="A24" s="165" t="s">
        <v>4</v>
      </c>
      <c r="B24" s="165" t="s">
        <v>64</v>
      </c>
      <c r="C24" s="165" t="s">
        <v>74</v>
      </c>
      <c r="D24" s="166">
        <v>5.2411436323333298</v>
      </c>
      <c r="E24" s="167"/>
      <c r="F24" s="168">
        <v>3.5000000000000003E-2</v>
      </c>
      <c r="G24" s="168">
        <v>3.1E-2</v>
      </c>
      <c r="H24" s="169"/>
      <c r="I24" s="170">
        <v>5</v>
      </c>
      <c r="J24" s="170">
        <v>5</v>
      </c>
      <c r="K24" s="167"/>
      <c r="L24" s="171">
        <v>4268.3462499999996</v>
      </c>
      <c r="M24" s="171">
        <v>3835.39777</v>
      </c>
      <c r="N24" s="171">
        <v>8103.7440200000001</v>
      </c>
      <c r="O24" s="166">
        <v>1546.1785801875201</v>
      </c>
      <c r="P24" s="172">
        <v>248.62299999999999</v>
      </c>
      <c r="Q24" s="178">
        <v>6.2189683986900697</v>
      </c>
      <c r="R24" s="179">
        <v>6571.3350485173096</v>
      </c>
      <c r="S24" s="168">
        <v>0.01</v>
      </c>
      <c r="T24" s="168">
        <v>0.01</v>
      </c>
      <c r="U24" s="175">
        <v>0</v>
      </c>
      <c r="V24" s="176">
        <v>0</v>
      </c>
      <c r="W24" s="167"/>
      <c r="X24" s="175">
        <v>3297.3206850000001</v>
      </c>
      <c r="Y24" s="166">
        <v>629.12236647329701</v>
      </c>
      <c r="Z24" s="177">
        <v>573</v>
      </c>
      <c r="AA24" s="182">
        <v>1.09794479314712</v>
      </c>
      <c r="AB24" s="183">
        <v>-234.41346936054899</v>
      </c>
      <c r="AC24" s="168">
        <v>1.2E-2</v>
      </c>
      <c r="AD24" s="168">
        <v>0.01</v>
      </c>
      <c r="AE24" s="176">
        <v>0</v>
      </c>
      <c r="AF24" s="176">
        <v>307</v>
      </c>
      <c r="AG24" s="167"/>
      <c r="AH24" s="180">
        <v>266.3</v>
      </c>
      <c r="AI24" s="166">
        <v>50.809521486333402</v>
      </c>
      <c r="AJ24" s="181" t="s">
        <v>53</v>
      </c>
      <c r="AK24" s="188">
        <v>0.80650034105291102</v>
      </c>
      <c r="AL24" s="171">
        <v>-122.005849432312</v>
      </c>
      <c r="AM24" s="168"/>
      <c r="AN24" s="168"/>
      <c r="AO24" s="176">
        <v>64</v>
      </c>
      <c r="AP24" s="176">
        <v>130</v>
      </c>
      <c r="AQ24" s="167"/>
      <c r="AR24" s="180">
        <v>51.1</v>
      </c>
      <c r="AS24" s="166">
        <v>9.74978050301028</v>
      </c>
      <c r="AT24" s="181" t="s">
        <v>54</v>
      </c>
      <c r="AU24" s="173">
        <v>0.60936128143814206</v>
      </c>
      <c r="AV24" s="174">
        <v>-47.517358585983899</v>
      </c>
      <c r="AW24" s="168"/>
      <c r="AX24" s="168"/>
      <c r="AY24" s="176">
        <v>33</v>
      </c>
      <c r="AZ24" s="176">
        <v>50</v>
      </c>
      <c r="BA24" s="167"/>
      <c r="BB24" s="184">
        <v>185.6</v>
      </c>
      <c r="BC24" s="180">
        <v>35.412118617587197</v>
      </c>
      <c r="BD24" s="181" t="s">
        <v>55</v>
      </c>
      <c r="BE24" s="182">
        <v>1.1066287067995999</v>
      </c>
      <c r="BF24" s="183">
        <v>-11.6347171719678</v>
      </c>
      <c r="BG24" s="168">
        <v>1.2999999999999999E-2</v>
      </c>
      <c r="BH24" s="168">
        <v>1.0999999999999999E-2</v>
      </c>
      <c r="BI24" s="176">
        <v>0</v>
      </c>
      <c r="BJ24" s="176">
        <v>16</v>
      </c>
      <c r="BK24" s="169"/>
      <c r="BL24" s="185">
        <v>0.8</v>
      </c>
      <c r="BM24" s="182">
        <v>0.85</v>
      </c>
      <c r="BN24" s="186">
        <v>1.8749999999999999E-3</v>
      </c>
      <c r="BO24" s="187">
        <v>0.95</v>
      </c>
      <c r="BP24" s="178">
        <v>1</v>
      </c>
      <c r="BQ24" s="186">
        <v>2.5000000000000001E-3</v>
      </c>
    </row>
    <row r="25" spans="1:69" s="156" customFormat="1" ht="22.35" customHeight="1" x14ac:dyDescent="0.2">
      <c r="A25" s="165" t="s">
        <v>4</v>
      </c>
      <c r="B25" s="165" t="s">
        <v>64</v>
      </c>
      <c r="C25" s="165" t="s">
        <v>75</v>
      </c>
      <c r="D25" s="166">
        <v>4.2224398655555602</v>
      </c>
      <c r="E25" s="167"/>
      <c r="F25" s="168">
        <v>0.03</v>
      </c>
      <c r="G25" s="168">
        <v>0.03</v>
      </c>
      <c r="H25" s="169"/>
      <c r="I25" s="170">
        <v>4</v>
      </c>
      <c r="J25" s="170">
        <v>4</v>
      </c>
      <c r="K25" s="167"/>
      <c r="L25" s="171">
        <v>1461.43552</v>
      </c>
      <c r="M25" s="171">
        <v>527.40315999999996</v>
      </c>
      <c r="N25" s="171">
        <v>1988.8386800000001</v>
      </c>
      <c r="O25" s="166">
        <v>471.01646046493198</v>
      </c>
      <c r="P25" s="172">
        <v>212.5</v>
      </c>
      <c r="Q25" s="178">
        <v>2.21654804924674</v>
      </c>
      <c r="R25" s="179">
        <v>933.65095759766598</v>
      </c>
      <c r="S25" s="168">
        <v>0.01</v>
      </c>
      <c r="T25" s="168">
        <v>0.01</v>
      </c>
      <c r="U25" s="175">
        <v>0</v>
      </c>
      <c r="V25" s="176">
        <v>0</v>
      </c>
      <c r="W25" s="167"/>
      <c r="X25" s="175">
        <v>1796.52721</v>
      </c>
      <c r="Y25" s="166">
        <v>425.47135476223701</v>
      </c>
      <c r="Z25" s="177">
        <v>573</v>
      </c>
      <c r="AA25" s="173">
        <v>0.74253290534421801</v>
      </c>
      <c r="AB25" s="174">
        <v>-1048.75544852488</v>
      </c>
      <c r="AC25" s="168"/>
      <c r="AD25" s="168"/>
      <c r="AE25" s="176">
        <v>623</v>
      </c>
      <c r="AF25" s="176">
        <v>1107</v>
      </c>
      <c r="AG25" s="167"/>
      <c r="AH25" s="180">
        <v>139.35</v>
      </c>
      <c r="AI25" s="166">
        <v>33.002246198162297</v>
      </c>
      <c r="AJ25" s="181" t="s">
        <v>53</v>
      </c>
      <c r="AK25" s="173">
        <v>0.52384517774860895</v>
      </c>
      <c r="AL25" s="174">
        <v>-173.48212475928</v>
      </c>
      <c r="AM25" s="168"/>
      <c r="AN25" s="168"/>
      <c r="AO25" s="176">
        <v>127</v>
      </c>
      <c r="AP25" s="176">
        <v>180</v>
      </c>
      <c r="AQ25" s="167"/>
      <c r="AR25" s="180">
        <v>39.4</v>
      </c>
      <c r="AS25" s="166">
        <v>9.3310979562798497</v>
      </c>
      <c r="AT25" s="181" t="s">
        <v>54</v>
      </c>
      <c r="AU25" s="173">
        <v>0.58319362226749105</v>
      </c>
      <c r="AV25" s="174">
        <v>-40.049428510293403</v>
      </c>
      <c r="AW25" s="168"/>
      <c r="AX25" s="168"/>
      <c r="AY25" s="176">
        <v>29</v>
      </c>
      <c r="AZ25" s="176">
        <v>42</v>
      </c>
      <c r="BA25" s="167"/>
      <c r="BB25" s="184">
        <v>163.4</v>
      </c>
      <c r="BC25" s="180">
        <v>38.698005229850899</v>
      </c>
      <c r="BD25" s="181" t="s">
        <v>55</v>
      </c>
      <c r="BE25" s="178">
        <v>1.2093126634328399</v>
      </c>
      <c r="BF25" s="179">
        <v>4.5011429794132001</v>
      </c>
      <c r="BG25" s="168">
        <v>0.02</v>
      </c>
      <c r="BH25" s="168">
        <v>0.02</v>
      </c>
      <c r="BI25" s="176">
        <v>0</v>
      </c>
      <c r="BJ25" s="176">
        <v>0</v>
      </c>
      <c r="BK25" s="169"/>
      <c r="BL25" s="185">
        <v>0.8</v>
      </c>
      <c r="BM25" s="182">
        <v>0.82</v>
      </c>
      <c r="BN25" s="186">
        <v>7.5000000000000002E-4</v>
      </c>
      <c r="BO25" s="187">
        <v>0.95</v>
      </c>
      <c r="BP25" s="178">
        <v>1</v>
      </c>
      <c r="BQ25" s="186">
        <v>2.5000000000000001E-3</v>
      </c>
    </row>
    <row r="26" spans="1:69" s="156" customFormat="1" ht="22.35" customHeight="1" x14ac:dyDescent="0.2">
      <c r="A26" s="165" t="s">
        <v>4</v>
      </c>
      <c r="B26" s="165" t="s">
        <v>64</v>
      </c>
      <c r="C26" s="165" t="s">
        <v>76</v>
      </c>
      <c r="D26" s="166">
        <v>3.2460809161111102</v>
      </c>
      <c r="E26" s="167"/>
      <c r="F26" s="168">
        <v>0.03</v>
      </c>
      <c r="G26" s="168">
        <v>0.03</v>
      </c>
      <c r="H26" s="169"/>
      <c r="I26" s="170">
        <v>3</v>
      </c>
      <c r="J26" s="170">
        <v>3</v>
      </c>
      <c r="K26" s="167"/>
      <c r="L26" s="171">
        <v>2963.51091</v>
      </c>
      <c r="M26" s="171">
        <v>618.92429000000004</v>
      </c>
      <c r="N26" s="171">
        <v>3582.4351999999999</v>
      </c>
      <c r="O26" s="166">
        <v>1103.61857654856</v>
      </c>
      <c r="P26" s="172">
        <v>231.042</v>
      </c>
      <c r="Q26" s="178">
        <v>4.7767011043384304</v>
      </c>
      <c r="R26" s="179">
        <v>2700.45751222431</v>
      </c>
      <c r="S26" s="168">
        <v>0.01</v>
      </c>
      <c r="T26" s="168">
        <v>0.01</v>
      </c>
      <c r="U26" s="175">
        <v>0</v>
      </c>
      <c r="V26" s="176">
        <v>0</v>
      </c>
      <c r="W26" s="167"/>
      <c r="X26" s="175">
        <v>1729.33762</v>
      </c>
      <c r="Y26" s="166">
        <v>532.74630691332004</v>
      </c>
      <c r="Z26" s="177">
        <v>573</v>
      </c>
      <c r="AA26" s="188">
        <v>0.92974922672481597</v>
      </c>
      <c r="AB26" s="171">
        <v>-458.027513159639</v>
      </c>
      <c r="AC26" s="168"/>
      <c r="AD26" s="168"/>
      <c r="AE26" s="176">
        <v>131</v>
      </c>
      <c r="AF26" s="176">
        <v>503</v>
      </c>
      <c r="AG26" s="167"/>
      <c r="AH26" s="180">
        <v>166.4</v>
      </c>
      <c r="AI26" s="166">
        <v>51.261815185849201</v>
      </c>
      <c r="AJ26" s="181" t="s">
        <v>53</v>
      </c>
      <c r="AK26" s="188">
        <v>0.813679606124591</v>
      </c>
      <c r="AL26" s="171">
        <v>-74.095642912839907</v>
      </c>
      <c r="AM26" s="168"/>
      <c r="AN26" s="168"/>
      <c r="AO26" s="176">
        <v>39</v>
      </c>
      <c r="AP26" s="176">
        <v>80</v>
      </c>
      <c r="AQ26" s="167"/>
      <c r="AR26" s="180">
        <v>39.6</v>
      </c>
      <c r="AS26" s="166">
        <v>12.199326210093901</v>
      </c>
      <c r="AT26" s="181" t="s">
        <v>54</v>
      </c>
      <c r="AU26" s="173">
        <v>0.76245788813087101</v>
      </c>
      <c r="AV26" s="174">
        <v>-21.4782585175466</v>
      </c>
      <c r="AW26" s="168"/>
      <c r="AX26" s="168"/>
      <c r="AY26" s="176">
        <v>13</v>
      </c>
      <c r="AZ26" s="176">
        <v>23</v>
      </c>
      <c r="BA26" s="167"/>
      <c r="BB26" s="184">
        <v>148.6</v>
      </c>
      <c r="BC26" s="180">
        <v>45.7782796671707</v>
      </c>
      <c r="BD26" s="181" t="s">
        <v>55</v>
      </c>
      <c r="BE26" s="178">
        <v>1.4305712395990799</v>
      </c>
      <c r="BF26" s="179">
        <v>26.4434829649067</v>
      </c>
      <c r="BG26" s="168">
        <v>0.02</v>
      </c>
      <c r="BH26" s="168">
        <v>0.02</v>
      </c>
      <c r="BI26" s="176">
        <v>0</v>
      </c>
      <c r="BJ26" s="176">
        <v>0</v>
      </c>
      <c r="BK26" s="169"/>
      <c r="BL26" s="185">
        <v>0.8</v>
      </c>
      <c r="BM26" s="188">
        <v>0.79</v>
      </c>
      <c r="BN26" s="186"/>
      <c r="BO26" s="187">
        <v>0.95</v>
      </c>
      <c r="BP26" s="178">
        <v>1</v>
      </c>
      <c r="BQ26" s="186">
        <v>2.5000000000000001E-3</v>
      </c>
    </row>
    <row r="27" spans="1:69" s="156" customFormat="1" ht="22.35" customHeight="1" x14ac:dyDescent="0.2">
      <c r="A27" s="165" t="s">
        <v>4</v>
      </c>
      <c r="B27" s="165" t="s">
        <v>64</v>
      </c>
      <c r="C27" s="165" t="s">
        <v>77</v>
      </c>
      <c r="D27" s="166">
        <v>2.5803141951111099</v>
      </c>
      <c r="E27" s="167"/>
      <c r="F27" s="168">
        <v>0.02</v>
      </c>
      <c r="G27" s="168">
        <v>1.7999999999999999E-2</v>
      </c>
      <c r="H27" s="169"/>
      <c r="I27" s="170">
        <v>4</v>
      </c>
      <c r="J27" s="170">
        <v>4</v>
      </c>
      <c r="K27" s="167"/>
      <c r="L27" s="171">
        <v>388.41681999999997</v>
      </c>
      <c r="M27" s="171">
        <v>574.875</v>
      </c>
      <c r="N27" s="171">
        <v>963.29182000000003</v>
      </c>
      <c r="O27" s="166">
        <v>373.32345875751798</v>
      </c>
      <c r="P27" s="172">
        <v>212.5</v>
      </c>
      <c r="Q27" s="178">
        <v>1.7568162765059601</v>
      </c>
      <c r="R27" s="179">
        <v>318.47130264173398</v>
      </c>
      <c r="S27" s="168">
        <v>0.01</v>
      </c>
      <c r="T27" s="168">
        <v>0.01</v>
      </c>
      <c r="U27" s="175">
        <v>0</v>
      </c>
      <c r="V27" s="176">
        <v>0</v>
      </c>
      <c r="W27" s="167"/>
      <c r="X27" s="175">
        <v>1230.7525350000001</v>
      </c>
      <c r="Y27" s="166">
        <v>476.97777942387398</v>
      </c>
      <c r="Z27" s="177">
        <v>573</v>
      </c>
      <c r="AA27" s="188">
        <v>0.83242195361932703</v>
      </c>
      <c r="AB27" s="171">
        <v>-507.98702474723098</v>
      </c>
      <c r="AC27" s="168"/>
      <c r="AD27" s="168"/>
      <c r="AE27" s="176">
        <v>248</v>
      </c>
      <c r="AF27" s="176">
        <v>544</v>
      </c>
      <c r="AG27" s="167"/>
      <c r="AH27" s="180">
        <v>146.05000000000001</v>
      </c>
      <c r="AI27" s="166">
        <v>56.601634125301103</v>
      </c>
      <c r="AJ27" s="181" t="s">
        <v>53</v>
      </c>
      <c r="AK27" s="188">
        <v>0.89843863690954195</v>
      </c>
      <c r="AL27" s="171">
        <v>-45.120318087391901</v>
      </c>
      <c r="AM27" s="168"/>
      <c r="AN27" s="168"/>
      <c r="AO27" s="176">
        <v>17</v>
      </c>
      <c r="AP27" s="176">
        <v>50</v>
      </c>
      <c r="AQ27" s="167"/>
      <c r="AR27" s="180">
        <v>13.3</v>
      </c>
      <c r="AS27" s="166">
        <v>5.1544110500958897</v>
      </c>
      <c r="AT27" s="181" t="s">
        <v>54</v>
      </c>
      <c r="AU27" s="173">
        <v>0.322150690630993</v>
      </c>
      <c r="AV27" s="174">
        <v>-35.251191895210603</v>
      </c>
      <c r="AW27" s="168"/>
      <c r="AX27" s="168"/>
      <c r="AY27" s="176">
        <v>28</v>
      </c>
      <c r="AZ27" s="176">
        <v>37</v>
      </c>
      <c r="BA27" s="167"/>
      <c r="BB27" s="184">
        <v>89.4</v>
      </c>
      <c r="BC27" s="180">
        <v>34.646943449516698</v>
      </c>
      <c r="BD27" s="181" t="s">
        <v>55</v>
      </c>
      <c r="BE27" s="182">
        <v>1.0827169827973999</v>
      </c>
      <c r="BF27" s="183">
        <v>-7.7023837904212797</v>
      </c>
      <c r="BG27" s="168">
        <v>0.01</v>
      </c>
      <c r="BH27" s="168">
        <v>8.0000000000000002E-3</v>
      </c>
      <c r="BI27" s="176">
        <v>0</v>
      </c>
      <c r="BJ27" s="176">
        <v>10</v>
      </c>
      <c r="BK27" s="169"/>
      <c r="BL27" s="185">
        <v>0.8</v>
      </c>
      <c r="BM27" s="182">
        <v>0.81</v>
      </c>
      <c r="BN27" s="186">
        <v>3.7500000000000001E-4</v>
      </c>
      <c r="BO27" s="187">
        <v>0.95</v>
      </c>
      <c r="BP27" s="178">
        <v>1</v>
      </c>
      <c r="BQ27" s="186">
        <v>2.5000000000000001E-3</v>
      </c>
    </row>
    <row r="28" spans="1:69" s="156" customFormat="1" ht="22.35" customHeight="1" x14ac:dyDescent="0.2">
      <c r="A28" s="165" t="s">
        <v>4</v>
      </c>
      <c r="B28" s="165" t="s">
        <v>64</v>
      </c>
      <c r="C28" s="165" t="s">
        <v>78</v>
      </c>
      <c r="D28" s="166">
        <v>9.6894159421111095</v>
      </c>
      <c r="E28" s="167"/>
      <c r="F28" s="168">
        <v>0.05</v>
      </c>
      <c r="G28" s="168">
        <v>0.05</v>
      </c>
      <c r="H28" s="169"/>
      <c r="I28" s="170">
        <v>4</v>
      </c>
      <c r="J28" s="170">
        <v>4</v>
      </c>
      <c r="K28" s="167"/>
      <c r="L28" s="171">
        <v>9140.7860999999994</v>
      </c>
      <c r="M28" s="171">
        <v>6065.0433700000003</v>
      </c>
      <c r="N28" s="171">
        <v>15205.829470000001</v>
      </c>
      <c r="O28" s="166">
        <v>1569.3236373426801</v>
      </c>
      <c r="P28" s="172">
        <v>268.108</v>
      </c>
      <c r="Q28" s="178">
        <v>5.85332641078476</v>
      </c>
      <c r="R28" s="179">
        <v>12150.8049930168</v>
      </c>
      <c r="S28" s="168">
        <v>0.01</v>
      </c>
      <c r="T28" s="168">
        <v>0.01</v>
      </c>
      <c r="U28" s="175">
        <v>0</v>
      </c>
      <c r="V28" s="176">
        <v>0</v>
      </c>
      <c r="W28" s="167"/>
      <c r="X28" s="175">
        <v>6946.6135999999997</v>
      </c>
      <c r="Y28" s="166">
        <v>716.92800076930996</v>
      </c>
      <c r="Z28" s="177">
        <v>573</v>
      </c>
      <c r="AA28" s="178">
        <v>1.2511832474158999</v>
      </c>
      <c r="AB28" s="179">
        <v>417.42004624031301</v>
      </c>
      <c r="AC28" s="168">
        <v>0.02</v>
      </c>
      <c r="AD28" s="168">
        <v>0.02</v>
      </c>
      <c r="AE28" s="176">
        <v>0</v>
      </c>
      <c r="AF28" s="176">
        <v>0</v>
      </c>
      <c r="AG28" s="167"/>
      <c r="AH28" s="180">
        <v>400.2</v>
      </c>
      <c r="AI28" s="166">
        <v>41.3027990944937</v>
      </c>
      <c r="AJ28" s="181" t="s">
        <v>53</v>
      </c>
      <c r="AK28" s="173">
        <v>0.65559998562688504</v>
      </c>
      <c r="AL28" s="174">
        <v>-317.66944831912798</v>
      </c>
      <c r="AM28" s="168"/>
      <c r="AN28" s="168"/>
      <c r="AO28" s="176">
        <v>211</v>
      </c>
      <c r="AP28" s="176">
        <v>333</v>
      </c>
      <c r="AQ28" s="167"/>
      <c r="AR28" s="180">
        <v>95.1</v>
      </c>
      <c r="AS28" s="166">
        <v>9.8148330681817999</v>
      </c>
      <c r="AT28" s="181" t="s">
        <v>54</v>
      </c>
      <c r="AU28" s="173">
        <v>0.61342706676136305</v>
      </c>
      <c r="AV28" s="174">
        <v>-87.216050366762602</v>
      </c>
      <c r="AW28" s="168"/>
      <c r="AX28" s="168"/>
      <c r="AY28" s="176">
        <v>60</v>
      </c>
      <c r="AZ28" s="176">
        <v>91</v>
      </c>
      <c r="BA28" s="167"/>
      <c r="BB28" s="184">
        <v>440.8</v>
      </c>
      <c r="BC28" s="180">
        <v>45.4929381330656</v>
      </c>
      <c r="BD28" s="181" t="s">
        <v>55</v>
      </c>
      <c r="BE28" s="178">
        <v>1.4216543166583</v>
      </c>
      <c r="BF28" s="179">
        <v>76.167899266474805</v>
      </c>
      <c r="BG28" s="168">
        <v>0.02</v>
      </c>
      <c r="BH28" s="168">
        <v>0.02</v>
      </c>
      <c r="BI28" s="176">
        <v>0</v>
      </c>
      <c r="BJ28" s="176">
        <v>0</v>
      </c>
      <c r="BK28" s="169"/>
      <c r="BL28" s="185">
        <v>0.8</v>
      </c>
      <c r="BM28" s="188">
        <v>0.73</v>
      </c>
      <c r="BN28" s="186"/>
      <c r="BO28" s="187">
        <v>0.95</v>
      </c>
      <c r="BP28" s="178">
        <v>1</v>
      </c>
      <c r="BQ28" s="186">
        <v>2.5000000000000001E-3</v>
      </c>
    </row>
    <row r="29" spans="1:69" s="156" customFormat="1" ht="22.35" customHeight="1" x14ac:dyDescent="0.2">
      <c r="A29" s="165" t="s">
        <v>4</v>
      </c>
      <c r="B29" s="165" t="s">
        <v>64</v>
      </c>
      <c r="C29" s="165" t="s">
        <v>79</v>
      </c>
      <c r="D29" s="166">
        <v>4.4281860372222202</v>
      </c>
      <c r="E29" s="167"/>
      <c r="F29" s="168">
        <v>1.6E-2</v>
      </c>
      <c r="G29" s="168">
        <v>1.2E-2</v>
      </c>
      <c r="H29" s="169"/>
      <c r="I29" s="170">
        <v>4</v>
      </c>
      <c r="J29" s="170">
        <v>3</v>
      </c>
      <c r="K29" s="167"/>
      <c r="L29" s="171">
        <v>4031.9843599999999</v>
      </c>
      <c r="M29" s="171">
        <v>-210.17469</v>
      </c>
      <c r="N29" s="171">
        <v>3821.8096700000001</v>
      </c>
      <c r="O29" s="166">
        <v>863.06438751100904</v>
      </c>
      <c r="P29" s="172">
        <v>241.767</v>
      </c>
      <c r="Q29" s="178">
        <v>3.5698188235408801</v>
      </c>
      <c r="R29" s="179">
        <v>2562.7967076945401</v>
      </c>
      <c r="S29" s="168">
        <v>0.01</v>
      </c>
      <c r="T29" s="168">
        <v>0.01</v>
      </c>
      <c r="U29" s="175">
        <v>0</v>
      </c>
      <c r="V29" s="176">
        <v>0</v>
      </c>
      <c r="W29" s="167"/>
      <c r="X29" s="175">
        <v>2510.6352299999999</v>
      </c>
      <c r="Y29" s="166">
        <v>566.96697223111903</v>
      </c>
      <c r="Z29" s="177">
        <v>573</v>
      </c>
      <c r="AA29" s="182">
        <v>0.98947115572621103</v>
      </c>
      <c r="AB29" s="183">
        <v>-473.28907481011902</v>
      </c>
      <c r="AC29" s="168">
        <v>1E-3</v>
      </c>
      <c r="AD29" s="168"/>
      <c r="AE29" s="176">
        <v>27</v>
      </c>
      <c r="AF29" s="176">
        <v>535</v>
      </c>
      <c r="AG29" s="167"/>
      <c r="AH29" s="180">
        <v>179.4</v>
      </c>
      <c r="AI29" s="166">
        <v>40.513203034382101</v>
      </c>
      <c r="AJ29" s="181" t="s">
        <v>53</v>
      </c>
      <c r="AK29" s="173">
        <v>0.64306671483146205</v>
      </c>
      <c r="AL29" s="174">
        <v>-148.67544712572001</v>
      </c>
      <c r="AM29" s="168"/>
      <c r="AN29" s="168"/>
      <c r="AO29" s="176">
        <v>100</v>
      </c>
      <c r="AP29" s="176">
        <v>156</v>
      </c>
      <c r="AQ29" s="167"/>
      <c r="AR29" s="180">
        <v>20.5</v>
      </c>
      <c r="AS29" s="166">
        <v>4.6294351293469003</v>
      </c>
      <c r="AT29" s="181" t="s">
        <v>54</v>
      </c>
      <c r="AU29" s="173">
        <v>0.28933969558418099</v>
      </c>
      <c r="AV29" s="174">
        <v>-62.820748476373304</v>
      </c>
      <c r="AW29" s="168"/>
      <c r="AX29" s="168"/>
      <c r="AY29" s="176">
        <v>51</v>
      </c>
      <c r="AZ29" s="176">
        <v>65</v>
      </c>
      <c r="BA29" s="167"/>
      <c r="BB29" s="184">
        <v>145.19999999999999</v>
      </c>
      <c r="BC29" s="180">
        <v>32.789950282008299</v>
      </c>
      <c r="BD29" s="181" t="s">
        <v>55</v>
      </c>
      <c r="BE29" s="182">
        <v>1.02468594631276</v>
      </c>
      <c r="BF29" s="183">
        <v>-21.441496952746601</v>
      </c>
      <c r="BG29" s="168">
        <v>5.0000000000000001E-3</v>
      </c>
      <c r="BH29" s="168">
        <v>2E-3</v>
      </c>
      <c r="BI29" s="176">
        <v>0</v>
      </c>
      <c r="BJ29" s="176">
        <v>25</v>
      </c>
      <c r="BK29" s="169"/>
      <c r="BL29" s="185">
        <v>0.8</v>
      </c>
      <c r="BM29" s="188">
        <v>0.79</v>
      </c>
      <c r="BN29" s="186"/>
      <c r="BO29" s="187">
        <v>0.95</v>
      </c>
      <c r="BP29" s="178">
        <v>1</v>
      </c>
      <c r="BQ29" s="186">
        <v>2.5000000000000001E-3</v>
      </c>
    </row>
    <row r="30" spans="1:69" s="156" customFormat="1" ht="22.35" customHeight="1" x14ac:dyDescent="0.2">
      <c r="A30" s="165" t="s">
        <v>80</v>
      </c>
      <c r="B30" s="165" t="s">
        <v>81</v>
      </c>
      <c r="C30" s="165" t="s">
        <v>82</v>
      </c>
      <c r="D30" s="166">
        <v>6.2436248350000003</v>
      </c>
      <c r="E30" s="167"/>
      <c r="F30" s="168">
        <v>0.03</v>
      </c>
      <c r="G30" s="168">
        <v>0.03</v>
      </c>
      <c r="H30" s="169"/>
      <c r="I30" s="170">
        <v>3</v>
      </c>
      <c r="J30" s="170">
        <v>3</v>
      </c>
      <c r="K30" s="167"/>
      <c r="L30" s="171">
        <v>3124.12266</v>
      </c>
      <c r="M30" s="171">
        <v>1967.5685900000001</v>
      </c>
      <c r="N30" s="171">
        <v>5091.6912499999999</v>
      </c>
      <c r="O30" s="166">
        <v>815.50243401195598</v>
      </c>
      <c r="P30" s="172">
        <v>244.696</v>
      </c>
      <c r="Q30" s="178">
        <v>3.3327166525482901</v>
      </c>
      <c r="R30" s="179">
        <v>3295.0101833928102</v>
      </c>
      <c r="S30" s="168">
        <v>0.01</v>
      </c>
      <c r="T30" s="168">
        <v>0.01</v>
      </c>
      <c r="U30" s="175">
        <v>0</v>
      </c>
      <c r="V30" s="176">
        <v>0</v>
      </c>
      <c r="W30" s="167"/>
      <c r="X30" s="175">
        <v>2401.3435199999999</v>
      </c>
      <c r="Y30" s="166">
        <v>384.60727277185902</v>
      </c>
      <c r="Z30" s="177">
        <v>573</v>
      </c>
      <c r="AA30" s="173">
        <v>0.67121688092820098</v>
      </c>
      <c r="AB30" s="174">
        <v>-1805.9105878150799</v>
      </c>
      <c r="AC30" s="168"/>
      <c r="AD30" s="168"/>
      <c r="AE30" s="176">
        <v>1177</v>
      </c>
      <c r="AF30" s="176">
        <v>1892</v>
      </c>
      <c r="AG30" s="167"/>
      <c r="AH30" s="180">
        <v>363.2</v>
      </c>
      <c r="AI30" s="166">
        <v>58.171336298748002</v>
      </c>
      <c r="AJ30" s="181" t="s">
        <v>53</v>
      </c>
      <c r="AK30" s="188">
        <v>0.92335454442457099</v>
      </c>
      <c r="AL30" s="171">
        <v>-99.377676775479998</v>
      </c>
      <c r="AM30" s="168"/>
      <c r="AN30" s="168"/>
      <c r="AO30" s="176">
        <v>31</v>
      </c>
      <c r="AP30" s="176">
        <v>109</v>
      </c>
      <c r="AQ30" s="167"/>
      <c r="AR30" s="180">
        <v>37.700000000000003</v>
      </c>
      <c r="AS30" s="166">
        <v>6.0381590816706998</v>
      </c>
      <c r="AT30" s="181" t="s">
        <v>54</v>
      </c>
      <c r="AU30" s="173">
        <v>0.37738494260441902</v>
      </c>
      <c r="AV30" s="174">
        <v>-79.780044895360007</v>
      </c>
      <c r="AW30" s="168"/>
      <c r="AX30" s="168"/>
      <c r="AY30" s="176">
        <v>63</v>
      </c>
      <c r="AZ30" s="176">
        <v>83</v>
      </c>
      <c r="BA30" s="167"/>
      <c r="BB30" s="184">
        <v>247.4</v>
      </c>
      <c r="BC30" s="180">
        <v>39.624417952396101</v>
      </c>
      <c r="BD30" s="181" t="s">
        <v>55</v>
      </c>
      <c r="BE30" s="178">
        <v>1.2382630610123799</v>
      </c>
      <c r="BF30" s="179">
        <v>12.439910209280001</v>
      </c>
      <c r="BG30" s="168">
        <v>0.02</v>
      </c>
      <c r="BH30" s="168">
        <v>0.02</v>
      </c>
      <c r="BI30" s="176">
        <v>0</v>
      </c>
      <c r="BJ30" s="176">
        <v>0</v>
      </c>
      <c r="BK30" s="169"/>
      <c r="BL30" s="185">
        <v>0.8</v>
      </c>
      <c r="BM30" s="188">
        <v>0.74</v>
      </c>
      <c r="BN30" s="186"/>
      <c r="BO30" s="187">
        <v>0.95</v>
      </c>
      <c r="BP30" s="178">
        <v>1</v>
      </c>
      <c r="BQ30" s="186">
        <v>2.5000000000000001E-3</v>
      </c>
    </row>
    <row r="31" spans="1:69" s="156" customFormat="1" ht="22.35" customHeight="1" x14ac:dyDescent="0.2">
      <c r="A31" s="165" t="s">
        <v>80</v>
      </c>
      <c r="B31" s="165" t="s">
        <v>81</v>
      </c>
      <c r="C31" s="165" t="s">
        <v>83</v>
      </c>
      <c r="D31" s="166">
        <v>2.8402116402222202</v>
      </c>
      <c r="E31" s="167"/>
      <c r="F31" s="168">
        <v>4.9000000000000002E-2</v>
      </c>
      <c r="G31" s="168">
        <v>4.4999999999999998E-2</v>
      </c>
      <c r="H31" s="169"/>
      <c r="I31" s="170">
        <v>5</v>
      </c>
      <c r="J31" s="170">
        <v>4</v>
      </c>
      <c r="K31" s="167"/>
      <c r="L31" s="171">
        <v>1112.00881</v>
      </c>
      <c r="M31" s="171">
        <v>644.45145000000002</v>
      </c>
      <c r="N31" s="171">
        <v>1756.4602600000001</v>
      </c>
      <c r="O31" s="166">
        <v>618.42583669665305</v>
      </c>
      <c r="P31" s="172">
        <v>255.976</v>
      </c>
      <c r="Q31" s="178">
        <v>2.4159524201356901</v>
      </c>
      <c r="R31" s="179">
        <v>901.47766657459294</v>
      </c>
      <c r="S31" s="168">
        <v>0.01</v>
      </c>
      <c r="T31" s="168">
        <v>0.01</v>
      </c>
      <c r="U31" s="175">
        <v>0</v>
      </c>
      <c r="V31" s="176">
        <v>0</v>
      </c>
      <c r="W31" s="167"/>
      <c r="X31" s="175">
        <v>1978.9872949999999</v>
      </c>
      <c r="Y31" s="166">
        <v>696.77458784203895</v>
      </c>
      <c r="Z31" s="177">
        <v>573</v>
      </c>
      <c r="AA31" s="178">
        <v>1.2160114971065199</v>
      </c>
      <c r="AB31" s="179">
        <v>65.116361659537503</v>
      </c>
      <c r="AC31" s="168">
        <v>0.02</v>
      </c>
      <c r="AD31" s="168">
        <v>0.02</v>
      </c>
      <c r="AE31" s="176">
        <v>0</v>
      </c>
      <c r="AF31" s="176">
        <v>0</v>
      </c>
      <c r="AG31" s="167"/>
      <c r="AH31" s="180">
        <v>177.05</v>
      </c>
      <c r="AI31" s="166">
        <v>62.336903874581502</v>
      </c>
      <c r="AJ31" s="181" t="s">
        <v>53</v>
      </c>
      <c r="AK31" s="182">
        <v>0.98947466467589595</v>
      </c>
      <c r="AL31" s="183">
        <v>-33.375600000783798</v>
      </c>
      <c r="AM31" s="168">
        <v>1E-3</v>
      </c>
      <c r="AN31" s="168"/>
      <c r="AO31" s="176">
        <v>2</v>
      </c>
      <c r="AP31" s="176">
        <v>38</v>
      </c>
      <c r="AQ31" s="167"/>
      <c r="AR31" s="180">
        <v>22.2</v>
      </c>
      <c r="AS31" s="166">
        <v>7.8163189269455398</v>
      </c>
      <c r="AT31" s="181" t="s">
        <v>54</v>
      </c>
      <c r="AU31" s="173">
        <v>0.48851993293409601</v>
      </c>
      <c r="AV31" s="174">
        <v>-31.241422222421299</v>
      </c>
      <c r="AW31" s="168"/>
      <c r="AX31" s="168"/>
      <c r="AY31" s="176">
        <v>24</v>
      </c>
      <c r="AZ31" s="176">
        <v>33</v>
      </c>
      <c r="BA31" s="167"/>
      <c r="BB31" s="184">
        <v>104.8</v>
      </c>
      <c r="BC31" s="180">
        <v>36.898658718193403</v>
      </c>
      <c r="BD31" s="181" t="s">
        <v>55</v>
      </c>
      <c r="BE31" s="182">
        <v>1.1530830849435401</v>
      </c>
      <c r="BF31" s="183">
        <v>-2.08284444484259</v>
      </c>
      <c r="BG31" s="168">
        <v>1.7999999999999999E-2</v>
      </c>
      <c r="BH31" s="168">
        <v>1.4999999999999999E-2</v>
      </c>
      <c r="BI31" s="176">
        <v>0</v>
      </c>
      <c r="BJ31" s="176">
        <v>5</v>
      </c>
      <c r="BK31" s="169"/>
      <c r="BL31" s="185">
        <v>0.8</v>
      </c>
      <c r="BM31" s="173">
        <v>0.67</v>
      </c>
      <c r="BN31" s="186"/>
      <c r="BO31" s="187">
        <v>0.95</v>
      </c>
      <c r="BP31" s="178">
        <v>1</v>
      </c>
      <c r="BQ31" s="186">
        <v>2.5000000000000001E-3</v>
      </c>
    </row>
    <row r="32" spans="1:69" s="156" customFormat="1" ht="22.35" customHeight="1" x14ac:dyDescent="0.2">
      <c r="A32" s="165" t="s">
        <v>80</v>
      </c>
      <c r="B32" s="165" t="s">
        <v>81</v>
      </c>
      <c r="C32" s="165" t="s">
        <v>84</v>
      </c>
      <c r="D32" s="166">
        <v>7.4919696311111101</v>
      </c>
      <c r="E32" s="167"/>
      <c r="F32" s="168">
        <v>0.01</v>
      </c>
      <c r="G32" s="168">
        <v>0.01</v>
      </c>
      <c r="H32" s="169"/>
      <c r="I32" s="170">
        <v>2</v>
      </c>
      <c r="J32" s="170">
        <v>2</v>
      </c>
      <c r="K32" s="167"/>
      <c r="L32" s="171">
        <v>5858.8981100000001</v>
      </c>
      <c r="M32" s="171">
        <v>2086.1613000000002</v>
      </c>
      <c r="N32" s="171">
        <v>7945.0594099999998</v>
      </c>
      <c r="O32" s="166">
        <v>1060.47672390547</v>
      </c>
      <c r="P32" s="172">
        <v>282.02199999999999</v>
      </c>
      <c r="Q32" s="178">
        <v>3.7602624047254101</v>
      </c>
      <c r="R32" s="179">
        <v>5460.2887050570598</v>
      </c>
      <c r="S32" s="168">
        <v>0.01</v>
      </c>
      <c r="T32" s="168">
        <v>0.01</v>
      </c>
      <c r="U32" s="175">
        <v>0</v>
      </c>
      <c r="V32" s="176">
        <v>0</v>
      </c>
      <c r="W32" s="167"/>
      <c r="X32" s="175">
        <v>3773.6693949999999</v>
      </c>
      <c r="Y32" s="166">
        <v>503.69523380467001</v>
      </c>
      <c r="Z32" s="177">
        <v>573</v>
      </c>
      <c r="AA32" s="188">
        <v>0.87904927365562002</v>
      </c>
      <c r="AB32" s="171">
        <v>-1274.77935698496</v>
      </c>
      <c r="AC32" s="168"/>
      <c r="AD32" s="168"/>
      <c r="AE32" s="176">
        <v>520</v>
      </c>
      <c r="AF32" s="176">
        <v>1378</v>
      </c>
      <c r="AG32" s="167"/>
      <c r="AH32" s="180">
        <v>239.3</v>
      </c>
      <c r="AI32" s="166">
        <v>31.9408662584915</v>
      </c>
      <c r="AJ32" s="181" t="s">
        <v>53</v>
      </c>
      <c r="AK32" s="173">
        <v>0.50699787711891298</v>
      </c>
      <c r="AL32" s="174">
        <v>-315.76504602976001</v>
      </c>
      <c r="AM32" s="168"/>
      <c r="AN32" s="168"/>
      <c r="AO32" s="176">
        <v>233</v>
      </c>
      <c r="AP32" s="176">
        <v>328</v>
      </c>
      <c r="AQ32" s="167"/>
      <c r="AR32" s="180">
        <v>50.2</v>
      </c>
      <c r="AS32" s="166">
        <v>6.70050767311439</v>
      </c>
      <c r="AT32" s="181" t="s">
        <v>54</v>
      </c>
      <c r="AU32" s="173">
        <v>0.41878172956964899</v>
      </c>
      <c r="AV32" s="174">
        <v>-90.768900578986603</v>
      </c>
      <c r="AW32" s="168"/>
      <c r="AX32" s="168"/>
      <c r="AY32" s="176">
        <v>70</v>
      </c>
      <c r="AZ32" s="176">
        <v>94</v>
      </c>
      <c r="BA32" s="167"/>
      <c r="BB32" s="184">
        <v>190</v>
      </c>
      <c r="BC32" s="180">
        <v>25.360487208998698</v>
      </c>
      <c r="BD32" s="181" t="s">
        <v>55</v>
      </c>
      <c r="BE32" s="188">
        <v>0.79251522528120899</v>
      </c>
      <c r="BF32" s="171">
        <v>-91.937801157973297</v>
      </c>
      <c r="BG32" s="168"/>
      <c r="BH32" s="168"/>
      <c r="BI32" s="176">
        <v>50</v>
      </c>
      <c r="BJ32" s="176">
        <v>98</v>
      </c>
      <c r="BK32" s="169"/>
      <c r="BL32" s="185">
        <v>0.8</v>
      </c>
      <c r="BM32" s="173">
        <v>0.69</v>
      </c>
      <c r="BN32" s="186"/>
      <c r="BO32" s="187">
        <v>0.95</v>
      </c>
      <c r="BP32" s="178">
        <v>1</v>
      </c>
      <c r="BQ32" s="186">
        <v>2.5000000000000001E-3</v>
      </c>
    </row>
    <row r="33" spans="1:69" s="156" customFormat="1" ht="22.35" customHeight="1" x14ac:dyDescent="0.2">
      <c r="A33" s="165" t="s">
        <v>80</v>
      </c>
      <c r="B33" s="165" t="s">
        <v>81</v>
      </c>
      <c r="C33" s="165" t="s">
        <v>85</v>
      </c>
      <c r="D33" s="166">
        <v>8.0712319791111096</v>
      </c>
      <c r="E33" s="167"/>
      <c r="F33" s="168">
        <v>0.03</v>
      </c>
      <c r="G33" s="168">
        <v>2.8000000000000001E-2</v>
      </c>
      <c r="H33" s="169"/>
      <c r="I33" s="170">
        <v>3</v>
      </c>
      <c r="J33" s="170">
        <v>3</v>
      </c>
      <c r="K33" s="167"/>
      <c r="L33" s="171">
        <v>4696.3698700000004</v>
      </c>
      <c r="M33" s="171">
        <v>3641.9848200000001</v>
      </c>
      <c r="N33" s="171">
        <v>8338.3546900000001</v>
      </c>
      <c r="O33" s="166">
        <v>1033.09565523333</v>
      </c>
      <c r="P33" s="172">
        <v>276.94400000000002</v>
      </c>
      <c r="Q33" s="178">
        <v>3.7303413514404702</v>
      </c>
      <c r="R33" s="179">
        <v>5709.6662693938097</v>
      </c>
      <c r="S33" s="168">
        <v>0.01</v>
      </c>
      <c r="T33" s="168">
        <v>0.01</v>
      </c>
      <c r="U33" s="175">
        <v>0</v>
      </c>
      <c r="V33" s="176">
        <v>0</v>
      </c>
      <c r="W33" s="167"/>
      <c r="X33" s="175">
        <v>4066.0792799999999</v>
      </c>
      <c r="Y33" s="166">
        <v>503.774304904541</v>
      </c>
      <c r="Z33" s="177">
        <v>573</v>
      </c>
      <c r="AA33" s="188">
        <v>0.87918726859431195</v>
      </c>
      <c r="AB33" s="171">
        <v>-1372.7042466600601</v>
      </c>
      <c r="AC33" s="168"/>
      <c r="AD33" s="168"/>
      <c r="AE33" s="176">
        <v>559</v>
      </c>
      <c r="AF33" s="176">
        <v>1484</v>
      </c>
      <c r="AG33" s="167"/>
      <c r="AH33" s="180">
        <v>361.65</v>
      </c>
      <c r="AI33" s="166">
        <v>44.807286042078097</v>
      </c>
      <c r="AJ33" s="181" t="s">
        <v>53</v>
      </c>
      <c r="AK33" s="173">
        <v>0.71122676257266904</v>
      </c>
      <c r="AL33" s="174">
        <v>-236.33143486838401</v>
      </c>
      <c r="AM33" s="168"/>
      <c r="AN33" s="168"/>
      <c r="AO33" s="176">
        <v>147</v>
      </c>
      <c r="AP33" s="176">
        <v>249</v>
      </c>
      <c r="AQ33" s="167"/>
      <c r="AR33" s="180">
        <v>64.599999999999994</v>
      </c>
      <c r="AS33" s="166">
        <v>8.0037347665373897</v>
      </c>
      <c r="AT33" s="181" t="s">
        <v>54</v>
      </c>
      <c r="AU33" s="173">
        <v>0.50023342290858697</v>
      </c>
      <c r="AV33" s="174">
        <v>-87.268300918954594</v>
      </c>
      <c r="AW33" s="168"/>
      <c r="AX33" s="168"/>
      <c r="AY33" s="176">
        <v>65</v>
      </c>
      <c r="AZ33" s="176">
        <v>91</v>
      </c>
      <c r="BA33" s="167"/>
      <c r="BB33" s="184">
        <v>303.8</v>
      </c>
      <c r="BC33" s="180">
        <v>37.639854830867797</v>
      </c>
      <c r="BD33" s="181" t="s">
        <v>55</v>
      </c>
      <c r="BE33" s="178">
        <v>1.17624546346462</v>
      </c>
      <c r="BF33" s="179">
        <v>6.3398162090777505E-2</v>
      </c>
      <c r="BG33" s="168">
        <v>0.02</v>
      </c>
      <c r="BH33" s="168">
        <v>1.7999999999999999E-2</v>
      </c>
      <c r="BI33" s="176">
        <v>0</v>
      </c>
      <c r="BJ33" s="176">
        <v>7</v>
      </c>
      <c r="BK33" s="169"/>
      <c r="BL33" s="185">
        <v>0.8</v>
      </c>
      <c r="BM33" s="173">
        <v>0.65</v>
      </c>
      <c r="BN33" s="186"/>
      <c r="BO33" s="187">
        <v>0.95</v>
      </c>
      <c r="BP33" s="178">
        <v>1</v>
      </c>
      <c r="BQ33" s="186">
        <v>2.5000000000000001E-3</v>
      </c>
    </row>
    <row r="34" spans="1:69" s="156" customFormat="1" ht="22.35" customHeight="1" x14ac:dyDescent="0.2">
      <c r="A34" s="165" t="s">
        <v>80</v>
      </c>
      <c r="B34" s="165" t="s">
        <v>81</v>
      </c>
      <c r="C34" s="165" t="s">
        <v>86</v>
      </c>
      <c r="D34" s="166">
        <v>1.4323658323333299</v>
      </c>
      <c r="E34" s="167"/>
      <c r="F34" s="168">
        <v>0.01</v>
      </c>
      <c r="G34" s="168">
        <v>0.01</v>
      </c>
      <c r="H34" s="169"/>
      <c r="I34" s="170">
        <v>2</v>
      </c>
      <c r="J34" s="170">
        <v>2</v>
      </c>
      <c r="K34" s="167"/>
      <c r="L34" s="171">
        <v>1360.47057</v>
      </c>
      <c r="M34" s="171">
        <v>122.44145</v>
      </c>
      <c r="N34" s="171">
        <v>1482.91202</v>
      </c>
      <c r="O34" s="166">
        <v>1035.28860192394</v>
      </c>
      <c r="P34" s="172">
        <v>276.94400000000002</v>
      </c>
      <c r="Q34" s="178">
        <v>3.7382597273237201</v>
      </c>
      <c r="R34" s="179">
        <v>1016.41031527001</v>
      </c>
      <c r="S34" s="168">
        <v>0.01</v>
      </c>
      <c r="T34" s="168">
        <v>0.01</v>
      </c>
      <c r="U34" s="175">
        <v>0</v>
      </c>
      <c r="V34" s="176">
        <v>0</v>
      </c>
      <c r="W34" s="167"/>
      <c r="X34" s="175">
        <v>442.52023500000001</v>
      </c>
      <c r="Y34" s="166">
        <v>308.94358480970698</v>
      </c>
      <c r="Z34" s="177">
        <v>573</v>
      </c>
      <c r="AA34" s="173">
        <v>0.53916855987732504</v>
      </c>
      <c r="AB34" s="174">
        <v>-522.67661638615004</v>
      </c>
      <c r="AC34" s="168"/>
      <c r="AD34" s="168"/>
      <c r="AE34" s="176">
        <v>379</v>
      </c>
      <c r="AF34" s="176">
        <v>543</v>
      </c>
      <c r="AG34" s="167"/>
      <c r="AH34" s="180">
        <v>32.299999999999997</v>
      </c>
      <c r="AI34" s="166">
        <v>22.550105057576701</v>
      </c>
      <c r="AJ34" s="181" t="s">
        <v>53</v>
      </c>
      <c r="AK34" s="173">
        <v>0.35793817551709101</v>
      </c>
      <c r="AL34" s="174">
        <v>-73.821119785911705</v>
      </c>
      <c r="AM34" s="168"/>
      <c r="AN34" s="168"/>
      <c r="AO34" s="176">
        <v>58</v>
      </c>
      <c r="AP34" s="176">
        <v>76</v>
      </c>
      <c r="AQ34" s="167"/>
      <c r="AR34" s="180">
        <v>5.8</v>
      </c>
      <c r="AS34" s="166">
        <v>4.0492448710199698</v>
      </c>
      <c r="AT34" s="181" t="s">
        <v>54</v>
      </c>
      <c r="AU34" s="173">
        <v>0.253077804438748</v>
      </c>
      <c r="AV34" s="174">
        <v>-21.151395501183899</v>
      </c>
      <c r="AW34" s="168"/>
      <c r="AX34" s="168"/>
      <c r="AY34" s="176">
        <v>18</v>
      </c>
      <c r="AZ34" s="176">
        <v>22</v>
      </c>
      <c r="BA34" s="167"/>
      <c r="BB34" s="184">
        <v>27.4</v>
      </c>
      <c r="BC34" s="180">
        <v>19.129191287232299</v>
      </c>
      <c r="BD34" s="181" t="s">
        <v>55</v>
      </c>
      <c r="BE34" s="173">
        <v>0.59778722772600801</v>
      </c>
      <c r="BF34" s="174">
        <v>-26.5027910023679</v>
      </c>
      <c r="BG34" s="168"/>
      <c r="BH34" s="168"/>
      <c r="BI34" s="176">
        <v>19</v>
      </c>
      <c r="BJ34" s="176">
        <v>28</v>
      </c>
      <c r="BK34" s="169"/>
      <c r="BL34" s="185">
        <v>0.8</v>
      </c>
      <c r="BM34" s="188">
        <v>0.8</v>
      </c>
      <c r="BN34" s="186">
        <v>0</v>
      </c>
      <c r="BO34" s="187">
        <v>0.95</v>
      </c>
      <c r="BP34" s="178">
        <v>1</v>
      </c>
      <c r="BQ34" s="186">
        <v>2.5000000000000001E-3</v>
      </c>
    </row>
    <row r="35" spans="1:69" s="156" customFormat="1" ht="22.35" customHeight="1" x14ac:dyDescent="0.2">
      <c r="A35" s="165" t="s">
        <v>80</v>
      </c>
      <c r="B35" s="165" t="s">
        <v>81</v>
      </c>
      <c r="C35" s="165" t="s">
        <v>87</v>
      </c>
      <c r="D35" s="166">
        <v>2.4192814678888901</v>
      </c>
      <c r="E35" s="167"/>
      <c r="F35" s="168">
        <v>3.6999999999999998E-2</v>
      </c>
      <c r="G35" s="168">
        <v>3.3000000000000002E-2</v>
      </c>
      <c r="H35" s="169"/>
      <c r="I35" s="170">
        <v>4</v>
      </c>
      <c r="J35" s="170">
        <v>4</v>
      </c>
      <c r="K35" s="167"/>
      <c r="L35" s="171">
        <v>1715.4240199999999</v>
      </c>
      <c r="M35" s="171">
        <v>800.70371</v>
      </c>
      <c r="N35" s="171">
        <v>2516.1277300000002</v>
      </c>
      <c r="O35" s="166">
        <v>1040.03100234369</v>
      </c>
      <c r="P35" s="172">
        <v>237.21100000000001</v>
      </c>
      <c r="Q35" s="178">
        <v>4.3844130430026</v>
      </c>
      <c r="R35" s="179">
        <v>1841.24464269544</v>
      </c>
      <c r="S35" s="168">
        <v>0.01</v>
      </c>
      <c r="T35" s="168">
        <v>0.01</v>
      </c>
      <c r="U35" s="175">
        <v>0</v>
      </c>
      <c r="V35" s="176">
        <v>0</v>
      </c>
      <c r="W35" s="167"/>
      <c r="X35" s="175">
        <v>1605.4844350000001</v>
      </c>
      <c r="Y35" s="166">
        <v>663.62035848642904</v>
      </c>
      <c r="Z35" s="177">
        <v>573</v>
      </c>
      <c r="AA35" s="182">
        <v>1.1581507128908</v>
      </c>
      <c r="AB35" s="183">
        <v>-24.7435435739926</v>
      </c>
      <c r="AC35" s="168">
        <v>1.7999999999999999E-2</v>
      </c>
      <c r="AD35" s="168">
        <v>1.6E-2</v>
      </c>
      <c r="AE35" s="176">
        <v>0</v>
      </c>
      <c r="AF35" s="176">
        <v>59</v>
      </c>
      <c r="AG35" s="167"/>
      <c r="AH35" s="180">
        <v>162.69999999999999</v>
      </c>
      <c r="AI35" s="166">
        <v>67.251372839215406</v>
      </c>
      <c r="AJ35" s="181" t="s">
        <v>53</v>
      </c>
      <c r="AK35" s="182">
        <v>1.0674821085589701</v>
      </c>
      <c r="AL35" s="183">
        <v>-16.5397253929521</v>
      </c>
      <c r="AM35" s="168">
        <v>8.9999999999999993E-3</v>
      </c>
      <c r="AN35" s="168">
        <v>7.0000000000000001E-3</v>
      </c>
      <c r="AO35" s="176">
        <v>0</v>
      </c>
      <c r="AP35" s="176">
        <v>21</v>
      </c>
      <c r="AQ35" s="167"/>
      <c r="AR35" s="180">
        <v>27.4</v>
      </c>
      <c r="AS35" s="166">
        <v>11.3256768026706</v>
      </c>
      <c r="AT35" s="181" t="s">
        <v>54</v>
      </c>
      <c r="AU35" s="173">
        <v>0.70785480016691105</v>
      </c>
      <c r="AV35" s="174">
        <v>-18.121200099797399</v>
      </c>
      <c r="AW35" s="168"/>
      <c r="AX35" s="168"/>
      <c r="AY35" s="176">
        <v>12</v>
      </c>
      <c r="AZ35" s="176">
        <v>20</v>
      </c>
      <c r="BA35" s="167"/>
      <c r="BB35" s="184">
        <v>73.2</v>
      </c>
      <c r="BC35" s="180">
        <v>30.2569175896163</v>
      </c>
      <c r="BD35" s="181" t="s">
        <v>55</v>
      </c>
      <c r="BE35" s="188">
        <v>0.94552867467550805</v>
      </c>
      <c r="BF35" s="171">
        <v>-17.842400199594699</v>
      </c>
      <c r="BG35" s="168"/>
      <c r="BH35" s="168"/>
      <c r="BI35" s="176">
        <v>5</v>
      </c>
      <c r="BJ35" s="176">
        <v>20</v>
      </c>
      <c r="BK35" s="169"/>
      <c r="BL35" s="185">
        <v>0.8</v>
      </c>
      <c r="BM35" s="173">
        <v>0.64</v>
      </c>
      <c r="BN35" s="186"/>
      <c r="BO35" s="187">
        <v>0.95</v>
      </c>
      <c r="BP35" s="178">
        <v>1</v>
      </c>
      <c r="BQ35" s="186">
        <v>2.5000000000000001E-3</v>
      </c>
    </row>
    <row r="36" spans="1:69" s="156" customFormat="1" ht="22.35" customHeight="1" x14ac:dyDescent="0.2">
      <c r="A36" s="165" t="s">
        <v>80</v>
      </c>
      <c r="B36" s="165" t="s">
        <v>81</v>
      </c>
      <c r="C36" s="165" t="s">
        <v>88</v>
      </c>
      <c r="D36" s="166">
        <v>2.4492784859999999</v>
      </c>
      <c r="E36" s="167"/>
      <c r="F36" s="168">
        <v>0.03</v>
      </c>
      <c r="G36" s="168">
        <v>0.03</v>
      </c>
      <c r="H36" s="169"/>
      <c r="I36" s="170">
        <v>3</v>
      </c>
      <c r="J36" s="170">
        <v>3</v>
      </c>
      <c r="K36" s="167"/>
      <c r="L36" s="171">
        <v>1435.16165</v>
      </c>
      <c r="M36" s="171">
        <v>1960.08986</v>
      </c>
      <c r="N36" s="171">
        <v>3395.2515100000001</v>
      </c>
      <c r="O36" s="166">
        <v>1386.2251799487699</v>
      </c>
      <c r="P36" s="172">
        <v>282.02199999999999</v>
      </c>
      <c r="Q36" s="178">
        <v>4.9153086636814498</v>
      </c>
      <c r="R36" s="179">
        <v>2582.92901939786</v>
      </c>
      <c r="S36" s="168">
        <v>0.01</v>
      </c>
      <c r="T36" s="168">
        <v>0.01</v>
      </c>
      <c r="U36" s="175">
        <v>0</v>
      </c>
      <c r="V36" s="176">
        <v>0</v>
      </c>
      <c r="W36" s="167"/>
      <c r="X36" s="175">
        <v>1203.19586</v>
      </c>
      <c r="Y36" s="166">
        <v>491.24502047334801</v>
      </c>
      <c r="Z36" s="177">
        <v>573</v>
      </c>
      <c r="AA36" s="188">
        <v>0.85732115265854703</v>
      </c>
      <c r="AB36" s="171">
        <v>-447.24554923412802</v>
      </c>
      <c r="AC36" s="168"/>
      <c r="AD36" s="168"/>
      <c r="AE36" s="176">
        <v>201</v>
      </c>
      <c r="AF36" s="176">
        <v>481</v>
      </c>
      <c r="AG36" s="167"/>
      <c r="AH36" s="180">
        <v>141.1</v>
      </c>
      <c r="AI36" s="166">
        <v>57.6088022683101</v>
      </c>
      <c r="AJ36" s="181" t="s">
        <v>53</v>
      </c>
      <c r="AK36" s="188">
        <v>0.91442543283031896</v>
      </c>
      <c r="AL36" s="171">
        <v>-40.362144470768001</v>
      </c>
      <c r="AM36" s="168"/>
      <c r="AN36" s="168"/>
      <c r="AO36" s="176">
        <v>14</v>
      </c>
      <c r="AP36" s="176">
        <v>45</v>
      </c>
      <c r="AQ36" s="167"/>
      <c r="AR36" s="180">
        <v>15.6</v>
      </c>
      <c r="AS36" s="166">
        <v>6.3692226462483204</v>
      </c>
      <c r="AT36" s="181" t="s">
        <v>54</v>
      </c>
      <c r="AU36" s="173">
        <v>0.39807641539052002</v>
      </c>
      <c r="AV36" s="174">
        <v>-30.485623992575999</v>
      </c>
      <c r="AW36" s="168"/>
      <c r="AX36" s="168"/>
      <c r="AY36" s="176">
        <v>24</v>
      </c>
      <c r="AZ36" s="176">
        <v>32</v>
      </c>
      <c r="BA36" s="167"/>
      <c r="BB36" s="184">
        <v>96.6</v>
      </c>
      <c r="BC36" s="180">
        <v>39.4401863863838</v>
      </c>
      <c r="BD36" s="181" t="s">
        <v>55</v>
      </c>
      <c r="BE36" s="178">
        <v>1.23250582457449</v>
      </c>
      <c r="BF36" s="179">
        <v>4.4287520148480199</v>
      </c>
      <c r="BG36" s="168">
        <v>0.02</v>
      </c>
      <c r="BH36" s="168">
        <v>0.02</v>
      </c>
      <c r="BI36" s="176">
        <v>0</v>
      </c>
      <c r="BJ36" s="176">
        <v>0</v>
      </c>
      <c r="BK36" s="169"/>
      <c r="BL36" s="185">
        <v>0.8</v>
      </c>
      <c r="BM36" s="188">
        <v>0.76</v>
      </c>
      <c r="BN36" s="186"/>
      <c r="BO36" s="187">
        <v>0.95</v>
      </c>
      <c r="BP36" s="178">
        <v>1</v>
      </c>
      <c r="BQ36" s="186">
        <v>2.5000000000000001E-3</v>
      </c>
    </row>
    <row r="37" spans="1:69" s="156" customFormat="1" ht="22.35" customHeight="1" x14ac:dyDescent="0.2">
      <c r="A37" s="165" t="s">
        <v>80</v>
      </c>
      <c r="B37" s="165" t="s">
        <v>81</v>
      </c>
      <c r="C37" s="165" t="s">
        <v>89</v>
      </c>
      <c r="D37" s="166">
        <v>3.7485407748888901</v>
      </c>
      <c r="E37" s="167"/>
      <c r="F37" s="168">
        <v>2.3E-2</v>
      </c>
      <c r="G37" s="168">
        <v>2.1000000000000001E-2</v>
      </c>
      <c r="H37" s="169"/>
      <c r="I37" s="170">
        <v>2</v>
      </c>
      <c r="J37" s="170">
        <v>2</v>
      </c>
      <c r="K37" s="167"/>
      <c r="L37" s="171">
        <v>1360.42273</v>
      </c>
      <c r="M37" s="171">
        <v>1995.2001700000001</v>
      </c>
      <c r="N37" s="171">
        <v>3355.6228999999998</v>
      </c>
      <c r="O37" s="166">
        <v>895.18111220211097</v>
      </c>
      <c r="P37" s="172">
        <v>231.66</v>
      </c>
      <c r="Q37" s="178">
        <v>3.8642023318747798</v>
      </c>
      <c r="R37" s="179">
        <v>2334.3998398489498</v>
      </c>
      <c r="S37" s="168">
        <v>0.01</v>
      </c>
      <c r="T37" s="168">
        <v>0.01</v>
      </c>
      <c r="U37" s="175">
        <v>0</v>
      </c>
      <c r="V37" s="176">
        <v>0</v>
      </c>
      <c r="W37" s="167"/>
      <c r="X37" s="175">
        <v>2383.5384899999999</v>
      </c>
      <c r="Y37" s="166">
        <v>635.85769320347094</v>
      </c>
      <c r="Z37" s="177">
        <v>573</v>
      </c>
      <c r="AA37" s="182">
        <v>1.1096992900584099</v>
      </c>
      <c r="AB37" s="183">
        <v>-142.40821407732801</v>
      </c>
      <c r="AC37" s="168">
        <v>1.2999999999999999E-2</v>
      </c>
      <c r="AD37" s="168">
        <v>1.0999999999999999E-2</v>
      </c>
      <c r="AE37" s="176">
        <v>0</v>
      </c>
      <c r="AF37" s="176">
        <v>194</v>
      </c>
      <c r="AG37" s="167"/>
      <c r="AH37" s="180">
        <v>202.2</v>
      </c>
      <c r="AI37" s="166">
        <v>53.940989879186603</v>
      </c>
      <c r="AJ37" s="181" t="s">
        <v>53</v>
      </c>
      <c r="AK37" s="188">
        <v>0.85620618855851804</v>
      </c>
      <c r="AL37" s="171">
        <v>-75.5218889299681</v>
      </c>
      <c r="AM37" s="168"/>
      <c r="AN37" s="168"/>
      <c r="AO37" s="176">
        <v>34</v>
      </c>
      <c r="AP37" s="176">
        <v>82</v>
      </c>
      <c r="AQ37" s="167"/>
      <c r="AR37" s="180">
        <v>18.100000000000001</v>
      </c>
      <c r="AS37" s="166">
        <v>4.8285455826571599</v>
      </c>
      <c r="AT37" s="181" t="s">
        <v>54</v>
      </c>
      <c r="AU37" s="173">
        <v>0.301784098916072</v>
      </c>
      <c r="AV37" s="174">
        <v>-52.432543220309299</v>
      </c>
      <c r="AW37" s="168"/>
      <c r="AX37" s="168"/>
      <c r="AY37" s="176">
        <v>42</v>
      </c>
      <c r="AZ37" s="176">
        <v>54</v>
      </c>
      <c r="BA37" s="167"/>
      <c r="BB37" s="184">
        <v>97</v>
      </c>
      <c r="BC37" s="180">
        <v>25.876735995455501</v>
      </c>
      <c r="BD37" s="181" t="s">
        <v>55</v>
      </c>
      <c r="BE37" s="188">
        <v>0.80864799985798397</v>
      </c>
      <c r="BF37" s="171">
        <v>-44.0650864406187</v>
      </c>
      <c r="BG37" s="168"/>
      <c r="BH37" s="168"/>
      <c r="BI37" s="176">
        <v>23</v>
      </c>
      <c r="BJ37" s="176">
        <v>47</v>
      </c>
      <c r="BK37" s="169"/>
      <c r="BL37" s="185">
        <v>0.8</v>
      </c>
      <c r="BM37" s="173">
        <v>0.67</v>
      </c>
      <c r="BN37" s="186"/>
      <c r="BO37" s="187">
        <v>0.95</v>
      </c>
      <c r="BP37" s="188">
        <v>0.94</v>
      </c>
      <c r="BQ37" s="186"/>
    </row>
    <row r="38" spans="1:69" s="156" customFormat="1" ht="22.35" customHeight="1" x14ac:dyDescent="0.2">
      <c r="A38" s="165" t="s">
        <v>80</v>
      </c>
      <c r="B38" s="165" t="s">
        <v>81</v>
      </c>
      <c r="C38" s="165" t="s">
        <v>90</v>
      </c>
      <c r="D38" s="166">
        <v>5.80392696766667</v>
      </c>
      <c r="E38" s="167"/>
      <c r="F38" s="168">
        <v>1.9E-2</v>
      </c>
      <c r="G38" s="168">
        <v>1.7000000000000001E-2</v>
      </c>
      <c r="H38" s="169"/>
      <c r="I38" s="170">
        <v>2</v>
      </c>
      <c r="J38" s="170">
        <v>2</v>
      </c>
      <c r="K38" s="167"/>
      <c r="L38" s="171">
        <v>1767.42786</v>
      </c>
      <c r="M38" s="171">
        <v>1062.59773</v>
      </c>
      <c r="N38" s="171">
        <v>2830.0255900000002</v>
      </c>
      <c r="O38" s="166">
        <v>487.60530684929398</v>
      </c>
      <c r="P38" s="172">
        <v>236.59800000000001</v>
      </c>
      <c r="Q38" s="178">
        <v>2.06090206531456</v>
      </c>
      <c r="R38" s="179">
        <v>1215.1453150695099</v>
      </c>
      <c r="S38" s="168">
        <v>0.01</v>
      </c>
      <c r="T38" s="168">
        <v>0.01</v>
      </c>
      <c r="U38" s="175">
        <v>0</v>
      </c>
      <c r="V38" s="176">
        <v>0</v>
      </c>
      <c r="W38" s="167"/>
      <c r="X38" s="175">
        <v>3553.8091049999998</v>
      </c>
      <c r="Y38" s="166">
        <v>612.31113430580001</v>
      </c>
      <c r="Z38" s="177">
        <v>573</v>
      </c>
      <c r="AA38" s="182">
        <v>1.06860581903281</v>
      </c>
      <c r="AB38" s="183">
        <v>-357.15547430825001</v>
      </c>
      <c r="AC38" s="168">
        <v>8.9999999999999993E-3</v>
      </c>
      <c r="AD38" s="168">
        <v>7.0000000000000001E-3</v>
      </c>
      <c r="AE38" s="176">
        <v>0</v>
      </c>
      <c r="AF38" s="176">
        <v>437</v>
      </c>
      <c r="AG38" s="167"/>
      <c r="AH38" s="180">
        <v>277.5</v>
      </c>
      <c r="AI38" s="166">
        <v>47.812455522947801</v>
      </c>
      <c r="AJ38" s="181" t="s">
        <v>53</v>
      </c>
      <c r="AK38" s="173">
        <v>0.75892786544361601</v>
      </c>
      <c r="AL38" s="174">
        <v>-152.501341180488</v>
      </c>
      <c r="AM38" s="168"/>
      <c r="AN38" s="168"/>
      <c r="AO38" s="176">
        <v>89</v>
      </c>
      <c r="AP38" s="176">
        <v>162</v>
      </c>
      <c r="AQ38" s="167"/>
      <c r="AR38" s="180">
        <v>43.5</v>
      </c>
      <c r="AS38" s="166">
        <v>7.4949254603539899</v>
      </c>
      <c r="AT38" s="181" t="s">
        <v>54</v>
      </c>
      <c r="AU38" s="173">
        <v>0.46843284127212398</v>
      </c>
      <c r="AV38" s="174">
        <v>-65.706689823616003</v>
      </c>
      <c r="AW38" s="168"/>
      <c r="AX38" s="168"/>
      <c r="AY38" s="176">
        <v>50</v>
      </c>
      <c r="AZ38" s="176">
        <v>68</v>
      </c>
      <c r="BA38" s="167"/>
      <c r="BB38" s="184">
        <v>175.2</v>
      </c>
      <c r="BC38" s="180">
        <v>30.186458405839499</v>
      </c>
      <c r="BD38" s="181" t="s">
        <v>55</v>
      </c>
      <c r="BE38" s="188">
        <v>0.94332682518248401</v>
      </c>
      <c r="BF38" s="171">
        <v>-43.213379647232102</v>
      </c>
      <c r="BG38" s="168"/>
      <c r="BH38" s="168"/>
      <c r="BI38" s="176">
        <v>11</v>
      </c>
      <c r="BJ38" s="176">
        <v>48</v>
      </c>
      <c r="BK38" s="169"/>
      <c r="BL38" s="185">
        <v>0.8</v>
      </c>
      <c r="BM38" s="173">
        <v>0.68</v>
      </c>
      <c r="BN38" s="186"/>
      <c r="BO38" s="187">
        <v>0.95</v>
      </c>
      <c r="BP38" s="188">
        <v>0.88</v>
      </c>
      <c r="BQ38" s="186"/>
    </row>
    <row r="39" spans="1:69" s="156" customFormat="1" ht="22.35" customHeight="1" x14ac:dyDescent="0.2">
      <c r="A39" s="165" t="s">
        <v>80</v>
      </c>
      <c r="B39" s="165" t="s">
        <v>81</v>
      </c>
      <c r="C39" s="165" t="s">
        <v>91</v>
      </c>
      <c r="D39" s="166">
        <v>2.9206349206666702</v>
      </c>
      <c r="E39" s="167"/>
      <c r="F39" s="168">
        <v>0.02</v>
      </c>
      <c r="G39" s="168">
        <v>1.7999999999999999E-2</v>
      </c>
      <c r="H39" s="169"/>
      <c r="I39" s="170">
        <v>3</v>
      </c>
      <c r="J39" s="170">
        <v>3</v>
      </c>
      <c r="K39" s="167"/>
      <c r="L39" s="171">
        <v>2093.4496899999999</v>
      </c>
      <c r="M39" s="171">
        <v>1875.2250100000001</v>
      </c>
      <c r="N39" s="171">
        <v>3968.6747</v>
      </c>
      <c r="O39" s="166">
        <v>1358.83970705045</v>
      </c>
      <c r="P39" s="172">
        <v>240.53200000000001</v>
      </c>
      <c r="Q39" s="178">
        <v>5.6493094767035199</v>
      </c>
      <c r="R39" s="179">
        <v>3142.5274573243501</v>
      </c>
      <c r="S39" s="168">
        <v>0.01</v>
      </c>
      <c r="T39" s="168">
        <v>0.01</v>
      </c>
      <c r="U39" s="175">
        <v>0</v>
      </c>
      <c r="V39" s="176">
        <v>0</v>
      </c>
      <c r="W39" s="167"/>
      <c r="X39" s="175">
        <v>1272.9578449999999</v>
      </c>
      <c r="Y39" s="166">
        <v>435.84969692460999</v>
      </c>
      <c r="Z39" s="177">
        <v>573</v>
      </c>
      <c r="AA39" s="173">
        <v>0.76064519533090802</v>
      </c>
      <c r="AB39" s="174">
        <v>-695.10615502139399</v>
      </c>
      <c r="AC39" s="168"/>
      <c r="AD39" s="168"/>
      <c r="AE39" s="176">
        <v>401</v>
      </c>
      <c r="AF39" s="176">
        <v>736</v>
      </c>
      <c r="AG39" s="167"/>
      <c r="AH39" s="180">
        <v>141.94999999999999</v>
      </c>
      <c r="AI39" s="166">
        <v>48.602445651645603</v>
      </c>
      <c r="AJ39" s="181" t="s">
        <v>53</v>
      </c>
      <c r="AK39" s="173">
        <v>0.77146739129596198</v>
      </c>
      <c r="AL39" s="174">
        <v>-74.434000002352207</v>
      </c>
      <c r="AM39" s="168"/>
      <c r="AN39" s="168"/>
      <c r="AO39" s="176">
        <v>43</v>
      </c>
      <c r="AP39" s="176">
        <v>79</v>
      </c>
      <c r="AQ39" s="167"/>
      <c r="AR39" s="180">
        <v>22.1</v>
      </c>
      <c r="AS39" s="166">
        <v>7.5668478260047101</v>
      </c>
      <c r="AT39" s="181" t="s">
        <v>54</v>
      </c>
      <c r="AU39" s="173">
        <v>0.47292798912529399</v>
      </c>
      <c r="AV39" s="174">
        <v>-32.854666667264098</v>
      </c>
      <c r="AW39" s="168"/>
      <c r="AX39" s="168"/>
      <c r="AY39" s="176">
        <v>25</v>
      </c>
      <c r="AZ39" s="176">
        <v>34</v>
      </c>
      <c r="BA39" s="167"/>
      <c r="BB39" s="184">
        <v>101.2</v>
      </c>
      <c r="BC39" s="180">
        <v>34.649999999623397</v>
      </c>
      <c r="BD39" s="181" t="s">
        <v>55</v>
      </c>
      <c r="BE39" s="182">
        <v>1.08281249998823</v>
      </c>
      <c r="BF39" s="183">
        <v>-8.7093333345281092</v>
      </c>
      <c r="BG39" s="168">
        <v>0.01</v>
      </c>
      <c r="BH39" s="168">
        <v>8.0000000000000002E-3</v>
      </c>
      <c r="BI39" s="176">
        <v>0</v>
      </c>
      <c r="BJ39" s="176">
        <v>11</v>
      </c>
      <c r="BK39" s="169"/>
      <c r="BL39" s="185">
        <v>0.8</v>
      </c>
      <c r="BM39" s="173">
        <v>0.68</v>
      </c>
      <c r="BN39" s="186"/>
      <c r="BO39" s="187">
        <v>0.95</v>
      </c>
      <c r="BP39" s="178">
        <v>1</v>
      </c>
      <c r="BQ39" s="186">
        <v>2.5000000000000001E-3</v>
      </c>
    </row>
    <row r="40" spans="1:69" s="156" customFormat="1" ht="22.35" customHeight="1" x14ac:dyDescent="0.2">
      <c r="A40" s="165" t="s">
        <v>80</v>
      </c>
      <c r="B40" s="165" t="s">
        <v>81</v>
      </c>
      <c r="C40" s="165" t="s">
        <v>92</v>
      </c>
      <c r="D40" s="166">
        <v>4.1371847502222199</v>
      </c>
      <c r="E40" s="167"/>
      <c r="F40" s="168">
        <v>3.5000000000000003E-2</v>
      </c>
      <c r="G40" s="168">
        <v>3.3000000000000002E-2</v>
      </c>
      <c r="H40" s="169"/>
      <c r="I40" s="170">
        <v>4</v>
      </c>
      <c r="J40" s="170">
        <v>4</v>
      </c>
      <c r="K40" s="167"/>
      <c r="L40" s="171">
        <v>1506.3793700000001</v>
      </c>
      <c r="M40" s="171">
        <v>1338.4908</v>
      </c>
      <c r="N40" s="171">
        <v>2844.8701700000001</v>
      </c>
      <c r="O40" s="166">
        <v>687.63430732630297</v>
      </c>
      <c r="P40" s="172">
        <v>228.25</v>
      </c>
      <c r="Q40" s="178">
        <v>3.01263661479212</v>
      </c>
      <c r="R40" s="179">
        <v>1734.3587649758499</v>
      </c>
      <c r="S40" s="168">
        <v>0.01</v>
      </c>
      <c r="T40" s="168">
        <v>0.01</v>
      </c>
      <c r="U40" s="175">
        <v>0</v>
      </c>
      <c r="V40" s="176">
        <v>0</v>
      </c>
      <c r="W40" s="167"/>
      <c r="X40" s="175">
        <v>2966.7255949999999</v>
      </c>
      <c r="Y40" s="166">
        <v>717.08801373703398</v>
      </c>
      <c r="Z40" s="177">
        <v>573</v>
      </c>
      <c r="AA40" s="178">
        <v>1.2514625021588699</v>
      </c>
      <c r="AB40" s="179">
        <v>178.89192543225801</v>
      </c>
      <c r="AC40" s="168">
        <v>0.02</v>
      </c>
      <c r="AD40" s="168">
        <v>0.02</v>
      </c>
      <c r="AE40" s="176">
        <v>0</v>
      </c>
      <c r="AF40" s="176">
        <v>0</v>
      </c>
      <c r="AG40" s="167"/>
      <c r="AH40" s="180">
        <v>188.3</v>
      </c>
      <c r="AI40" s="166">
        <v>45.5140418831636</v>
      </c>
      <c r="AJ40" s="181" t="s">
        <v>53</v>
      </c>
      <c r="AK40" s="173">
        <v>0.72244510925656502</v>
      </c>
      <c r="AL40" s="174">
        <v>-118.215743774464</v>
      </c>
      <c r="AM40" s="168"/>
      <c r="AN40" s="168"/>
      <c r="AO40" s="176">
        <v>73</v>
      </c>
      <c r="AP40" s="176">
        <v>125</v>
      </c>
      <c r="AQ40" s="167"/>
      <c r="AR40" s="180">
        <v>29.8</v>
      </c>
      <c r="AS40" s="166">
        <v>7.20296573615654</v>
      </c>
      <c r="AT40" s="181" t="s">
        <v>54</v>
      </c>
      <c r="AU40" s="173">
        <v>0.45018535850978397</v>
      </c>
      <c r="AV40" s="174">
        <v>-48.045268260181302</v>
      </c>
      <c r="AW40" s="168"/>
      <c r="AX40" s="168"/>
      <c r="AY40" s="176">
        <v>37</v>
      </c>
      <c r="AZ40" s="176">
        <v>50</v>
      </c>
      <c r="BA40" s="167"/>
      <c r="BB40" s="184">
        <v>136</v>
      </c>
      <c r="BC40" s="180">
        <v>32.872595305949297</v>
      </c>
      <c r="BD40" s="181" t="s">
        <v>55</v>
      </c>
      <c r="BE40" s="182">
        <v>1.02726860331091</v>
      </c>
      <c r="BF40" s="183">
        <v>-19.690536520362599</v>
      </c>
      <c r="BG40" s="168">
        <v>5.0000000000000001E-3</v>
      </c>
      <c r="BH40" s="168">
        <v>3.0000000000000001E-3</v>
      </c>
      <c r="BI40" s="176">
        <v>0</v>
      </c>
      <c r="BJ40" s="176">
        <v>23</v>
      </c>
      <c r="BK40" s="169"/>
      <c r="BL40" s="185">
        <v>0.8</v>
      </c>
      <c r="BM40" s="188">
        <v>0.73</v>
      </c>
      <c r="BN40" s="186"/>
      <c r="BO40" s="187">
        <v>0.95</v>
      </c>
      <c r="BP40" s="178">
        <v>1</v>
      </c>
      <c r="BQ40" s="186">
        <v>2.5000000000000001E-3</v>
      </c>
    </row>
    <row r="41" spans="1:69" s="156" customFormat="1" ht="22.35" customHeight="1" x14ac:dyDescent="0.2">
      <c r="A41" s="165" t="s">
        <v>80</v>
      </c>
      <c r="B41" s="165" t="s">
        <v>81</v>
      </c>
      <c r="C41" s="165" t="s">
        <v>93</v>
      </c>
      <c r="D41" s="166">
        <v>7.6785695595555596</v>
      </c>
      <c r="E41" s="167"/>
      <c r="F41" s="168">
        <v>4.2000000000000003E-2</v>
      </c>
      <c r="G41" s="168">
        <v>0.04</v>
      </c>
      <c r="H41" s="169"/>
      <c r="I41" s="170">
        <v>4</v>
      </c>
      <c r="J41" s="170">
        <v>4</v>
      </c>
      <c r="K41" s="167"/>
      <c r="L41" s="171">
        <v>5845.28215</v>
      </c>
      <c r="M41" s="171">
        <v>2421.89977</v>
      </c>
      <c r="N41" s="171">
        <v>8267.1819200000009</v>
      </c>
      <c r="O41" s="166">
        <v>1076.6565121119399</v>
      </c>
      <c r="P41" s="172">
        <v>287.5</v>
      </c>
      <c r="Q41" s="178">
        <v>3.7448922160415301</v>
      </c>
      <c r="R41" s="179">
        <v>5671.0575519142603</v>
      </c>
      <c r="S41" s="168">
        <v>0.01</v>
      </c>
      <c r="T41" s="168">
        <v>0.01</v>
      </c>
      <c r="U41" s="175">
        <v>0</v>
      </c>
      <c r="V41" s="176">
        <v>0</v>
      </c>
      <c r="W41" s="167"/>
      <c r="X41" s="175">
        <v>5281.5568249999997</v>
      </c>
      <c r="Y41" s="166">
        <v>687.83082370171303</v>
      </c>
      <c r="Z41" s="177">
        <v>573</v>
      </c>
      <c r="AA41" s="178">
        <v>1.20040283368536</v>
      </c>
      <c r="AB41" s="179">
        <v>107.368084432606</v>
      </c>
      <c r="AC41" s="168">
        <v>0.02</v>
      </c>
      <c r="AD41" s="168">
        <v>0.02</v>
      </c>
      <c r="AE41" s="176">
        <v>0</v>
      </c>
      <c r="AF41" s="176">
        <v>0</v>
      </c>
      <c r="AG41" s="167"/>
      <c r="AH41" s="180">
        <v>334.05</v>
      </c>
      <c r="AI41" s="166">
        <v>43.5041966357254</v>
      </c>
      <c r="AJ41" s="181" t="s">
        <v>53</v>
      </c>
      <c r="AK41" s="173">
        <v>0.69054280374167198</v>
      </c>
      <c r="AL41" s="174">
        <v>-234.839861528352</v>
      </c>
      <c r="AM41" s="168"/>
      <c r="AN41" s="168"/>
      <c r="AO41" s="176">
        <v>150</v>
      </c>
      <c r="AP41" s="176">
        <v>247</v>
      </c>
      <c r="AQ41" s="167"/>
      <c r="AR41" s="180">
        <v>74.400000000000006</v>
      </c>
      <c r="AS41" s="166">
        <v>9.6893046840232504</v>
      </c>
      <c r="AT41" s="181" t="s">
        <v>54</v>
      </c>
      <c r="AU41" s="173">
        <v>0.60558154275145304</v>
      </c>
      <c r="AV41" s="174">
        <v>-70.079964832597398</v>
      </c>
      <c r="AW41" s="168"/>
      <c r="AX41" s="168"/>
      <c r="AY41" s="176">
        <v>49</v>
      </c>
      <c r="AZ41" s="176">
        <v>74</v>
      </c>
      <c r="BA41" s="167"/>
      <c r="BB41" s="184">
        <v>270</v>
      </c>
      <c r="BC41" s="180">
        <v>35.162799256535997</v>
      </c>
      <c r="BD41" s="181" t="s">
        <v>55</v>
      </c>
      <c r="BE41" s="182">
        <v>1.0988374767667499</v>
      </c>
      <c r="BF41" s="183">
        <v>-18.959929665194799</v>
      </c>
      <c r="BG41" s="168">
        <v>1.2E-2</v>
      </c>
      <c r="BH41" s="168">
        <v>0.01</v>
      </c>
      <c r="BI41" s="176">
        <v>0</v>
      </c>
      <c r="BJ41" s="176">
        <v>25</v>
      </c>
      <c r="BK41" s="169"/>
      <c r="BL41" s="185">
        <v>0.8</v>
      </c>
      <c r="BM41" s="188">
        <v>0.71</v>
      </c>
      <c r="BN41" s="186"/>
      <c r="BO41" s="187">
        <v>0.95</v>
      </c>
      <c r="BP41" s="182">
        <v>0.97</v>
      </c>
      <c r="BQ41" s="186">
        <v>1E-3</v>
      </c>
    </row>
    <row r="42" spans="1:69" s="156" customFormat="1" ht="22.35" customHeight="1" x14ac:dyDescent="0.2">
      <c r="A42" s="165" t="s">
        <v>80</v>
      </c>
      <c r="B42" s="165" t="s">
        <v>81</v>
      </c>
      <c r="C42" s="165" t="s">
        <v>94</v>
      </c>
      <c r="D42" s="166">
        <v>2.4205745912222199</v>
      </c>
      <c r="E42" s="167"/>
      <c r="F42" s="168">
        <v>0.01</v>
      </c>
      <c r="G42" s="168">
        <v>0.01</v>
      </c>
      <c r="H42" s="169"/>
      <c r="I42" s="170">
        <v>2</v>
      </c>
      <c r="J42" s="170">
        <v>2</v>
      </c>
      <c r="K42" s="167"/>
      <c r="L42" s="171">
        <v>1746.08887</v>
      </c>
      <c r="M42" s="171">
        <v>1220.26773</v>
      </c>
      <c r="N42" s="171">
        <v>2966.3566000000001</v>
      </c>
      <c r="O42" s="166">
        <v>1225.47621988472</v>
      </c>
      <c r="P42" s="172">
        <v>276.94400000000002</v>
      </c>
      <c r="Q42" s="178">
        <v>4.4249964609622197</v>
      </c>
      <c r="R42" s="179">
        <v>2178.00899512046</v>
      </c>
      <c r="S42" s="168">
        <v>0.01</v>
      </c>
      <c r="T42" s="168">
        <v>0.01</v>
      </c>
      <c r="U42" s="175">
        <v>0</v>
      </c>
      <c r="V42" s="176">
        <v>0</v>
      </c>
      <c r="W42" s="167"/>
      <c r="X42" s="175">
        <v>1208.5059699999999</v>
      </c>
      <c r="Y42" s="166">
        <v>499.26408976712798</v>
      </c>
      <c r="Z42" s="177">
        <v>573</v>
      </c>
      <c r="AA42" s="188">
        <v>0.87131603798800605</v>
      </c>
      <c r="AB42" s="171">
        <v>-422.59337714590998</v>
      </c>
      <c r="AC42" s="168"/>
      <c r="AD42" s="168"/>
      <c r="AE42" s="176">
        <v>179</v>
      </c>
      <c r="AF42" s="176">
        <v>456</v>
      </c>
      <c r="AG42" s="167"/>
      <c r="AH42" s="180">
        <v>102.85</v>
      </c>
      <c r="AI42" s="166">
        <v>42.489911433825199</v>
      </c>
      <c r="AJ42" s="181" t="s">
        <v>53</v>
      </c>
      <c r="AK42" s="173">
        <v>0.67444303863214705</v>
      </c>
      <c r="AL42" s="174">
        <v>-76.485530314471802</v>
      </c>
      <c r="AM42" s="168"/>
      <c r="AN42" s="168"/>
      <c r="AO42" s="176">
        <v>50</v>
      </c>
      <c r="AP42" s="176">
        <v>81</v>
      </c>
      <c r="AQ42" s="167"/>
      <c r="AR42" s="180">
        <v>13.6</v>
      </c>
      <c r="AS42" s="166">
        <v>5.6185006854645003</v>
      </c>
      <c r="AT42" s="181" t="s">
        <v>54</v>
      </c>
      <c r="AU42" s="173">
        <v>0.35115629284153099</v>
      </c>
      <c r="AV42" s="174">
        <v>-31.945531508437298</v>
      </c>
      <c r="AW42" s="168"/>
      <c r="AX42" s="168"/>
      <c r="AY42" s="176">
        <v>26</v>
      </c>
      <c r="AZ42" s="176">
        <v>33</v>
      </c>
      <c r="BA42" s="167"/>
      <c r="BB42" s="184">
        <v>63.6</v>
      </c>
      <c r="BC42" s="180">
        <v>26.2747532055545</v>
      </c>
      <c r="BD42" s="181" t="s">
        <v>55</v>
      </c>
      <c r="BE42" s="188">
        <v>0.82108603767358002</v>
      </c>
      <c r="BF42" s="171">
        <v>-27.491063016874602</v>
      </c>
      <c r="BG42" s="168"/>
      <c r="BH42" s="168"/>
      <c r="BI42" s="176">
        <v>14</v>
      </c>
      <c r="BJ42" s="176">
        <v>30</v>
      </c>
      <c r="BK42" s="169"/>
      <c r="BL42" s="185">
        <v>0.8</v>
      </c>
      <c r="BM42" s="188">
        <v>0.75</v>
      </c>
      <c r="BN42" s="186"/>
      <c r="BO42" s="187">
        <v>0.95</v>
      </c>
      <c r="BP42" s="178">
        <v>1</v>
      </c>
      <c r="BQ42" s="186">
        <v>2.5000000000000001E-3</v>
      </c>
    </row>
    <row r="43" spans="1:69" s="156" customFormat="1" ht="22.35" customHeight="1" x14ac:dyDescent="0.2">
      <c r="A43" s="165" t="s">
        <v>80</v>
      </c>
      <c r="B43" s="165" t="s">
        <v>81</v>
      </c>
      <c r="C43" s="165" t="s">
        <v>95</v>
      </c>
      <c r="D43" s="166">
        <v>1.61576985288889</v>
      </c>
      <c r="E43" s="167"/>
      <c r="F43" s="168">
        <v>0.01</v>
      </c>
      <c r="G43" s="168">
        <v>0.01</v>
      </c>
      <c r="H43" s="169"/>
      <c r="I43" s="170">
        <v>2</v>
      </c>
      <c r="J43" s="170">
        <v>2</v>
      </c>
      <c r="K43" s="167"/>
      <c r="L43" s="171">
        <v>191.56234000000001</v>
      </c>
      <c r="M43" s="171">
        <v>686.73612000000003</v>
      </c>
      <c r="N43" s="171">
        <v>878.29845999999998</v>
      </c>
      <c r="O43" s="166">
        <v>543.57893757558395</v>
      </c>
      <c r="P43" s="172">
        <v>244.696</v>
      </c>
      <c r="Q43" s="178">
        <v>2.2214459475250301</v>
      </c>
      <c r="R43" s="179">
        <v>413.34049417113999</v>
      </c>
      <c r="S43" s="168">
        <v>0.01</v>
      </c>
      <c r="T43" s="168">
        <v>0.01</v>
      </c>
      <c r="U43" s="175">
        <v>0</v>
      </c>
      <c r="V43" s="176">
        <v>0</v>
      </c>
      <c r="W43" s="167"/>
      <c r="X43" s="175">
        <v>744.03961000000004</v>
      </c>
      <c r="Y43" s="166">
        <v>460.48613214914599</v>
      </c>
      <c r="Z43" s="177">
        <v>573</v>
      </c>
      <c r="AA43" s="188">
        <v>0.80364071928297798</v>
      </c>
      <c r="AB43" s="171">
        <v>-344.74367382947298</v>
      </c>
      <c r="AC43" s="168"/>
      <c r="AD43" s="168"/>
      <c r="AE43" s="176">
        <v>182</v>
      </c>
      <c r="AF43" s="176">
        <v>367</v>
      </c>
      <c r="AG43" s="167"/>
      <c r="AH43" s="180">
        <v>73.099999999999994</v>
      </c>
      <c r="AI43" s="166">
        <v>45.241591721309902</v>
      </c>
      <c r="AJ43" s="181" t="s">
        <v>53</v>
      </c>
      <c r="AK43" s="173">
        <v>0.71812050351285495</v>
      </c>
      <c r="AL43" s="174">
        <v>-46.609156860832101</v>
      </c>
      <c r="AM43" s="168"/>
      <c r="AN43" s="168"/>
      <c r="AO43" s="176">
        <v>29</v>
      </c>
      <c r="AP43" s="176">
        <v>50</v>
      </c>
      <c r="AQ43" s="167"/>
      <c r="AR43" s="180">
        <v>8</v>
      </c>
      <c r="AS43" s="166">
        <v>4.9512001883786398</v>
      </c>
      <c r="AT43" s="181" t="s">
        <v>54</v>
      </c>
      <c r="AU43" s="173">
        <v>0.30945001177366499</v>
      </c>
      <c r="AV43" s="174">
        <v>-22.402325551957301</v>
      </c>
      <c r="AW43" s="168"/>
      <c r="AX43" s="168"/>
      <c r="AY43" s="176">
        <v>18</v>
      </c>
      <c r="AZ43" s="176">
        <v>24</v>
      </c>
      <c r="BA43" s="167"/>
      <c r="BB43" s="184">
        <v>42</v>
      </c>
      <c r="BC43" s="180">
        <v>25.9938009889879</v>
      </c>
      <c r="BD43" s="181" t="s">
        <v>55</v>
      </c>
      <c r="BE43" s="188">
        <v>0.81230628090587098</v>
      </c>
      <c r="BF43" s="171">
        <v>-18.804651103914701</v>
      </c>
      <c r="BG43" s="168"/>
      <c r="BH43" s="168"/>
      <c r="BI43" s="176">
        <v>10</v>
      </c>
      <c r="BJ43" s="176">
        <v>21</v>
      </c>
      <c r="BK43" s="169"/>
      <c r="BL43" s="185">
        <v>0.8</v>
      </c>
      <c r="BM43" s="173">
        <v>0.68</v>
      </c>
      <c r="BN43" s="186"/>
      <c r="BO43" s="187">
        <v>0.95</v>
      </c>
      <c r="BP43" s="178">
        <v>1</v>
      </c>
      <c r="BQ43" s="186">
        <v>2.5000000000000001E-3</v>
      </c>
    </row>
    <row r="44" spans="1:69" s="156" customFormat="1" ht="22.35" customHeight="1" x14ac:dyDescent="0.2">
      <c r="A44" s="165" t="s">
        <v>80</v>
      </c>
      <c r="B44" s="165" t="s">
        <v>81</v>
      </c>
      <c r="C44" s="165" t="s">
        <v>96</v>
      </c>
      <c r="D44" s="166">
        <v>2.3852260407777801</v>
      </c>
      <c r="E44" s="167"/>
      <c r="F44" s="168">
        <v>0.05</v>
      </c>
      <c r="G44" s="168">
        <v>0.05</v>
      </c>
      <c r="H44" s="169"/>
      <c r="I44" s="170">
        <v>5</v>
      </c>
      <c r="J44" s="170">
        <v>5</v>
      </c>
      <c r="K44" s="167"/>
      <c r="L44" s="171">
        <v>736.09851000000003</v>
      </c>
      <c r="M44" s="171">
        <v>1393.9159500000001</v>
      </c>
      <c r="N44" s="171">
        <v>2130.0144599999999</v>
      </c>
      <c r="O44" s="166">
        <v>893.00318862251004</v>
      </c>
      <c r="P44" s="172">
        <v>239.304</v>
      </c>
      <c r="Q44" s="178">
        <v>3.7316684577880399</v>
      </c>
      <c r="R44" s="179">
        <v>1458.76056022435</v>
      </c>
      <c r="S44" s="168">
        <v>0.01</v>
      </c>
      <c r="T44" s="168">
        <v>0.01</v>
      </c>
      <c r="U44" s="175">
        <v>0</v>
      </c>
      <c r="V44" s="176">
        <v>0</v>
      </c>
      <c r="W44" s="167"/>
      <c r="X44" s="175">
        <v>1287.5651600000001</v>
      </c>
      <c r="Y44" s="166">
        <v>539.80844498081603</v>
      </c>
      <c r="Z44" s="177">
        <v>573</v>
      </c>
      <c r="AA44" s="188">
        <v>0.94207407501014995</v>
      </c>
      <c r="AB44" s="171">
        <v>-319.71463712602599</v>
      </c>
      <c r="AC44" s="168"/>
      <c r="AD44" s="168"/>
      <c r="AE44" s="176">
        <v>80</v>
      </c>
      <c r="AF44" s="176">
        <v>353</v>
      </c>
      <c r="AG44" s="167"/>
      <c r="AH44" s="180">
        <v>183.1</v>
      </c>
      <c r="AI44" s="166">
        <v>76.764213063972093</v>
      </c>
      <c r="AJ44" s="181" t="s">
        <v>53</v>
      </c>
      <c r="AK44" s="178">
        <v>1.2184795724440001</v>
      </c>
      <c r="AL44" s="179">
        <v>6.3833730908558302</v>
      </c>
      <c r="AM44" s="168">
        <v>0.02</v>
      </c>
      <c r="AN44" s="168">
        <v>0.02</v>
      </c>
      <c r="AO44" s="176">
        <v>0</v>
      </c>
      <c r="AP44" s="176">
        <v>0</v>
      </c>
      <c r="AQ44" s="167"/>
      <c r="AR44" s="180">
        <v>32.4</v>
      </c>
      <c r="AS44" s="166">
        <v>13.583618259272001</v>
      </c>
      <c r="AT44" s="181" t="s">
        <v>54</v>
      </c>
      <c r="AU44" s="188">
        <v>0.84897614120449705</v>
      </c>
      <c r="AV44" s="171">
        <v>-12.480413183274701</v>
      </c>
      <c r="AW44" s="168"/>
      <c r="AX44" s="168"/>
      <c r="AY44" s="176">
        <v>6</v>
      </c>
      <c r="AZ44" s="176">
        <v>14</v>
      </c>
      <c r="BA44" s="167"/>
      <c r="BB44" s="184">
        <v>116.6</v>
      </c>
      <c r="BC44" s="180">
        <v>48.884255834293597</v>
      </c>
      <c r="BD44" s="181" t="s">
        <v>55</v>
      </c>
      <c r="BE44" s="178">
        <v>1.52763299482167</v>
      </c>
      <c r="BF44" s="179">
        <v>26.839173633450599</v>
      </c>
      <c r="BG44" s="168">
        <v>0.02</v>
      </c>
      <c r="BH44" s="168">
        <v>0.02</v>
      </c>
      <c r="BI44" s="176">
        <v>0</v>
      </c>
      <c r="BJ44" s="176">
        <v>0</v>
      </c>
      <c r="BK44" s="169"/>
      <c r="BL44" s="185">
        <v>0.8</v>
      </c>
      <c r="BM44" s="182">
        <v>0.82</v>
      </c>
      <c r="BN44" s="186">
        <v>7.5000000000000002E-4</v>
      </c>
      <c r="BO44" s="187">
        <v>0.95</v>
      </c>
      <c r="BP44" s="178">
        <v>1</v>
      </c>
      <c r="BQ44" s="186">
        <v>2.5000000000000001E-3</v>
      </c>
    </row>
    <row r="45" spans="1:69" s="156" customFormat="1" ht="22.35" customHeight="1" x14ac:dyDescent="0.2">
      <c r="A45" s="165" t="s">
        <v>80</v>
      </c>
      <c r="B45" s="165" t="s">
        <v>81</v>
      </c>
      <c r="C45" s="165" t="s">
        <v>97</v>
      </c>
      <c r="D45" s="166">
        <v>2.94060150377778</v>
      </c>
      <c r="E45" s="167"/>
      <c r="F45" s="168">
        <v>0.05</v>
      </c>
      <c r="G45" s="168">
        <v>0.05</v>
      </c>
      <c r="H45" s="169"/>
      <c r="I45" s="170">
        <v>5</v>
      </c>
      <c r="J45" s="170">
        <v>5</v>
      </c>
      <c r="K45" s="167"/>
      <c r="L45" s="171">
        <v>3177.3970899999999</v>
      </c>
      <c r="M45" s="171">
        <v>1875.1320900000001</v>
      </c>
      <c r="N45" s="171">
        <v>5052.5291800000005</v>
      </c>
      <c r="O45" s="166">
        <v>1718.1958090917899</v>
      </c>
      <c r="P45" s="172">
        <v>287.5</v>
      </c>
      <c r="Q45" s="178">
        <v>5.9763332490149201</v>
      </c>
      <c r="R45" s="179">
        <v>4058.3118115727302</v>
      </c>
      <c r="S45" s="168">
        <v>0.01</v>
      </c>
      <c r="T45" s="168">
        <v>0.01</v>
      </c>
      <c r="U45" s="175">
        <v>0</v>
      </c>
      <c r="V45" s="176">
        <v>0</v>
      </c>
      <c r="W45" s="167"/>
      <c r="X45" s="175">
        <v>2031.08969</v>
      </c>
      <c r="Y45" s="166">
        <v>690.70551973488</v>
      </c>
      <c r="Z45" s="177">
        <v>573</v>
      </c>
      <c r="AA45" s="178">
        <v>1.2054197552092101</v>
      </c>
      <c r="AB45" s="179">
        <v>49.571247882350498</v>
      </c>
      <c r="AC45" s="168">
        <v>0.02</v>
      </c>
      <c r="AD45" s="168">
        <v>0.02</v>
      </c>
      <c r="AE45" s="176">
        <v>0</v>
      </c>
      <c r="AF45" s="176">
        <v>0</v>
      </c>
      <c r="AG45" s="167"/>
      <c r="AH45" s="180">
        <v>113.85</v>
      </c>
      <c r="AI45" s="166">
        <v>38.7165686522765</v>
      </c>
      <c r="AJ45" s="181" t="s">
        <v>53</v>
      </c>
      <c r="AK45" s="173">
        <v>0.61454870876629397</v>
      </c>
      <c r="AL45" s="174">
        <v>-104.01328421188801</v>
      </c>
      <c r="AM45" s="168"/>
      <c r="AN45" s="168"/>
      <c r="AO45" s="176">
        <v>72</v>
      </c>
      <c r="AP45" s="176">
        <v>109</v>
      </c>
      <c r="AQ45" s="167"/>
      <c r="AR45" s="180">
        <v>17.8</v>
      </c>
      <c r="AS45" s="166">
        <v>6.0531833290340202</v>
      </c>
      <c r="AT45" s="181" t="s">
        <v>54</v>
      </c>
      <c r="AU45" s="173">
        <v>0.37832395806462599</v>
      </c>
      <c r="AV45" s="174">
        <v>-37.530357895082702</v>
      </c>
      <c r="AW45" s="168"/>
      <c r="AX45" s="168"/>
      <c r="AY45" s="176">
        <v>30</v>
      </c>
      <c r="AZ45" s="176">
        <v>39</v>
      </c>
      <c r="BA45" s="167"/>
      <c r="BB45" s="184">
        <v>124</v>
      </c>
      <c r="BC45" s="180">
        <v>42.168243415742602</v>
      </c>
      <c r="BD45" s="181" t="s">
        <v>55</v>
      </c>
      <c r="BE45" s="178">
        <v>1.3177576067419601</v>
      </c>
      <c r="BF45" s="179">
        <v>13.339284209834601</v>
      </c>
      <c r="BG45" s="168">
        <v>0.02</v>
      </c>
      <c r="BH45" s="168">
        <v>0.02</v>
      </c>
      <c r="BI45" s="176">
        <v>0</v>
      </c>
      <c r="BJ45" s="176">
        <v>0</v>
      </c>
      <c r="BK45" s="169"/>
      <c r="BL45" s="185">
        <v>0.8</v>
      </c>
      <c r="BM45" s="182">
        <v>0.81</v>
      </c>
      <c r="BN45" s="186">
        <v>3.7500000000000001E-4</v>
      </c>
      <c r="BO45" s="187">
        <v>0.95</v>
      </c>
      <c r="BP45" s="178">
        <v>1</v>
      </c>
      <c r="BQ45" s="186">
        <v>2.5000000000000001E-3</v>
      </c>
    </row>
    <row r="46" spans="1:69" s="156" customFormat="1" ht="22.35" customHeight="1" x14ac:dyDescent="0.2">
      <c r="A46" s="165" t="s">
        <v>80</v>
      </c>
      <c r="B46" s="165" t="s">
        <v>81</v>
      </c>
      <c r="C46" s="165" t="s">
        <v>98</v>
      </c>
      <c r="D46" s="166">
        <v>8.6630214135555601</v>
      </c>
      <c r="E46" s="167"/>
      <c r="F46" s="168">
        <v>2.5999999999999999E-2</v>
      </c>
      <c r="G46" s="168">
        <v>2.3E-2</v>
      </c>
      <c r="H46" s="169"/>
      <c r="I46" s="170">
        <v>3</v>
      </c>
      <c r="J46" s="170">
        <v>3</v>
      </c>
      <c r="K46" s="167"/>
      <c r="L46" s="171">
        <v>3857.9786600000002</v>
      </c>
      <c r="M46" s="171">
        <v>4698.6522000000004</v>
      </c>
      <c r="N46" s="171">
        <v>8556.6308599999993</v>
      </c>
      <c r="O46" s="166">
        <v>987.71900143417895</v>
      </c>
      <c r="P46" s="172">
        <v>276.44</v>
      </c>
      <c r="Q46" s="178">
        <v>3.5729959536759499</v>
      </c>
      <c r="R46" s="179">
        <v>5740.3394278735605</v>
      </c>
      <c r="S46" s="168">
        <v>0.01</v>
      </c>
      <c r="T46" s="168">
        <v>0.01</v>
      </c>
      <c r="U46" s="175">
        <v>0</v>
      </c>
      <c r="V46" s="176">
        <v>0</v>
      </c>
      <c r="W46" s="167"/>
      <c r="X46" s="175">
        <v>4373.11906</v>
      </c>
      <c r="Y46" s="166">
        <v>504.80298399783601</v>
      </c>
      <c r="Z46" s="177">
        <v>573</v>
      </c>
      <c r="AA46" s="188">
        <v>0.88098252006603195</v>
      </c>
      <c r="AB46" s="171">
        <v>-1464.44059348159</v>
      </c>
      <c r="AC46" s="168"/>
      <c r="AD46" s="168"/>
      <c r="AE46" s="176">
        <v>591</v>
      </c>
      <c r="AF46" s="176">
        <v>1584</v>
      </c>
      <c r="AG46" s="167"/>
      <c r="AH46" s="180">
        <v>512.75</v>
      </c>
      <c r="AI46" s="166">
        <v>59.188356523933898</v>
      </c>
      <c r="AJ46" s="181" t="s">
        <v>53</v>
      </c>
      <c r="AK46" s="188">
        <v>0.93949772260212505</v>
      </c>
      <c r="AL46" s="171">
        <v>-129.075930487504</v>
      </c>
      <c r="AM46" s="168"/>
      <c r="AN46" s="168"/>
      <c r="AO46" s="176">
        <v>34</v>
      </c>
      <c r="AP46" s="176">
        <v>143</v>
      </c>
      <c r="AQ46" s="167"/>
      <c r="AR46" s="180">
        <v>23</v>
      </c>
      <c r="AS46" s="166">
        <v>2.65496284748997</v>
      </c>
      <c r="AT46" s="181" t="s">
        <v>54</v>
      </c>
      <c r="AU46" s="173">
        <v>0.16593517796812299</v>
      </c>
      <c r="AV46" s="174">
        <v>-140.003410917461</v>
      </c>
      <c r="AW46" s="168"/>
      <c r="AX46" s="168"/>
      <c r="AY46" s="176">
        <v>116</v>
      </c>
      <c r="AZ46" s="176">
        <v>144</v>
      </c>
      <c r="BA46" s="167"/>
      <c r="BB46" s="184">
        <v>314</v>
      </c>
      <c r="BC46" s="180">
        <v>36.246014526602103</v>
      </c>
      <c r="BD46" s="181" t="s">
        <v>55</v>
      </c>
      <c r="BE46" s="182">
        <v>1.1326879539563199</v>
      </c>
      <c r="BF46" s="183">
        <v>-12.0068218349228</v>
      </c>
      <c r="BG46" s="168">
        <v>1.6E-2</v>
      </c>
      <c r="BH46" s="168">
        <v>1.2999999999999999E-2</v>
      </c>
      <c r="BI46" s="176">
        <v>0</v>
      </c>
      <c r="BJ46" s="176">
        <v>19</v>
      </c>
      <c r="BK46" s="169"/>
      <c r="BL46" s="185">
        <v>0.8</v>
      </c>
      <c r="BM46" s="188">
        <v>0.7</v>
      </c>
      <c r="BN46" s="186"/>
      <c r="BO46" s="187">
        <v>0.95</v>
      </c>
      <c r="BP46" s="178">
        <v>1</v>
      </c>
      <c r="BQ46" s="186">
        <v>2.5000000000000001E-3</v>
      </c>
    </row>
    <row r="47" spans="1:69" s="156" customFormat="1" ht="22.35" customHeight="1" x14ac:dyDescent="0.2">
      <c r="A47" s="165" t="s">
        <v>80</v>
      </c>
      <c r="B47" s="165" t="s">
        <v>81</v>
      </c>
      <c r="C47" s="165" t="s">
        <v>99</v>
      </c>
      <c r="D47" s="166">
        <v>2.3098195907777801</v>
      </c>
      <c r="E47" s="167"/>
      <c r="F47" s="168">
        <v>0.01</v>
      </c>
      <c r="G47" s="168">
        <v>0.01</v>
      </c>
      <c r="H47" s="169"/>
      <c r="I47" s="170">
        <v>2</v>
      </c>
      <c r="J47" s="170">
        <v>2</v>
      </c>
      <c r="K47" s="167"/>
      <c r="L47" s="171">
        <v>475.94411000000002</v>
      </c>
      <c r="M47" s="171">
        <v>1048.0367799999999</v>
      </c>
      <c r="N47" s="171">
        <v>1523.98089</v>
      </c>
      <c r="O47" s="166">
        <v>659.78351559778503</v>
      </c>
      <c r="P47" s="172">
        <v>236.59800000000001</v>
      </c>
      <c r="Q47" s="178">
        <v>2.7886267660664301</v>
      </c>
      <c r="R47" s="179">
        <v>881.29842404632302</v>
      </c>
      <c r="S47" s="168">
        <v>0.01</v>
      </c>
      <c r="T47" s="168">
        <v>0.01</v>
      </c>
      <c r="U47" s="175">
        <v>0</v>
      </c>
      <c r="V47" s="176">
        <v>0</v>
      </c>
      <c r="W47" s="167"/>
      <c r="X47" s="175">
        <v>1111.6709499999999</v>
      </c>
      <c r="Y47" s="166">
        <v>481.280423128488</v>
      </c>
      <c r="Z47" s="177">
        <v>573</v>
      </c>
      <c r="AA47" s="188">
        <v>0.83993093041620903</v>
      </c>
      <c r="AB47" s="171">
        <v>-444.79636160642599</v>
      </c>
      <c r="AC47" s="168"/>
      <c r="AD47" s="168"/>
      <c r="AE47" s="176">
        <v>212</v>
      </c>
      <c r="AF47" s="176">
        <v>477</v>
      </c>
      <c r="AG47" s="167"/>
      <c r="AH47" s="180">
        <v>100.75</v>
      </c>
      <c r="AI47" s="166">
        <v>43.618125156724801</v>
      </c>
      <c r="AJ47" s="181" t="s">
        <v>53</v>
      </c>
      <c r="AK47" s="173">
        <v>0.69235119296388603</v>
      </c>
      <c r="AL47" s="174">
        <v>-70.379913841544194</v>
      </c>
      <c r="AM47" s="168"/>
      <c r="AN47" s="168"/>
      <c r="AO47" s="176">
        <v>45</v>
      </c>
      <c r="AP47" s="176">
        <v>74</v>
      </c>
      <c r="AQ47" s="167"/>
      <c r="AR47" s="180">
        <v>1</v>
      </c>
      <c r="AS47" s="166">
        <v>0.43293424473176001</v>
      </c>
      <c r="AT47" s="181" t="s">
        <v>54</v>
      </c>
      <c r="AU47" s="173">
        <v>2.7058390295735001E-2</v>
      </c>
      <c r="AV47" s="174">
        <v>-42.461565420074699</v>
      </c>
      <c r="AW47" s="168"/>
      <c r="AX47" s="168"/>
      <c r="AY47" s="176">
        <v>36</v>
      </c>
      <c r="AZ47" s="176">
        <v>44</v>
      </c>
      <c r="BA47" s="167"/>
      <c r="BB47" s="184">
        <v>63.2</v>
      </c>
      <c r="BC47" s="180">
        <v>27.361444267047201</v>
      </c>
      <c r="BD47" s="181" t="s">
        <v>55</v>
      </c>
      <c r="BE47" s="188">
        <v>0.85504513334522603</v>
      </c>
      <c r="BF47" s="171">
        <v>-23.723130840149398</v>
      </c>
      <c r="BG47" s="168"/>
      <c r="BH47" s="168"/>
      <c r="BI47" s="176">
        <v>11</v>
      </c>
      <c r="BJ47" s="176">
        <v>26</v>
      </c>
      <c r="BK47" s="169"/>
      <c r="BL47" s="185">
        <v>0.8</v>
      </c>
      <c r="BM47" s="188">
        <v>0.72</v>
      </c>
      <c r="BN47" s="186"/>
      <c r="BO47" s="187">
        <v>0.95</v>
      </c>
      <c r="BP47" s="178">
        <v>1</v>
      </c>
      <c r="BQ47" s="186">
        <v>2.5000000000000001E-3</v>
      </c>
    </row>
    <row r="48" spans="1:69" s="156" customFormat="1" ht="22.35" customHeight="1" x14ac:dyDescent="0.2">
      <c r="A48" s="165" t="s">
        <v>80</v>
      </c>
      <c r="B48" s="165" t="s">
        <v>100</v>
      </c>
      <c r="C48" s="165" t="s">
        <v>101</v>
      </c>
      <c r="D48" s="166">
        <v>2.9631336405555602</v>
      </c>
      <c r="E48" s="167"/>
      <c r="F48" s="168">
        <v>0.04</v>
      </c>
      <c r="G48" s="168">
        <v>0.04</v>
      </c>
      <c r="H48" s="169"/>
      <c r="I48" s="170">
        <v>4</v>
      </c>
      <c r="J48" s="170">
        <v>4</v>
      </c>
      <c r="K48" s="167"/>
      <c r="L48" s="171">
        <v>1650.86736</v>
      </c>
      <c r="M48" s="171">
        <v>1774.4032999999999</v>
      </c>
      <c r="N48" s="171">
        <v>3425.2706600000001</v>
      </c>
      <c r="O48" s="166">
        <v>1155.9622600612099</v>
      </c>
      <c r="P48" s="172">
        <v>287.5</v>
      </c>
      <c r="Q48" s="178">
        <v>4.0207382958650797</v>
      </c>
      <c r="R48" s="179">
        <v>2423.43517612817</v>
      </c>
      <c r="S48" s="168">
        <v>0.01</v>
      </c>
      <c r="T48" s="168">
        <v>0.01</v>
      </c>
      <c r="U48" s="175">
        <v>0</v>
      </c>
      <c r="V48" s="176">
        <v>0</v>
      </c>
      <c r="W48" s="167"/>
      <c r="X48" s="175">
        <v>1562.4401250000001</v>
      </c>
      <c r="Y48" s="166">
        <v>527.29316815662105</v>
      </c>
      <c r="Z48" s="177">
        <v>573</v>
      </c>
      <c r="AA48" s="188">
        <v>0.92023240515989602</v>
      </c>
      <c r="AB48" s="171">
        <v>-434.26155242108302</v>
      </c>
      <c r="AC48" s="168"/>
      <c r="AD48" s="168"/>
      <c r="AE48" s="176">
        <v>136</v>
      </c>
      <c r="AF48" s="176">
        <v>476</v>
      </c>
      <c r="AG48" s="167"/>
      <c r="AH48" s="180">
        <v>171.5</v>
      </c>
      <c r="AI48" s="166">
        <v>57.877916018612503</v>
      </c>
      <c r="AJ48" s="181" t="s">
        <v>53</v>
      </c>
      <c r="AK48" s="188">
        <v>0.91869707966051595</v>
      </c>
      <c r="AL48" s="171">
        <v>-48.032645161480303</v>
      </c>
      <c r="AM48" s="168"/>
      <c r="AN48" s="168"/>
      <c r="AO48" s="176">
        <v>16</v>
      </c>
      <c r="AP48" s="176">
        <v>53</v>
      </c>
      <c r="AQ48" s="167"/>
      <c r="AR48" s="180">
        <v>58.9</v>
      </c>
      <c r="AS48" s="166">
        <v>19.877604976654698</v>
      </c>
      <c r="AT48" s="181" t="s">
        <v>54</v>
      </c>
      <c r="AU48" s="178">
        <v>1.24235031104092</v>
      </c>
      <c r="AV48" s="179">
        <v>3.1456774193065802</v>
      </c>
      <c r="AW48" s="168">
        <v>0.01</v>
      </c>
      <c r="AX48" s="168">
        <v>0.01</v>
      </c>
      <c r="AY48" s="176">
        <v>0</v>
      </c>
      <c r="AZ48" s="176">
        <v>0</v>
      </c>
      <c r="BA48" s="167"/>
      <c r="BB48" s="184">
        <v>123</v>
      </c>
      <c r="BC48" s="180">
        <v>41.5101088646609</v>
      </c>
      <c r="BD48" s="181" t="s">
        <v>55</v>
      </c>
      <c r="BE48" s="178">
        <v>1.29719090202065</v>
      </c>
      <c r="BF48" s="179">
        <v>11.4913548386132</v>
      </c>
      <c r="BG48" s="168">
        <v>0.02</v>
      </c>
      <c r="BH48" s="168">
        <v>0.02</v>
      </c>
      <c r="BI48" s="176">
        <v>0</v>
      </c>
      <c r="BJ48" s="176">
        <v>0</v>
      </c>
      <c r="BK48" s="169"/>
      <c r="BL48" s="185">
        <v>0.8</v>
      </c>
      <c r="BM48" s="173">
        <v>0.64</v>
      </c>
      <c r="BN48" s="186"/>
      <c r="BO48" s="187">
        <v>0.95</v>
      </c>
      <c r="BP48" s="178">
        <v>1</v>
      </c>
      <c r="BQ48" s="186">
        <v>2.5000000000000001E-3</v>
      </c>
    </row>
    <row r="49" spans="1:69" s="156" customFormat="1" ht="22.35" customHeight="1" x14ac:dyDescent="0.2">
      <c r="A49" s="165" t="s">
        <v>80</v>
      </c>
      <c r="B49" s="165" t="s">
        <v>100</v>
      </c>
      <c r="C49" s="165" t="s">
        <v>102</v>
      </c>
      <c r="D49" s="166">
        <v>3.6627518924444402</v>
      </c>
      <c r="E49" s="167"/>
      <c r="F49" s="168">
        <v>0.01</v>
      </c>
      <c r="G49" s="168">
        <v>0.01</v>
      </c>
      <c r="H49" s="169"/>
      <c r="I49" s="170">
        <v>2</v>
      </c>
      <c r="J49" s="170">
        <v>2</v>
      </c>
      <c r="K49" s="167"/>
      <c r="L49" s="171">
        <v>3625.0295299999998</v>
      </c>
      <c r="M49" s="171">
        <v>-46.535040000000002</v>
      </c>
      <c r="N49" s="171">
        <v>3578.49449</v>
      </c>
      <c r="O49" s="166">
        <v>976.99614800056395</v>
      </c>
      <c r="P49" s="172">
        <v>265.84899999999999</v>
      </c>
      <c r="Q49" s="178">
        <v>3.67500403612789</v>
      </c>
      <c r="R49" s="179">
        <v>2433.37751084315</v>
      </c>
      <c r="S49" s="168">
        <v>0.01</v>
      </c>
      <c r="T49" s="168">
        <v>0.01</v>
      </c>
      <c r="U49" s="175">
        <v>0</v>
      </c>
      <c r="V49" s="176">
        <v>0</v>
      </c>
      <c r="W49" s="167"/>
      <c r="X49" s="175">
        <v>1605.0806950000001</v>
      </c>
      <c r="Y49" s="166">
        <v>438.21714987328897</v>
      </c>
      <c r="Z49" s="177">
        <v>573</v>
      </c>
      <c r="AA49" s="173">
        <v>0.76477687586961396</v>
      </c>
      <c r="AB49" s="174">
        <v>-863.05734221989997</v>
      </c>
      <c r="AC49" s="168"/>
      <c r="AD49" s="168"/>
      <c r="AE49" s="176">
        <v>494</v>
      </c>
      <c r="AF49" s="176">
        <v>914</v>
      </c>
      <c r="AG49" s="167"/>
      <c r="AH49" s="180">
        <v>122.1</v>
      </c>
      <c r="AI49" s="166">
        <v>33.3355912672843</v>
      </c>
      <c r="AJ49" s="181" t="s">
        <v>53</v>
      </c>
      <c r="AK49" s="173">
        <v>0.52913636932197305</v>
      </c>
      <c r="AL49" s="174">
        <v>-149.265962207424</v>
      </c>
      <c r="AM49" s="168"/>
      <c r="AN49" s="168"/>
      <c r="AO49" s="176">
        <v>109</v>
      </c>
      <c r="AP49" s="176">
        <v>155</v>
      </c>
      <c r="AQ49" s="167"/>
      <c r="AR49" s="180">
        <v>4.8</v>
      </c>
      <c r="AS49" s="166">
        <v>1.31049007438955</v>
      </c>
      <c r="AT49" s="181" t="s">
        <v>54</v>
      </c>
      <c r="AU49" s="173">
        <v>8.1905629649346903E-2</v>
      </c>
      <c r="AV49" s="174">
        <v>-64.118339608234606</v>
      </c>
      <c r="AW49" s="168"/>
      <c r="AX49" s="168"/>
      <c r="AY49" s="176">
        <v>54</v>
      </c>
      <c r="AZ49" s="176">
        <v>66</v>
      </c>
      <c r="BA49" s="167"/>
      <c r="BB49" s="184">
        <v>99.6</v>
      </c>
      <c r="BC49" s="180">
        <v>27.192669043583201</v>
      </c>
      <c r="BD49" s="181" t="s">
        <v>55</v>
      </c>
      <c r="BE49" s="188">
        <v>0.84977090761197605</v>
      </c>
      <c r="BF49" s="171">
        <v>-38.236679216469099</v>
      </c>
      <c r="BG49" s="168"/>
      <c r="BH49" s="168"/>
      <c r="BI49" s="176">
        <v>18</v>
      </c>
      <c r="BJ49" s="176">
        <v>42</v>
      </c>
      <c r="BK49" s="169"/>
      <c r="BL49" s="185">
        <v>0.8</v>
      </c>
      <c r="BM49" s="173">
        <v>0.64</v>
      </c>
      <c r="BN49" s="186"/>
      <c r="BO49" s="187">
        <v>0.95</v>
      </c>
      <c r="BP49" s="178">
        <v>1</v>
      </c>
      <c r="BQ49" s="186">
        <v>2.5000000000000001E-3</v>
      </c>
    </row>
    <row r="50" spans="1:69" s="156" customFormat="1" ht="22.35" customHeight="1" x14ac:dyDescent="0.2">
      <c r="A50" s="165" t="s">
        <v>80</v>
      </c>
      <c r="B50" s="165" t="s">
        <v>100</v>
      </c>
      <c r="C50" s="165" t="s">
        <v>103</v>
      </c>
      <c r="D50" s="166">
        <v>4.5139963626666697</v>
      </c>
      <c r="E50" s="167"/>
      <c r="F50" s="168">
        <v>0.01</v>
      </c>
      <c r="G50" s="168">
        <v>0.01</v>
      </c>
      <c r="H50" s="169"/>
      <c r="I50" s="170">
        <v>2</v>
      </c>
      <c r="J50" s="170">
        <v>2</v>
      </c>
      <c r="K50" s="167"/>
      <c r="L50" s="171">
        <v>2450.5290500000001</v>
      </c>
      <c r="M50" s="171">
        <v>2038.51783</v>
      </c>
      <c r="N50" s="171">
        <v>4489.0468799999999</v>
      </c>
      <c r="O50" s="166">
        <v>994.47286159266503</v>
      </c>
      <c r="P50" s="172">
        <v>287.5</v>
      </c>
      <c r="Q50" s="178">
        <v>3.4590360403223102</v>
      </c>
      <c r="R50" s="179">
        <v>2962.8647097824</v>
      </c>
      <c r="S50" s="168">
        <v>0.01</v>
      </c>
      <c r="T50" s="168">
        <v>0.01</v>
      </c>
      <c r="U50" s="175">
        <v>0</v>
      </c>
      <c r="V50" s="176">
        <v>0</v>
      </c>
      <c r="W50" s="167"/>
      <c r="X50" s="175">
        <v>1472.6711700000001</v>
      </c>
      <c r="Y50" s="166">
        <v>326.24553758612501</v>
      </c>
      <c r="Z50" s="177">
        <v>573</v>
      </c>
      <c r="AA50" s="173">
        <v>0.56936393994088197</v>
      </c>
      <c r="AB50" s="174">
        <v>-1569.0762509902099</v>
      </c>
      <c r="AC50" s="168"/>
      <c r="AD50" s="168"/>
      <c r="AE50" s="176">
        <v>1114</v>
      </c>
      <c r="AF50" s="176">
        <v>1632</v>
      </c>
      <c r="AG50" s="167"/>
      <c r="AH50" s="180">
        <v>148.69999999999999</v>
      </c>
      <c r="AI50" s="166">
        <v>32.9419848960965</v>
      </c>
      <c r="AJ50" s="181" t="s">
        <v>53</v>
      </c>
      <c r="AK50" s="173">
        <v>0.52288864914438904</v>
      </c>
      <c r="AL50" s="174">
        <v>-185.73296251724801</v>
      </c>
      <c r="AM50" s="168"/>
      <c r="AN50" s="168"/>
      <c r="AO50" s="176">
        <v>136</v>
      </c>
      <c r="AP50" s="176">
        <v>193</v>
      </c>
      <c r="AQ50" s="167"/>
      <c r="AR50" s="180">
        <v>17.100000000000001</v>
      </c>
      <c r="AS50" s="166">
        <v>3.7882174964576398</v>
      </c>
      <c r="AT50" s="181" t="s">
        <v>54</v>
      </c>
      <c r="AU50" s="173">
        <v>0.23676359352860299</v>
      </c>
      <c r="AV50" s="174">
        <v>-67.835355559936104</v>
      </c>
      <c r="AW50" s="168"/>
      <c r="AX50" s="168"/>
      <c r="AY50" s="176">
        <v>56</v>
      </c>
      <c r="AZ50" s="176">
        <v>70</v>
      </c>
      <c r="BA50" s="167"/>
      <c r="BB50" s="184">
        <v>105.6</v>
      </c>
      <c r="BC50" s="180">
        <v>23.393904539527899</v>
      </c>
      <c r="BD50" s="181" t="s">
        <v>55</v>
      </c>
      <c r="BE50" s="173">
        <v>0.73105951686024595</v>
      </c>
      <c r="BF50" s="174">
        <v>-64.270711119872104</v>
      </c>
      <c r="BG50" s="168"/>
      <c r="BH50" s="168"/>
      <c r="BI50" s="176">
        <v>39</v>
      </c>
      <c r="BJ50" s="176">
        <v>68</v>
      </c>
      <c r="BK50" s="169"/>
      <c r="BL50" s="185">
        <v>0.8</v>
      </c>
      <c r="BM50" s="173">
        <v>0.68</v>
      </c>
      <c r="BN50" s="186"/>
      <c r="BO50" s="187">
        <v>0.95</v>
      </c>
      <c r="BP50" s="178">
        <v>1</v>
      </c>
      <c r="BQ50" s="186">
        <v>2.5000000000000001E-3</v>
      </c>
    </row>
    <row r="51" spans="1:69" s="156" customFormat="1" ht="22.35" customHeight="1" x14ac:dyDescent="0.2">
      <c r="A51" s="165" t="s">
        <v>80</v>
      </c>
      <c r="B51" s="165" t="s">
        <v>100</v>
      </c>
      <c r="C51" s="165" t="s">
        <v>104</v>
      </c>
      <c r="D51" s="166">
        <v>2.2098362645555598</v>
      </c>
      <c r="E51" s="167"/>
      <c r="F51" s="168">
        <v>3.6999999999999998E-2</v>
      </c>
      <c r="G51" s="168">
        <v>3.5000000000000003E-2</v>
      </c>
      <c r="H51" s="169"/>
      <c r="I51" s="170">
        <v>4</v>
      </c>
      <c r="J51" s="170">
        <v>4</v>
      </c>
      <c r="K51" s="167"/>
      <c r="L51" s="171">
        <v>134.19263000000001</v>
      </c>
      <c r="M51" s="171">
        <v>2103.0516200000002</v>
      </c>
      <c r="N51" s="171">
        <v>2237.2442500000002</v>
      </c>
      <c r="O51" s="166">
        <v>1012.40272226683</v>
      </c>
      <c r="P51" s="172">
        <v>287.5</v>
      </c>
      <c r="Q51" s="178">
        <v>3.52140077310202</v>
      </c>
      <c r="R51" s="179">
        <v>1490.0986089537701</v>
      </c>
      <c r="S51" s="168">
        <v>0.01</v>
      </c>
      <c r="T51" s="168">
        <v>0.01</v>
      </c>
      <c r="U51" s="175">
        <v>0</v>
      </c>
      <c r="V51" s="176">
        <v>0</v>
      </c>
      <c r="W51" s="167"/>
      <c r="X51" s="175">
        <v>1176.1848849999999</v>
      </c>
      <c r="Y51" s="166">
        <v>532.24978875824297</v>
      </c>
      <c r="Z51" s="177">
        <v>573</v>
      </c>
      <c r="AA51" s="188">
        <v>0.92888270289396702</v>
      </c>
      <c r="AB51" s="171">
        <v>-312.908862198235</v>
      </c>
      <c r="AC51" s="168"/>
      <c r="AD51" s="168"/>
      <c r="AE51" s="176">
        <v>91</v>
      </c>
      <c r="AF51" s="176">
        <v>344</v>
      </c>
      <c r="AG51" s="167"/>
      <c r="AH51" s="180">
        <v>145.65</v>
      </c>
      <c r="AI51" s="166">
        <v>65.909860534075904</v>
      </c>
      <c r="AJ51" s="181" t="s">
        <v>53</v>
      </c>
      <c r="AK51" s="182">
        <v>1.04618826244565</v>
      </c>
      <c r="AL51" s="183">
        <v>-18.0723491683923</v>
      </c>
      <c r="AM51" s="168">
        <v>7.0000000000000001E-3</v>
      </c>
      <c r="AN51" s="168">
        <v>5.0000000000000001E-3</v>
      </c>
      <c r="AO51" s="176">
        <v>0</v>
      </c>
      <c r="AP51" s="176">
        <v>22</v>
      </c>
      <c r="AQ51" s="167"/>
      <c r="AR51" s="180">
        <v>9.3000000000000007</v>
      </c>
      <c r="AS51" s="166">
        <v>4.2084565943488199</v>
      </c>
      <c r="AT51" s="181" t="s">
        <v>54</v>
      </c>
      <c r="AU51" s="173">
        <v>0.26302853714680102</v>
      </c>
      <c r="AV51" s="174">
        <v>-32.280279153877402</v>
      </c>
      <c r="AW51" s="168"/>
      <c r="AX51" s="168"/>
      <c r="AY51" s="176">
        <v>27</v>
      </c>
      <c r="AZ51" s="176">
        <v>34</v>
      </c>
      <c r="BA51" s="167"/>
      <c r="BB51" s="184">
        <v>107.6</v>
      </c>
      <c r="BC51" s="180">
        <v>48.6913902744014</v>
      </c>
      <c r="BD51" s="181" t="s">
        <v>55</v>
      </c>
      <c r="BE51" s="178">
        <v>1.52160594607504</v>
      </c>
      <c r="BF51" s="179">
        <v>24.4394416922452</v>
      </c>
      <c r="BG51" s="168">
        <v>0.02</v>
      </c>
      <c r="BH51" s="168">
        <v>0.02</v>
      </c>
      <c r="BI51" s="176">
        <v>0</v>
      </c>
      <c r="BJ51" s="176">
        <v>0</v>
      </c>
      <c r="BK51" s="169"/>
      <c r="BL51" s="185">
        <v>0.8</v>
      </c>
      <c r="BM51" s="188">
        <v>0.73</v>
      </c>
      <c r="BN51" s="186"/>
      <c r="BO51" s="187">
        <v>0.95</v>
      </c>
      <c r="BP51" s="178">
        <v>1</v>
      </c>
      <c r="BQ51" s="186">
        <v>2.5000000000000001E-3</v>
      </c>
    </row>
    <row r="52" spans="1:69" s="156" customFormat="1" ht="22.35" customHeight="1" x14ac:dyDescent="0.2">
      <c r="A52" s="165" t="s">
        <v>80</v>
      </c>
      <c r="B52" s="165" t="s">
        <v>100</v>
      </c>
      <c r="C52" s="165" t="s">
        <v>105</v>
      </c>
      <c r="D52" s="166">
        <v>7.7514398572222198</v>
      </c>
      <c r="E52" s="167"/>
      <c r="F52" s="168">
        <v>2.8000000000000001E-2</v>
      </c>
      <c r="G52" s="168">
        <v>2.4E-2</v>
      </c>
      <c r="H52" s="169"/>
      <c r="I52" s="170">
        <v>4</v>
      </c>
      <c r="J52" s="170">
        <v>4</v>
      </c>
      <c r="K52" s="167"/>
      <c r="L52" s="171">
        <v>5702.8802100000003</v>
      </c>
      <c r="M52" s="171">
        <v>4564.0138500000003</v>
      </c>
      <c r="N52" s="171">
        <v>10266.894060000001</v>
      </c>
      <c r="O52" s="166">
        <v>1324.5144449432901</v>
      </c>
      <c r="P52" s="172">
        <v>287.5</v>
      </c>
      <c r="Q52" s="178">
        <v>4.6070067650201398</v>
      </c>
      <c r="R52" s="179">
        <v>7646.1322442731698</v>
      </c>
      <c r="S52" s="168">
        <v>0.01</v>
      </c>
      <c r="T52" s="168">
        <v>0.01</v>
      </c>
      <c r="U52" s="175">
        <v>0</v>
      </c>
      <c r="V52" s="176">
        <v>0</v>
      </c>
      <c r="W52" s="167"/>
      <c r="X52" s="175">
        <v>4802.3848600000001</v>
      </c>
      <c r="Y52" s="166">
        <v>619.54745807973904</v>
      </c>
      <c r="Z52" s="177">
        <v>573</v>
      </c>
      <c r="AA52" s="182">
        <v>1.08123465633462</v>
      </c>
      <c r="AB52" s="183">
        <v>-420.90738490947803</v>
      </c>
      <c r="AC52" s="168">
        <v>0.01</v>
      </c>
      <c r="AD52" s="168">
        <v>8.0000000000000002E-3</v>
      </c>
      <c r="AE52" s="176">
        <v>0</v>
      </c>
      <c r="AF52" s="176">
        <v>528</v>
      </c>
      <c r="AG52" s="167"/>
      <c r="AH52" s="180">
        <v>443.7</v>
      </c>
      <c r="AI52" s="166">
        <v>57.240978214723903</v>
      </c>
      <c r="AJ52" s="181" t="s">
        <v>53</v>
      </c>
      <c r="AK52" s="188">
        <v>0.90858695578926896</v>
      </c>
      <c r="AL52" s="171">
        <v>-130.58867614188</v>
      </c>
      <c r="AM52" s="168"/>
      <c r="AN52" s="168"/>
      <c r="AO52" s="176">
        <v>45</v>
      </c>
      <c r="AP52" s="176">
        <v>143</v>
      </c>
      <c r="AQ52" s="167"/>
      <c r="AR52" s="180">
        <v>82.6</v>
      </c>
      <c r="AS52" s="166">
        <v>10.656084743151199</v>
      </c>
      <c r="AT52" s="181" t="s">
        <v>54</v>
      </c>
      <c r="AU52" s="173">
        <v>0.66600529644695095</v>
      </c>
      <c r="AV52" s="174">
        <v>-63.251092353493299</v>
      </c>
      <c r="AW52" s="168"/>
      <c r="AX52" s="168"/>
      <c r="AY52" s="176">
        <v>42</v>
      </c>
      <c r="AZ52" s="176">
        <v>67</v>
      </c>
      <c r="BA52" s="167"/>
      <c r="BB52" s="184">
        <v>263.60000000000002</v>
      </c>
      <c r="BC52" s="180">
        <v>34.0065852093785</v>
      </c>
      <c r="BD52" s="181" t="s">
        <v>55</v>
      </c>
      <c r="BE52" s="182">
        <v>1.0627057877930799</v>
      </c>
      <c r="BF52" s="183">
        <v>-28.102184706986499</v>
      </c>
      <c r="BG52" s="168">
        <v>8.0000000000000002E-3</v>
      </c>
      <c r="BH52" s="168">
        <v>6.0000000000000001E-3</v>
      </c>
      <c r="BI52" s="176">
        <v>0</v>
      </c>
      <c r="BJ52" s="176">
        <v>35</v>
      </c>
      <c r="BK52" s="169"/>
      <c r="BL52" s="185">
        <v>0.8</v>
      </c>
      <c r="BM52" s="188">
        <v>0.73</v>
      </c>
      <c r="BN52" s="186"/>
      <c r="BO52" s="187">
        <v>0.95</v>
      </c>
      <c r="BP52" s="178">
        <v>1</v>
      </c>
      <c r="BQ52" s="186">
        <v>2.5000000000000001E-3</v>
      </c>
    </row>
    <row r="53" spans="1:69" s="156" customFormat="1" ht="22.35" customHeight="1" x14ac:dyDescent="0.2">
      <c r="A53" s="165" t="s">
        <v>80</v>
      </c>
      <c r="B53" s="165" t="s">
        <v>100</v>
      </c>
      <c r="C53" s="165" t="s">
        <v>106</v>
      </c>
      <c r="D53" s="166">
        <v>4.7798890690000002</v>
      </c>
      <c r="E53" s="167"/>
      <c r="F53" s="168">
        <v>2.5999999999999999E-2</v>
      </c>
      <c r="G53" s="168">
        <v>2.4E-2</v>
      </c>
      <c r="H53" s="169"/>
      <c r="I53" s="170">
        <v>3</v>
      </c>
      <c r="J53" s="170">
        <v>3</v>
      </c>
      <c r="K53" s="167"/>
      <c r="L53" s="171">
        <v>1301.6352300000001</v>
      </c>
      <c r="M53" s="171">
        <v>1349.9503</v>
      </c>
      <c r="N53" s="171">
        <v>2651.5855299999998</v>
      </c>
      <c r="O53" s="166">
        <v>554.73788025686099</v>
      </c>
      <c r="P53" s="172">
        <v>284.87700000000001</v>
      </c>
      <c r="Q53" s="178">
        <v>1.9472891116406801</v>
      </c>
      <c r="R53" s="179">
        <v>1050.24931102801</v>
      </c>
      <c r="S53" s="168">
        <v>0.01</v>
      </c>
      <c r="T53" s="168">
        <v>0.01</v>
      </c>
      <c r="U53" s="175">
        <v>0</v>
      </c>
      <c r="V53" s="176">
        <v>0</v>
      </c>
      <c r="W53" s="167"/>
      <c r="X53" s="175">
        <v>2355.599835</v>
      </c>
      <c r="Y53" s="166">
        <v>492.81474967217503</v>
      </c>
      <c r="Z53" s="177">
        <v>573</v>
      </c>
      <c r="AA53" s="188">
        <v>0.86006064515213798</v>
      </c>
      <c r="AB53" s="171">
        <v>-865.31885436751202</v>
      </c>
      <c r="AC53" s="168"/>
      <c r="AD53" s="168"/>
      <c r="AE53" s="176">
        <v>384</v>
      </c>
      <c r="AF53" s="176">
        <v>932</v>
      </c>
      <c r="AG53" s="167"/>
      <c r="AH53" s="180">
        <v>169.25</v>
      </c>
      <c r="AI53" s="166">
        <v>35.408771533563801</v>
      </c>
      <c r="AJ53" s="181" t="s">
        <v>53</v>
      </c>
      <c r="AK53" s="173">
        <v>0.56204399259625104</v>
      </c>
      <c r="AL53" s="174">
        <v>-184.88242134407199</v>
      </c>
      <c r="AM53" s="168"/>
      <c r="AN53" s="168"/>
      <c r="AO53" s="176">
        <v>132</v>
      </c>
      <c r="AP53" s="176">
        <v>193</v>
      </c>
      <c r="AQ53" s="167"/>
      <c r="AR53" s="180">
        <v>24.2</v>
      </c>
      <c r="AS53" s="166">
        <v>5.0628790021402903</v>
      </c>
      <c r="AT53" s="181" t="s">
        <v>54</v>
      </c>
      <c r="AU53" s="173">
        <v>0.31642993763376798</v>
      </c>
      <c r="AV53" s="174">
        <v>-65.738392722303999</v>
      </c>
      <c r="AW53" s="168"/>
      <c r="AX53" s="168"/>
      <c r="AY53" s="176">
        <v>53</v>
      </c>
      <c r="AZ53" s="176">
        <v>68</v>
      </c>
      <c r="BA53" s="167"/>
      <c r="BB53" s="184">
        <v>173.8</v>
      </c>
      <c r="BC53" s="180">
        <v>36.360676469916598</v>
      </c>
      <c r="BD53" s="181" t="s">
        <v>55</v>
      </c>
      <c r="BE53" s="182">
        <v>1.1362711396848899</v>
      </c>
      <c r="BF53" s="183">
        <v>-6.0767854446079896</v>
      </c>
      <c r="BG53" s="168">
        <v>1.6E-2</v>
      </c>
      <c r="BH53" s="168">
        <v>1.4E-2</v>
      </c>
      <c r="BI53" s="176">
        <v>0</v>
      </c>
      <c r="BJ53" s="176">
        <v>10</v>
      </c>
      <c r="BK53" s="169"/>
      <c r="BL53" s="185">
        <v>0.8</v>
      </c>
      <c r="BM53" s="188">
        <v>0.7</v>
      </c>
      <c r="BN53" s="186"/>
      <c r="BO53" s="187">
        <v>0.95</v>
      </c>
      <c r="BP53" s="178">
        <v>1</v>
      </c>
      <c r="BQ53" s="186">
        <v>2.5000000000000001E-3</v>
      </c>
    </row>
    <row r="54" spans="1:69" s="156" customFormat="1" ht="22.35" customHeight="1" x14ac:dyDescent="0.2">
      <c r="A54" s="165" t="s">
        <v>80</v>
      </c>
      <c r="B54" s="165" t="s">
        <v>100</v>
      </c>
      <c r="C54" s="165" t="s">
        <v>107</v>
      </c>
      <c r="D54" s="166">
        <v>2.5187938062222202</v>
      </c>
      <c r="E54" s="167"/>
      <c r="F54" s="168">
        <v>6.0999999999999999E-2</v>
      </c>
      <c r="G54" s="168">
        <v>5.8999999999999997E-2</v>
      </c>
      <c r="H54" s="169"/>
      <c r="I54" s="170">
        <v>5</v>
      </c>
      <c r="J54" s="170">
        <v>5</v>
      </c>
      <c r="K54" s="167"/>
      <c r="L54" s="171">
        <v>1282.325</v>
      </c>
      <c r="M54" s="171">
        <v>-471.18729999999999</v>
      </c>
      <c r="N54" s="171">
        <v>811.1377</v>
      </c>
      <c r="O54" s="166">
        <v>322.03418080361803</v>
      </c>
      <c r="P54" s="172">
        <v>239.02500000000001</v>
      </c>
      <c r="Q54" s="178">
        <v>1.3472824215191599</v>
      </c>
      <c r="R54" s="179">
        <v>103.121385110055</v>
      </c>
      <c r="S54" s="168">
        <v>0.01</v>
      </c>
      <c r="T54" s="168">
        <v>0.01</v>
      </c>
      <c r="U54" s="175">
        <v>0</v>
      </c>
      <c r="V54" s="176">
        <v>0</v>
      </c>
      <c r="W54" s="167"/>
      <c r="X54" s="175">
        <v>1731.5122249999999</v>
      </c>
      <c r="Y54" s="166">
        <v>687.43706639368997</v>
      </c>
      <c r="Z54" s="177">
        <v>573</v>
      </c>
      <c r="AA54" s="178">
        <v>1.1997156481565301</v>
      </c>
      <c r="AB54" s="179">
        <v>34.228056264769698</v>
      </c>
      <c r="AC54" s="168">
        <v>0.02</v>
      </c>
      <c r="AD54" s="168">
        <v>0.02</v>
      </c>
      <c r="AE54" s="176">
        <v>0</v>
      </c>
      <c r="AF54" s="176">
        <v>1</v>
      </c>
      <c r="AG54" s="167"/>
      <c r="AH54" s="180">
        <v>173.3</v>
      </c>
      <c r="AI54" s="166">
        <v>68.802773602147894</v>
      </c>
      <c r="AJ54" s="181" t="s">
        <v>53</v>
      </c>
      <c r="AK54" s="182">
        <v>1.0921075174944099</v>
      </c>
      <c r="AL54" s="183">
        <v>-13.312395515391801</v>
      </c>
      <c r="AM54" s="168">
        <v>1.0999999999999999E-2</v>
      </c>
      <c r="AN54" s="168">
        <v>8.9999999999999993E-3</v>
      </c>
      <c r="AO54" s="176">
        <v>0</v>
      </c>
      <c r="AP54" s="176">
        <v>18</v>
      </c>
      <c r="AQ54" s="167"/>
      <c r="AR54" s="180">
        <v>15.8</v>
      </c>
      <c r="AS54" s="166">
        <v>6.2728437559950203</v>
      </c>
      <c r="AT54" s="181" t="s">
        <v>54</v>
      </c>
      <c r="AU54" s="173">
        <v>0.39205273474968899</v>
      </c>
      <c r="AV54" s="174">
        <v>-31.593624257877298</v>
      </c>
      <c r="AW54" s="168"/>
      <c r="AX54" s="168"/>
      <c r="AY54" s="176">
        <v>25</v>
      </c>
      <c r="AZ54" s="176">
        <v>33</v>
      </c>
      <c r="BA54" s="167"/>
      <c r="BB54" s="184">
        <v>100.8</v>
      </c>
      <c r="BC54" s="180">
        <v>40.019155101537798</v>
      </c>
      <c r="BD54" s="181" t="s">
        <v>55</v>
      </c>
      <c r="BE54" s="178">
        <v>1.25059859692306</v>
      </c>
      <c r="BF54" s="179">
        <v>6.0127514842454097</v>
      </c>
      <c r="BG54" s="168">
        <v>0.02</v>
      </c>
      <c r="BH54" s="168">
        <v>0.02</v>
      </c>
      <c r="BI54" s="176">
        <v>0</v>
      </c>
      <c r="BJ54" s="176">
        <v>0</v>
      </c>
      <c r="BK54" s="169"/>
      <c r="BL54" s="185">
        <v>0.8</v>
      </c>
      <c r="BM54" s="188">
        <v>0.7</v>
      </c>
      <c r="BN54" s="186"/>
      <c r="BO54" s="187">
        <v>0.95</v>
      </c>
      <c r="BP54" s="178">
        <v>1</v>
      </c>
      <c r="BQ54" s="186">
        <v>2.5000000000000001E-3</v>
      </c>
    </row>
    <row r="55" spans="1:69" s="156" customFormat="1" ht="22.35" customHeight="1" x14ac:dyDescent="0.2">
      <c r="A55" s="165" t="s">
        <v>80</v>
      </c>
      <c r="B55" s="165" t="s">
        <v>100</v>
      </c>
      <c r="C55" s="165" t="s">
        <v>108</v>
      </c>
      <c r="D55" s="166">
        <v>2.56970437377778</v>
      </c>
      <c r="E55" s="167"/>
      <c r="F55" s="168"/>
      <c r="G55" s="168"/>
      <c r="H55" s="169"/>
      <c r="I55" s="170">
        <v>1</v>
      </c>
      <c r="J55" s="170">
        <v>1</v>
      </c>
      <c r="K55" s="167"/>
      <c r="L55" s="171">
        <v>145.56924000000001</v>
      </c>
      <c r="M55" s="171">
        <v>408.86201</v>
      </c>
      <c r="N55" s="171">
        <v>554.43124999999998</v>
      </c>
      <c r="O55" s="166">
        <v>215.756822324631</v>
      </c>
      <c r="P55" s="172">
        <v>273.43799999999999</v>
      </c>
      <c r="Q55" s="188">
        <v>0.78905207880627903</v>
      </c>
      <c r="R55" s="171">
        <v>-271.89082367908901</v>
      </c>
      <c r="S55" s="168"/>
      <c r="T55" s="168"/>
      <c r="U55" s="175">
        <v>149</v>
      </c>
      <c r="V55" s="176">
        <v>289</v>
      </c>
      <c r="W55" s="167"/>
      <c r="X55" s="175">
        <v>1050.4471100000001</v>
      </c>
      <c r="Y55" s="166">
        <v>408.78130602070598</v>
      </c>
      <c r="Z55" s="177">
        <v>573</v>
      </c>
      <c r="AA55" s="173">
        <v>0.71340542062950396</v>
      </c>
      <c r="AB55" s="174">
        <v>-681.14304286140896</v>
      </c>
      <c r="AC55" s="168"/>
      <c r="AD55" s="168"/>
      <c r="AE55" s="176">
        <v>422</v>
      </c>
      <c r="AF55" s="176">
        <v>717</v>
      </c>
      <c r="AG55" s="167"/>
      <c r="AH55" s="180">
        <v>102.1</v>
      </c>
      <c r="AI55" s="166">
        <v>39.732196840176002</v>
      </c>
      <c r="AJ55" s="181" t="s">
        <v>53</v>
      </c>
      <c r="AK55" s="173">
        <v>0.63066979111390498</v>
      </c>
      <c r="AL55" s="174">
        <v>-88.284257644448104</v>
      </c>
      <c r="AM55" s="168"/>
      <c r="AN55" s="168"/>
      <c r="AO55" s="176">
        <v>60</v>
      </c>
      <c r="AP55" s="176">
        <v>93</v>
      </c>
      <c r="AQ55" s="167"/>
      <c r="AR55" s="180">
        <v>7</v>
      </c>
      <c r="AS55" s="166">
        <v>2.7240487549582002</v>
      </c>
      <c r="AT55" s="181" t="s">
        <v>54</v>
      </c>
      <c r="AU55" s="173">
        <v>0.17025304718488701</v>
      </c>
      <c r="AV55" s="174">
        <v>-41.351557497002702</v>
      </c>
      <c r="AW55" s="168"/>
      <c r="AX55" s="168"/>
      <c r="AY55" s="176">
        <v>35</v>
      </c>
      <c r="AZ55" s="176">
        <v>43</v>
      </c>
      <c r="BA55" s="167"/>
      <c r="BB55" s="184">
        <v>59.4</v>
      </c>
      <c r="BC55" s="180">
        <v>23.115499434930999</v>
      </c>
      <c r="BD55" s="181" t="s">
        <v>55</v>
      </c>
      <c r="BE55" s="173">
        <v>0.72235935734159396</v>
      </c>
      <c r="BF55" s="174">
        <v>-37.303114994005398</v>
      </c>
      <c r="BG55" s="168"/>
      <c r="BH55" s="168"/>
      <c r="BI55" s="176">
        <v>23</v>
      </c>
      <c r="BJ55" s="176">
        <v>40</v>
      </c>
      <c r="BK55" s="169"/>
      <c r="BL55" s="185">
        <v>0.8</v>
      </c>
      <c r="BM55" s="188">
        <v>0.74</v>
      </c>
      <c r="BN55" s="186"/>
      <c r="BO55" s="187">
        <v>0.95</v>
      </c>
      <c r="BP55" s="178">
        <v>1</v>
      </c>
      <c r="BQ55" s="186">
        <v>2.5000000000000001E-3</v>
      </c>
    </row>
    <row r="56" spans="1:69" s="156" customFormat="1" ht="22.35" customHeight="1" x14ac:dyDescent="0.2">
      <c r="A56" s="165" t="s">
        <v>80</v>
      </c>
      <c r="B56" s="165" t="s">
        <v>100</v>
      </c>
      <c r="C56" s="165" t="s">
        <v>109</v>
      </c>
      <c r="D56" s="166">
        <v>5.2395012254444397</v>
      </c>
      <c r="E56" s="167"/>
      <c r="F56" s="168">
        <v>2.5999999999999999E-2</v>
      </c>
      <c r="G56" s="168">
        <v>2.4E-2</v>
      </c>
      <c r="H56" s="169"/>
      <c r="I56" s="170">
        <v>3</v>
      </c>
      <c r="J56" s="170">
        <v>3</v>
      </c>
      <c r="K56" s="167"/>
      <c r="L56" s="171">
        <v>2487.5550800000001</v>
      </c>
      <c r="M56" s="171">
        <v>848.72509000000002</v>
      </c>
      <c r="N56" s="171">
        <v>3336.28017</v>
      </c>
      <c r="O56" s="166">
        <v>636.75529911093702</v>
      </c>
      <c r="P56" s="172">
        <v>287.5</v>
      </c>
      <c r="Q56" s="178">
        <v>2.2148010403858698</v>
      </c>
      <c r="R56" s="179">
        <v>1564.80480567723</v>
      </c>
      <c r="S56" s="168">
        <v>0.01</v>
      </c>
      <c r="T56" s="168">
        <v>0.01</v>
      </c>
      <c r="U56" s="175">
        <v>0</v>
      </c>
      <c r="V56" s="176">
        <v>0</v>
      </c>
      <c r="W56" s="167"/>
      <c r="X56" s="175">
        <v>2477.2899900000002</v>
      </c>
      <c r="Y56" s="166">
        <v>472.81027017793298</v>
      </c>
      <c r="Z56" s="177">
        <v>573</v>
      </c>
      <c r="AA56" s="188">
        <v>0.82514881357405401</v>
      </c>
      <c r="AB56" s="171">
        <v>-1053.3374317632799</v>
      </c>
      <c r="AC56" s="168"/>
      <c r="AD56" s="168"/>
      <c r="AE56" s="176">
        <v>525</v>
      </c>
      <c r="AF56" s="176">
        <v>1126</v>
      </c>
      <c r="AG56" s="167"/>
      <c r="AH56" s="180">
        <v>155.80000000000001</v>
      </c>
      <c r="AI56" s="166">
        <v>29.735654845043801</v>
      </c>
      <c r="AJ56" s="181" t="s">
        <v>53</v>
      </c>
      <c r="AK56" s="173">
        <v>0.471994521349901</v>
      </c>
      <c r="AL56" s="174">
        <v>-232.38416679072799</v>
      </c>
      <c r="AM56" s="168"/>
      <c r="AN56" s="168"/>
      <c r="AO56" s="176">
        <v>175</v>
      </c>
      <c r="AP56" s="176">
        <v>241</v>
      </c>
      <c r="AQ56" s="167"/>
      <c r="AR56" s="180">
        <v>31.3</v>
      </c>
      <c r="AS56" s="166">
        <v>5.97385106963974</v>
      </c>
      <c r="AT56" s="181" t="s">
        <v>54</v>
      </c>
      <c r="AU56" s="173">
        <v>0.37336569185248403</v>
      </c>
      <c r="AV56" s="174">
        <v>-67.286455057962598</v>
      </c>
      <c r="AW56" s="168"/>
      <c r="AX56" s="168"/>
      <c r="AY56" s="176">
        <v>53</v>
      </c>
      <c r="AZ56" s="176">
        <v>70</v>
      </c>
      <c r="BA56" s="167"/>
      <c r="BB56" s="184">
        <v>190.8</v>
      </c>
      <c r="BC56" s="180">
        <v>36.415680002787902</v>
      </c>
      <c r="BD56" s="181" t="s">
        <v>55</v>
      </c>
      <c r="BE56" s="182">
        <v>1.1379900000871199</v>
      </c>
      <c r="BF56" s="183">
        <v>-6.3729101159251202</v>
      </c>
      <c r="BG56" s="168">
        <v>1.6E-2</v>
      </c>
      <c r="BH56" s="168">
        <v>1.4E-2</v>
      </c>
      <c r="BI56" s="176">
        <v>0</v>
      </c>
      <c r="BJ56" s="176">
        <v>11</v>
      </c>
      <c r="BK56" s="169"/>
      <c r="BL56" s="185">
        <v>0.8</v>
      </c>
      <c r="BM56" s="188">
        <v>0.7</v>
      </c>
      <c r="BN56" s="186"/>
      <c r="BO56" s="187">
        <v>0.95</v>
      </c>
      <c r="BP56" s="178">
        <v>1</v>
      </c>
      <c r="BQ56" s="186">
        <v>2.5000000000000001E-3</v>
      </c>
    </row>
    <row r="57" spans="1:69" s="156" customFormat="1" ht="22.35" customHeight="1" x14ac:dyDescent="0.2">
      <c r="A57" s="165" t="s">
        <v>80</v>
      </c>
      <c r="B57" s="165" t="s">
        <v>100</v>
      </c>
      <c r="C57" s="165" t="s">
        <v>110</v>
      </c>
      <c r="D57" s="166">
        <v>2.6352440239999999</v>
      </c>
      <c r="E57" s="167"/>
      <c r="F57" s="168">
        <v>0.06</v>
      </c>
      <c r="G57" s="168">
        <v>0.06</v>
      </c>
      <c r="H57" s="169"/>
      <c r="I57" s="170">
        <v>5</v>
      </c>
      <c r="J57" s="170">
        <v>5</v>
      </c>
      <c r="K57" s="167"/>
      <c r="L57" s="171">
        <v>306.17003999999997</v>
      </c>
      <c r="M57" s="171">
        <v>2870.8860399999999</v>
      </c>
      <c r="N57" s="171">
        <v>3177.0560799999998</v>
      </c>
      <c r="O57" s="166">
        <v>1205.60223306288</v>
      </c>
      <c r="P57" s="172">
        <v>269.755</v>
      </c>
      <c r="Q57" s="178">
        <v>4.4692488853325401</v>
      </c>
      <c r="R57" s="179">
        <v>2341.07266400771</v>
      </c>
      <c r="S57" s="168">
        <v>0.01</v>
      </c>
      <c r="T57" s="168">
        <v>0.01</v>
      </c>
      <c r="U57" s="175">
        <v>0</v>
      </c>
      <c r="V57" s="176">
        <v>0</v>
      </c>
      <c r="W57" s="167"/>
      <c r="X57" s="175">
        <v>1891.59538</v>
      </c>
      <c r="Y57" s="166">
        <v>717.80653433710199</v>
      </c>
      <c r="Z57" s="177">
        <v>573</v>
      </c>
      <c r="AA57" s="178">
        <v>1.2527164648117</v>
      </c>
      <c r="AB57" s="179">
        <v>115.841464915648</v>
      </c>
      <c r="AC57" s="168">
        <v>0.02</v>
      </c>
      <c r="AD57" s="168">
        <v>0.02</v>
      </c>
      <c r="AE57" s="176">
        <v>0</v>
      </c>
      <c r="AF57" s="176">
        <v>0</v>
      </c>
      <c r="AG57" s="167"/>
      <c r="AH57" s="180">
        <v>151.44999999999999</v>
      </c>
      <c r="AI57" s="166">
        <v>57.470958522511403</v>
      </c>
      <c r="AJ57" s="181" t="s">
        <v>53</v>
      </c>
      <c r="AK57" s="188">
        <v>0.91223743686526004</v>
      </c>
      <c r="AL57" s="171">
        <v>-43.789959250111998</v>
      </c>
      <c r="AM57" s="168"/>
      <c r="AN57" s="168"/>
      <c r="AO57" s="176">
        <v>15</v>
      </c>
      <c r="AP57" s="176">
        <v>48</v>
      </c>
      <c r="AQ57" s="167"/>
      <c r="AR57" s="180">
        <v>63.4</v>
      </c>
      <c r="AS57" s="166">
        <v>24.058493036165199</v>
      </c>
      <c r="AT57" s="181" t="s">
        <v>54</v>
      </c>
      <c r="AU57" s="178">
        <v>1.5036558147603301</v>
      </c>
      <c r="AV57" s="179">
        <v>13.815248444416</v>
      </c>
      <c r="AW57" s="168">
        <v>0.01</v>
      </c>
      <c r="AX57" s="168">
        <v>0.01</v>
      </c>
      <c r="AY57" s="176">
        <v>0</v>
      </c>
      <c r="AZ57" s="176">
        <v>0</v>
      </c>
      <c r="BA57" s="167"/>
      <c r="BB57" s="184">
        <v>138.80000000000001</v>
      </c>
      <c r="BC57" s="180">
        <v>52.670644060248101</v>
      </c>
      <c r="BD57" s="181" t="s">
        <v>55</v>
      </c>
      <c r="BE57" s="178">
        <v>1.64595762688275</v>
      </c>
      <c r="BF57" s="179">
        <v>39.630496888831999</v>
      </c>
      <c r="BG57" s="168">
        <v>0.02</v>
      </c>
      <c r="BH57" s="168">
        <v>0.02</v>
      </c>
      <c r="BI57" s="176">
        <v>0</v>
      </c>
      <c r="BJ57" s="176">
        <v>0</v>
      </c>
      <c r="BK57" s="169"/>
      <c r="BL57" s="185">
        <v>0.8</v>
      </c>
      <c r="BM57" s="188">
        <v>0.73</v>
      </c>
      <c r="BN57" s="186"/>
      <c r="BO57" s="187">
        <v>0.95</v>
      </c>
      <c r="BP57" s="178">
        <v>1</v>
      </c>
      <c r="BQ57" s="186">
        <v>2.5000000000000001E-3</v>
      </c>
    </row>
    <row r="58" spans="1:69" s="156" customFormat="1" ht="22.35" customHeight="1" x14ac:dyDescent="0.2">
      <c r="A58" s="165" t="s">
        <v>80</v>
      </c>
      <c r="B58" s="165" t="s">
        <v>100</v>
      </c>
      <c r="C58" s="165" t="s">
        <v>111</v>
      </c>
      <c r="D58" s="166">
        <v>5.3559300766666702</v>
      </c>
      <c r="E58" s="167"/>
      <c r="F58" s="168">
        <v>0.03</v>
      </c>
      <c r="G58" s="168">
        <v>0.03</v>
      </c>
      <c r="H58" s="169"/>
      <c r="I58" s="170">
        <v>3</v>
      </c>
      <c r="J58" s="170">
        <v>3</v>
      </c>
      <c r="K58" s="167"/>
      <c r="L58" s="171">
        <v>4186.8213100000003</v>
      </c>
      <c r="M58" s="171">
        <v>974.44735000000003</v>
      </c>
      <c r="N58" s="171">
        <v>5161.2686599999997</v>
      </c>
      <c r="O58" s="166">
        <v>963.65497422852502</v>
      </c>
      <c r="P58" s="172">
        <v>280.08499999999998</v>
      </c>
      <c r="Q58" s="178">
        <v>3.4405804460379001</v>
      </c>
      <c r="R58" s="179">
        <v>3397.1326255847398</v>
      </c>
      <c r="S58" s="168">
        <v>0.01</v>
      </c>
      <c r="T58" s="168">
        <v>0.01</v>
      </c>
      <c r="U58" s="175">
        <v>0</v>
      </c>
      <c r="V58" s="176">
        <v>0</v>
      </c>
      <c r="W58" s="167"/>
      <c r="X58" s="175">
        <v>1990.3286149999999</v>
      </c>
      <c r="Y58" s="166">
        <v>371.612135802696</v>
      </c>
      <c r="Z58" s="177">
        <v>573</v>
      </c>
      <c r="AA58" s="173">
        <v>0.64853775881796905</v>
      </c>
      <c r="AB58" s="174">
        <v>-1618.7541553016799</v>
      </c>
      <c r="AC58" s="168"/>
      <c r="AD58" s="168"/>
      <c r="AE58" s="176">
        <v>1079</v>
      </c>
      <c r="AF58" s="176">
        <v>1693</v>
      </c>
      <c r="AG58" s="167"/>
      <c r="AH58" s="180">
        <v>243.7</v>
      </c>
      <c r="AI58" s="166">
        <v>45.500967434524398</v>
      </c>
      <c r="AJ58" s="181" t="s">
        <v>53</v>
      </c>
      <c r="AK58" s="173">
        <v>0.72223757832578495</v>
      </c>
      <c r="AL58" s="174">
        <v>-153.11014752008001</v>
      </c>
      <c r="AM58" s="168"/>
      <c r="AN58" s="168"/>
      <c r="AO58" s="176">
        <v>94</v>
      </c>
      <c r="AP58" s="176">
        <v>162</v>
      </c>
      <c r="AQ58" s="167"/>
      <c r="AR58" s="180">
        <v>26.9</v>
      </c>
      <c r="AS58" s="166">
        <v>5.0224703487431599</v>
      </c>
      <c r="AT58" s="181" t="s">
        <v>54</v>
      </c>
      <c r="AU58" s="173">
        <v>0.31390439679644699</v>
      </c>
      <c r="AV58" s="174">
        <v>-73.877180322559994</v>
      </c>
      <c r="AW58" s="168"/>
      <c r="AX58" s="168"/>
      <c r="AY58" s="176">
        <v>59</v>
      </c>
      <c r="AZ58" s="176">
        <v>76</v>
      </c>
      <c r="BA58" s="167"/>
      <c r="BB58" s="184">
        <v>208.2</v>
      </c>
      <c r="BC58" s="180">
        <v>38.872800245662603</v>
      </c>
      <c r="BD58" s="181" t="s">
        <v>55</v>
      </c>
      <c r="BE58" s="178">
        <v>1.2147750076769599</v>
      </c>
      <c r="BF58" s="179">
        <v>6.64563935487993</v>
      </c>
      <c r="BG58" s="168">
        <v>0.02</v>
      </c>
      <c r="BH58" s="168">
        <v>0.02</v>
      </c>
      <c r="BI58" s="176">
        <v>0</v>
      </c>
      <c r="BJ58" s="176">
        <v>0</v>
      </c>
      <c r="BK58" s="169"/>
      <c r="BL58" s="185">
        <v>0.8</v>
      </c>
      <c r="BM58" s="173">
        <v>0.65</v>
      </c>
      <c r="BN58" s="186"/>
      <c r="BO58" s="187">
        <v>0.95</v>
      </c>
      <c r="BP58" s="178">
        <v>1</v>
      </c>
      <c r="BQ58" s="186">
        <v>2.5000000000000001E-3</v>
      </c>
    </row>
    <row r="59" spans="1:69" s="156" customFormat="1" ht="22.35" customHeight="1" x14ac:dyDescent="0.2">
      <c r="A59" s="165" t="s">
        <v>80</v>
      </c>
      <c r="B59" s="165" t="s">
        <v>100</v>
      </c>
      <c r="C59" s="165" t="s">
        <v>112</v>
      </c>
      <c r="D59" s="166">
        <v>1.38279080044444</v>
      </c>
      <c r="E59" s="167"/>
      <c r="F59" s="168">
        <v>0.01</v>
      </c>
      <c r="G59" s="168">
        <v>0.01</v>
      </c>
      <c r="H59" s="169"/>
      <c r="I59" s="170">
        <v>2</v>
      </c>
      <c r="J59" s="170">
        <v>2</v>
      </c>
      <c r="K59" s="167"/>
      <c r="L59" s="171">
        <v>466.33019000000002</v>
      </c>
      <c r="M59" s="171">
        <v>1380.90435</v>
      </c>
      <c r="N59" s="171">
        <v>1847.2345399999999</v>
      </c>
      <c r="O59" s="166">
        <v>1335.8741896505801</v>
      </c>
      <c r="P59" s="172">
        <v>280.08499999999998</v>
      </c>
      <c r="Q59" s="178">
        <v>4.7695313553049301</v>
      </c>
      <c r="R59" s="179">
        <v>1391.7709614612399</v>
      </c>
      <c r="S59" s="168">
        <v>0.01</v>
      </c>
      <c r="T59" s="168">
        <v>0.01</v>
      </c>
      <c r="U59" s="175">
        <v>0</v>
      </c>
      <c r="V59" s="176">
        <v>0</v>
      </c>
      <c r="W59" s="167"/>
      <c r="X59" s="175">
        <v>671.06210999999996</v>
      </c>
      <c r="Y59" s="166">
        <v>485.29546897789101</v>
      </c>
      <c r="Z59" s="177">
        <v>573</v>
      </c>
      <c r="AA59" s="188">
        <v>0.84693799123541202</v>
      </c>
      <c r="AB59" s="171">
        <v>-260.72870529788503</v>
      </c>
      <c r="AC59" s="168"/>
      <c r="AD59" s="168"/>
      <c r="AE59" s="176">
        <v>122</v>
      </c>
      <c r="AF59" s="176">
        <v>280</v>
      </c>
      <c r="AG59" s="167"/>
      <c r="AH59" s="180">
        <v>62.3</v>
      </c>
      <c r="AI59" s="166">
        <v>45.053814344133698</v>
      </c>
      <c r="AJ59" s="181" t="s">
        <v>53</v>
      </c>
      <c r="AK59" s="173">
        <v>0.71513991022434398</v>
      </c>
      <c r="AL59" s="174">
        <v>-40.148204823327703</v>
      </c>
      <c r="AM59" s="168"/>
      <c r="AN59" s="168"/>
      <c r="AO59" s="176">
        <v>25</v>
      </c>
      <c r="AP59" s="176">
        <v>43</v>
      </c>
      <c r="AQ59" s="167"/>
      <c r="AR59" s="180">
        <v>5</v>
      </c>
      <c r="AS59" s="166">
        <v>3.61587595057253</v>
      </c>
      <c r="AT59" s="181" t="s">
        <v>54</v>
      </c>
      <c r="AU59" s="173">
        <v>0.22599224691078301</v>
      </c>
      <c r="AV59" s="174">
        <v>-21.018591701162599</v>
      </c>
      <c r="AW59" s="168"/>
      <c r="AX59" s="168"/>
      <c r="AY59" s="176">
        <v>18</v>
      </c>
      <c r="AZ59" s="176">
        <v>22</v>
      </c>
      <c r="BA59" s="167"/>
      <c r="BB59" s="184">
        <v>34</v>
      </c>
      <c r="BC59" s="180">
        <v>24.5879564638932</v>
      </c>
      <c r="BD59" s="181" t="s">
        <v>55</v>
      </c>
      <c r="BE59" s="173">
        <v>0.76837363949666104</v>
      </c>
      <c r="BF59" s="174">
        <v>-18.037183402325201</v>
      </c>
      <c r="BG59" s="168"/>
      <c r="BH59" s="168"/>
      <c r="BI59" s="176">
        <v>11</v>
      </c>
      <c r="BJ59" s="176">
        <v>20</v>
      </c>
      <c r="BK59" s="169"/>
      <c r="BL59" s="185">
        <v>0.8</v>
      </c>
      <c r="BM59" s="188">
        <v>0.75</v>
      </c>
      <c r="BN59" s="186"/>
      <c r="BO59" s="187">
        <v>0.95</v>
      </c>
      <c r="BP59" s="178">
        <v>1</v>
      </c>
      <c r="BQ59" s="186">
        <v>2.5000000000000001E-3</v>
      </c>
    </row>
    <row r="60" spans="1:69" s="156" customFormat="1" ht="22.35" customHeight="1" x14ac:dyDescent="0.2">
      <c r="A60" s="165" t="s">
        <v>80</v>
      </c>
      <c r="B60" s="165" t="s">
        <v>100</v>
      </c>
      <c r="C60" s="165" t="s">
        <v>113</v>
      </c>
      <c r="D60" s="166">
        <v>3.0026688585555599</v>
      </c>
      <c r="E60" s="167"/>
      <c r="F60" s="168">
        <v>0.05</v>
      </c>
      <c r="G60" s="168">
        <v>0.05</v>
      </c>
      <c r="H60" s="169"/>
      <c r="I60" s="170">
        <v>4</v>
      </c>
      <c r="J60" s="170">
        <v>4</v>
      </c>
      <c r="K60" s="167"/>
      <c r="L60" s="171">
        <v>1541.43714</v>
      </c>
      <c r="M60" s="171">
        <v>688.80213000000003</v>
      </c>
      <c r="N60" s="171">
        <v>2230.23927</v>
      </c>
      <c r="O60" s="166">
        <v>742.75232303600205</v>
      </c>
      <c r="P60" s="172">
        <v>239.26400000000001</v>
      </c>
      <c r="Q60" s="178">
        <v>3.1043212645278899</v>
      </c>
      <c r="R60" s="179">
        <v>1385.3649293544399</v>
      </c>
      <c r="S60" s="168">
        <v>0.01</v>
      </c>
      <c r="T60" s="168">
        <v>0.01</v>
      </c>
      <c r="U60" s="175">
        <v>0</v>
      </c>
      <c r="V60" s="176">
        <v>0</v>
      </c>
      <c r="W60" s="167"/>
      <c r="X60" s="175">
        <v>2142.1081899999999</v>
      </c>
      <c r="Y60" s="166">
        <v>713.40140751666797</v>
      </c>
      <c r="Z60" s="177">
        <v>573</v>
      </c>
      <c r="AA60" s="178">
        <v>1.24502863440954</v>
      </c>
      <c r="AB60" s="179">
        <v>118.765785000053</v>
      </c>
      <c r="AC60" s="168">
        <v>0.02</v>
      </c>
      <c r="AD60" s="168">
        <v>0.02</v>
      </c>
      <c r="AE60" s="176">
        <v>0</v>
      </c>
      <c r="AF60" s="176">
        <v>0</v>
      </c>
      <c r="AG60" s="167"/>
      <c r="AH60" s="180">
        <v>179.3</v>
      </c>
      <c r="AI60" s="166">
        <v>59.713544332108903</v>
      </c>
      <c r="AJ60" s="181" t="s">
        <v>53</v>
      </c>
      <c r="AK60" s="188">
        <v>0.94783403701760105</v>
      </c>
      <c r="AL60" s="171">
        <v>-43.161730392664303</v>
      </c>
      <c r="AM60" s="168"/>
      <c r="AN60" s="168"/>
      <c r="AO60" s="176">
        <v>10</v>
      </c>
      <c r="AP60" s="176">
        <v>48</v>
      </c>
      <c r="AQ60" s="167"/>
      <c r="AR60" s="180">
        <v>31.5</v>
      </c>
      <c r="AS60" s="166">
        <v>10.4906672976098</v>
      </c>
      <c r="AT60" s="181" t="s">
        <v>54</v>
      </c>
      <c r="AU60" s="173">
        <v>0.65566670610060995</v>
      </c>
      <c r="AV60" s="174">
        <v>-24.998217242581401</v>
      </c>
      <c r="AW60" s="168"/>
      <c r="AX60" s="168"/>
      <c r="AY60" s="176">
        <v>17</v>
      </c>
      <c r="AZ60" s="176">
        <v>27</v>
      </c>
      <c r="BA60" s="167"/>
      <c r="BB60" s="184">
        <v>133.80000000000001</v>
      </c>
      <c r="BC60" s="180">
        <v>44.560358235561502</v>
      </c>
      <c r="BD60" s="181" t="s">
        <v>55</v>
      </c>
      <c r="BE60" s="178">
        <v>1.3925111948613</v>
      </c>
      <c r="BF60" s="179">
        <v>20.803565514837199</v>
      </c>
      <c r="BG60" s="168">
        <v>0.02</v>
      </c>
      <c r="BH60" s="168">
        <v>0.02</v>
      </c>
      <c r="BI60" s="176">
        <v>0</v>
      </c>
      <c r="BJ60" s="176">
        <v>0</v>
      </c>
      <c r="BK60" s="169"/>
      <c r="BL60" s="185">
        <v>0.8</v>
      </c>
      <c r="BM60" s="188">
        <v>0.73</v>
      </c>
      <c r="BN60" s="186"/>
      <c r="BO60" s="187">
        <v>0.95</v>
      </c>
      <c r="BP60" s="178">
        <v>1</v>
      </c>
      <c r="BQ60" s="186">
        <v>2.5000000000000001E-3</v>
      </c>
    </row>
    <row r="61" spans="1:69" s="156" customFormat="1" ht="22.35" customHeight="1" x14ac:dyDescent="0.2">
      <c r="A61" s="165" t="s">
        <v>80</v>
      </c>
      <c r="B61" s="165" t="s">
        <v>100</v>
      </c>
      <c r="C61" s="165" t="s">
        <v>114</v>
      </c>
      <c r="D61" s="166">
        <v>8.0969419465555603</v>
      </c>
      <c r="E61" s="167"/>
      <c r="F61" s="168">
        <v>0.04</v>
      </c>
      <c r="G61" s="168">
        <v>3.6999999999999998E-2</v>
      </c>
      <c r="H61" s="169"/>
      <c r="I61" s="170">
        <v>4</v>
      </c>
      <c r="J61" s="170">
        <v>4</v>
      </c>
      <c r="K61" s="167"/>
      <c r="L61" s="171">
        <v>5902.3992399999997</v>
      </c>
      <c r="M61" s="171">
        <v>3800.7642000000001</v>
      </c>
      <c r="N61" s="171">
        <v>9703.1634400000003</v>
      </c>
      <c r="O61" s="166">
        <v>1198.37384336536</v>
      </c>
      <c r="P61" s="172">
        <v>262.83</v>
      </c>
      <c r="Q61" s="178">
        <v>4.5595017439613397</v>
      </c>
      <c r="R61" s="179">
        <v>7200.4951998676797</v>
      </c>
      <c r="S61" s="168">
        <v>0.01</v>
      </c>
      <c r="T61" s="168">
        <v>0.01</v>
      </c>
      <c r="U61" s="175">
        <v>0</v>
      </c>
      <c r="V61" s="176">
        <v>0</v>
      </c>
      <c r="W61" s="167"/>
      <c r="X61" s="175">
        <v>4991.95856</v>
      </c>
      <c r="Y61" s="166">
        <v>616.52394113108096</v>
      </c>
      <c r="Z61" s="177">
        <v>573</v>
      </c>
      <c r="AA61" s="182">
        <v>1.07595801244517</v>
      </c>
      <c r="AB61" s="183">
        <v>-464.149576802571</v>
      </c>
      <c r="AC61" s="168">
        <v>0.01</v>
      </c>
      <c r="AD61" s="168">
        <v>8.0000000000000002E-3</v>
      </c>
      <c r="AE61" s="176">
        <v>0</v>
      </c>
      <c r="AF61" s="176">
        <v>576</v>
      </c>
      <c r="AG61" s="167"/>
      <c r="AH61" s="180">
        <v>428.3</v>
      </c>
      <c r="AI61" s="166">
        <v>52.896513625394</v>
      </c>
      <c r="AJ61" s="181" t="s">
        <v>53</v>
      </c>
      <c r="AK61" s="188">
        <v>0.83962720040307903</v>
      </c>
      <c r="AL61" s="171">
        <v>-171.586234936408</v>
      </c>
      <c r="AM61" s="168"/>
      <c r="AN61" s="168"/>
      <c r="AO61" s="176">
        <v>82</v>
      </c>
      <c r="AP61" s="176">
        <v>184</v>
      </c>
      <c r="AQ61" s="167"/>
      <c r="AR61" s="180">
        <v>37.9</v>
      </c>
      <c r="AS61" s="166">
        <v>4.6807795152987</v>
      </c>
      <c r="AT61" s="181" t="s">
        <v>54</v>
      </c>
      <c r="AU61" s="173">
        <v>0.29254871970616902</v>
      </c>
      <c r="AV61" s="174">
        <v>-114.452059666389</v>
      </c>
      <c r="AW61" s="168"/>
      <c r="AX61" s="168"/>
      <c r="AY61" s="176">
        <v>92</v>
      </c>
      <c r="AZ61" s="176">
        <v>118</v>
      </c>
      <c r="BA61" s="167"/>
      <c r="BB61" s="184">
        <v>308.60000000000002</v>
      </c>
      <c r="BC61" s="180">
        <v>38.113154575756703</v>
      </c>
      <c r="BD61" s="181" t="s">
        <v>55</v>
      </c>
      <c r="BE61" s="178">
        <v>1.1910360804924001</v>
      </c>
      <c r="BF61" s="179">
        <v>3.8958806672212098</v>
      </c>
      <c r="BG61" s="168">
        <v>0.02</v>
      </c>
      <c r="BH61" s="168">
        <v>1.9E-2</v>
      </c>
      <c r="BI61" s="176">
        <v>0</v>
      </c>
      <c r="BJ61" s="176">
        <v>3</v>
      </c>
      <c r="BK61" s="169"/>
      <c r="BL61" s="185">
        <v>0.8</v>
      </c>
      <c r="BM61" s="173">
        <v>0.68</v>
      </c>
      <c r="BN61" s="186"/>
      <c r="BO61" s="187">
        <v>0.95</v>
      </c>
      <c r="BP61" s="178">
        <v>1</v>
      </c>
      <c r="BQ61" s="186">
        <v>2.5000000000000001E-3</v>
      </c>
    </row>
    <row r="62" spans="1:69" s="156" customFormat="1" ht="22.35" customHeight="1" x14ac:dyDescent="0.2">
      <c r="A62" s="165" t="s">
        <v>80</v>
      </c>
      <c r="B62" s="165" t="s">
        <v>100</v>
      </c>
      <c r="C62" s="165" t="s">
        <v>115</v>
      </c>
      <c r="D62" s="166">
        <v>1.895420369</v>
      </c>
      <c r="E62" s="167"/>
      <c r="F62" s="168">
        <v>5.3499999999999999E-2</v>
      </c>
      <c r="G62" s="168">
        <v>5.0999999999999997E-2</v>
      </c>
      <c r="H62" s="169"/>
      <c r="I62" s="170">
        <v>7</v>
      </c>
      <c r="J62" s="170">
        <v>6</v>
      </c>
      <c r="K62" s="167"/>
      <c r="L62" s="171">
        <v>2344.30879</v>
      </c>
      <c r="M62" s="171">
        <v>756.81543999999997</v>
      </c>
      <c r="N62" s="171">
        <v>3101.1242299999999</v>
      </c>
      <c r="O62" s="166">
        <v>1636.1142260152601</v>
      </c>
      <c r="P62" s="172">
        <v>248.27199999999999</v>
      </c>
      <c r="Q62" s="178">
        <v>6.5900070326708597</v>
      </c>
      <c r="R62" s="179">
        <v>2547.72237831761</v>
      </c>
      <c r="S62" s="168">
        <v>0.01</v>
      </c>
      <c r="T62" s="168">
        <v>0.01</v>
      </c>
      <c r="U62" s="175">
        <v>0</v>
      </c>
      <c r="V62" s="176">
        <v>0</v>
      </c>
      <c r="W62" s="167"/>
      <c r="X62" s="175">
        <v>1098.8624600000001</v>
      </c>
      <c r="Y62" s="166">
        <v>579.74604365982702</v>
      </c>
      <c r="Z62" s="177">
        <v>573</v>
      </c>
      <c r="AA62" s="182">
        <v>1.01177320010441</v>
      </c>
      <c r="AB62" s="183">
        <v>-178.36276480991199</v>
      </c>
      <c r="AC62" s="168">
        <v>3.0000000000000001E-3</v>
      </c>
      <c r="AD62" s="168">
        <v>1E-3</v>
      </c>
      <c r="AE62" s="176">
        <v>0</v>
      </c>
      <c r="AF62" s="176">
        <v>205</v>
      </c>
      <c r="AG62" s="167"/>
      <c r="AH62" s="180">
        <v>143.4</v>
      </c>
      <c r="AI62" s="166">
        <v>75.656040393644204</v>
      </c>
      <c r="AJ62" s="181" t="s">
        <v>53</v>
      </c>
      <c r="AK62" s="178">
        <v>1.2008895300578399</v>
      </c>
      <c r="AL62" s="179">
        <v>2.9720957015279899</v>
      </c>
      <c r="AM62" s="168">
        <v>0.02</v>
      </c>
      <c r="AN62" s="168">
        <v>0.02</v>
      </c>
      <c r="AO62" s="176">
        <v>0</v>
      </c>
      <c r="AP62" s="176">
        <v>0</v>
      </c>
      <c r="AQ62" s="167"/>
      <c r="AR62" s="180">
        <v>29.9</v>
      </c>
      <c r="AS62" s="166">
        <v>15.7748647682703</v>
      </c>
      <c r="AT62" s="181" t="s">
        <v>54</v>
      </c>
      <c r="AU62" s="182">
        <v>0.98592904801689396</v>
      </c>
      <c r="AV62" s="183">
        <v>-5.7642296631040004</v>
      </c>
      <c r="AW62" s="168">
        <v>5.0000000000000001E-4</v>
      </c>
      <c r="AX62" s="168"/>
      <c r="AY62" s="176">
        <v>1</v>
      </c>
      <c r="AZ62" s="176">
        <v>7</v>
      </c>
      <c r="BA62" s="167"/>
      <c r="BB62" s="184">
        <v>83</v>
      </c>
      <c r="BC62" s="180">
        <v>43.789758386837299</v>
      </c>
      <c r="BD62" s="181" t="s">
        <v>55</v>
      </c>
      <c r="BE62" s="178">
        <v>1.36842994958867</v>
      </c>
      <c r="BF62" s="179">
        <v>11.671540673792</v>
      </c>
      <c r="BG62" s="168">
        <v>0.02</v>
      </c>
      <c r="BH62" s="168">
        <v>0.02</v>
      </c>
      <c r="BI62" s="176">
        <v>0</v>
      </c>
      <c r="BJ62" s="176">
        <v>0</v>
      </c>
      <c r="BK62" s="169"/>
      <c r="BL62" s="185">
        <v>0.8</v>
      </c>
      <c r="BM62" s="182">
        <v>0.81</v>
      </c>
      <c r="BN62" s="186">
        <v>3.7500000000000001E-4</v>
      </c>
      <c r="BO62" s="187">
        <v>0.95</v>
      </c>
      <c r="BP62" s="178">
        <v>1</v>
      </c>
      <c r="BQ62" s="186">
        <v>2.5000000000000001E-3</v>
      </c>
    </row>
    <row r="63" spans="1:69" s="156" customFormat="1" ht="22.35" customHeight="1" x14ac:dyDescent="0.2">
      <c r="A63" s="165" t="s">
        <v>80</v>
      </c>
      <c r="B63" s="165" t="s">
        <v>100</v>
      </c>
      <c r="C63" s="165" t="s">
        <v>116</v>
      </c>
      <c r="D63" s="166">
        <v>2.1204174575555599</v>
      </c>
      <c r="E63" s="167"/>
      <c r="F63" s="168">
        <v>4.2000000000000003E-2</v>
      </c>
      <c r="G63" s="168">
        <v>3.7999999999999999E-2</v>
      </c>
      <c r="H63" s="169"/>
      <c r="I63" s="170">
        <v>4</v>
      </c>
      <c r="J63" s="170">
        <v>3</v>
      </c>
      <c r="K63" s="167"/>
      <c r="L63" s="171">
        <v>894.07150000000001</v>
      </c>
      <c r="M63" s="171">
        <v>784.66297999999995</v>
      </c>
      <c r="N63" s="171">
        <v>1678.7344800000001</v>
      </c>
      <c r="O63" s="166">
        <v>791.69999002708903</v>
      </c>
      <c r="P63" s="172">
        <v>256.27100000000002</v>
      </c>
      <c r="Q63" s="178">
        <v>3.0893077641523599</v>
      </c>
      <c r="R63" s="179">
        <v>1039.6943133361001</v>
      </c>
      <c r="S63" s="168">
        <v>0.01</v>
      </c>
      <c r="T63" s="168">
        <v>0.01</v>
      </c>
      <c r="U63" s="175">
        <v>0</v>
      </c>
      <c r="V63" s="176">
        <v>0</v>
      </c>
      <c r="W63" s="167"/>
      <c r="X63" s="175">
        <v>1211.38041</v>
      </c>
      <c r="Y63" s="166">
        <v>571.29335814679405</v>
      </c>
      <c r="Z63" s="177">
        <v>573</v>
      </c>
      <c r="AA63" s="182">
        <v>0.99702156744641202</v>
      </c>
      <c r="AB63" s="183">
        <v>-217.45865293889901</v>
      </c>
      <c r="AC63" s="168">
        <v>2E-3</v>
      </c>
      <c r="AD63" s="168">
        <v>0</v>
      </c>
      <c r="AE63" s="176">
        <v>4</v>
      </c>
      <c r="AF63" s="176">
        <v>247</v>
      </c>
      <c r="AG63" s="167"/>
      <c r="AH63" s="180">
        <v>144.30000000000001</v>
      </c>
      <c r="AI63" s="166">
        <v>68.052637222837603</v>
      </c>
      <c r="AJ63" s="181" t="s">
        <v>53</v>
      </c>
      <c r="AK63" s="182">
        <v>1.08020059083869</v>
      </c>
      <c r="AL63" s="183">
        <v>-12.797488595376301</v>
      </c>
      <c r="AM63" s="168">
        <v>0.01</v>
      </c>
      <c r="AN63" s="168">
        <v>8.0000000000000002E-3</v>
      </c>
      <c r="AO63" s="176">
        <v>0</v>
      </c>
      <c r="AP63" s="176">
        <v>17</v>
      </c>
      <c r="AQ63" s="167"/>
      <c r="AR63" s="180">
        <v>12.8</v>
      </c>
      <c r="AS63" s="166">
        <v>6.0365471687617598</v>
      </c>
      <c r="AT63" s="181" t="s">
        <v>54</v>
      </c>
      <c r="AU63" s="173">
        <v>0.37728419804760999</v>
      </c>
      <c r="AV63" s="174">
        <v>-27.0977748813654</v>
      </c>
      <c r="AW63" s="168"/>
      <c r="AX63" s="168"/>
      <c r="AY63" s="176">
        <v>22</v>
      </c>
      <c r="AZ63" s="176">
        <v>28</v>
      </c>
      <c r="BA63" s="167"/>
      <c r="BB63" s="184">
        <v>90.8</v>
      </c>
      <c r="BC63" s="180">
        <v>42.821756478403699</v>
      </c>
      <c r="BD63" s="181" t="s">
        <v>55</v>
      </c>
      <c r="BE63" s="178">
        <v>1.33817988995012</v>
      </c>
      <c r="BF63" s="179">
        <v>11.0044502372692</v>
      </c>
      <c r="BG63" s="168">
        <v>0.02</v>
      </c>
      <c r="BH63" s="168">
        <v>0.02</v>
      </c>
      <c r="BI63" s="176">
        <v>0</v>
      </c>
      <c r="BJ63" s="176">
        <v>0</v>
      </c>
      <c r="BK63" s="169"/>
      <c r="BL63" s="185">
        <v>0.8</v>
      </c>
      <c r="BM63" s="188">
        <v>0.72</v>
      </c>
      <c r="BN63" s="186"/>
      <c r="BO63" s="187">
        <v>0.95</v>
      </c>
      <c r="BP63" s="173">
        <v>0.71</v>
      </c>
      <c r="BQ63" s="186"/>
    </row>
    <row r="64" spans="1:69" s="156" customFormat="1" ht="22.35" customHeight="1" x14ac:dyDescent="0.2">
      <c r="A64" s="165" t="s">
        <v>80</v>
      </c>
      <c r="B64" s="165" t="s">
        <v>100</v>
      </c>
      <c r="C64" s="165" t="s">
        <v>117</v>
      </c>
      <c r="D64" s="166">
        <v>2.5505437582222199</v>
      </c>
      <c r="E64" s="167"/>
      <c r="F64" s="168">
        <v>0.05</v>
      </c>
      <c r="G64" s="168">
        <v>0.05</v>
      </c>
      <c r="H64" s="169"/>
      <c r="I64" s="170">
        <v>4</v>
      </c>
      <c r="J64" s="170">
        <v>4</v>
      </c>
      <c r="K64" s="167"/>
      <c r="L64" s="171">
        <v>1615.69109</v>
      </c>
      <c r="M64" s="171">
        <v>2734.5505899999998</v>
      </c>
      <c r="N64" s="171">
        <v>4350.2416800000001</v>
      </c>
      <c r="O64" s="166">
        <v>1705.61342693144</v>
      </c>
      <c r="P64" s="172">
        <v>273.43799999999999</v>
      </c>
      <c r="Q64" s="178">
        <v>6.2376605553413897</v>
      </c>
      <c r="R64" s="179">
        <v>3530.0809530269398</v>
      </c>
      <c r="S64" s="168">
        <v>0.01</v>
      </c>
      <c r="T64" s="168">
        <v>0.01</v>
      </c>
      <c r="U64" s="175">
        <v>0</v>
      </c>
      <c r="V64" s="176">
        <v>0</v>
      </c>
      <c r="W64" s="167"/>
      <c r="X64" s="175">
        <v>1808.5676800000001</v>
      </c>
      <c r="Y64" s="166">
        <v>709.09102193196895</v>
      </c>
      <c r="Z64" s="177">
        <v>573</v>
      </c>
      <c r="AA64" s="178">
        <v>1.2375061464781301</v>
      </c>
      <c r="AB64" s="179">
        <v>89.888869609473701</v>
      </c>
      <c r="AC64" s="168">
        <v>0.02</v>
      </c>
      <c r="AD64" s="168">
        <v>0.02</v>
      </c>
      <c r="AE64" s="176">
        <v>0</v>
      </c>
      <c r="AF64" s="176">
        <v>0</v>
      </c>
      <c r="AG64" s="167"/>
      <c r="AH64" s="180">
        <v>127.45</v>
      </c>
      <c r="AI64" s="166">
        <v>49.969736684241397</v>
      </c>
      <c r="AJ64" s="181" t="s">
        <v>53</v>
      </c>
      <c r="AK64" s="188">
        <v>0.79317042355938805</v>
      </c>
      <c r="AL64" s="171">
        <v>-61.514685959167799</v>
      </c>
      <c r="AM64" s="168"/>
      <c r="AN64" s="168"/>
      <c r="AO64" s="176">
        <v>34</v>
      </c>
      <c r="AP64" s="176">
        <v>66</v>
      </c>
      <c r="AQ64" s="167"/>
      <c r="AR64" s="180">
        <v>10.6</v>
      </c>
      <c r="AS64" s="166">
        <v>4.1559765308196104</v>
      </c>
      <c r="AT64" s="181" t="s">
        <v>54</v>
      </c>
      <c r="AU64" s="173">
        <v>0.25974853317622598</v>
      </c>
      <c r="AV64" s="174">
        <v>-37.391031354709298</v>
      </c>
      <c r="AW64" s="168"/>
      <c r="AX64" s="168"/>
      <c r="AY64" s="176">
        <v>31</v>
      </c>
      <c r="AZ64" s="176">
        <v>39</v>
      </c>
      <c r="BA64" s="167"/>
      <c r="BB64" s="184">
        <v>103.8</v>
      </c>
      <c r="BC64" s="180">
        <v>40.697204141422198</v>
      </c>
      <c r="BD64" s="181" t="s">
        <v>55</v>
      </c>
      <c r="BE64" s="178">
        <v>1.2717876294194399</v>
      </c>
      <c r="BF64" s="179">
        <v>7.8179372905814297</v>
      </c>
      <c r="BG64" s="168">
        <v>0.02</v>
      </c>
      <c r="BH64" s="168">
        <v>0.02</v>
      </c>
      <c r="BI64" s="176">
        <v>0</v>
      </c>
      <c r="BJ64" s="176">
        <v>0</v>
      </c>
      <c r="BK64" s="169"/>
      <c r="BL64" s="185">
        <v>0.8</v>
      </c>
      <c r="BM64" s="173">
        <v>0.66</v>
      </c>
      <c r="BN64" s="186"/>
      <c r="BO64" s="187">
        <v>0.95</v>
      </c>
      <c r="BP64" s="178">
        <v>1</v>
      </c>
      <c r="BQ64" s="186">
        <v>2.5000000000000001E-3</v>
      </c>
    </row>
    <row r="65" spans="1:69" s="156" customFormat="1" ht="22.35" customHeight="1" x14ac:dyDescent="0.2">
      <c r="A65" s="165" t="s">
        <v>80</v>
      </c>
      <c r="B65" s="165" t="s">
        <v>118</v>
      </c>
      <c r="C65" s="165" t="s">
        <v>119</v>
      </c>
      <c r="D65" s="166">
        <v>2.7952903572222199</v>
      </c>
      <c r="E65" s="167"/>
      <c r="F65" s="168">
        <v>0.03</v>
      </c>
      <c r="G65" s="168">
        <v>0.03</v>
      </c>
      <c r="H65" s="169"/>
      <c r="I65" s="170">
        <v>2</v>
      </c>
      <c r="J65" s="170">
        <v>2</v>
      </c>
      <c r="K65" s="167"/>
      <c r="L65" s="171">
        <v>2852.4804199999999</v>
      </c>
      <c r="M65" s="171">
        <v>709.31844000000001</v>
      </c>
      <c r="N65" s="171">
        <v>3561.7988599999999</v>
      </c>
      <c r="O65" s="166">
        <v>1274.21426929669</v>
      </c>
      <c r="P65" s="172">
        <v>264.72899999999998</v>
      </c>
      <c r="Q65" s="178">
        <v>4.81327799106516</v>
      </c>
      <c r="R65" s="179">
        <v>2691.56542093095</v>
      </c>
      <c r="S65" s="168">
        <v>0.01</v>
      </c>
      <c r="T65" s="168">
        <v>0.01</v>
      </c>
      <c r="U65" s="175">
        <v>0</v>
      </c>
      <c r="V65" s="176">
        <v>0</v>
      </c>
      <c r="W65" s="167"/>
      <c r="X65" s="175">
        <v>1429.7104200000001</v>
      </c>
      <c r="Y65" s="166">
        <v>511.47116660208201</v>
      </c>
      <c r="Z65" s="177">
        <v>573</v>
      </c>
      <c r="AA65" s="188">
        <v>0.89261983700188796</v>
      </c>
      <c r="AB65" s="171">
        <v>-453.89039663347802</v>
      </c>
      <c r="AC65" s="168"/>
      <c r="AD65" s="168"/>
      <c r="AE65" s="176">
        <v>172</v>
      </c>
      <c r="AF65" s="176">
        <v>493</v>
      </c>
      <c r="AG65" s="167"/>
      <c r="AH65" s="180">
        <v>155.25</v>
      </c>
      <c r="AI65" s="166">
        <v>55.5398474433537</v>
      </c>
      <c r="AJ65" s="181" t="s">
        <v>53</v>
      </c>
      <c r="AK65" s="188">
        <v>0.88158488005323399</v>
      </c>
      <c r="AL65" s="171">
        <v>-51.8474719858798</v>
      </c>
      <c r="AM65" s="168"/>
      <c r="AN65" s="168"/>
      <c r="AO65" s="176">
        <v>21</v>
      </c>
      <c r="AP65" s="176">
        <v>57</v>
      </c>
      <c r="AQ65" s="167"/>
      <c r="AR65" s="180">
        <v>14</v>
      </c>
      <c r="AS65" s="166">
        <v>5.0084242460995299</v>
      </c>
      <c r="AT65" s="181" t="s">
        <v>54</v>
      </c>
      <c r="AU65" s="173">
        <v>0.313026515381221</v>
      </c>
      <c r="AV65" s="174">
        <v>-38.596183361493303</v>
      </c>
      <c r="AW65" s="168"/>
      <c r="AX65" s="168"/>
      <c r="AY65" s="176">
        <v>31</v>
      </c>
      <c r="AZ65" s="176">
        <v>40</v>
      </c>
      <c r="BA65" s="167"/>
      <c r="BB65" s="184">
        <v>126.2</v>
      </c>
      <c r="BC65" s="180">
        <v>45.147367132697198</v>
      </c>
      <c r="BD65" s="181" t="s">
        <v>55</v>
      </c>
      <c r="BE65" s="178">
        <v>1.4108552228967901</v>
      </c>
      <c r="BF65" s="179">
        <v>21.007633277013401</v>
      </c>
      <c r="BG65" s="168">
        <v>0.02</v>
      </c>
      <c r="BH65" s="168">
        <v>0.02</v>
      </c>
      <c r="BI65" s="176">
        <v>0</v>
      </c>
      <c r="BJ65" s="176">
        <v>0</v>
      </c>
      <c r="BK65" s="169"/>
      <c r="BL65" s="185">
        <v>0.8</v>
      </c>
      <c r="BM65" s="173">
        <v>0.68</v>
      </c>
      <c r="BN65" s="186"/>
      <c r="BO65" s="187">
        <v>0.95</v>
      </c>
      <c r="BP65" s="188">
        <v>0.9</v>
      </c>
      <c r="BQ65" s="186"/>
    </row>
    <row r="66" spans="1:69" s="156" customFormat="1" ht="22.35" customHeight="1" x14ac:dyDescent="0.2">
      <c r="A66" s="165" t="s">
        <v>80</v>
      </c>
      <c r="B66" s="165" t="s">
        <v>118</v>
      </c>
      <c r="C66" s="165" t="s">
        <v>120</v>
      </c>
      <c r="D66" s="166">
        <v>1.42108807377778</v>
      </c>
      <c r="E66" s="167"/>
      <c r="F66" s="168">
        <v>0.03</v>
      </c>
      <c r="G66" s="168">
        <v>0.03</v>
      </c>
      <c r="H66" s="169"/>
      <c r="I66" s="170">
        <v>3</v>
      </c>
      <c r="J66" s="170">
        <v>3</v>
      </c>
      <c r="K66" s="167"/>
      <c r="L66" s="171">
        <v>2197.92515</v>
      </c>
      <c r="M66" s="171">
        <v>1148.8130200000001</v>
      </c>
      <c r="N66" s="171">
        <v>3346.7381700000001</v>
      </c>
      <c r="O66" s="166">
        <v>2355.05330862649</v>
      </c>
      <c r="P66" s="172">
        <v>287.5</v>
      </c>
      <c r="Q66" s="178">
        <v>8.1914897691356199</v>
      </c>
      <c r="R66" s="179">
        <v>2866.2682922557301</v>
      </c>
      <c r="S66" s="168">
        <v>0.01</v>
      </c>
      <c r="T66" s="168">
        <v>0.01</v>
      </c>
      <c r="U66" s="175">
        <v>0</v>
      </c>
      <c r="V66" s="176">
        <v>0</v>
      </c>
      <c r="W66" s="167"/>
      <c r="X66" s="175">
        <v>983.43741</v>
      </c>
      <c r="Y66" s="166">
        <v>692.03128795927398</v>
      </c>
      <c r="Z66" s="177">
        <v>573</v>
      </c>
      <c r="AA66" s="178">
        <v>1.2077334868399201</v>
      </c>
      <c r="AB66" s="179">
        <v>25.840053660990701</v>
      </c>
      <c r="AC66" s="168">
        <v>0.02</v>
      </c>
      <c r="AD66" s="168">
        <v>0.02</v>
      </c>
      <c r="AE66" s="176">
        <v>0</v>
      </c>
      <c r="AF66" s="176">
        <v>0</v>
      </c>
      <c r="AG66" s="167"/>
      <c r="AH66" s="180">
        <v>65.2</v>
      </c>
      <c r="AI66" s="166">
        <v>45.880337188865603</v>
      </c>
      <c r="AJ66" s="181" t="s">
        <v>53</v>
      </c>
      <c r="AK66" s="173">
        <v>0.72825932045818498</v>
      </c>
      <c r="AL66" s="174">
        <v>-40.085573210048103</v>
      </c>
      <c r="AM66" s="168"/>
      <c r="AN66" s="168"/>
      <c r="AO66" s="176">
        <v>25</v>
      </c>
      <c r="AP66" s="176">
        <v>43</v>
      </c>
      <c r="AQ66" s="167"/>
      <c r="AR66" s="180">
        <v>11.6</v>
      </c>
      <c r="AS66" s="166">
        <v>8.1627593771601408</v>
      </c>
      <c r="AT66" s="181" t="s">
        <v>54</v>
      </c>
      <c r="AU66" s="173">
        <v>0.51017246107250902</v>
      </c>
      <c r="AV66" s="174">
        <v>-15.139193196202701</v>
      </c>
      <c r="AW66" s="168"/>
      <c r="AX66" s="168"/>
      <c r="AY66" s="176">
        <v>12</v>
      </c>
      <c r="AZ66" s="176">
        <v>16</v>
      </c>
      <c r="BA66" s="167"/>
      <c r="BB66" s="184">
        <v>43.6</v>
      </c>
      <c r="BC66" s="180">
        <v>30.6807162796709</v>
      </c>
      <c r="BD66" s="181" t="s">
        <v>55</v>
      </c>
      <c r="BE66" s="188">
        <v>0.95877238373971496</v>
      </c>
      <c r="BF66" s="171">
        <v>-9.8783863924053996</v>
      </c>
      <c r="BG66" s="168"/>
      <c r="BH66" s="168"/>
      <c r="BI66" s="176">
        <v>2</v>
      </c>
      <c r="BJ66" s="176">
        <v>11</v>
      </c>
      <c r="BK66" s="169"/>
      <c r="BL66" s="185">
        <v>0.8</v>
      </c>
      <c r="BM66" s="188">
        <v>0.75</v>
      </c>
      <c r="BN66" s="186"/>
      <c r="BO66" s="187">
        <v>0.95</v>
      </c>
      <c r="BP66" s="178">
        <v>1</v>
      </c>
      <c r="BQ66" s="186">
        <v>2.5000000000000001E-3</v>
      </c>
    </row>
    <row r="67" spans="1:69" s="156" customFormat="1" ht="22.35" customHeight="1" x14ac:dyDescent="0.2">
      <c r="A67" s="165" t="s">
        <v>80</v>
      </c>
      <c r="B67" s="165" t="s">
        <v>118</v>
      </c>
      <c r="C67" s="165" t="s">
        <v>121</v>
      </c>
      <c r="D67" s="166">
        <v>4.3565891625555597</v>
      </c>
      <c r="E67" s="167"/>
      <c r="F67" s="168">
        <v>0.03</v>
      </c>
      <c r="G67" s="168">
        <v>0.03</v>
      </c>
      <c r="H67" s="169"/>
      <c r="I67" s="170">
        <v>3</v>
      </c>
      <c r="J67" s="170">
        <v>3</v>
      </c>
      <c r="K67" s="167"/>
      <c r="L67" s="171">
        <v>3553.2466899999999</v>
      </c>
      <c r="M67" s="171">
        <v>1919.14185</v>
      </c>
      <c r="N67" s="171">
        <v>5472.3885399999999</v>
      </c>
      <c r="O67" s="166">
        <v>1256.11764979692</v>
      </c>
      <c r="P67" s="172">
        <v>287.5</v>
      </c>
      <c r="Q67" s="178">
        <v>4.3691048688588499</v>
      </c>
      <c r="R67" s="179">
        <v>3999.42574413996</v>
      </c>
      <c r="S67" s="168">
        <v>0.01</v>
      </c>
      <c r="T67" s="168">
        <v>0.01</v>
      </c>
      <c r="U67" s="175">
        <v>0</v>
      </c>
      <c r="V67" s="176">
        <v>0</v>
      </c>
      <c r="W67" s="167"/>
      <c r="X67" s="175">
        <v>2019.6243549999999</v>
      </c>
      <c r="Y67" s="166">
        <v>463.57925423826202</v>
      </c>
      <c r="Z67" s="177">
        <v>573</v>
      </c>
      <c r="AA67" s="188">
        <v>0.80903883811215005</v>
      </c>
      <c r="AB67" s="171">
        <v>-916.05453900973896</v>
      </c>
      <c r="AC67" s="168"/>
      <c r="AD67" s="168"/>
      <c r="AE67" s="176">
        <v>477</v>
      </c>
      <c r="AF67" s="176">
        <v>976</v>
      </c>
      <c r="AG67" s="167"/>
      <c r="AH67" s="180">
        <v>162.4</v>
      </c>
      <c r="AI67" s="166">
        <v>37.276868196756197</v>
      </c>
      <c r="AJ67" s="181" t="s">
        <v>53</v>
      </c>
      <c r="AK67" s="173">
        <v>0.59169632058343202</v>
      </c>
      <c r="AL67" s="174">
        <v>-160.370977875416</v>
      </c>
      <c r="AM67" s="168"/>
      <c r="AN67" s="168"/>
      <c r="AO67" s="176">
        <v>113</v>
      </c>
      <c r="AP67" s="176">
        <v>167</v>
      </c>
      <c r="AQ67" s="167"/>
      <c r="AR67" s="180">
        <v>51.4</v>
      </c>
      <c r="AS67" s="166">
        <v>11.798220599219601</v>
      </c>
      <c r="AT67" s="181" t="s">
        <v>54</v>
      </c>
      <c r="AU67" s="173">
        <v>0.73738878745122705</v>
      </c>
      <c r="AV67" s="174">
        <v>-30.573581682645401</v>
      </c>
      <c r="AW67" s="168"/>
      <c r="AX67" s="168"/>
      <c r="AY67" s="176">
        <v>19</v>
      </c>
      <c r="AZ67" s="176">
        <v>33</v>
      </c>
      <c r="BA67" s="167"/>
      <c r="BB67" s="184">
        <v>197.6</v>
      </c>
      <c r="BC67" s="180">
        <v>45.356583470929998</v>
      </c>
      <c r="BD67" s="181" t="s">
        <v>55</v>
      </c>
      <c r="BE67" s="178">
        <v>1.41739323346656</v>
      </c>
      <c r="BF67" s="179">
        <v>33.652836634709203</v>
      </c>
      <c r="BG67" s="168">
        <v>0.02</v>
      </c>
      <c r="BH67" s="168">
        <v>0.02</v>
      </c>
      <c r="BI67" s="176">
        <v>0</v>
      </c>
      <c r="BJ67" s="176">
        <v>0</v>
      </c>
      <c r="BK67" s="169"/>
      <c r="BL67" s="185">
        <v>0.8</v>
      </c>
      <c r="BM67" s="188">
        <v>0.75</v>
      </c>
      <c r="BN67" s="186"/>
      <c r="BO67" s="187">
        <v>0.95</v>
      </c>
      <c r="BP67" s="178">
        <v>1</v>
      </c>
      <c r="BQ67" s="186">
        <v>2.5000000000000001E-3</v>
      </c>
    </row>
    <row r="68" spans="1:69" s="156" customFormat="1" ht="22.35" customHeight="1" x14ac:dyDescent="0.2">
      <c r="A68" s="165" t="s">
        <v>80</v>
      </c>
      <c r="B68" s="165" t="s">
        <v>118</v>
      </c>
      <c r="C68" s="165" t="s">
        <v>122</v>
      </c>
      <c r="D68" s="166">
        <v>4.5469934366666704</v>
      </c>
      <c r="E68" s="167"/>
      <c r="F68" s="168">
        <v>4.7E-2</v>
      </c>
      <c r="G68" s="168">
        <v>4.2999999999999997E-2</v>
      </c>
      <c r="H68" s="169"/>
      <c r="I68" s="170">
        <v>5</v>
      </c>
      <c r="J68" s="170">
        <v>5</v>
      </c>
      <c r="K68" s="167"/>
      <c r="L68" s="171">
        <v>5184.4554099999996</v>
      </c>
      <c r="M68" s="171">
        <v>1850.15624</v>
      </c>
      <c r="N68" s="171">
        <v>7034.6116499999998</v>
      </c>
      <c r="O68" s="166">
        <v>1547.09078602871</v>
      </c>
      <c r="P68" s="172">
        <v>287.5</v>
      </c>
      <c r="Q68" s="178">
        <v>5.3811853427085596</v>
      </c>
      <c r="R68" s="179">
        <v>5497.2731690629998</v>
      </c>
      <c r="S68" s="168">
        <v>0.01</v>
      </c>
      <c r="T68" s="168">
        <v>0.01</v>
      </c>
      <c r="U68" s="175">
        <v>0</v>
      </c>
      <c r="V68" s="176">
        <v>0</v>
      </c>
      <c r="W68" s="167"/>
      <c r="X68" s="175">
        <v>2856.775885</v>
      </c>
      <c r="Y68" s="166">
        <v>628.277987375821</v>
      </c>
      <c r="Z68" s="177">
        <v>573</v>
      </c>
      <c r="AA68" s="182">
        <v>1.0964711821567501</v>
      </c>
      <c r="AB68" s="183">
        <v>-207.20654831096201</v>
      </c>
      <c r="AC68" s="168">
        <v>1.2E-2</v>
      </c>
      <c r="AD68" s="168">
        <v>0.01</v>
      </c>
      <c r="AE68" s="176">
        <v>0</v>
      </c>
      <c r="AF68" s="176">
        <v>270</v>
      </c>
      <c r="AG68" s="167"/>
      <c r="AH68" s="180">
        <v>296.05</v>
      </c>
      <c r="AI68" s="166">
        <v>65.108956967624295</v>
      </c>
      <c r="AJ68" s="181" t="s">
        <v>53</v>
      </c>
      <c r="AK68" s="182">
        <v>1.0334755074226101</v>
      </c>
      <c r="AL68" s="183">
        <v>-40.827649735760197</v>
      </c>
      <c r="AM68" s="168">
        <v>5.0000000000000001E-3</v>
      </c>
      <c r="AN68" s="168">
        <v>3.0000000000000001E-3</v>
      </c>
      <c r="AO68" s="176">
        <v>0</v>
      </c>
      <c r="AP68" s="176">
        <v>48</v>
      </c>
      <c r="AQ68" s="167"/>
      <c r="AR68" s="180">
        <v>46.2</v>
      </c>
      <c r="AS68" s="166">
        <v>10.160560080743901</v>
      </c>
      <c r="AT68" s="181" t="s">
        <v>54</v>
      </c>
      <c r="AU68" s="173">
        <v>0.63503500504649601</v>
      </c>
      <c r="AV68" s="174">
        <v>-39.356228504320001</v>
      </c>
      <c r="AW68" s="168"/>
      <c r="AX68" s="168"/>
      <c r="AY68" s="176">
        <v>27</v>
      </c>
      <c r="AZ68" s="176">
        <v>42</v>
      </c>
      <c r="BA68" s="167"/>
      <c r="BB68" s="184">
        <v>218.8</v>
      </c>
      <c r="BC68" s="180">
        <v>48.119708780666102</v>
      </c>
      <c r="BD68" s="181" t="s">
        <v>55</v>
      </c>
      <c r="BE68" s="178">
        <v>1.5037408993958099</v>
      </c>
      <c r="BF68" s="179">
        <v>47.687542991359898</v>
      </c>
      <c r="BG68" s="168">
        <v>0.02</v>
      </c>
      <c r="BH68" s="168">
        <v>0.02</v>
      </c>
      <c r="BI68" s="176">
        <v>0</v>
      </c>
      <c r="BJ68" s="176">
        <v>0</v>
      </c>
      <c r="BK68" s="169"/>
      <c r="BL68" s="185">
        <v>0.8</v>
      </c>
      <c r="BM68" s="188">
        <v>0.77</v>
      </c>
      <c r="BN68" s="186"/>
      <c r="BO68" s="187">
        <v>0.95</v>
      </c>
      <c r="BP68" s="178">
        <v>1</v>
      </c>
      <c r="BQ68" s="186">
        <v>2.5000000000000001E-3</v>
      </c>
    </row>
    <row r="69" spans="1:69" s="156" customFormat="1" ht="22.35" customHeight="1" x14ac:dyDescent="0.2">
      <c r="A69" s="165" t="s">
        <v>80</v>
      </c>
      <c r="B69" s="165" t="s">
        <v>118</v>
      </c>
      <c r="C69" s="165" t="s">
        <v>123</v>
      </c>
      <c r="D69" s="166">
        <v>1.5103209235555599</v>
      </c>
      <c r="E69" s="167"/>
      <c r="F69" s="168">
        <v>1.6500000000000001E-2</v>
      </c>
      <c r="G69" s="168">
        <v>1.2500000000000001E-2</v>
      </c>
      <c r="H69" s="169"/>
      <c r="I69" s="170">
        <v>3</v>
      </c>
      <c r="J69" s="170">
        <v>3</v>
      </c>
      <c r="K69" s="167"/>
      <c r="L69" s="171">
        <v>703.77817000000005</v>
      </c>
      <c r="M69" s="171">
        <v>-281.25837999999999</v>
      </c>
      <c r="N69" s="171">
        <v>422.51979</v>
      </c>
      <c r="O69" s="166">
        <v>279.75497353589998</v>
      </c>
      <c r="P69" s="172">
        <v>287.5</v>
      </c>
      <c r="Q69" s="188">
        <v>0.97306077751617304</v>
      </c>
      <c r="R69" s="171">
        <v>-88.119714254134806</v>
      </c>
      <c r="S69" s="168"/>
      <c r="T69" s="168"/>
      <c r="U69" s="175">
        <v>12</v>
      </c>
      <c r="V69" s="176">
        <v>99</v>
      </c>
      <c r="W69" s="167"/>
      <c r="X69" s="175">
        <v>653.07995500000004</v>
      </c>
      <c r="Y69" s="166">
        <v>432.411380134056</v>
      </c>
      <c r="Z69" s="177">
        <v>573</v>
      </c>
      <c r="AA69" s="173">
        <v>0.75464464246781204</v>
      </c>
      <c r="AB69" s="174">
        <v>-364.64677869606697</v>
      </c>
      <c r="AC69" s="168"/>
      <c r="AD69" s="168"/>
      <c r="AE69" s="176">
        <v>213</v>
      </c>
      <c r="AF69" s="176">
        <v>386</v>
      </c>
      <c r="AG69" s="167"/>
      <c r="AH69" s="180">
        <v>92.65</v>
      </c>
      <c r="AI69" s="166">
        <v>61.3445781985765</v>
      </c>
      <c r="AJ69" s="181" t="s">
        <v>53</v>
      </c>
      <c r="AK69" s="188">
        <v>0.97372346346946803</v>
      </c>
      <c r="AL69" s="171">
        <v>-19.246656584384301</v>
      </c>
      <c r="AM69" s="168"/>
      <c r="AN69" s="168"/>
      <c r="AO69" s="176">
        <v>3</v>
      </c>
      <c r="AP69" s="176">
        <v>22</v>
      </c>
      <c r="AQ69" s="167"/>
      <c r="AR69" s="180">
        <v>25.4</v>
      </c>
      <c r="AS69" s="166">
        <v>16.817617768417101</v>
      </c>
      <c r="AT69" s="181" t="s">
        <v>54</v>
      </c>
      <c r="AU69" s="182">
        <v>1.0511011105260699</v>
      </c>
      <c r="AV69" s="183">
        <v>-3.0181984976214098</v>
      </c>
      <c r="AW69" s="168">
        <v>3.5000000000000001E-3</v>
      </c>
      <c r="AX69" s="168">
        <v>2.5000000000000001E-3</v>
      </c>
      <c r="AY69" s="176">
        <v>0</v>
      </c>
      <c r="AZ69" s="176">
        <v>4</v>
      </c>
      <c r="BA69" s="167"/>
      <c r="BB69" s="184">
        <v>53.4</v>
      </c>
      <c r="BC69" s="180">
        <v>35.356723969821701</v>
      </c>
      <c r="BD69" s="181" t="s">
        <v>55</v>
      </c>
      <c r="BE69" s="182">
        <v>1.1048976240569299</v>
      </c>
      <c r="BF69" s="183">
        <v>-3.4363969952428302</v>
      </c>
      <c r="BG69" s="168">
        <v>1.2999999999999999E-2</v>
      </c>
      <c r="BH69" s="168">
        <v>0.01</v>
      </c>
      <c r="BI69" s="176">
        <v>0</v>
      </c>
      <c r="BJ69" s="176">
        <v>5</v>
      </c>
      <c r="BK69" s="169"/>
      <c r="BL69" s="185">
        <v>0.8</v>
      </c>
      <c r="BM69" s="173">
        <v>0.64</v>
      </c>
      <c r="BN69" s="186"/>
      <c r="BO69" s="187">
        <v>0.95</v>
      </c>
      <c r="BP69" s="178">
        <v>1</v>
      </c>
      <c r="BQ69" s="186">
        <v>2.5000000000000001E-3</v>
      </c>
    </row>
    <row r="70" spans="1:69" s="156" customFormat="1" ht="22.35" customHeight="1" x14ac:dyDescent="0.2">
      <c r="A70" s="165" t="s">
        <v>80</v>
      </c>
      <c r="B70" s="165" t="s">
        <v>118</v>
      </c>
      <c r="C70" s="165" t="s">
        <v>124</v>
      </c>
      <c r="D70" s="166">
        <v>3.0536943671111101</v>
      </c>
      <c r="E70" s="167"/>
      <c r="F70" s="168">
        <v>3.3000000000000002E-2</v>
      </c>
      <c r="G70" s="168">
        <v>3.2000000000000001E-2</v>
      </c>
      <c r="H70" s="169"/>
      <c r="I70" s="170">
        <v>4</v>
      </c>
      <c r="J70" s="170">
        <v>4</v>
      </c>
      <c r="K70" s="167"/>
      <c r="L70" s="171">
        <v>2963.7654200000002</v>
      </c>
      <c r="M70" s="171">
        <v>768.79039</v>
      </c>
      <c r="N70" s="171">
        <v>3732.5558099999998</v>
      </c>
      <c r="O70" s="166">
        <v>1222.3082474134801</v>
      </c>
      <c r="P70" s="172">
        <v>253.321</v>
      </c>
      <c r="Q70" s="178">
        <v>4.8251358845633803</v>
      </c>
      <c r="R70" s="179">
        <v>2822.8434749333601</v>
      </c>
      <c r="S70" s="168">
        <v>0.01</v>
      </c>
      <c r="T70" s="168">
        <v>0.01</v>
      </c>
      <c r="U70" s="175">
        <v>0</v>
      </c>
      <c r="V70" s="176">
        <v>0</v>
      </c>
      <c r="W70" s="167"/>
      <c r="X70" s="175">
        <v>1503.70715</v>
      </c>
      <c r="Y70" s="166">
        <v>492.42228239840301</v>
      </c>
      <c r="Z70" s="177">
        <v>573</v>
      </c>
      <c r="AA70" s="188">
        <v>0.85937571099197696</v>
      </c>
      <c r="AB70" s="171">
        <v>-554.01869188908699</v>
      </c>
      <c r="AC70" s="168"/>
      <c r="AD70" s="168"/>
      <c r="AE70" s="176">
        <v>247</v>
      </c>
      <c r="AF70" s="176">
        <v>597</v>
      </c>
      <c r="AG70" s="167"/>
      <c r="AH70" s="180">
        <v>120.3</v>
      </c>
      <c r="AI70" s="166">
        <v>39.394905166559802</v>
      </c>
      <c r="AJ70" s="181" t="s">
        <v>53</v>
      </c>
      <c r="AK70" s="173">
        <v>0.62531595502475801</v>
      </c>
      <c r="AL70" s="174">
        <v>-105.942108270528</v>
      </c>
      <c r="AM70" s="168"/>
      <c r="AN70" s="168"/>
      <c r="AO70" s="176">
        <v>73</v>
      </c>
      <c r="AP70" s="176">
        <v>111</v>
      </c>
      <c r="AQ70" s="167"/>
      <c r="AR70" s="180">
        <v>50.6</v>
      </c>
      <c r="AS70" s="166">
        <v>16.570093112451602</v>
      </c>
      <c r="AT70" s="181" t="s">
        <v>54</v>
      </c>
      <c r="AU70" s="182">
        <v>1.03563081952822</v>
      </c>
      <c r="AV70" s="183">
        <v>-6.8583132115626304</v>
      </c>
      <c r="AW70" s="168">
        <v>3.0000000000000001E-3</v>
      </c>
      <c r="AX70" s="168">
        <v>2E-3</v>
      </c>
      <c r="AY70" s="176">
        <v>0</v>
      </c>
      <c r="AZ70" s="176">
        <v>9</v>
      </c>
      <c r="BA70" s="167"/>
      <c r="BB70" s="184">
        <v>166</v>
      </c>
      <c r="BC70" s="180">
        <v>54.3603845191099</v>
      </c>
      <c r="BD70" s="181" t="s">
        <v>55</v>
      </c>
      <c r="BE70" s="178">
        <v>1.6987620162221799</v>
      </c>
      <c r="BF70" s="179">
        <v>51.083373576874699</v>
      </c>
      <c r="BG70" s="168">
        <v>0.02</v>
      </c>
      <c r="BH70" s="168">
        <v>0.02</v>
      </c>
      <c r="BI70" s="176">
        <v>0</v>
      </c>
      <c r="BJ70" s="176">
        <v>0</v>
      </c>
      <c r="BK70" s="169"/>
      <c r="BL70" s="185">
        <v>0.8</v>
      </c>
      <c r="BM70" s="173">
        <v>0.62</v>
      </c>
      <c r="BN70" s="186"/>
      <c r="BO70" s="187">
        <v>0.95</v>
      </c>
      <c r="BP70" s="178">
        <v>1</v>
      </c>
      <c r="BQ70" s="186">
        <v>2.5000000000000001E-3</v>
      </c>
    </row>
    <row r="71" spans="1:69" s="156" customFormat="1" ht="22.35" customHeight="1" x14ac:dyDescent="0.2">
      <c r="A71" s="165" t="s">
        <v>80</v>
      </c>
      <c r="B71" s="165" t="s">
        <v>118</v>
      </c>
      <c r="C71" s="165" t="s">
        <v>125</v>
      </c>
      <c r="D71" s="166">
        <v>2.1938047859999998</v>
      </c>
      <c r="E71" s="167"/>
      <c r="F71" s="168">
        <v>3.9E-2</v>
      </c>
      <c r="G71" s="168">
        <v>3.5999999999999997E-2</v>
      </c>
      <c r="H71" s="169"/>
      <c r="I71" s="170">
        <v>4</v>
      </c>
      <c r="J71" s="170">
        <v>4</v>
      </c>
      <c r="K71" s="167"/>
      <c r="L71" s="171">
        <v>1936.8040100000001</v>
      </c>
      <c r="M71" s="171">
        <v>175.03827999999999</v>
      </c>
      <c r="N71" s="171">
        <v>2111.84229</v>
      </c>
      <c r="O71" s="166">
        <v>962.63911150023296</v>
      </c>
      <c r="P71" s="172">
        <v>252.24799999999999</v>
      </c>
      <c r="Q71" s="178">
        <v>3.8162408086495598</v>
      </c>
      <c r="R71" s="179">
        <v>1461.0640352810999</v>
      </c>
      <c r="S71" s="168">
        <v>0.01</v>
      </c>
      <c r="T71" s="168">
        <v>0.01</v>
      </c>
      <c r="U71" s="175">
        <v>0</v>
      </c>
      <c r="V71" s="176">
        <v>0</v>
      </c>
      <c r="W71" s="167"/>
      <c r="X71" s="175">
        <v>1338.7217949999999</v>
      </c>
      <c r="Y71" s="166">
        <v>610.22831363264299</v>
      </c>
      <c r="Z71" s="177">
        <v>573</v>
      </c>
      <c r="AA71" s="182">
        <v>1.0649708789400401</v>
      </c>
      <c r="AB71" s="183">
        <v>-139.56917243652799</v>
      </c>
      <c r="AC71" s="168">
        <v>8.9999999999999993E-3</v>
      </c>
      <c r="AD71" s="168">
        <v>6.0000000000000001E-3</v>
      </c>
      <c r="AE71" s="176">
        <v>0</v>
      </c>
      <c r="AF71" s="176">
        <v>170</v>
      </c>
      <c r="AG71" s="167"/>
      <c r="AH71" s="180">
        <v>120.9</v>
      </c>
      <c r="AI71" s="166">
        <v>55.109734818492598</v>
      </c>
      <c r="AJ71" s="181" t="s">
        <v>53</v>
      </c>
      <c r="AK71" s="188">
        <v>0.87475769553162896</v>
      </c>
      <c r="AL71" s="171">
        <v>-41.634608985168001</v>
      </c>
      <c r="AM71" s="168"/>
      <c r="AN71" s="168"/>
      <c r="AO71" s="176">
        <v>18</v>
      </c>
      <c r="AP71" s="176">
        <v>45</v>
      </c>
      <c r="AQ71" s="167"/>
      <c r="AR71" s="180">
        <v>24.8</v>
      </c>
      <c r="AS71" s="166">
        <v>11.304560988408699</v>
      </c>
      <c r="AT71" s="181" t="s">
        <v>54</v>
      </c>
      <c r="AU71" s="173">
        <v>0.70653506177554604</v>
      </c>
      <c r="AV71" s="174">
        <v>-16.478630853376</v>
      </c>
      <c r="AW71" s="168"/>
      <c r="AX71" s="168"/>
      <c r="AY71" s="176">
        <v>11</v>
      </c>
      <c r="AZ71" s="176">
        <v>18</v>
      </c>
      <c r="BA71" s="167"/>
      <c r="BB71" s="184">
        <v>91.4</v>
      </c>
      <c r="BC71" s="180">
        <v>41.662777191151598</v>
      </c>
      <c r="BD71" s="181" t="s">
        <v>55</v>
      </c>
      <c r="BE71" s="178">
        <v>1.3019617872234901</v>
      </c>
      <c r="BF71" s="179">
        <v>8.8427382932480203</v>
      </c>
      <c r="BG71" s="168">
        <v>0.02</v>
      </c>
      <c r="BH71" s="168">
        <v>0.02</v>
      </c>
      <c r="BI71" s="176">
        <v>0</v>
      </c>
      <c r="BJ71" s="176">
        <v>0</v>
      </c>
      <c r="BK71" s="169"/>
      <c r="BL71" s="185">
        <v>0.8</v>
      </c>
      <c r="BM71" s="188">
        <v>0.74</v>
      </c>
      <c r="BN71" s="186"/>
      <c r="BO71" s="187">
        <v>0.95</v>
      </c>
      <c r="BP71" s="178">
        <v>1</v>
      </c>
      <c r="BQ71" s="186">
        <v>2.5000000000000001E-3</v>
      </c>
    </row>
    <row r="72" spans="1:69" s="156" customFormat="1" ht="22.35" customHeight="1" x14ac:dyDescent="0.2">
      <c r="A72" s="165" t="s">
        <v>80</v>
      </c>
      <c r="B72" s="165" t="s">
        <v>118</v>
      </c>
      <c r="C72" s="165" t="s">
        <v>126</v>
      </c>
      <c r="D72" s="166">
        <v>4.5919046557777801</v>
      </c>
      <c r="E72" s="167"/>
      <c r="F72" s="168">
        <v>7.6999999999999999E-2</v>
      </c>
      <c r="G72" s="168">
        <v>7.3999999999999996E-2</v>
      </c>
      <c r="H72" s="169"/>
      <c r="I72" s="170">
        <v>6</v>
      </c>
      <c r="J72" s="170">
        <v>6</v>
      </c>
      <c r="K72" s="167"/>
      <c r="L72" s="171">
        <v>2385.5431899999999</v>
      </c>
      <c r="M72" s="171">
        <v>1551.68768</v>
      </c>
      <c r="N72" s="171">
        <v>3937.2308699999999</v>
      </c>
      <c r="O72" s="166">
        <v>857.42870663613803</v>
      </c>
      <c r="P72" s="172">
        <v>287.5</v>
      </c>
      <c r="Q72" s="178">
        <v>2.9823607187343901</v>
      </c>
      <c r="R72" s="179">
        <v>2384.7079058815302</v>
      </c>
      <c r="S72" s="168">
        <v>0.01</v>
      </c>
      <c r="T72" s="168">
        <v>0.01</v>
      </c>
      <c r="U72" s="175">
        <v>0</v>
      </c>
      <c r="V72" s="176">
        <v>0</v>
      </c>
      <c r="W72" s="167"/>
      <c r="X72" s="175">
        <v>3011.7508349999998</v>
      </c>
      <c r="Y72" s="166">
        <v>655.88270244471505</v>
      </c>
      <c r="Z72" s="177">
        <v>573</v>
      </c>
      <c r="AA72" s="182">
        <v>1.1446469501653</v>
      </c>
      <c r="AB72" s="183">
        <v>-82.494933486544994</v>
      </c>
      <c r="AC72" s="168">
        <v>1.7000000000000001E-2</v>
      </c>
      <c r="AD72" s="168">
        <v>1.4E-2</v>
      </c>
      <c r="AE72" s="176">
        <v>0</v>
      </c>
      <c r="AF72" s="176">
        <v>146</v>
      </c>
      <c r="AG72" s="167"/>
      <c r="AH72" s="180">
        <v>376.85</v>
      </c>
      <c r="AI72" s="166">
        <v>82.0683416250438</v>
      </c>
      <c r="AJ72" s="181" t="s">
        <v>53</v>
      </c>
      <c r="AK72" s="178">
        <v>1.3026720892864101</v>
      </c>
      <c r="AL72" s="179">
        <v>36.644967862735903</v>
      </c>
      <c r="AM72" s="168">
        <v>0.02</v>
      </c>
      <c r="AN72" s="168">
        <v>0.02</v>
      </c>
      <c r="AO72" s="176">
        <v>0</v>
      </c>
      <c r="AP72" s="176">
        <v>0</v>
      </c>
      <c r="AQ72" s="167"/>
      <c r="AR72" s="180">
        <v>90</v>
      </c>
      <c r="AS72" s="166">
        <v>19.599710086915099</v>
      </c>
      <c r="AT72" s="181" t="s">
        <v>54</v>
      </c>
      <c r="AU72" s="178">
        <v>1.2249818804321899</v>
      </c>
      <c r="AV72" s="179">
        <v>3.5987219968853199</v>
      </c>
      <c r="AW72" s="168">
        <v>0.01</v>
      </c>
      <c r="AX72" s="168">
        <v>0.01</v>
      </c>
      <c r="AY72" s="176">
        <v>0</v>
      </c>
      <c r="AZ72" s="176">
        <v>0</v>
      </c>
      <c r="BA72" s="167"/>
      <c r="BB72" s="184">
        <v>248.8</v>
      </c>
      <c r="BC72" s="180">
        <v>54.182309662494099</v>
      </c>
      <c r="BD72" s="181" t="s">
        <v>55</v>
      </c>
      <c r="BE72" s="178">
        <v>1.6931971769529399</v>
      </c>
      <c r="BF72" s="179">
        <v>75.997443993770602</v>
      </c>
      <c r="BG72" s="168">
        <v>0.02</v>
      </c>
      <c r="BH72" s="168">
        <v>0.02</v>
      </c>
      <c r="BI72" s="176">
        <v>0</v>
      </c>
      <c r="BJ72" s="176">
        <v>0</v>
      </c>
      <c r="BK72" s="169"/>
      <c r="BL72" s="185">
        <v>0.8</v>
      </c>
      <c r="BM72" s="173">
        <v>0.62</v>
      </c>
      <c r="BN72" s="186"/>
      <c r="BO72" s="187">
        <v>0.95</v>
      </c>
      <c r="BP72" s="182">
        <v>0.96</v>
      </c>
      <c r="BQ72" s="186">
        <v>5.0000000000000001E-4</v>
      </c>
    </row>
    <row r="73" spans="1:69" s="156" customFormat="1" ht="22.35" customHeight="1" x14ac:dyDescent="0.2">
      <c r="A73" s="165" t="s">
        <v>80</v>
      </c>
      <c r="B73" s="165" t="s">
        <v>118</v>
      </c>
      <c r="C73" s="165" t="s">
        <v>127</v>
      </c>
      <c r="D73" s="166">
        <v>2.7606706158888898</v>
      </c>
      <c r="E73" s="167"/>
      <c r="F73" s="168">
        <v>4.7E-2</v>
      </c>
      <c r="G73" s="168">
        <v>4.3999999999999997E-2</v>
      </c>
      <c r="H73" s="169"/>
      <c r="I73" s="170">
        <v>4</v>
      </c>
      <c r="J73" s="170">
        <v>4</v>
      </c>
      <c r="K73" s="167"/>
      <c r="L73" s="171">
        <v>2143.2936599999998</v>
      </c>
      <c r="M73" s="171">
        <v>844.91663000000005</v>
      </c>
      <c r="N73" s="171">
        <v>2988.21029</v>
      </c>
      <c r="O73" s="166">
        <v>1082.42188430649</v>
      </c>
      <c r="P73" s="172">
        <v>276.39800000000002</v>
      </c>
      <c r="Q73" s="178">
        <v>3.91617118903353</v>
      </c>
      <c r="R73" s="179">
        <v>2090.8707378168201</v>
      </c>
      <c r="S73" s="168">
        <v>0.01</v>
      </c>
      <c r="T73" s="168">
        <v>0.01</v>
      </c>
      <c r="U73" s="175">
        <v>0</v>
      </c>
      <c r="V73" s="176">
        <v>0</v>
      </c>
      <c r="W73" s="167"/>
      <c r="X73" s="175">
        <v>1807.8513849999999</v>
      </c>
      <c r="Y73" s="166">
        <v>654.85950210612202</v>
      </c>
      <c r="Z73" s="177">
        <v>573</v>
      </c>
      <c r="AA73" s="182">
        <v>1.14286126022011</v>
      </c>
      <c r="AB73" s="183">
        <v>-52.420988175496603</v>
      </c>
      <c r="AC73" s="168">
        <v>1.7000000000000001E-2</v>
      </c>
      <c r="AD73" s="168">
        <v>1.4E-2</v>
      </c>
      <c r="AE73" s="176">
        <v>0</v>
      </c>
      <c r="AF73" s="176">
        <v>91</v>
      </c>
      <c r="AG73" s="167"/>
      <c r="AH73" s="180">
        <v>166.9</v>
      </c>
      <c r="AI73" s="166">
        <v>60.456325010095803</v>
      </c>
      <c r="AJ73" s="181" t="s">
        <v>53</v>
      </c>
      <c r="AK73" s="188">
        <v>0.95962420650945701</v>
      </c>
      <c r="AL73" s="171">
        <v>-37.632564589976099</v>
      </c>
      <c r="AM73" s="168"/>
      <c r="AN73" s="168"/>
      <c r="AO73" s="176">
        <v>8</v>
      </c>
      <c r="AP73" s="176">
        <v>42</v>
      </c>
      <c r="AQ73" s="167"/>
      <c r="AR73" s="180">
        <v>31.8</v>
      </c>
      <c r="AS73" s="166">
        <v>11.5189402955126</v>
      </c>
      <c r="AT73" s="181" t="s">
        <v>54</v>
      </c>
      <c r="AU73" s="173">
        <v>0.71993376846953505</v>
      </c>
      <c r="AV73" s="174">
        <v>-20.1447783085653</v>
      </c>
      <c r="AW73" s="168"/>
      <c r="AX73" s="168"/>
      <c r="AY73" s="176">
        <v>13</v>
      </c>
      <c r="AZ73" s="176">
        <v>22</v>
      </c>
      <c r="BA73" s="167"/>
      <c r="BB73" s="184">
        <v>110</v>
      </c>
      <c r="BC73" s="180">
        <v>39.845390959320198</v>
      </c>
      <c r="BD73" s="181" t="s">
        <v>55</v>
      </c>
      <c r="BE73" s="178">
        <v>1.24516846747876</v>
      </c>
      <c r="BF73" s="179">
        <v>6.1104433828693097</v>
      </c>
      <c r="BG73" s="168">
        <v>0.02</v>
      </c>
      <c r="BH73" s="168">
        <v>0.02</v>
      </c>
      <c r="BI73" s="176">
        <v>0</v>
      </c>
      <c r="BJ73" s="176">
        <v>0</v>
      </c>
      <c r="BK73" s="169"/>
      <c r="BL73" s="185">
        <v>0.8</v>
      </c>
      <c r="BM73" s="188">
        <v>0.73</v>
      </c>
      <c r="BN73" s="186"/>
      <c r="BO73" s="187">
        <v>0.95</v>
      </c>
      <c r="BP73" s="178">
        <v>1</v>
      </c>
      <c r="BQ73" s="186">
        <v>2.5000000000000001E-3</v>
      </c>
    </row>
    <row r="74" spans="1:69" s="156" customFormat="1" ht="22.35" customHeight="1" x14ac:dyDescent="0.2">
      <c r="A74" s="165" t="s">
        <v>80</v>
      </c>
      <c r="B74" s="165" t="s">
        <v>118</v>
      </c>
      <c r="C74" s="165" t="s">
        <v>128</v>
      </c>
      <c r="D74" s="166">
        <v>5.5965996495555599</v>
      </c>
      <c r="E74" s="167"/>
      <c r="F74" s="168">
        <v>3.85E-2</v>
      </c>
      <c r="G74" s="168">
        <v>3.6999999999999998E-2</v>
      </c>
      <c r="H74" s="169"/>
      <c r="I74" s="170">
        <v>4</v>
      </c>
      <c r="J74" s="170">
        <v>4</v>
      </c>
      <c r="K74" s="167"/>
      <c r="L74" s="171">
        <v>2681.7170299999998</v>
      </c>
      <c r="M74" s="171">
        <v>1278.2139400000001</v>
      </c>
      <c r="N74" s="171">
        <v>3959.9309699999999</v>
      </c>
      <c r="O74" s="166">
        <v>707.56016473582702</v>
      </c>
      <c r="P74" s="172">
        <v>242.33799999999999</v>
      </c>
      <c r="Q74" s="178">
        <v>2.9197243714804402</v>
      </c>
      <c r="R74" s="179">
        <v>2364.9589013321802</v>
      </c>
      <c r="S74" s="168">
        <v>0.01</v>
      </c>
      <c r="T74" s="168">
        <v>0.01</v>
      </c>
      <c r="U74" s="175">
        <v>0</v>
      </c>
      <c r="V74" s="176">
        <v>0</v>
      </c>
      <c r="W74" s="167"/>
      <c r="X74" s="175">
        <v>2406.3740400000002</v>
      </c>
      <c r="Y74" s="166">
        <v>429.97073056513801</v>
      </c>
      <c r="Z74" s="177">
        <v>573</v>
      </c>
      <c r="AA74" s="173">
        <v>0.75038521913636702</v>
      </c>
      <c r="AB74" s="174">
        <v>-1364.8834406537101</v>
      </c>
      <c r="AC74" s="168"/>
      <c r="AD74" s="168"/>
      <c r="AE74" s="176">
        <v>801</v>
      </c>
      <c r="AF74" s="176">
        <v>1442</v>
      </c>
      <c r="AG74" s="167"/>
      <c r="AH74" s="180">
        <v>277.2</v>
      </c>
      <c r="AI74" s="166">
        <v>49.530074930768599</v>
      </c>
      <c r="AJ74" s="181" t="s">
        <v>53</v>
      </c>
      <c r="AK74" s="188">
        <v>0.78619166556775599</v>
      </c>
      <c r="AL74" s="171">
        <v>-137.440874836272</v>
      </c>
      <c r="AM74" s="168"/>
      <c r="AN74" s="168"/>
      <c r="AO74" s="176">
        <v>76</v>
      </c>
      <c r="AP74" s="176">
        <v>146</v>
      </c>
      <c r="AQ74" s="167"/>
      <c r="AR74" s="180">
        <v>102.5</v>
      </c>
      <c r="AS74" s="166">
        <v>18.3146922092489</v>
      </c>
      <c r="AT74" s="181" t="s">
        <v>54</v>
      </c>
      <c r="AU74" s="182">
        <v>1.14466826307805</v>
      </c>
      <c r="AV74" s="183">
        <v>-2.8056190060373898</v>
      </c>
      <c r="AW74" s="168">
        <v>8.5000000000000006E-3</v>
      </c>
      <c r="AX74" s="168">
        <v>7.0000000000000001E-3</v>
      </c>
      <c r="AY74" s="176">
        <v>0</v>
      </c>
      <c r="AZ74" s="176">
        <v>5</v>
      </c>
      <c r="BA74" s="167"/>
      <c r="BB74" s="184">
        <v>265.60000000000002</v>
      </c>
      <c r="BC74" s="180">
        <v>47.457387812453597</v>
      </c>
      <c r="BD74" s="181" t="s">
        <v>55</v>
      </c>
      <c r="BE74" s="178">
        <v>1.48304336913918</v>
      </c>
      <c r="BF74" s="179">
        <v>54.988761987925201</v>
      </c>
      <c r="BG74" s="168">
        <v>0.02</v>
      </c>
      <c r="BH74" s="168">
        <v>0.02</v>
      </c>
      <c r="BI74" s="176">
        <v>0</v>
      </c>
      <c r="BJ74" s="176">
        <v>0</v>
      </c>
      <c r="BK74" s="169"/>
      <c r="BL74" s="185">
        <v>0.8</v>
      </c>
      <c r="BM74" s="188">
        <v>0.7</v>
      </c>
      <c r="BN74" s="186"/>
      <c r="BO74" s="187">
        <v>0.95</v>
      </c>
      <c r="BP74" s="178">
        <v>1</v>
      </c>
      <c r="BQ74" s="186">
        <v>2.5000000000000001E-3</v>
      </c>
    </row>
    <row r="75" spans="1:69" s="156" customFormat="1" ht="22.35" customHeight="1" x14ac:dyDescent="0.2">
      <c r="A75" s="165" t="s">
        <v>80</v>
      </c>
      <c r="B75" s="165" t="s">
        <v>118</v>
      </c>
      <c r="C75" s="165" t="s">
        <v>129</v>
      </c>
      <c r="D75" s="166">
        <v>4.2868855297777797</v>
      </c>
      <c r="E75" s="167"/>
      <c r="F75" s="168">
        <v>3.0000000000000001E-3</v>
      </c>
      <c r="G75" s="168">
        <v>1E-3</v>
      </c>
      <c r="H75" s="169"/>
      <c r="I75" s="170">
        <v>1</v>
      </c>
      <c r="J75" s="170">
        <v>1</v>
      </c>
      <c r="K75" s="167"/>
      <c r="L75" s="171">
        <v>2236.3490299999999</v>
      </c>
      <c r="M75" s="171">
        <v>-1671.7484400000001</v>
      </c>
      <c r="N75" s="171">
        <v>564.60059000000001</v>
      </c>
      <c r="O75" s="166">
        <v>131.704144204025</v>
      </c>
      <c r="P75" s="172">
        <v>275.59500000000003</v>
      </c>
      <c r="Q75" s="173">
        <v>0.47789018017026702</v>
      </c>
      <c r="R75" s="174">
        <v>-824.77780987303004</v>
      </c>
      <c r="S75" s="168"/>
      <c r="T75" s="168"/>
      <c r="U75" s="175">
        <v>617</v>
      </c>
      <c r="V75" s="176">
        <v>854</v>
      </c>
      <c r="W75" s="167"/>
      <c r="X75" s="175">
        <v>2473.3466800000001</v>
      </c>
      <c r="Y75" s="166">
        <v>576.95654871573197</v>
      </c>
      <c r="Z75" s="177">
        <v>573</v>
      </c>
      <c r="AA75" s="182">
        <v>1.0069049715806799</v>
      </c>
      <c r="AB75" s="183">
        <v>-415.36256046969697</v>
      </c>
      <c r="AC75" s="168">
        <v>3.0000000000000001E-3</v>
      </c>
      <c r="AD75" s="168">
        <v>1E-3</v>
      </c>
      <c r="AE75" s="176">
        <v>0</v>
      </c>
      <c r="AF75" s="176">
        <v>475</v>
      </c>
      <c r="AG75" s="167"/>
      <c r="AH75" s="180">
        <v>172.4</v>
      </c>
      <c r="AI75" s="166">
        <v>40.215676113221697</v>
      </c>
      <c r="AJ75" s="181" t="s">
        <v>53</v>
      </c>
      <c r="AK75" s="173">
        <v>0.63834406528923304</v>
      </c>
      <c r="AL75" s="174">
        <v>-145.206775130176</v>
      </c>
      <c r="AM75" s="168"/>
      <c r="AN75" s="168"/>
      <c r="AO75" s="176">
        <v>98</v>
      </c>
      <c r="AP75" s="176">
        <v>152</v>
      </c>
      <c r="AQ75" s="167"/>
      <c r="AR75" s="180">
        <v>10</v>
      </c>
      <c r="AS75" s="166">
        <v>2.3326958302332801</v>
      </c>
      <c r="AT75" s="181" t="s">
        <v>54</v>
      </c>
      <c r="AU75" s="173">
        <v>0.14579348938958001</v>
      </c>
      <c r="AV75" s="174">
        <v>-70.662038128298704</v>
      </c>
      <c r="AW75" s="168"/>
      <c r="AX75" s="168"/>
      <c r="AY75" s="176">
        <v>59</v>
      </c>
      <c r="AZ75" s="176">
        <v>73</v>
      </c>
      <c r="BA75" s="167"/>
      <c r="BB75" s="184">
        <v>133.4</v>
      </c>
      <c r="BC75" s="180">
        <v>31.118162375311901</v>
      </c>
      <c r="BD75" s="181" t="s">
        <v>55</v>
      </c>
      <c r="BE75" s="188">
        <v>0.972442574228498</v>
      </c>
      <c r="BF75" s="171">
        <v>-27.924076256597399</v>
      </c>
      <c r="BG75" s="168"/>
      <c r="BH75" s="168"/>
      <c r="BI75" s="176">
        <v>4</v>
      </c>
      <c r="BJ75" s="176">
        <v>32</v>
      </c>
      <c r="BK75" s="169"/>
      <c r="BL75" s="185">
        <v>0.8</v>
      </c>
      <c r="BM75" s="188">
        <v>0.72</v>
      </c>
      <c r="BN75" s="186"/>
      <c r="BO75" s="187">
        <v>0.95</v>
      </c>
      <c r="BP75" s="188">
        <v>0.9</v>
      </c>
      <c r="BQ75" s="186"/>
    </row>
    <row r="76" spans="1:69" s="156" customFormat="1" ht="22.35" customHeight="1" x14ac:dyDescent="0.2">
      <c r="A76" s="165" t="s">
        <v>80</v>
      </c>
      <c r="B76" s="165" t="s">
        <v>118</v>
      </c>
      <c r="C76" s="165" t="s">
        <v>130</v>
      </c>
      <c r="D76" s="166">
        <v>5.9599043151111104</v>
      </c>
      <c r="E76" s="167"/>
      <c r="F76" s="168">
        <v>2.9000000000000001E-2</v>
      </c>
      <c r="G76" s="168">
        <v>2.4E-2</v>
      </c>
      <c r="H76" s="169"/>
      <c r="I76" s="170">
        <v>4</v>
      </c>
      <c r="J76" s="170">
        <v>4</v>
      </c>
      <c r="K76" s="167"/>
      <c r="L76" s="171">
        <v>5595.1314499999999</v>
      </c>
      <c r="M76" s="171">
        <v>5913.8725199999999</v>
      </c>
      <c r="N76" s="171">
        <v>11509.00397</v>
      </c>
      <c r="O76" s="166">
        <v>1931.0719369804899</v>
      </c>
      <c r="P76" s="172">
        <v>283.69400000000002</v>
      </c>
      <c r="Q76" s="178">
        <v>6.80688325089882</v>
      </c>
      <c r="R76" s="179">
        <v>9520.6359945491495</v>
      </c>
      <c r="S76" s="168">
        <v>0.01</v>
      </c>
      <c r="T76" s="168">
        <v>0.01</v>
      </c>
      <c r="U76" s="175">
        <v>0</v>
      </c>
      <c r="V76" s="176">
        <v>0</v>
      </c>
      <c r="W76" s="167"/>
      <c r="X76" s="175">
        <v>3462.32681</v>
      </c>
      <c r="Y76" s="166">
        <v>580.93664376815605</v>
      </c>
      <c r="Z76" s="177">
        <v>573</v>
      </c>
      <c r="AA76" s="182">
        <v>1.0138510362446</v>
      </c>
      <c r="AB76" s="183">
        <v>-553.74279292899098</v>
      </c>
      <c r="AC76" s="168">
        <v>3.0000000000000001E-3</v>
      </c>
      <c r="AD76" s="168">
        <v>1E-3</v>
      </c>
      <c r="AE76" s="176">
        <v>0</v>
      </c>
      <c r="AF76" s="176">
        <v>636</v>
      </c>
      <c r="AG76" s="167"/>
      <c r="AH76" s="180">
        <v>258.5</v>
      </c>
      <c r="AI76" s="166">
        <v>43.373179556689003</v>
      </c>
      <c r="AJ76" s="181" t="s">
        <v>53</v>
      </c>
      <c r="AK76" s="173">
        <v>0.68846316756649295</v>
      </c>
      <c r="AL76" s="174">
        <v>-183.05739089795199</v>
      </c>
      <c r="AM76" s="168"/>
      <c r="AN76" s="168"/>
      <c r="AO76" s="176">
        <v>117</v>
      </c>
      <c r="AP76" s="176">
        <v>193</v>
      </c>
      <c r="AQ76" s="167"/>
      <c r="AR76" s="180">
        <v>33.799999999999997</v>
      </c>
      <c r="AS76" s="166">
        <v>5.6712319884568299</v>
      </c>
      <c r="AT76" s="181" t="s">
        <v>54</v>
      </c>
      <c r="AU76" s="173">
        <v>0.35445199927855198</v>
      </c>
      <c r="AV76" s="174">
        <v>-78.341559593130597</v>
      </c>
      <c r="AW76" s="168"/>
      <c r="AX76" s="168"/>
      <c r="AY76" s="176">
        <v>62</v>
      </c>
      <c r="AZ76" s="176">
        <v>81</v>
      </c>
      <c r="BA76" s="167"/>
      <c r="BB76" s="184">
        <v>216</v>
      </c>
      <c r="BC76" s="180">
        <v>36.242192588954801</v>
      </c>
      <c r="BD76" s="181" t="s">
        <v>55</v>
      </c>
      <c r="BE76" s="182">
        <v>1.13256851840484</v>
      </c>
      <c r="BF76" s="183">
        <v>-8.2831191862612705</v>
      </c>
      <c r="BG76" s="168">
        <v>1.6E-2</v>
      </c>
      <c r="BH76" s="168">
        <v>1.2999999999999999E-2</v>
      </c>
      <c r="BI76" s="176">
        <v>0</v>
      </c>
      <c r="BJ76" s="176">
        <v>13</v>
      </c>
      <c r="BK76" s="169"/>
      <c r="BL76" s="185">
        <v>0.8</v>
      </c>
      <c r="BM76" s="173">
        <v>0.64</v>
      </c>
      <c r="BN76" s="186"/>
      <c r="BO76" s="187">
        <v>0.95</v>
      </c>
      <c r="BP76" s="178">
        <v>1</v>
      </c>
      <c r="BQ76" s="186">
        <v>2.5000000000000001E-3</v>
      </c>
    </row>
    <row r="77" spans="1:69" s="156" customFormat="1" ht="22.35" customHeight="1" x14ac:dyDescent="0.2">
      <c r="A77" s="165" t="s">
        <v>80</v>
      </c>
      <c r="B77" s="165" t="s">
        <v>118</v>
      </c>
      <c r="C77" s="165" t="s">
        <v>131</v>
      </c>
      <c r="D77" s="166">
        <v>8.4737407848888893</v>
      </c>
      <c r="E77" s="167"/>
      <c r="F77" s="168">
        <v>3.5999999999999997E-2</v>
      </c>
      <c r="G77" s="168">
        <v>3.4000000000000002E-2</v>
      </c>
      <c r="H77" s="169"/>
      <c r="I77" s="170">
        <v>5</v>
      </c>
      <c r="J77" s="170">
        <v>4</v>
      </c>
      <c r="K77" s="167"/>
      <c r="L77" s="171">
        <v>14439.212750000001</v>
      </c>
      <c r="M77" s="171">
        <v>6864.0970699999998</v>
      </c>
      <c r="N77" s="171">
        <v>21303.309819999999</v>
      </c>
      <c r="O77" s="166">
        <v>2514.0384112279999</v>
      </c>
      <c r="P77" s="172">
        <v>248.64599999999999</v>
      </c>
      <c r="Q77" s="178">
        <v>10.1109143570699</v>
      </c>
      <c r="R77" s="179">
        <v>18825.522800589399</v>
      </c>
      <c r="S77" s="168">
        <v>0.01</v>
      </c>
      <c r="T77" s="168">
        <v>0.01</v>
      </c>
      <c r="U77" s="175">
        <v>0</v>
      </c>
      <c r="V77" s="176">
        <v>0</v>
      </c>
      <c r="W77" s="167"/>
      <c r="X77" s="175">
        <v>3483.6713300000001</v>
      </c>
      <c r="Y77" s="166">
        <v>411.113747568534</v>
      </c>
      <c r="Z77" s="177">
        <v>573</v>
      </c>
      <c r="AA77" s="173">
        <v>0.717475999247005</v>
      </c>
      <c r="AB77" s="174">
        <v>-2226.3419504158101</v>
      </c>
      <c r="AC77" s="168"/>
      <c r="AD77" s="168"/>
      <c r="AE77" s="176">
        <v>1372</v>
      </c>
      <c r="AF77" s="176">
        <v>2343</v>
      </c>
      <c r="AG77" s="167"/>
      <c r="AH77" s="180">
        <v>526.6</v>
      </c>
      <c r="AI77" s="166">
        <v>62.1449267056975</v>
      </c>
      <c r="AJ77" s="181" t="s">
        <v>53</v>
      </c>
      <c r="AK77" s="182">
        <v>0.98642740802694495</v>
      </c>
      <c r="AL77" s="183">
        <v>-101.202507270848</v>
      </c>
      <c r="AM77" s="168">
        <v>1E-3</v>
      </c>
      <c r="AN77" s="168"/>
      <c r="AO77" s="176">
        <v>8</v>
      </c>
      <c r="AP77" s="176">
        <v>115</v>
      </c>
      <c r="AQ77" s="167"/>
      <c r="AR77" s="180">
        <v>145.80000000000001</v>
      </c>
      <c r="AS77" s="166">
        <v>17.206096304008199</v>
      </c>
      <c r="AT77" s="181" t="s">
        <v>54</v>
      </c>
      <c r="AU77" s="182">
        <v>1.07538101900051</v>
      </c>
      <c r="AV77" s="183">
        <v>-13.6419066084693</v>
      </c>
      <c r="AW77" s="168">
        <v>5.0000000000000001E-3</v>
      </c>
      <c r="AX77" s="168">
        <v>4.0000000000000001E-3</v>
      </c>
      <c r="AY77" s="176">
        <v>0</v>
      </c>
      <c r="AZ77" s="176">
        <v>17</v>
      </c>
      <c r="BA77" s="167"/>
      <c r="BB77" s="184">
        <v>716</v>
      </c>
      <c r="BC77" s="180">
        <v>84.496330272083995</v>
      </c>
      <c r="BD77" s="181" t="s">
        <v>55</v>
      </c>
      <c r="BE77" s="178">
        <v>2.6405103210026302</v>
      </c>
      <c r="BF77" s="179">
        <v>397.11618678306098</v>
      </c>
      <c r="BG77" s="168">
        <v>0.02</v>
      </c>
      <c r="BH77" s="168">
        <v>0.02</v>
      </c>
      <c r="BI77" s="176">
        <v>0</v>
      </c>
      <c r="BJ77" s="176">
        <v>0</v>
      </c>
      <c r="BK77" s="169"/>
      <c r="BL77" s="185">
        <v>0.8</v>
      </c>
      <c r="BM77" s="173">
        <v>0.57999999999999996</v>
      </c>
      <c r="BN77" s="186"/>
      <c r="BO77" s="187">
        <v>0.95</v>
      </c>
      <c r="BP77" s="178">
        <v>1</v>
      </c>
      <c r="BQ77" s="186">
        <v>2.5000000000000001E-3</v>
      </c>
    </row>
    <row r="78" spans="1:69" s="156" customFormat="1" ht="22.35" customHeight="1" x14ac:dyDescent="0.2">
      <c r="A78" s="165" t="s">
        <v>80</v>
      </c>
      <c r="B78" s="165" t="s">
        <v>118</v>
      </c>
      <c r="C78" s="165" t="s">
        <v>132</v>
      </c>
      <c r="D78" s="166">
        <v>2.7902579681111099</v>
      </c>
      <c r="E78" s="167"/>
      <c r="F78" s="168">
        <v>1.2E-2</v>
      </c>
      <c r="G78" s="168">
        <v>0.01</v>
      </c>
      <c r="H78" s="169"/>
      <c r="I78" s="170">
        <v>1</v>
      </c>
      <c r="J78" s="170">
        <v>1</v>
      </c>
      <c r="K78" s="167"/>
      <c r="L78" s="171">
        <v>870.17633999999998</v>
      </c>
      <c r="M78" s="171">
        <v>-1043.5588</v>
      </c>
      <c r="N78" s="171">
        <v>-173.38246000000001</v>
      </c>
      <c r="O78" s="166">
        <v>-62.138505464916797</v>
      </c>
      <c r="P78" s="172">
        <v>256.80599999999998</v>
      </c>
      <c r="Q78" s="173">
        <v>-0.24196671987771601</v>
      </c>
      <c r="R78" s="174">
        <v>-1016.0511256042799</v>
      </c>
      <c r="S78" s="168"/>
      <c r="T78" s="168"/>
      <c r="U78" s="175">
        <v>890</v>
      </c>
      <c r="V78" s="176">
        <v>1034</v>
      </c>
      <c r="W78" s="167"/>
      <c r="X78" s="175">
        <v>718.69268499999998</v>
      </c>
      <c r="Y78" s="166">
        <v>257.57212889047798</v>
      </c>
      <c r="Z78" s="177">
        <v>573</v>
      </c>
      <c r="AA78" s="173">
        <v>0.44951505914568701</v>
      </c>
      <c r="AB78" s="174">
        <v>-1161.51706629573</v>
      </c>
      <c r="AC78" s="168"/>
      <c r="AD78" s="168"/>
      <c r="AE78" s="176">
        <v>881</v>
      </c>
      <c r="AF78" s="176">
        <v>1200</v>
      </c>
      <c r="AG78" s="167"/>
      <c r="AH78" s="180">
        <v>131.94999999999999</v>
      </c>
      <c r="AI78" s="166">
        <v>47.289534339839101</v>
      </c>
      <c r="AJ78" s="181" t="s">
        <v>53</v>
      </c>
      <c r="AK78" s="173">
        <v>0.75062752920379505</v>
      </c>
      <c r="AL78" s="174">
        <v>-74.774632341415895</v>
      </c>
      <c r="AM78" s="168"/>
      <c r="AN78" s="168"/>
      <c r="AO78" s="176">
        <v>44</v>
      </c>
      <c r="AP78" s="176">
        <v>79</v>
      </c>
      <c r="AQ78" s="167"/>
      <c r="AR78" s="180">
        <v>17.3</v>
      </c>
      <c r="AS78" s="166">
        <v>6.2001435701342604</v>
      </c>
      <c r="AT78" s="181" t="s">
        <v>54</v>
      </c>
      <c r="AU78" s="173">
        <v>0.387508973133391</v>
      </c>
      <c r="AV78" s="174">
        <v>-35.201493927978603</v>
      </c>
      <c r="AW78" s="168"/>
      <c r="AX78" s="168"/>
      <c r="AY78" s="176">
        <v>28</v>
      </c>
      <c r="AZ78" s="176">
        <v>37</v>
      </c>
      <c r="BA78" s="167"/>
      <c r="BB78" s="184">
        <v>98.4</v>
      </c>
      <c r="BC78" s="180">
        <v>35.265556491399501</v>
      </c>
      <c r="BD78" s="181" t="s">
        <v>55</v>
      </c>
      <c r="BE78" s="182">
        <v>1.10204864035623</v>
      </c>
      <c r="BF78" s="183">
        <v>-6.6029878559572799</v>
      </c>
      <c r="BG78" s="168">
        <v>1.2E-2</v>
      </c>
      <c r="BH78" s="168">
        <v>0.01</v>
      </c>
      <c r="BI78" s="176">
        <v>0</v>
      </c>
      <c r="BJ78" s="176">
        <v>9</v>
      </c>
      <c r="BK78" s="169"/>
      <c r="BL78" s="185">
        <v>0.8</v>
      </c>
      <c r="BM78" s="188">
        <v>0.73</v>
      </c>
      <c r="BN78" s="186"/>
      <c r="BO78" s="187">
        <v>0.95</v>
      </c>
      <c r="BP78" s="188">
        <v>0.88</v>
      </c>
      <c r="BQ78" s="186"/>
    </row>
    <row r="79" spans="1:69" s="156" customFormat="1" ht="22.35" customHeight="1" x14ac:dyDescent="0.2">
      <c r="A79" s="165" t="s">
        <v>80</v>
      </c>
      <c r="B79" s="165" t="s">
        <v>118</v>
      </c>
      <c r="C79" s="165" t="s">
        <v>133</v>
      </c>
      <c r="D79" s="166">
        <v>2.4499054332222201</v>
      </c>
      <c r="E79" s="167"/>
      <c r="F79" s="168">
        <v>7.0000000000000007E-2</v>
      </c>
      <c r="G79" s="168">
        <v>7.0000000000000007E-2</v>
      </c>
      <c r="H79" s="169"/>
      <c r="I79" s="170">
        <v>5</v>
      </c>
      <c r="J79" s="170">
        <v>5</v>
      </c>
      <c r="K79" s="167"/>
      <c r="L79" s="171">
        <v>1145.66986</v>
      </c>
      <c r="M79" s="171">
        <v>-404.21539999999999</v>
      </c>
      <c r="N79" s="171">
        <v>741.45446000000004</v>
      </c>
      <c r="O79" s="166">
        <v>302.64615521294098</v>
      </c>
      <c r="P79" s="172">
        <v>249.55500000000001</v>
      </c>
      <c r="Q79" s="178">
        <v>1.21274330393276</v>
      </c>
      <c r="R79" s="179">
        <v>22.4643471439812</v>
      </c>
      <c r="S79" s="168">
        <v>0.01</v>
      </c>
      <c r="T79" s="168">
        <v>0.01</v>
      </c>
      <c r="U79" s="175">
        <v>0</v>
      </c>
      <c r="V79" s="176">
        <v>0</v>
      </c>
      <c r="W79" s="167"/>
      <c r="X79" s="175">
        <v>1844.61907</v>
      </c>
      <c r="Y79" s="166">
        <v>752.93480515036697</v>
      </c>
      <c r="Z79" s="177">
        <v>573</v>
      </c>
      <c r="AA79" s="178">
        <v>1.31402234755736</v>
      </c>
      <c r="AB79" s="179">
        <v>193.755193634074</v>
      </c>
      <c r="AC79" s="168">
        <v>0.02</v>
      </c>
      <c r="AD79" s="168">
        <v>0.02</v>
      </c>
      <c r="AE79" s="176">
        <v>0</v>
      </c>
      <c r="AF79" s="176">
        <v>0</v>
      </c>
      <c r="AG79" s="167"/>
      <c r="AH79" s="180">
        <v>213.4</v>
      </c>
      <c r="AI79" s="166">
        <v>87.105402970320796</v>
      </c>
      <c r="AJ79" s="181" t="s">
        <v>53</v>
      </c>
      <c r="AK79" s="178">
        <v>1.3826254439733501</v>
      </c>
      <c r="AL79" s="179">
        <v>31.891406263432199</v>
      </c>
      <c r="AM79" s="168">
        <v>0.02</v>
      </c>
      <c r="AN79" s="168">
        <v>0.02</v>
      </c>
      <c r="AO79" s="176">
        <v>0</v>
      </c>
      <c r="AP79" s="176">
        <v>0</v>
      </c>
      <c r="AQ79" s="167"/>
      <c r="AR79" s="180">
        <v>19.8</v>
      </c>
      <c r="AS79" s="166">
        <v>8.0819446054936801</v>
      </c>
      <c r="AT79" s="181" t="s">
        <v>54</v>
      </c>
      <c r="AU79" s="173">
        <v>0.50512153784335501</v>
      </c>
      <c r="AV79" s="174">
        <v>-26.297420631509301</v>
      </c>
      <c r="AW79" s="168"/>
      <c r="AX79" s="168"/>
      <c r="AY79" s="176">
        <v>20</v>
      </c>
      <c r="AZ79" s="176">
        <v>28</v>
      </c>
      <c r="BA79" s="167"/>
      <c r="BB79" s="184">
        <v>147</v>
      </c>
      <c r="BC79" s="180">
        <v>60.002316010483398</v>
      </c>
      <c r="BD79" s="181" t="s">
        <v>55</v>
      </c>
      <c r="BE79" s="178">
        <v>1.87507237532761</v>
      </c>
      <c r="BF79" s="179">
        <v>54.805158736981397</v>
      </c>
      <c r="BG79" s="168">
        <v>0.02</v>
      </c>
      <c r="BH79" s="168">
        <v>0.02</v>
      </c>
      <c r="BI79" s="176">
        <v>0</v>
      </c>
      <c r="BJ79" s="176">
        <v>0</v>
      </c>
      <c r="BK79" s="169"/>
      <c r="BL79" s="185">
        <v>0.8</v>
      </c>
      <c r="BM79" s="173">
        <v>0.68</v>
      </c>
      <c r="BN79" s="186"/>
      <c r="BO79" s="187">
        <v>0.95</v>
      </c>
      <c r="BP79" s="178">
        <v>1</v>
      </c>
      <c r="BQ79" s="186">
        <v>2.5000000000000001E-3</v>
      </c>
    </row>
    <row r="80" spans="1:69" s="156" customFormat="1" ht="22.35" customHeight="1" x14ac:dyDescent="0.2">
      <c r="A80" s="165" t="s">
        <v>80</v>
      </c>
      <c r="B80" s="165" t="s">
        <v>118</v>
      </c>
      <c r="C80" s="165" t="s">
        <v>134</v>
      </c>
      <c r="D80" s="166">
        <v>2.67748065066667</v>
      </c>
      <c r="E80" s="167"/>
      <c r="F80" s="168">
        <v>4.7E-2</v>
      </c>
      <c r="G80" s="168">
        <v>4.4999999999999998E-2</v>
      </c>
      <c r="H80" s="169"/>
      <c r="I80" s="170">
        <v>4</v>
      </c>
      <c r="J80" s="170">
        <v>4</v>
      </c>
      <c r="K80" s="167"/>
      <c r="L80" s="171">
        <v>1405.8121000000001</v>
      </c>
      <c r="M80" s="171">
        <v>674.8886</v>
      </c>
      <c r="N80" s="171">
        <v>2080.7006999999999</v>
      </c>
      <c r="O80" s="166">
        <v>777.11138621372504</v>
      </c>
      <c r="P80" s="172">
        <v>236.18299999999999</v>
      </c>
      <c r="Q80" s="178">
        <v>3.2902934851946402</v>
      </c>
      <c r="R80" s="179">
        <v>1337.0272148807101</v>
      </c>
      <c r="S80" s="168">
        <v>0.01</v>
      </c>
      <c r="T80" s="168">
        <v>0.01</v>
      </c>
      <c r="U80" s="175">
        <v>0</v>
      </c>
      <c r="V80" s="176">
        <v>0</v>
      </c>
      <c r="W80" s="167"/>
      <c r="X80" s="175">
        <v>1462.75891</v>
      </c>
      <c r="Y80" s="166">
        <v>546.31913386032795</v>
      </c>
      <c r="Z80" s="177">
        <v>573</v>
      </c>
      <c r="AA80" s="188">
        <v>0.95343653378765703</v>
      </c>
      <c r="AB80" s="171">
        <v>-341.456071490434</v>
      </c>
      <c r="AC80" s="168"/>
      <c r="AD80" s="168"/>
      <c r="AE80" s="176">
        <v>72</v>
      </c>
      <c r="AF80" s="176">
        <v>379</v>
      </c>
      <c r="AG80" s="167"/>
      <c r="AH80" s="180">
        <v>193.55</v>
      </c>
      <c r="AI80" s="166">
        <v>72.288104099578803</v>
      </c>
      <c r="AJ80" s="181" t="s">
        <v>53</v>
      </c>
      <c r="AK80" s="182">
        <v>1.14743022380284</v>
      </c>
      <c r="AL80" s="183">
        <v>-4.8191864465922496</v>
      </c>
      <c r="AM80" s="168">
        <v>1.7000000000000001E-2</v>
      </c>
      <c r="AN80" s="168">
        <v>1.4999999999999999E-2</v>
      </c>
      <c r="AO80" s="176">
        <v>0</v>
      </c>
      <c r="AP80" s="176">
        <v>9</v>
      </c>
      <c r="AQ80" s="167"/>
      <c r="AR80" s="180">
        <v>35.200000000000003</v>
      </c>
      <c r="AS80" s="166">
        <v>13.1466869765186</v>
      </c>
      <c r="AT80" s="181" t="s">
        <v>54</v>
      </c>
      <c r="AU80" s="188">
        <v>0.82166793603241195</v>
      </c>
      <c r="AV80" s="171">
        <v>-15.1794759229441</v>
      </c>
      <c r="AW80" s="168"/>
      <c r="AX80" s="168"/>
      <c r="AY80" s="176">
        <v>8</v>
      </c>
      <c r="AZ80" s="176">
        <v>17</v>
      </c>
      <c r="BA80" s="167"/>
      <c r="BB80" s="184">
        <v>140.6</v>
      </c>
      <c r="BC80" s="180">
        <v>52.512050820980498</v>
      </c>
      <c r="BD80" s="181" t="s">
        <v>55</v>
      </c>
      <c r="BE80" s="178">
        <v>1.6410015881556399</v>
      </c>
      <c r="BF80" s="179">
        <v>39.841048154111903</v>
      </c>
      <c r="BG80" s="168">
        <v>0.02</v>
      </c>
      <c r="BH80" s="168">
        <v>0.02</v>
      </c>
      <c r="BI80" s="176">
        <v>0</v>
      </c>
      <c r="BJ80" s="176">
        <v>0</v>
      </c>
      <c r="BK80" s="169"/>
      <c r="BL80" s="185">
        <v>0.8</v>
      </c>
      <c r="BM80" s="173">
        <v>0.69</v>
      </c>
      <c r="BN80" s="186"/>
      <c r="BO80" s="187">
        <v>0.95</v>
      </c>
      <c r="BP80" s="178">
        <v>1</v>
      </c>
      <c r="BQ80" s="186">
        <v>2.5000000000000001E-3</v>
      </c>
    </row>
    <row r="81" spans="1:69" s="156" customFormat="1" ht="22.35" customHeight="1" x14ac:dyDescent="0.2">
      <c r="A81" s="165" t="s">
        <v>80</v>
      </c>
      <c r="B81" s="165" t="s">
        <v>118</v>
      </c>
      <c r="C81" s="165" t="s">
        <v>135</v>
      </c>
      <c r="D81" s="166">
        <v>5.56134457377778</v>
      </c>
      <c r="E81" s="167"/>
      <c r="F81" s="168">
        <v>0.03</v>
      </c>
      <c r="G81" s="168">
        <v>0.03</v>
      </c>
      <c r="H81" s="169"/>
      <c r="I81" s="170">
        <v>3</v>
      </c>
      <c r="J81" s="170">
        <v>3</v>
      </c>
      <c r="K81" s="167"/>
      <c r="L81" s="171">
        <v>3461.32053</v>
      </c>
      <c r="M81" s="171">
        <v>311.61646000000002</v>
      </c>
      <c r="N81" s="171">
        <v>3772.9369900000002</v>
      </c>
      <c r="O81" s="166">
        <v>678.42172696684304</v>
      </c>
      <c r="P81" s="172">
        <v>255.63</v>
      </c>
      <c r="Q81" s="178">
        <v>2.6539206156039699</v>
      </c>
      <c r="R81" s="179">
        <v>2101.0806902477002</v>
      </c>
      <c r="S81" s="168">
        <v>0.01</v>
      </c>
      <c r="T81" s="168">
        <v>0.01</v>
      </c>
      <c r="U81" s="175">
        <v>0</v>
      </c>
      <c r="V81" s="176">
        <v>0</v>
      </c>
      <c r="W81" s="167"/>
      <c r="X81" s="175">
        <v>2443.4441649999999</v>
      </c>
      <c r="Y81" s="166">
        <v>439.36212413829799</v>
      </c>
      <c r="Z81" s="177">
        <v>573</v>
      </c>
      <c r="AA81" s="173">
        <v>0.76677508575619102</v>
      </c>
      <c r="AB81" s="174">
        <v>-1304.05675335101</v>
      </c>
      <c r="AC81" s="168"/>
      <c r="AD81" s="168"/>
      <c r="AE81" s="176">
        <v>744</v>
      </c>
      <c r="AF81" s="176">
        <v>1381</v>
      </c>
      <c r="AG81" s="167"/>
      <c r="AH81" s="180">
        <v>254</v>
      </c>
      <c r="AI81" s="166">
        <v>45.672408287310901</v>
      </c>
      <c r="AJ81" s="181" t="s">
        <v>53</v>
      </c>
      <c r="AK81" s="173">
        <v>0.724958861703348</v>
      </c>
      <c r="AL81" s="174">
        <v>-158.02889678204801</v>
      </c>
      <c r="AM81" s="168"/>
      <c r="AN81" s="168"/>
      <c r="AO81" s="176">
        <v>97</v>
      </c>
      <c r="AP81" s="176">
        <v>167</v>
      </c>
      <c r="AQ81" s="167"/>
      <c r="AR81" s="180">
        <v>43.8</v>
      </c>
      <c r="AS81" s="166">
        <v>7.8757932400953496</v>
      </c>
      <c r="AT81" s="181" t="s">
        <v>54</v>
      </c>
      <c r="AU81" s="173">
        <v>0.49223707750595902</v>
      </c>
      <c r="AV81" s="174">
        <v>-60.842259500202701</v>
      </c>
      <c r="AW81" s="168"/>
      <c r="AX81" s="168"/>
      <c r="AY81" s="176">
        <v>46</v>
      </c>
      <c r="AZ81" s="176">
        <v>63</v>
      </c>
      <c r="BA81" s="167"/>
      <c r="BB81" s="184">
        <v>223.2</v>
      </c>
      <c r="BC81" s="180">
        <v>40.134179250896899</v>
      </c>
      <c r="BD81" s="181" t="s">
        <v>55</v>
      </c>
      <c r="BE81" s="178">
        <v>1.2541931015905301</v>
      </c>
      <c r="BF81" s="179">
        <v>13.9154809995946</v>
      </c>
      <c r="BG81" s="168">
        <v>0.02</v>
      </c>
      <c r="BH81" s="168">
        <v>0.02</v>
      </c>
      <c r="BI81" s="176">
        <v>0</v>
      </c>
      <c r="BJ81" s="176">
        <v>0</v>
      </c>
      <c r="BK81" s="169"/>
      <c r="BL81" s="185">
        <v>0.8</v>
      </c>
      <c r="BM81" s="173">
        <v>0.64</v>
      </c>
      <c r="BN81" s="186"/>
      <c r="BO81" s="187">
        <v>0.95</v>
      </c>
      <c r="BP81" s="178">
        <v>1</v>
      </c>
      <c r="BQ81" s="186">
        <v>2.5000000000000001E-3</v>
      </c>
    </row>
    <row r="82" spans="1:69" s="156" customFormat="1" ht="22.35" customHeight="1" x14ac:dyDescent="0.2">
      <c r="A82" s="165" t="s">
        <v>80</v>
      </c>
      <c r="B82" s="165" t="s">
        <v>118</v>
      </c>
      <c r="C82" s="165" t="s">
        <v>136</v>
      </c>
      <c r="D82" s="166">
        <v>4.6816910714444404</v>
      </c>
      <c r="E82" s="167"/>
      <c r="F82" s="168">
        <v>0.03</v>
      </c>
      <c r="G82" s="168">
        <v>0.03</v>
      </c>
      <c r="H82" s="169"/>
      <c r="I82" s="170">
        <v>3</v>
      </c>
      <c r="J82" s="170">
        <v>3</v>
      </c>
      <c r="K82" s="167"/>
      <c r="L82" s="171">
        <v>3842.0020500000001</v>
      </c>
      <c r="M82" s="171">
        <v>1617.5812000000001</v>
      </c>
      <c r="N82" s="171">
        <v>5459.5832499999997</v>
      </c>
      <c r="O82" s="166">
        <v>1166.1562385652101</v>
      </c>
      <c r="P82" s="172">
        <v>287.5</v>
      </c>
      <c r="Q82" s="178">
        <v>4.0561956124007299</v>
      </c>
      <c r="R82" s="179">
        <v>3876.70349874463</v>
      </c>
      <c r="S82" s="168">
        <v>0.01</v>
      </c>
      <c r="T82" s="168">
        <v>0.01</v>
      </c>
      <c r="U82" s="175">
        <v>0</v>
      </c>
      <c r="V82" s="176">
        <v>0</v>
      </c>
      <c r="W82" s="167"/>
      <c r="X82" s="175">
        <v>2341.9377399999998</v>
      </c>
      <c r="Y82" s="166">
        <v>500.23329268444002</v>
      </c>
      <c r="Z82" s="177">
        <v>573</v>
      </c>
      <c r="AA82" s="188">
        <v>0.87300749159588198</v>
      </c>
      <c r="AB82" s="171">
        <v>-812.81042511069199</v>
      </c>
      <c r="AC82" s="168"/>
      <c r="AD82" s="168"/>
      <c r="AE82" s="176">
        <v>341</v>
      </c>
      <c r="AF82" s="176">
        <v>878</v>
      </c>
      <c r="AG82" s="167"/>
      <c r="AH82" s="180">
        <v>194.2</v>
      </c>
      <c r="AI82" s="166">
        <v>41.480737843747399</v>
      </c>
      <c r="AJ82" s="181" t="s">
        <v>53</v>
      </c>
      <c r="AK82" s="173">
        <v>0.65842441021821296</v>
      </c>
      <c r="AL82" s="174">
        <v>-152.657128101176</v>
      </c>
      <c r="AM82" s="168"/>
      <c r="AN82" s="168"/>
      <c r="AO82" s="176">
        <v>101</v>
      </c>
      <c r="AP82" s="176">
        <v>160</v>
      </c>
      <c r="AQ82" s="167"/>
      <c r="AR82" s="180">
        <v>60</v>
      </c>
      <c r="AS82" s="166">
        <v>12.815881929067199</v>
      </c>
      <c r="AT82" s="181" t="s">
        <v>54</v>
      </c>
      <c r="AU82" s="188">
        <v>0.80099262056669795</v>
      </c>
      <c r="AV82" s="171">
        <v>-28.090699200298602</v>
      </c>
      <c r="AW82" s="168"/>
      <c r="AX82" s="168"/>
      <c r="AY82" s="176">
        <v>15</v>
      </c>
      <c r="AZ82" s="176">
        <v>30</v>
      </c>
      <c r="BA82" s="167"/>
      <c r="BB82" s="184">
        <v>220.2</v>
      </c>
      <c r="BC82" s="180">
        <v>47.034286679676498</v>
      </c>
      <c r="BD82" s="181" t="s">
        <v>55</v>
      </c>
      <c r="BE82" s="178">
        <v>1.4698214587398899</v>
      </c>
      <c r="BF82" s="179">
        <v>44.018601599402899</v>
      </c>
      <c r="BG82" s="168">
        <v>0.02</v>
      </c>
      <c r="BH82" s="168">
        <v>0.02</v>
      </c>
      <c r="BI82" s="176">
        <v>0</v>
      </c>
      <c r="BJ82" s="176">
        <v>0</v>
      </c>
      <c r="BK82" s="169"/>
      <c r="BL82" s="185">
        <v>0.8</v>
      </c>
      <c r="BM82" s="173">
        <v>0.65</v>
      </c>
      <c r="BN82" s="186"/>
      <c r="BO82" s="187">
        <v>0.95</v>
      </c>
      <c r="BP82" s="178">
        <v>1</v>
      </c>
      <c r="BQ82" s="186">
        <v>2.5000000000000001E-3</v>
      </c>
    </row>
    <row r="83" spans="1:69" s="156" customFormat="1" ht="22.35" customHeight="1" x14ac:dyDescent="0.2">
      <c r="A83" s="165" t="s">
        <v>80</v>
      </c>
      <c r="B83" s="165" t="s">
        <v>118</v>
      </c>
      <c r="C83" s="165" t="s">
        <v>137</v>
      </c>
      <c r="D83" s="166">
        <v>2.8572871573333298</v>
      </c>
      <c r="E83" s="167"/>
      <c r="F83" s="168">
        <v>0.03</v>
      </c>
      <c r="G83" s="168">
        <v>0.03</v>
      </c>
      <c r="H83" s="169"/>
      <c r="I83" s="170">
        <v>3</v>
      </c>
      <c r="J83" s="170">
        <v>3</v>
      </c>
      <c r="K83" s="167"/>
      <c r="L83" s="171">
        <v>740.01553000000001</v>
      </c>
      <c r="M83" s="171">
        <v>693.22747000000004</v>
      </c>
      <c r="N83" s="171">
        <v>1433.2429999999999</v>
      </c>
      <c r="O83" s="166">
        <v>501.609716167844</v>
      </c>
      <c r="P83" s="172">
        <v>255.63</v>
      </c>
      <c r="Q83" s="178">
        <v>1.96224901681275</v>
      </c>
      <c r="R83" s="179">
        <v>574.28282034975598</v>
      </c>
      <c r="S83" s="168">
        <v>0.01</v>
      </c>
      <c r="T83" s="168">
        <v>0.01</v>
      </c>
      <c r="U83" s="175">
        <v>0</v>
      </c>
      <c r="V83" s="176">
        <v>0</v>
      </c>
      <c r="W83" s="167"/>
      <c r="X83" s="175">
        <v>623.03121999999996</v>
      </c>
      <c r="Y83" s="166">
        <v>218.04991437453799</v>
      </c>
      <c r="Z83" s="177">
        <v>573</v>
      </c>
      <c r="AA83" s="173">
        <v>0.38054086278278798</v>
      </c>
      <c r="AB83" s="174">
        <v>-1302.34601639475</v>
      </c>
      <c r="AC83" s="168"/>
      <c r="AD83" s="168"/>
      <c r="AE83" s="176">
        <v>1015</v>
      </c>
      <c r="AF83" s="176">
        <v>1342</v>
      </c>
      <c r="AG83" s="167"/>
      <c r="AH83" s="180">
        <v>148.6</v>
      </c>
      <c r="AI83" s="166">
        <v>52.007373364141102</v>
      </c>
      <c r="AJ83" s="181" t="s">
        <v>53</v>
      </c>
      <c r="AK83" s="188">
        <v>0.82551386292287399</v>
      </c>
      <c r="AL83" s="171">
        <v>-63.090690912511697</v>
      </c>
      <c r="AM83" s="168"/>
      <c r="AN83" s="168"/>
      <c r="AO83" s="176">
        <v>32</v>
      </c>
      <c r="AP83" s="176">
        <v>68</v>
      </c>
      <c r="AQ83" s="167"/>
      <c r="AR83" s="180">
        <v>16.600000000000001</v>
      </c>
      <c r="AS83" s="166">
        <v>5.8097065803818397</v>
      </c>
      <c r="AT83" s="181" t="s">
        <v>54</v>
      </c>
      <c r="AU83" s="173">
        <v>0.36310666127386498</v>
      </c>
      <c r="AV83" s="174">
        <v>-37.162715152383903</v>
      </c>
      <c r="AW83" s="168"/>
      <c r="AX83" s="168"/>
      <c r="AY83" s="176">
        <v>30</v>
      </c>
      <c r="AZ83" s="176">
        <v>39</v>
      </c>
      <c r="BA83" s="167"/>
      <c r="BB83" s="184">
        <v>124.4</v>
      </c>
      <c r="BC83" s="180">
        <v>43.537801120451903</v>
      </c>
      <c r="BD83" s="181" t="s">
        <v>55</v>
      </c>
      <c r="BE83" s="178">
        <v>1.36055628501412</v>
      </c>
      <c r="BF83" s="179">
        <v>16.8745696952321</v>
      </c>
      <c r="BG83" s="168">
        <v>0.02</v>
      </c>
      <c r="BH83" s="168">
        <v>0.02</v>
      </c>
      <c r="BI83" s="176">
        <v>0</v>
      </c>
      <c r="BJ83" s="176">
        <v>0</v>
      </c>
      <c r="BK83" s="169"/>
      <c r="BL83" s="185">
        <v>0.8</v>
      </c>
      <c r="BM83" s="173">
        <v>0.67</v>
      </c>
      <c r="BN83" s="186"/>
      <c r="BO83" s="187">
        <v>0.95</v>
      </c>
      <c r="BP83" s="178">
        <v>1</v>
      </c>
      <c r="BQ83" s="186">
        <v>2.5000000000000001E-3</v>
      </c>
    </row>
    <row r="84" spans="1:69" s="156" customFormat="1" ht="22.35" customHeight="1" x14ac:dyDescent="0.2">
      <c r="A84" s="165" t="s">
        <v>80</v>
      </c>
      <c r="B84" s="165" t="s">
        <v>118</v>
      </c>
      <c r="C84" s="165" t="s">
        <v>138</v>
      </c>
      <c r="D84" s="166">
        <v>3.2583336913333301</v>
      </c>
      <c r="E84" s="167"/>
      <c r="F84" s="168">
        <v>0.01</v>
      </c>
      <c r="G84" s="168">
        <v>0.01</v>
      </c>
      <c r="H84" s="169"/>
      <c r="I84" s="170">
        <v>1</v>
      </c>
      <c r="J84" s="170">
        <v>1</v>
      </c>
      <c r="K84" s="167"/>
      <c r="L84" s="171">
        <v>3406.3163100000002</v>
      </c>
      <c r="M84" s="171">
        <v>1142.5242000000001</v>
      </c>
      <c r="N84" s="171">
        <v>4548.84051</v>
      </c>
      <c r="O84" s="166">
        <v>1396.06343024326</v>
      </c>
      <c r="P84" s="172">
        <v>287.5</v>
      </c>
      <c r="Q84" s="178">
        <v>4.8558728008461198</v>
      </c>
      <c r="R84" s="179">
        <v>3447.1978889602001</v>
      </c>
      <c r="S84" s="168">
        <v>0.01</v>
      </c>
      <c r="T84" s="168">
        <v>0.01</v>
      </c>
      <c r="U84" s="175">
        <v>0</v>
      </c>
      <c r="V84" s="176">
        <v>0</v>
      </c>
      <c r="W84" s="167"/>
      <c r="X84" s="175">
        <v>1283.85959</v>
      </c>
      <c r="Y84" s="166">
        <v>394.02336028837999</v>
      </c>
      <c r="Z84" s="177">
        <v>573</v>
      </c>
      <c r="AA84" s="173">
        <v>0.68764984343521696</v>
      </c>
      <c r="AB84" s="174">
        <v>-911.76205123758098</v>
      </c>
      <c r="AC84" s="168"/>
      <c r="AD84" s="168"/>
      <c r="AE84" s="176">
        <v>584</v>
      </c>
      <c r="AF84" s="176">
        <v>957</v>
      </c>
      <c r="AG84" s="167"/>
      <c r="AH84" s="180">
        <v>66.05</v>
      </c>
      <c r="AI84" s="166">
        <v>20.271097517017001</v>
      </c>
      <c r="AJ84" s="181" t="s">
        <v>53</v>
      </c>
      <c r="AK84" s="173">
        <v>0.32176345265106299</v>
      </c>
      <c r="AL84" s="174">
        <v>-175.353426523504</v>
      </c>
      <c r="AM84" s="168"/>
      <c r="AN84" s="168"/>
      <c r="AO84" s="176">
        <v>140</v>
      </c>
      <c r="AP84" s="176">
        <v>181</v>
      </c>
      <c r="AQ84" s="167"/>
      <c r="AR84" s="180">
        <v>14.6</v>
      </c>
      <c r="AS84" s="166">
        <v>4.4808179220052704</v>
      </c>
      <c r="AT84" s="181" t="s">
        <v>54</v>
      </c>
      <c r="AU84" s="173">
        <v>0.28005112012532901</v>
      </c>
      <c r="AV84" s="174">
        <v>-46.708806736127897</v>
      </c>
      <c r="AW84" s="168"/>
      <c r="AX84" s="168"/>
      <c r="AY84" s="176">
        <v>38</v>
      </c>
      <c r="AZ84" s="176">
        <v>48</v>
      </c>
      <c r="BA84" s="167"/>
      <c r="BB84" s="184">
        <v>84.2</v>
      </c>
      <c r="BC84" s="180">
        <v>25.8414293858112</v>
      </c>
      <c r="BD84" s="181" t="s">
        <v>55</v>
      </c>
      <c r="BE84" s="188">
        <v>0.80754466830660099</v>
      </c>
      <c r="BF84" s="171">
        <v>-38.417613472255901</v>
      </c>
      <c r="BG84" s="168"/>
      <c r="BH84" s="168"/>
      <c r="BI84" s="176">
        <v>21</v>
      </c>
      <c r="BJ84" s="176">
        <v>41</v>
      </c>
      <c r="BK84" s="169"/>
      <c r="BL84" s="185">
        <v>0.8</v>
      </c>
      <c r="BM84" s="173">
        <v>0.64</v>
      </c>
      <c r="BN84" s="186"/>
      <c r="BO84" s="187">
        <v>0.95</v>
      </c>
      <c r="BP84" s="173">
        <v>0.8</v>
      </c>
      <c r="BQ84" s="186"/>
    </row>
    <row r="85" spans="1:69" s="156" customFormat="1" ht="22.35" customHeight="1" x14ac:dyDescent="0.2">
      <c r="A85" s="165" t="s">
        <v>139</v>
      </c>
      <c r="B85" s="165" t="s">
        <v>140</v>
      </c>
      <c r="C85" s="165" t="s">
        <v>141</v>
      </c>
      <c r="D85" s="166">
        <v>3.7189131554444401</v>
      </c>
      <c r="E85" s="167"/>
      <c r="F85" s="168">
        <v>2.5999999999999999E-2</v>
      </c>
      <c r="G85" s="168">
        <v>2.1999999999999999E-2</v>
      </c>
      <c r="H85" s="169"/>
      <c r="I85" s="170">
        <v>4</v>
      </c>
      <c r="J85" s="170">
        <v>4</v>
      </c>
      <c r="K85" s="167"/>
      <c r="L85" s="171">
        <v>9285.7829000000002</v>
      </c>
      <c r="M85" s="171">
        <v>3073.5424499999999</v>
      </c>
      <c r="N85" s="171">
        <v>12359.325349999999</v>
      </c>
      <c r="O85" s="166">
        <v>3323.3702518452501</v>
      </c>
      <c r="P85" s="172">
        <v>287.5</v>
      </c>
      <c r="Q85" s="178">
        <v>11.5595487020704</v>
      </c>
      <c r="R85" s="179">
        <v>11101.9608121442</v>
      </c>
      <c r="S85" s="168">
        <v>0.01</v>
      </c>
      <c r="T85" s="168">
        <v>0.01</v>
      </c>
      <c r="U85" s="175">
        <v>0</v>
      </c>
      <c r="V85" s="176">
        <v>0</v>
      </c>
      <c r="W85" s="167"/>
      <c r="X85" s="175">
        <v>2366.821195</v>
      </c>
      <c r="Y85" s="166">
        <v>636.42819718309397</v>
      </c>
      <c r="Z85" s="177">
        <v>573</v>
      </c>
      <c r="AA85" s="182">
        <v>1.1106949340019101</v>
      </c>
      <c r="AB85" s="183">
        <v>-139.16099696992501</v>
      </c>
      <c r="AC85" s="168">
        <v>1.2999999999999999E-2</v>
      </c>
      <c r="AD85" s="168">
        <v>1.0999999999999999E-2</v>
      </c>
      <c r="AE85" s="176">
        <v>0</v>
      </c>
      <c r="AF85" s="176">
        <v>191</v>
      </c>
      <c r="AG85" s="167"/>
      <c r="AH85" s="180">
        <v>161.9</v>
      </c>
      <c r="AI85" s="166">
        <v>43.534224444843602</v>
      </c>
      <c r="AJ85" s="181" t="s">
        <v>53</v>
      </c>
      <c r="AK85" s="173">
        <v>0.69101943563243795</v>
      </c>
      <c r="AL85" s="174">
        <v>-113.626837860568</v>
      </c>
      <c r="AM85" s="168"/>
      <c r="AN85" s="168"/>
      <c r="AO85" s="176">
        <v>73</v>
      </c>
      <c r="AP85" s="176">
        <v>120</v>
      </c>
      <c r="AQ85" s="167"/>
      <c r="AR85" s="180">
        <v>22.2</v>
      </c>
      <c r="AS85" s="166">
        <v>5.96948599552519</v>
      </c>
      <c r="AT85" s="181" t="s">
        <v>54</v>
      </c>
      <c r="AU85" s="173">
        <v>0.37309287472032399</v>
      </c>
      <c r="AV85" s="174">
        <v>-47.775069932842598</v>
      </c>
      <c r="AW85" s="168"/>
      <c r="AX85" s="168"/>
      <c r="AY85" s="176">
        <v>38</v>
      </c>
      <c r="AZ85" s="176">
        <v>50</v>
      </c>
      <c r="BA85" s="167"/>
      <c r="BB85" s="184">
        <v>120.4</v>
      </c>
      <c r="BC85" s="180">
        <v>32.375050173929402</v>
      </c>
      <c r="BD85" s="181" t="s">
        <v>55</v>
      </c>
      <c r="BE85" s="182">
        <v>1.01172031793529</v>
      </c>
      <c r="BF85" s="183">
        <v>-19.5501398656851</v>
      </c>
      <c r="BG85" s="168">
        <v>3.0000000000000001E-3</v>
      </c>
      <c r="BH85" s="168">
        <v>1E-3</v>
      </c>
      <c r="BI85" s="176">
        <v>0</v>
      </c>
      <c r="BJ85" s="176">
        <v>23</v>
      </c>
      <c r="BK85" s="169"/>
      <c r="BL85" s="185">
        <v>0.8</v>
      </c>
      <c r="BM85" s="188">
        <v>0.73</v>
      </c>
      <c r="BN85" s="186"/>
      <c r="BO85" s="187">
        <v>0.95</v>
      </c>
      <c r="BP85" s="178">
        <v>1</v>
      </c>
      <c r="BQ85" s="186">
        <v>2.5000000000000001E-3</v>
      </c>
    </row>
    <row r="86" spans="1:69" s="156" customFormat="1" ht="22.35" customHeight="1" x14ac:dyDescent="0.2">
      <c r="A86" s="165" t="s">
        <v>139</v>
      </c>
      <c r="B86" s="165" t="s">
        <v>140</v>
      </c>
      <c r="C86" s="165" t="s">
        <v>142</v>
      </c>
      <c r="D86" s="166">
        <v>8.0608712013333292</v>
      </c>
      <c r="E86" s="167"/>
      <c r="F86" s="168">
        <v>0.03</v>
      </c>
      <c r="G86" s="168">
        <v>2.9000000000000001E-2</v>
      </c>
      <c r="H86" s="169"/>
      <c r="I86" s="170">
        <v>3</v>
      </c>
      <c r="J86" s="170">
        <v>3</v>
      </c>
      <c r="K86" s="167"/>
      <c r="L86" s="171">
        <v>4597.7225200000003</v>
      </c>
      <c r="M86" s="171">
        <v>3727.1944600000002</v>
      </c>
      <c r="N86" s="171">
        <v>8324.91698</v>
      </c>
      <c r="O86" s="166">
        <v>1032.7564815355199</v>
      </c>
      <c r="P86" s="172">
        <v>287.5</v>
      </c>
      <c r="Q86" s="178">
        <v>3.5921964575148499</v>
      </c>
      <c r="R86" s="179">
        <v>5599.5364268291996</v>
      </c>
      <c r="S86" s="168">
        <v>0.01</v>
      </c>
      <c r="T86" s="168">
        <v>0.01</v>
      </c>
      <c r="U86" s="175">
        <v>0</v>
      </c>
      <c r="V86" s="176">
        <v>0</v>
      </c>
      <c r="W86" s="167"/>
      <c r="X86" s="175">
        <v>2769.8413999999998</v>
      </c>
      <c r="Y86" s="166">
        <v>343.61563791539601</v>
      </c>
      <c r="Z86" s="177">
        <v>573</v>
      </c>
      <c r="AA86" s="173">
        <v>0.59967825116124995</v>
      </c>
      <c r="AB86" s="174">
        <v>-2661.9605372760602</v>
      </c>
      <c r="AC86" s="168"/>
      <c r="AD86" s="168"/>
      <c r="AE86" s="176">
        <v>1850</v>
      </c>
      <c r="AF86" s="176">
        <v>2773</v>
      </c>
      <c r="AG86" s="167"/>
      <c r="AH86" s="180">
        <v>304.39999999999998</v>
      </c>
      <c r="AI86" s="166">
        <v>37.762667631961399</v>
      </c>
      <c r="AJ86" s="181" t="s">
        <v>53</v>
      </c>
      <c r="AK86" s="173">
        <v>0.59940742272954595</v>
      </c>
      <c r="AL86" s="174">
        <v>-292.81382556438399</v>
      </c>
      <c r="AM86" s="168"/>
      <c r="AN86" s="168"/>
      <c r="AO86" s="176">
        <v>204</v>
      </c>
      <c r="AP86" s="176">
        <v>306</v>
      </c>
      <c r="AQ86" s="167"/>
      <c r="AR86" s="180">
        <v>53.6</v>
      </c>
      <c r="AS86" s="166">
        <v>6.6494053386108103</v>
      </c>
      <c r="AT86" s="181" t="s">
        <v>54</v>
      </c>
      <c r="AU86" s="173">
        <v>0.41558783366317598</v>
      </c>
      <c r="AV86" s="174">
        <v>-98.073352524287898</v>
      </c>
      <c r="AW86" s="168"/>
      <c r="AX86" s="168"/>
      <c r="AY86" s="176">
        <v>76</v>
      </c>
      <c r="AZ86" s="176">
        <v>102</v>
      </c>
      <c r="BA86" s="167"/>
      <c r="BB86" s="184">
        <v>307.39999999999998</v>
      </c>
      <c r="BC86" s="180">
        <v>38.134835841212002</v>
      </c>
      <c r="BD86" s="181" t="s">
        <v>55</v>
      </c>
      <c r="BE86" s="178">
        <v>1.19171362003787</v>
      </c>
      <c r="BF86" s="179">
        <v>4.0532949514242196</v>
      </c>
      <c r="BG86" s="168">
        <v>0.02</v>
      </c>
      <c r="BH86" s="168">
        <v>1.9E-2</v>
      </c>
      <c r="BI86" s="176">
        <v>0</v>
      </c>
      <c r="BJ86" s="176">
        <v>3</v>
      </c>
      <c r="BK86" s="169"/>
      <c r="BL86" s="185">
        <v>0.8</v>
      </c>
      <c r="BM86" s="173">
        <v>0.59</v>
      </c>
      <c r="BN86" s="186"/>
      <c r="BO86" s="187">
        <v>0.95</v>
      </c>
      <c r="BP86" s="178">
        <v>1</v>
      </c>
      <c r="BQ86" s="186">
        <v>2.5000000000000001E-3</v>
      </c>
    </row>
    <row r="87" spans="1:69" s="156" customFormat="1" ht="22.35" customHeight="1" x14ac:dyDescent="0.2">
      <c r="A87" s="165" t="s">
        <v>139</v>
      </c>
      <c r="B87" s="165" t="s">
        <v>140</v>
      </c>
      <c r="C87" s="165" t="s">
        <v>143</v>
      </c>
      <c r="D87" s="166">
        <v>6.5973797197777797</v>
      </c>
      <c r="E87" s="167"/>
      <c r="F87" s="168">
        <v>0.03</v>
      </c>
      <c r="G87" s="168">
        <v>0.03</v>
      </c>
      <c r="H87" s="169"/>
      <c r="I87" s="170">
        <v>3</v>
      </c>
      <c r="J87" s="170">
        <v>3</v>
      </c>
      <c r="K87" s="167"/>
      <c r="L87" s="171">
        <v>12823.08959</v>
      </c>
      <c r="M87" s="171">
        <v>2051.76953</v>
      </c>
      <c r="N87" s="171">
        <v>14874.859119999999</v>
      </c>
      <c r="O87" s="166">
        <v>2254.6616614180598</v>
      </c>
      <c r="P87" s="172">
        <v>271.31</v>
      </c>
      <c r="Q87" s="178">
        <v>8.31027850583488</v>
      </c>
      <c r="R87" s="179">
        <v>12769.895452075099</v>
      </c>
      <c r="S87" s="168">
        <v>0.01</v>
      </c>
      <c r="T87" s="168">
        <v>0.01</v>
      </c>
      <c r="U87" s="175">
        <v>0</v>
      </c>
      <c r="V87" s="176">
        <v>0</v>
      </c>
      <c r="W87" s="167"/>
      <c r="X87" s="175">
        <v>3113.3211900000001</v>
      </c>
      <c r="Y87" s="166">
        <v>471.902682919222</v>
      </c>
      <c r="Z87" s="177">
        <v>573</v>
      </c>
      <c r="AA87" s="188">
        <v>0.82356489165658298</v>
      </c>
      <c r="AB87" s="171">
        <v>-1332.3099394128201</v>
      </c>
      <c r="AC87" s="168"/>
      <c r="AD87" s="168"/>
      <c r="AE87" s="176">
        <v>667</v>
      </c>
      <c r="AF87" s="176">
        <v>1424</v>
      </c>
      <c r="AG87" s="167"/>
      <c r="AH87" s="180">
        <v>318.8</v>
      </c>
      <c r="AI87" s="166">
        <v>48.322214809660601</v>
      </c>
      <c r="AJ87" s="181" t="s">
        <v>53</v>
      </c>
      <c r="AK87" s="173">
        <v>0.767019282693025</v>
      </c>
      <c r="AL87" s="174">
        <v>-169.986668678896</v>
      </c>
      <c r="AM87" s="168"/>
      <c r="AN87" s="168"/>
      <c r="AO87" s="176">
        <v>97</v>
      </c>
      <c r="AP87" s="176">
        <v>180</v>
      </c>
      <c r="AQ87" s="167"/>
      <c r="AR87" s="180">
        <v>51.4</v>
      </c>
      <c r="AS87" s="166">
        <v>7.7909718984208096</v>
      </c>
      <c r="AT87" s="181" t="s">
        <v>54</v>
      </c>
      <c r="AU87" s="173">
        <v>0.48693574365130099</v>
      </c>
      <c r="AV87" s="174">
        <v>-72.736296807338704</v>
      </c>
      <c r="AW87" s="168"/>
      <c r="AX87" s="168"/>
      <c r="AY87" s="176">
        <v>55</v>
      </c>
      <c r="AZ87" s="176">
        <v>76</v>
      </c>
      <c r="BA87" s="167"/>
      <c r="BB87" s="184">
        <v>264.39999999999998</v>
      </c>
      <c r="BC87" s="180">
        <v>40.076516924950603</v>
      </c>
      <c r="BD87" s="181" t="s">
        <v>55</v>
      </c>
      <c r="BE87" s="178">
        <v>1.2523911539047099</v>
      </c>
      <c r="BF87" s="179">
        <v>16.127406385322601</v>
      </c>
      <c r="BG87" s="168">
        <v>0.02</v>
      </c>
      <c r="BH87" s="168">
        <v>0.02</v>
      </c>
      <c r="BI87" s="176">
        <v>0</v>
      </c>
      <c r="BJ87" s="176">
        <v>0</v>
      </c>
      <c r="BK87" s="169"/>
      <c r="BL87" s="185">
        <v>0.8</v>
      </c>
      <c r="BM87" s="188">
        <v>0.74</v>
      </c>
      <c r="BN87" s="186"/>
      <c r="BO87" s="187">
        <v>0.95</v>
      </c>
      <c r="BP87" s="178">
        <v>1</v>
      </c>
      <c r="BQ87" s="186">
        <v>2.5000000000000001E-3</v>
      </c>
    </row>
    <row r="88" spans="1:69" s="156" customFormat="1" ht="22.35" customHeight="1" x14ac:dyDescent="0.2">
      <c r="A88" s="165" t="s">
        <v>139</v>
      </c>
      <c r="B88" s="165" t="s">
        <v>140</v>
      </c>
      <c r="C88" s="165" t="s">
        <v>144</v>
      </c>
      <c r="D88" s="166">
        <v>1.00891054722222</v>
      </c>
      <c r="E88" s="167"/>
      <c r="F88" s="168">
        <v>0.02</v>
      </c>
      <c r="G88" s="168">
        <v>0.02</v>
      </c>
      <c r="H88" s="169"/>
      <c r="I88" s="170">
        <v>2</v>
      </c>
      <c r="J88" s="170">
        <v>2</v>
      </c>
      <c r="K88" s="167"/>
      <c r="L88" s="171">
        <v>-8753.2823599999992</v>
      </c>
      <c r="M88" s="171">
        <v>-1747.70876</v>
      </c>
      <c r="N88" s="171">
        <v>-10500.991120000001</v>
      </c>
      <c r="O88" s="166">
        <v>-10408.2479352722</v>
      </c>
      <c r="P88" s="172">
        <v>287.5</v>
      </c>
      <c r="Q88" s="173">
        <v>-36.202601513990103</v>
      </c>
      <c r="R88" s="174">
        <v>-10842.1037760158</v>
      </c>
      <c r="S88" s="168"/>
      <c r="T88" s="168"/>
      <c r="U88" s="175">
        <v>10792</v>
      </c>
      <c r="V88" s="176">
        <v>10850</v>
      </c>
      <c r="W88" s="167"/>
      <c r="X88" s="175">
        <v>354.96262000000002</v>
      </c>
      <c r="Y88" s="166">
        <v>351.82764317143801</v>
      </c>
      <c r="Z88" s="177">
        <v>573</v>
      </c>
      <c r="AA88" s="173">
        <v>0.61400984846673201</v>
      </c>
      <c r="AB88" s="174">
        <v>-324.88973442459798</v>
      </c>
      <c r="AC88" s="168"/>
      <c r="AD88" s="168"/>
      <c r="AE88" s="176">
        <v>224</v>
      </c>
      <c r="AF88" s="176">
        <v>339</v>
      </c>
      <c r="AG88" s="167"/>
      <c r="AH88" s="180">
        <v>23.6</v>
      </c>
      <c r="AI88" s="166">
        <v>23.3915683258308</v>
      </c>
      <c r="AJ88" s="181" t="s">
        <v>53</v>
      </c>
      <c r="AK88" s="173">
        <v>0.371294735330648</v>
      </c>
      <c r="AL88" s="174">
        <v>-51.148164622599801</v>
      </c>
      <c r="AM88" s="168"/>
      <c r="AN88" s="168"/>
      <c r="AO88" s="176">
        <v>40</v>
      </c>
      <c r="AP88" s="176">
        <v>53</v>
      </c>
      <c r="AQ88" s="167"/>
      <c r="AR88" s="180"/>
      <c r="AS88" s="166" t="s">
        <v>145</v>
      </c>
      <c r="AT88" s="181" t="s">
        <v>54</v>
      </c>
      <c r="AU88" s="173"/>
      <c r="AV88" s="174"/>
      <c r="AW88" s="168"/>
      <c r="AX88" s="168"/>
      <c r="AY88" s="176">
        <v>17</v>
      </c>
      <c r="AZ88" s="176">
        <v>20</v>
      </c>
      <c r="BA88" s="167"/>
      <c r="BB88" s="184">
        <v>60.4</v>
      </c>
      <c r="BC88" s="180">
        <v>59.866556223736602</v>
      </c>
      <c r="BD88" s="181" t="s">
        <v>55</v>
      </c>
      <c r="BE88" s="178">
        <v>1.8708298819917699</v>
      </c>
      <c r="BF88" s="179">
        <v>22.432678286933399</v>
      </c>
      <c r="BG88" s="168">
        <v>0.02</v>
      </c>
      <c r="BH88" s="168">
        <v>0.02</v>
      </c>
      <c r="BI88" s="176">
        <v>0</v>
      </c>
      <c r="BJ88" s="176">
        <v>0</v>
      </c>
      <c r="BK88" s="169"/>
      <c r="BL88" s="185">
        <v>0.8</v>
      </c>
      <c r="BM88" s="173"/>
      <c r="BN88" s="186"/>
      <c r="BO88" s="187">
        <v>0.95</v>
      </c>
      <c r="BP88" s="178">
        <v>1</v>
      </c>
      <c r="BQ88" s="186">
        <v>2.5000000000000001E-3</v>
      </c>
    </row>
    <row r="89" spans="1:69" s="156" customFormat="1" ht="22.35" customHeight="1" x14ac:dyDescent="0.2">
      <c r="A89" s="165" t="s">
        <v>139</v>
      </c>
      <c r="B89" s="165" t="s">
        <v>140</v>
      </c>
      <c r="C89" s="165" t="s">
        <v>146</v>
      </c>
      <c r="D89" s="166">
        <v>1.63022700111111</v>
      </c>
      <c r="E89" s="167"/>
      <c r="F89" s="168"/>
      <c r="G89" s="168"/>
      <c r="H89" s="169"/>
      <c r="I89" s="170">
        <v>2</v>
      </c>
      <c r="J89" s="170">
        <v>2</v>
      </c>
      <c r="K89" s="167"/>
      <c r="L89" s="171">
        <v>-7896.3955299999998</v>
      </c>
      <c r="M89" s="171">
        <v>-1205.2751499999999</v>
      </c>
      <c r="N89" s="171">
        <v>-9101.6706799999993</v>
      </c>
      <c r="O89" s="166">
        <v>-5583.0695196414899</v>
      </c>
      <c r="P89" s="172">
        <v>264.70999999999998</v>
      </c>
      <c r="Q89" s="173">
        <v>-21.091267876700901</v>
      </c>
      <c r="R89" s="174">
        <v>-9609.1586500098092</v>
      </c>
      <c r="S89" s="168"/>
      <c r="T89" s="168"/>
      <c r="U89" s="175">
        <v>9534</v>
      </c>
      <c r="V89" s="176">
        <v>9620</v>
      </c>
      <c r="W89" s="167"/>
      <c r="X89" s="175">
        <v>368.50261</v>
      </c>
      <c r="Y89" s="166">
        <v>226.04374099364099</v>
      </c>
      <c r="Z89" s="177">
        <v>573</v>
      </c>
      <c r="AA89" s="173">
        <v>0.39449169457877997</v>
      </c>
      <c r="AB89" s="174">
        <v>-730.02259424471902</v>
      </c>
      <c r="AC89" s="168"/>
      <c r="AD89" s="168"/>
      <c r="AE89" s="176">
        <v>566</v>
      </c>
      <c r="AF89" s="176">
        <v>753</v>
      </c>
      <c r="AG89" s="167"/>
      <c r="AH89" s="180">
        <v>65.2</v>
      </c>
      <c r="AI89" s="166">
        <v>39.994430196262101</v>
      </c>
      <c r="AJ89" s="181" t="s">
        <v>53</v>
      </c>
      <c r="AK89" s="173">
        <v>0.63483222533749295</v>
      </c>
      <c r="AL89" s="174">
        <v>-55.580258058319899</v>
      </c>
      <c r="AM89" s="168"/>
      <c r="AN89" s="168"/>
      <c r="AO89" s="176">
        <v>38</v>
      </c>
      <c r="AP89" s="176">
        <v>59</v>
      </c>
      <c r="AQ89" s="167"/>
      <c r="AR89" s="180">
        <v>1.8</v>
      </c>
      <c r="AS89" s="166">
        <v>1.1041407109397501</v>
      </c>
      <c r="AT89" s="181" t="s">
        <v>54</v>
      </c>
      <c r="AU89" s="173">
        <v>6.9008794433734394E-2</v>
      </c>
      <c r="AV89" s="174">
        <v>-28.8743512529066</v>
      </c>
      <c r="AW89" s="168"/>
      <c r="AX89" s="168"/>
      <c r="AY89" s="176">
        <v>25</v>
      </c>
      <c r="AZ89" s="176">
        <v>30</v>
      </c>
      <c r="BA89" s="167"/>
      <c r="BB89" s="184">
        <v>26</v>
      </c>
      <c r="BC89" s="180">
        <v>15.9486991580186</v>
      </c>
      <c r="BD89" s="181" t="s">
        <v>55</v>
      </c>
      <c r="BE89" s="173">
        <v>0.49839684868808198</v>
      </c>
      <c r="BF89" s="174">
        <v>-35.3487025058133</v>
      </c>
      <c r="BG89" s="168"/>
      <c r="BH89" s="168"/>
      <c r="BI89" s="176">
        <v>27</v>
      </c>
      <c r="BJ89" s="176">
        <v>37</v>
      </c>
      <c r="BK89" s="169"/>
      <c r="BL89" s="185">
        <v>0.8</v>
      </c>
      <c r="BM89" s="178">
        <v>1</v>
      </c>
      <c r="BN89" s="186">
        <v>7.4999999999999997E-3</v>
      </c>
      <c r="BO89" s="187">
        <v>0.95</v>
      </c>
      <c r="BP89" s="178">
        <v>1</v>
      </c>
      <c r="BQ89" s="186">
        <v>2.5000000000000001E-3</v>
      </c>
    </row>
    <row r="90" spans="1:69" s="156" customFormat="1" ht="22.35" customHeight="1" x14ac:dyDescent="0.2">
      <c r="A90" s="165" t="s">
        <v>139</v>
      </c>
      <c r="B90" s="165" t="s">
        <v>140</v>
      </c>
      <c r="C90" s="165" t="s">
        <v>147</v>
      </c>
      <c r="D90" s="166">
        <v>4.5991464215555604</v>
      </c>
      <c r="E90" s="167"/>
      <c r="F90" s="168">
        <v>0.03</v>
      </c>
      <c r="G90" s="168">
        <v>2.7E-2</v>
      </c>
      <c r="H90" s="169"/>
      <c r="I90" s="170">
        <v>3</v>
      </c>
      <c r="J90" s="170">
        <v>3</v>
      </c>
      <c r="K90" s="167"/>
      <c r="L90" s="171">
        <v>1660.2193</v>
      </c>
      <c r="M90" s="171">
        <v>3468.1925700000002</v>
      </c>
      <c r="N90" s="171">
        <v>5128.4118699999999</v>
      </c>
      <c r="O90" s="166">
        <v>1115.0790603151599</v>
      </c>
      <c r="P90" s="172">
        <v>265.83499999999998</v>
      </c>
      <c r="Q90" s="178">
        <v>4.1946284737343102</v>
      </c>
      <c r="R90" s="179">
        <v>3690.61770136631</v>
      </c>
      <c r="S90" s="168">
        <v>0.01</v>
      </c>
      <c r="T90" s="168">
        <v>0.01</v>
      </c>
      <c r="U90" s="175">
        <v>0</v>
      </c>
      <c r="V90" s="176">
        <v>0</v>
      </c>
      <c r="W90" s="167"/>
      <c r="X90" s="175">
        <v>2366.277705</v>
      </c>
      <c r="Y90" s="166">
        <v>514.50366831323004</v>
      </c>
      <c r="Z90" s="177">
        <v>573</v>
      </c>
      <c r="AA90" s="188">
        <v>0.89791216110511396</v>
      </c>
      <c r="AB90" s="171">
        <v>-732.84791287237101</v>
      </c>
      <c r="AC90" s="168"/>
      <c r="AD90" s="168"/>
      <c r="AE90" s="176">
        <v>270</v>
      </c>
      <c r="AF90" s="176">
        <v>797</v>
      </c>
      <c r="AG90" s="167"/>
      <c r="AH90" s="180">
        <v>263.89999999999998</v>
      </c>
      <c r="AI90" s="166">
        <v>57.380212720155598</v>
      </c>
      <c r="AJ90" s="181" t="s">
        <v>53</v>
      </c>
      <c r="AK90" s="188">
        <v>0.91079702730405598</v>
      </c>
      <c r="AL90" s="171">
        <v>-76.841560080208296</v>
      </c>
      <c r="AM90" s="168"/>
      <c r="AN90" s="168"/>
      <c r="AO90" s="176">
        <v>26</v>
      </c>
      <c r="AP90" s="176">
        <v>84</v>
      </c>
      <c r="AQ90" s="167"/>
      <c r="AR90" s="180">
        <v>57</v>
      </c>
      <c r="AS90" s="166">
        <v>12.393604111590999</v>
      </c>
      <c r="AT90" s="181" t="s">
        <v>54</v>
      </c>
      <c r="AU90" s="173">
        <v>0.77460025697443702</v>
      </c>
      <c r="AV90" s="174">
        <v>-29.5375390679894</v>
      </c>
      <c r="AW90" s="168"/>
      <c r="AX90" s="168"/>
      <c r="AY90" s="176">
        <v>17</v>
      </c>
      <c r="AZ90" s="176">
        <v>32</v>
      </c>
      <c r="BA90" s="167"/>
      <c r="BB90" s="184">
        <v>172.4</v>
      </c>
      <c r="BC90" s="180">
        <v>37.485216646285799</v>
      </c>
      <c r="BD90" s="181" t="s">
        <v>55</v>
      </c>
      <c r="BE90" s="178">
        <v>1.1714130201964299</v>
      </c>
      <c r="BF90" s="179">
        <v>-0.67507813597879396</v>
      </c>
      <c r="BG90" s="168">
        <v>0.02</v>
      </c>
      <c r="BH90" s="168">
        <v>1.7000000000000001E-2</v>
      </c>
      <c r="BI90" s="176">
        <v>0</v>
      </c>
      <c r="BJ90" s="176">
        <v>5</v>
      </c>
      <c r="BK90" s="169"/>
      <c r="BL90" s="185">
        <v>0.8</v>
      </c>
      <c r="BM90" s="188">
        <v>0.74</v>
      </c>
      <c r="BN90" s="186"/>
      <c r="BO90" s="187">
        <v>0.95</v>
      </c>
      <c r="BP90" s="178">
        <v>1</v>
      </c>
      <c r="BQ90" s="186">
        <v>2.5000000000000001E-3</v>
      </c>
    </row>
    <row r="91" spans="1:69" s="156" customFormat="1" ht="22.35" customHeight="1" x14ac:dyDescent="0.2">
      <c r="A91" s="165" t="s">
        <v>139</v>
      </c>
      <c r="B91" s="165" t="s">
        <v>140</v>
      </c>
      <c r="C91" s="165" t="s">
        <v>148</v>
      </c>
      <c r="D91" s="166">
        <v>5.8587699798888897</v>
      </c>
      <c r="E91" s="167"/>
      <c r="F91" s="168">
        <v>0.03</v>
      </c>
      <c r="G91" s="168">
        <v>0.03</v>
      </c>
      <c r="H91" s="169"/>
      <c r="I91" s="170">
        <v>3</v>
      </c>
      <c r="J91" s="170">
        <v>3</v>
      </c>
      <c r="K91" s="167"/>
      <c r="L91" s="171">
        <v>5422.3206300000002</v>
      </c>
      <c r="M91" s="171">
        <v>3287.29142</v>
      </c>
      <c r="N91" s="171">
        <v>8709.6120499999997</v>
      </c>
      <c r="O91" s="166">
        <v>1486.59395741718</v>
      </c>
      <c r="P91" s="172">
        <v>266.37799999999999</v>
      </c>
      <c r="Q91" s="178">
        <v>5.5807685222397501</v>
      </c>
      <c r="R91" s="179">
        <v>6874.29067266946</v>
      </c>
      <c r="S91" s="168">
        <v>0.01</v>
      </c>
      <c r="T91" s="168">
        <v>0.01</v>
      </c>
      <c r="U91" s="175">
        <v>0</v>
      </c>
      <c r="V91" s="176">
        <v>0</v>
      </c>
      <c r="W91" s="167"/>
      <c r="X91" s="175">
        <v>2522.5543050000001</v>
      </c>
      <c r="Y91" s="166">
        <v>430.56039299358901</v>
      </c>
      <c r="Z91" s="177">
        <v>573</v>
      </c>
      <c r="AA91" s="173">
        <v>0.75141429841813001</v>
      </c>
      <c r="AB91" s="174">
        <v>-1425.36612840817</v>
      </c>
      <c r="AC91" s="168"/>
      <c r="AD91" s="168"/>
      <c r="AE91" s="176">
        <v>835</v>
      </c>
      <c r="AF91" s="176">
        <v>1506</v>
      </c>
      <c r="AG91" s="167"/>
      <c r="AH91" s="180">
        <v>296.7</v>
      </c>
      <c r="AI91" s="166">
        <v>50.642029132133104</v>
      </c>
      <c r="AJ91" s="181" t="s">
        <v>53</v>
      </c>
      <c r="AK91" s="188">
        <v>0.80384173225608102</v>
      </c>
      <c r="AL91" s="171">
        <v>-137.36455027000801</v>
      </c>
      <c r="AM91" s="168"/>
      <c r="AN91" s="168"/>
      <c r="AO91" s="176">
        <v>73</v>
      </c>
      <c r="AP91" s="176">
        <v>147</v>
      </c>
      <c r="AQ91" s="167"/>
      <c r="AR91" s="180">
        <v>25.4</v>
      </c>
      <c r="AS91" s="166">
        <v>4.3353809907522098</v>
      </c>
      <c r="AT91" s="181" t="s">
        <v>54</v>
      </c>
      <c r="AU91" s="173">
        <v>0.270961311922013</v>
      </c>
      <c r="AV91" s="174">
        <v>-84.838615941589296</v>
      </c>
      <c r="AW91" s="168"/>
      <c r="AX91" s="168"/>
      <c r="AY91" s="176">
        <v>69</v>
      </c>
      <c r="AZ91" s="176">
        <v>88</v>
      </c>
      <c r="BA91" s="167"/>
      <c r="BB91" s="184">
        <v>242</v>
      </c>
      <c r="BC91" s="180">
        <v>41.305598415828101</v>
      </c>
      <c r="BD91" s="181" t="s">
        <v>55</v>
      </c>
      <c r="BE91" s="178">
        <v>1.2907999504946299</v>
      </c>
      <c r="BF91" s="179">
        <v>21.5227681168213</v>
      </c>
      <c r="BG91" s="168">
        <v>0.02</v>
      </c>
      <c r="BH91" s="168">
        <v>0.02</v>
      </c>
      <c r="BI91" s="176">
        <v>0</v>
      </c>
      <c r="BJ91" s="176">
        <v>0</v>
      </c>
      <c r="BK91" s="169"/>
      <c r="BL91" s="185">
        <v>0.8</v>
      </c>
      <c r="BM91" s="188">
        <v>0.72</v>
      </c>
      <c r="BN91" s="186"/>
      <c r="BO91" s="187">
        <v>0.95</v>
      </c>
      <c r="BP91" s="178">
        <v>1</v>
      </c>
      <c r="BQ91" s="186">
        <v>2.5000000000000001E-3</v>
      </c>
    </row>
    <row r="92" spans="1:69" s="156" customFormat="1" ht="22.35" customHeight="1" x14ac:dyDescent="0.2">
      <c r="A92" s="165" t="s">
        <v>139</v>
      </c>
      <c r="B92" s="165" t="s">
        <v>140</v>
      </c>
      <c r="C92" s="165" t="s">
        <v>149</v>
      </c>
      <c r="D92" s="166">
        <v>3.2458373859999998</v>
      </c>
      <c r="E92" s="167"/>
      <c r="F92" s="168">
        <v>3.9E-2</v>
      </c>
      <c r="G92" s="168">
        <v>3.5000000000000003E-2</v>
      </c>
      <c r="H92" s="169"/>
      <c r="I92" s="170">
        <v>5</v>
      </c>
      <c r="J92" s="170">
        <v>4</v>
      </c>
      <c r="K92" s="167"/>
      <c r="L92" s="171">
        <v>2339.5276899999999</v>
      </c>
      <c r="M92" s="171">
        <v>2198.0561299999999</v>
      </c>
      <c r="N92" s="171">
        <v>4537.5838199999998</v>
      </c>
      <c r="O92" s="166">
        <v>1397.97016313004</v>
      </c>
      <c r="P92" s="172">
        <v>247.02500000000001</v>
      </c>
      <c r="Q92" s="178">
        <v>5.6592254351990299</v>
      </c>
      <c r="R92" s="179">
        <v>3594.6635151946598</v>
      </c>
      <c r="S92" s="168">
        <v>0.01</v>
      </c>
      <c r="T92" s="168">
        <v>0.01</v>
      </c>
      <c r="U92" s="175">
        <v>0</v>
      </c>
      <c r="V92" s="176">
        <v>0</v>
      </c>
      <c r="W92" s="167"/>
      <c r="X92" s="175">
        <v>1957.8344999999999</v>
      </c>
      <c r="Y92" s="166">
        <v>603.18317499347404</v>
      </c>
      <c r="Z92" s="177">
        <v>573</v>
      </c>
      <c r="AA92" s="182">
        <v>1.0526756980688901</v>
      </c>
      <c r="AB92" s="183">
        <v>-229.366530881328</v>
      </c>
      <c r="AC92" s="168">
        <v>7.0000000000000001E-3</v>
      </c>
      <c r="AD92" s="168">
        <v>5.0000000000000001E-3</v>
      </c>
      <c r="AE92" s="176">
        <v>0</v>
      </c>
      <c r="AF92" s="176">
        <v>275</v>
      </c>
      <c r="AG92" s="167"/>
      <c r="AH92" s="180">
        <v>204.3</v>
      </c>
      <c r="AI92" s="166">
        <v>62.942155044855298</v>
      </c>
      <c r="AJ92" s="181" t="s">
        <v>53</v>
      </c>
      <c r="AK92" s="182">
        <v>0.99908182610881502</v>
      </c>
      <c r="AL92" s="183">
        <v>-36.177600253968002</v>
      </c>
      <c r="AM92" s="168">
        <v>2E-3</v>
      </c>
      <c r="AN92" s="168">
        <v>0</v>
      </c>
      <c r="AO92" s="176">
        <v>1</v>
      </c>
      <c r="AP92" s="176">
        <v>42</v>
      </c>
      <c r="AQ92" s="167"/>
      <c r="AR92" s="180">
        <v>30.6</v>
      </c>
      <c r="AS92" s="166">
        <v>9.4274593459254703</v>
      </c>
      <c r="AT92" s="181" t="s">
        <v>54</v>
      </c>
      <c r="AU92" s="173">
        <v>0.589216209120342</v>
      </c>
      <c r="AV92" s="174">
        <v>-30.473676254975999</v>
      </c>
      <c r="AW92" s="168"/>
      <c r="AX92" s="168"/>
      <c r="AY92" s="176">
        <v>22</v>
      </c>
      <c r="AZ92" s="176">
        <v>32</v>
      </c>
      <c r="BA92" s="167"/>
      <c r="BB92" s="184">
        <v>148.6</v>
      </c>
      <c r="BC92" s="180">
        <v>45.781714340017203</v>
      </c>
      <c r="BD92" s="181" t="s">
        <v>55</v>
      </c>
      <c r="BE92" s="178">
        <v>1.43067857312554</v>
      </c>
      <c r="BF92" s="179">
        <v>26.452647490048001</v>
      </c>
      <c r="BG92" s="168">
        <v>0.02</v>
      </c>
      <c r="BH92" s="168">
        <v>0.02</v>
      </c>
      <c r="BI92" s="176">
        <v>0</v>
      </c>
      <c r="BJ92" s="176">
        <v>0</v>
      </c>
      <c r="BK92" s="169"/>
      <c r="BL92" s="185">
        <v>0.8</v>
      </c>
      <c r="BM92" s="188">
        <v>0.71</v>
      </c>
      <c r="BN92" s="186"/>
      <c r="BO92" s="187">
        <v>0.95</v>
      </c>
      <c r="BP92" s="178">
        <v>1</v>
      </c>
      <c r="BQ92" s="186">
        <v>2.5000000000000001E-3</v>
      </c>
    </row>
    <row r="93" spans="1:69" s="156" customFormat="1" ht="22.35" customHeight="1" x14ac:dyDescent="0.2">
      <c r="A93" s="165" t="s">
        <v>139</v>
      </c>
      <c r="B93" s="165" t="s">
        <v>140</v>
      </c>
      <c r="C93" s="165" t="s">
        <v>150</v>
      </c>
      <c r="D93" s="166">
        <v>5.9735728475555598</v>
      </c>
      <c r="E93" s="167"/>
      <c r="F93" s="168">
        <v>0.01</v>
      </c>
      <c r="G93" s="168">
        <v>0.01</v>
      </c>
      <c r="H93" s="169"/>
      <c r="I93" s="170">
        <v>2</v>
      </c>
      <c r="J93" s="170">
        <v>2</v>
      </c>
      <c r="K93" s="167"/>
      <c r="L93" s="171">
        <v>3053.6942600000002</v>
      </c>
      <c r="M93" s="171">
        <v>2994.8119499999998</v>
      </c>
      <c r="N93" s="171">
        <v>6048.5062099999996</v>
      </c>
      <c r="O93" s="166">
        <v>1012.54414474498</v>
      </c>
      <c r="P93" s="172">
        <v>287.5</v>
      </c>
      <c r="Q93" s="178">
        <v>3.5218926773738399</v>
      </c>
      <c r="R93" s="179">
        <v>4028.8412302414599</v>
      </c>
      <c r="S93" s="168">
        <v>0.01</v>
      </c>
      <c r="T93" s="168">
        <v>0.01</v>
      </c>
      <c r="U93" s="175">
        <v>0</v>
      </c>
      <c r="V93" s="176">
        <v>0</v>
      </c>
      <c r="W93" s="167"/>
      <c r="X93" s="175">
        <v>2316.2298350000001</v>
      </c>
      <c r="Y93" s="166">
        <v>387.74614357433097</v>
      </c>
      <c r="Z93" s="177">
        <v>573</v>
      </c>
      <c r="AA93" s="173">
        <v>0.67669484044385797</v>
      </c>
      <c r="AB93" s="174">
        <v>-1709.05028117962</v>
      </c>
      <c r="AC93" s="168"/>
      <c r="AD93" s="168"/>
      <c r="AE93" s="176">
        <v>1107</v>
      </c>
      <c r="AF93" s="176">
        <v>1792</v>
      </c>
      <c r="AG93" s="167"/>
      <c r="AH93" s="180">
        <v>331.6</v>
      </c>
      <c r="AI93" s="166">
        <v>55.511167012166602</v>
      </c>
      <c r="AJ93" s="181" t="s">
        <v>53</v>
      </c>
      <c r="AK93" s="188">
        <v>0.88112963511375497</v>
      </c>
      <c r="AL93" s="171">
        <v>-110.970065129696</v>
      </c>
      <c r="AM93" s="168"/>
      <c r="AN93" s="168"/>
      <c r="AO93" s="176">
        <v>45</v>
      </c>
      <c r="AP93" s="176">
        <v>121</v>
      </c>
      <c r="AQ93" s="167"/>
      <c r="AR93" s="180">
        <v>32.4</v>
      </c>
      <c r="AS93" s="166">
        <v>5.4238896598136197</v>
      </c>
      <c r="AT93" s="181" t="s">
        <v>54</v>
      </c>
      <c r="AU93" s="173">
        <v>0.33899310373835101</v>
      </c>
      <c r="AV93" s="174">
        <v>-79.998746699605405</v>
      </c>
      <c r="AW93" s="168"/>
      <c r="AX93" s="168"/>
      <c r="AY93" s="176">
        <v>64</v>
      </c>
      <c r="AZ93" s="176">
        <v>83</v>
      </c>
      <c r="BA93" s="167"/>
      <c r="BB93" s="184">
        <v>149.19999999999999</v>
      </c>
      <c r="BC93" s="180">
        <v>24.976677075438001</v>
      </c>
      <c r="BD93" s="181" t="s">
        <v>55</v>
      </c>
      <c r="BE93" s="188">
        <v>0.78052115860743898</v>
      </c>
      <c r="BF93" s="171">
        <v>-75.597493399210805</v>
      </c>
      <c r="BG93" s="168"/>
      <c r="BH93" s="168"/>
      <c r="BI93" s="176">
        <v>42</v>
      </c>
      <c r="BJ93" s="176">
        <v>81</v>
      </c>
      <c r="BK93" s="169"/>
      <c r="BL93" s="185">
        <v>0.8</v>
      </c>
      <c r="BM93" s="188">
        <v>0.76</v>
      </c>
      <c r="BN93" s="186"/>
      <c r="BO93" s="187">
        <v>0.95</v>
      </c>
      <c r="BP93" s="178">
        <v>1</v>
      </c>
      <c r="BQ93" s="186">
        <v>2.5000000000000001E-3</v>
      </c>
    </row>
    <row r="94" spans="1:69" s="156" customFormat="1" ht="22.35" customHeight="1" x14ac:dyDescent="0.2">
      <c r="A94" s="165" t="s">
        <v>139</v>
      </c>
      <c r="B94" s="165" t="s">
        <v>140</v>
      </c>
      <c r="C94" s="165" t="s">
        <v>151</v>
      </c>
      <c r="D94" s="166">
        <v>5.3472902687777797</v>
      </c>
      <c r="E94" s="167"/>
      <c r="F94" s="168">
        <v>8.9999999999999993E-3</v>
      </c>
      <c r="G94" s="168">
        <v>7.0000000000000001E-3</v>
      </c>
      <c r="H94" s="169"/>
      <c r="I94" s="170">
        <v>2</v>
      </c>
      <c r="J94" s="170">
        <v>2</v>
      </c>
      <c r="K94" s="167"/>
      <c r="L94" s="171">
        <v>2396.19931</v>
      </c>
      <c r="M94" s="171">
        <v>-1387.4469200000001</v>
      </c>
      <c r="N94" s="171">
        <v>1008.75239</v>
      </c>
      <c r="O94" s="166">
        <v>188.64739696103501</v>
      </c>
      <c r="P94" s="172">
        <v>287.5</v>
      </c>
      <c r="Q94" s="173">
        <v>0.65616485899490395</v>
      </c>
      <c r="R94" s="174">
        <v>-799.16644987376696</v>
      </c>
      <c r="S94" s="168"/>
      <c r="T94" s="168"/>
      <c r="U94" s="175">
        <v>529</v>
      </c>
      <c r="V94" s="176">
        <v>837</v>
      </c>
      <c r="W94" s="167"/>
      <c r="X94" s="175">
        <v>2534.1461450000002</v>
      </c>
      <c r="Y94" s="166">
        <v>473.91220929160897</v>
      </c>
      <c r="Z94" s="177">
        <v>573</v>
      </c>
      <c r="AA94" s="188">
        <v>0.82707191848448403</v>
      </c>
      <c r="AB94" s="171">
        <v>-1069.1147080353701</v>
      </c>
      <c r="AC94" s="168"/>
      <c r="AD94" s="168"/>
      <c r="AE94" s="176">
        <v>530</v>
      </c>
      <c r="AF94" s="176">
        <v>1143</v>
      </c>
      <c r="AG94" s="167"/>
      <c r="AH94" s="180">
        <v>315.45</v>
      </c>
      <c r="AI94" s="166">
        <v>58.992496038952098</v>
      </c>
      <c r="AJ94" s="181" t="s">
        <v>53</v>
      </c>
      <c r="AK94" s="188">
        <v>0.93638882601511197</v>
      </c>
      <c r="AL94" s="171">
        <v>-80.720041433208095</v>
      </c>
      <c r="AM94" s="168"/>
      <c r="AN94" s="168"/>
      <c r="AO94" s="176">
        <v>22</v>
      </c>
      <c r="AP94" s="176">
        <v>89</v>
      </c>
      <c r="AQ94" s="167"/>
      <c r="AR94" s="180">
        <v>19.100000000000001</v>
      </c>
      <c r="AS94" s="166">
        <v>3.5719025973814702</v>
      </c>
      <c r="AT94" s="181" t="s">
        <v>54</v>
      </c>
      <c r="AU94" s="173">
        <v>0.223243912336342</v>
      </c>
      <c r="AV94" s="174">
        <v>-81.514613697322702</v>
      </c>
      <c r="AW94" s="168"/>
      <c r="AX94" s="168"/>
      <c r="AY94" s="176">
        <v>67</v>
      </c>
      <c r="AZ94" s="176">
        <v>84</v>
      </c>
      <c r="BA94" s="167"/>
      <c r="BB94" s="184">
        <v>183</v>
      </c>
      <c r="BC94" s="180">
        <v>34.2229411162727</v>
      </c>
      <c r="BD94" s="181" t="s">
        <v>55</v>
      </c>
      <c r="BE94" s="182">
        <v>1.0694669098835199</v>
      </c>
      <c r="BF94" s="183">
        <v>-18.229227394645399</v>
      </c>
      <c r="BG94" s="168">
        <v>8.9999999999999993E-3</v>
      </c>
      <c r="BH94" s="168">
        <v>7.0000000000000001E-3</v>
      </c>
      <c r="BI94" s="176">
        <v>0</v>
      </c>
      <c r="BJ94" s="176">
        <v>23</v>
      </c>
      <c r="BK94" s="169"/>
      <c r="BL94" s="185">
        <v>0.8</v>
      </c>
      <c r="BM94" s="188">
        <v>0.7</v>
      </c>
      <c r="BN94" s="186"/>
      <c r="BO94" s="187">
        <v>0.95</v>
      </c>
      <c r="BP94" s="178">
        <v>1</v>
      </c>
      <c r="BQ94" s="186">
        <v>2.5000000000000001E-3</v>
      </c>
    </row>
    <row r="95" spans="1:69" s="156" customFormat="1" ht="22.35" customHeight="1" x14ac:dyDescent="0.2">
      <c r="A95" s="165" t="s">
        <v>139</v>
      </c>
      <c r="B95" s="165" t="s">
        <v>140</v>
      </c>
      <c r="C95" s="165" t="s">
        <v>152</v>
      </c>
      <c r="D95" s="166">
        <v>1.85767322355556</v>
      </c>
      <c r="E95" s="167"/>
      <c r="F95" s="168">
        <v>3.3000000000000002E-2</v>
      </c>
      <c r="G95" s="168">
        <v>3.1E-2</v>
      </c>
      <c r="H95" s="169"/>
      <c r="I95" s="170">
        <v>4</v>
      </c>
      <c r="J95" s="170">
        <v>4</v>
      </c>
      <c r="K95" s="167"/>
      <c r="L95" s="171">
        <v>2061.8902699999999</v>
      </c>
      <c r="M95" s="171">
        <v>611.26007000000004</v>
      </c>
      <c r="N95" s="171">
        <v>2673.1503400000001</v>
      </c>
      <c r="O95" s="166">
        <v>1438.97769860925</v>
      </c>
      <c r="P95" s="172">
        <v>247.02500000000001</v>
      </c>
      <c r="Q95" s="178">
        <v>5.8252310438589197</v>
      </c>
      <c r="R95" s="179">
        <v>2133.4936678146</v>
      </c>
      <c r="S95" s="168">
        <v>0.01</v>
      </c>
      <c r="T95" s="168">
        <v>0.01</v>
      </c>
      <c r="U95" s="175">
        <v>0</v>
      </c>
      <c r="V95" s="176">
        <v>0</v>
      </c>
      <c r="W95" s="167"/>
      <c r="X95" s="175">
        <v>1078.9677200000001</v>
      </c>
      <c r="Y95" s="166">
        <v>580.81674770273798</v>
      </c>
      <c r="Z95" s="177">
        <v>573</v>
      </c>
      <c r="AA95" s="182">
        <v>1.0136417935475399</v>
      </c>
      <c r="AB95" s="183">
        <v>-172.821666346467</v>
      </c>
      <c r="AC95" s="168">
        <v>3.0000000000000001E-3</v>
      </c>
      <c r="AD95" s="168">
        <v>1E-3</v>
      </c>
      <c r="AE95" s="176">
        <v>0</v>
      </c>
      <c r="AF95" s="176">
        <v>199</v>
      </c>
      <c r="AG95" s="167"/>
      <c r="AH95" s="180">
        <v>101.7</v>
      </c>
      <c r="AI95" s="166">
        <v>54.745904021455303</v>
      </c>
      <c r="AJ95" s="181" t="s">
        <v>53</v>
      </c>
      <c r="AK95" s="188">
        <v>0.86898260351516399</v>
      </c>
      <c r="AL95" s="171">
        <v>-35.931293786784302</v>
      </c>
      <c r="AM95" s="168"/>
      <c r="AN95" s="168"/>
      <c r="AO95" s="176">
        <v>16</v>
      </c>
      <c r="AP95" s="176">
        <v>39</v>
      </c>
      <c r="AQ95" s="167"/>
      <c r="AR95" s="180">
        <v>25.9</v>
      </c>
      <c r="AS95" s="166">
        <v>13.942172213920299</v>
      </c>
      <c r="AT95" s="181" t="s">
        <v>54</v>
      </c>
      <c r="AU95" s="188">
        <v>0.87138576337001705</v>
      </c>
      <c r="AV95" s="171">
        <v>-9.0539793744214094</v>
      </c>
      <c r="AW95" s="168"/>
      <c r="AX95" s="168"/>
      <c r="AY95" s="176">
        <v>4</v>
      </c>
      <c r="AZ95" s="176">
        <v>10</v>
      </c>
      <c r="BA95" s="167"/>
      <c r="BB95" s="184">
        <v>94</v>
      </c>
      <c r="BC95" s="180">
        <v>50.600933903803401</v>
      </c>
      <c r="BD95" s="181" t="s">
        <v>55</v>
      </c>
      <c r="BE95" s="178">
        <v>1.5812791844938501</v>
      </c>
      <c r="BF95" s="179">
        <v>24.092041251157202</v>
      </c>
      <c r="BG95" s="168">
        <v>0.02</v>
      </c>
      <c r="BH95" s="168">
        <v>0.02</v>
      </c>
      <c r="BI95" s="176">
        <v>0</v>
      </c>
      <c r="BJ95" s="176">
        <v>0</v>
      </c>
      <c r="BK95" s="169"/>
      <c r="BL95" s="185">
        <v>0.8</v>
      </c>
      <c r="BM95" s="188">
        <v>0.77</v>
      </c>
      <c r="BN95" s="186"/>
      <c r="BO95" s="187">
        <v>0.95</v>
      </c>
      <c r="BP95" s="178">
        <v>1</v>
      </c>
      <c r="BQ95" s="186">
        <v>2.5000000000000001E-3</v>
      </c>
    </row>
    <row r="96" spans="1:69" s="156" customFormat="1" ht="22.35" customHeight="1" x14ac:dyDescent="0.2">
      <c r="A96" s="165" t="s">
        <v>139</v>
      </c>
      <c r="B96" s="165" t="s">
        <v>140</v>
      </c>
      <c r="C96" s="165" t="s">
        <v>153</v>
      </c>
      <c r="D96" s="166">
        <v>3.3075077187777802</v>
      </c>
      <c r="E96" s="167"/>
      <c r="F96" s="168">
        <v>5.0999999999999997E-2</v>
      </c>
      <c r="G96" s="168">
        <v>4.5999999999999999E-2</v>
      </c>
      <c r="H96" s="169"/>
      <c r="I96" s="170">
        <v>5</v>
      </c>
      <c r="J96" s="170">
        <v>5</v>
      </c>
      <c r="K96" s="167"/>
      <c r="L96" s="171">
        <v>1923.9039399999999</v>
      </c>
      <c r="M96" s="171">
        <v>1108.07259</v>
      </c>
      <c r="N96" s="171">
        <v>3031.9765299999999</v>
      </c>
      <c r="O96" s="166">
        <v>916.69522425798095</v>
      </c>
      <c r="P96" s="172">
        <v>248.167</v>
      </c>
      <c r="Q96" s="178">
        <v>3.6938643101539701</v>
      </c>
      <c r="R96" s="179">
        <v>2066.6989507779899</v>
      </c>
      <c r="S96" s="168">
        <v>0.01</v>
      </c>
      <c r="T96" s="168">
        <v>0.01</v>
      </c>
      <c r="U96" s="175">
        <v>0</v>
      </c>
      <c r="V96" s="176">
        <v>0</v>
      </c>
      <c r="W96" s="167"/>
      <c r="X96" s="175">
        <v>2105.4034499999998</v>
      </c>
      <c r="Y96" s="166">
        <v>636.55284552986905</v>
      </c>
      <c r="Z96" s="177">
        <v>573</v>
      </c>
      <c r="AA96" s="182">
        <v>1.1109124703837201</v>
      </c>
      <c r="AB96" s="183">
        <v>-123.354011282969</v>
      </c>
      <c r="AC96" s="168">
        <v>1.2999999999999999E-2</v>
      </c>
      <c r="AD96" s="168">
        <v>1.0999999999999999E-2</v>
      </c>
      <c r="AE96" s="176">
        <v>0</v>
      </c>
      <c r="AF96" s="176">
        <v>169</v>
      </c>
      <c r="AG96" s="167"/>
      <c r="AH96" s="180">
        <v>219.75</v>
      </c>
      <c r="AI96" s="166">
        <v>66.439754245291397</v>
      </c>
      <c r="AJ96" s="181" t="s">
        <v>53</v>
      </c>
      <c r="AK96" s="182">
        <v>1.05459927373478</v>
      </c>
      <c r="AL96" s="183">
        <v>-25.296631868808198</v>
      </c>
      <c r="AM96" s="168">
        <v>8.0000000000000002E-3</v>
      </c>
      <c r="AN96" s="168">
        <v>5.0000000000000001E-3</v>
      </c>
      <c r="AO96" s="176">
        <v>0</v>
      </c>
      <c r="AP96" s="176">
        <v>31</v>
      </c>
      <c r="AQ96" s="167"/>
      <c r="AR96" s="180">
        <v>14.6</v>
      </c>
      <c r="AS96" s="166">
        <v>4.4141998269909202</v>
      </c>
      <c r="AT96" s="181" t="s">
        <v>54</v>
      </c>
      <c r="AU96" s="173">
        <v>0.27588748918693301</v>
      </c>
      <c r="AV96" s="174">
        <v>-47.634065236522702</v>
      </c>
      <c r="AW96" s="168"/>
      <c r="AX96" s="168"/>
      <c r="AY96" s="176">
        <v>39</v>
      </c>
      <c r="AZ96" s="176">
        <v>49</v>
      </c>
      <c r="BA96" s="167"/>
      <c r="BB96" s="184">
        <v>136.6</v>
      </c>
      <c r="BC96" s="180">
        <v>41.299979203216402</v>
      </c>
      <c r="BD96" s="181" t="s">
        <v>55</v>
      </c>
      <c r="BE96" s="178">
        <v>1.2906243501005099</v>
      </c>
      <c r="BF96" s="179">
        <v>12.131869526954601</v>
      </c>
      <c r="BG96" s="168">
        <v>0.02</v>
      </c>
      <c r="BH96" s="168">
        <v>0.02</v>
      </c>
      <c r="BI96" s="176">
        <v>0</v>
      </c>
      <c r="BJ96" s="176">
        <v>0</v>
      </c>
      <c r="BK96" s="169"/>
      <c r="BL96" s="185">
        <v>0.8</v>
      </c>
      <c r="BM96" s="188">
        <v>0.71</v>
      </c>
      <c r="BN96" s="186"/>
      <c r="BO96" s="187">
        <v>0.95</v>
      </c>
      <c r="BP96" s="178">
        <v>1</v>
      </c>
      <c r="BQ96" s="186">
        <v>2.5000000000000001E-3</v>
      </c>
    </row>
    <row r="97" spans="1:69" s="156" customFormat="1" ht="22.35" customHeight="1" x14ac:dyDescent="0.2">
      <c r="A97" s="165" t="s">
        <v>139</v>
      </c>
      <c r="B97" s="165" t="s">
        <v>140</v>
      </c>
      <c r="C97" s="165" t="s">
        <v>154</v>
      </c>
      <c r="D97" s="166">
        <v>3.0547893162222199</v>
      </c>
      <c r="E97" s="167"/>
      <c r="F97" s="168">
        <v>1.6E-2</v>
      </c>
      <c r="G97" s="168">
        <v>1.4E-2</v>
      </c>
      <c r="H97" s="169"/>
      <c r="I97" s="170">
        <v>3</v>
      </c>
      <c r="J97" s="170">
        <v>3</v>
      </c>
      <c r="K97" s="167"/>
      <c r="L97" s="171">
        <v>1526.53475</v>
      </c>
      <c r="M97" s="171">
        <v>1372.72128</v>
      </c>
      <c r="N97" s="171">
        <v>2899.25603</v>
      </c>
      <c r="O97" s="166">
        <v>949.08542942838199</v>
      </c>
      <c r="P97" s="172">
        <v>285.53899999999999</v>
      </c>
      <c r="Q97" s="178">
        <v>3.3238381777213699</v>
      </c>
      <c r="R97" s="179">
        <v>1873.4765217998199</v>
      </c>
      <c r="S97" s="168">
        <v>0.01</v>
      </c>
      <c r="T97" s="168">
        <v>0.01</v>
      </c>
      <c r="U97" s="175">
        <v>0</v>
      </c>
      <c r="V97" s="176">
        <v>0</v>
      </c>
      <c r="W97" s="167"/>
      <c r="X97" s="175">
        <v>1100.48451</v>
      </c>
      <c r="Y97" s="166">
        <v>360.24890625221298</v>
      </c>
      <c r="Z97" s="177">
        <v>573</v>
      </c>
      <c r="AA97" s="173">
        <v>0.62870664267401899</v>
      </c>
      <c r="AB97" s="174">
        <v>-957.97916115771</v>
      </c>
      <c r="AC97" s="168"/>
      <c r="AD97" s="168"/>
      <c r="AE97" s="176">
        <v>650</v>
      </c>
      <c r="AF97" s="176">
        <v>1000</v>
      </c>
      <c r="AG97" s="167"/>
      <c r="AH97" s="180">
        <v>143.5</v>
      </c>
      <c r="AI97" s="166">
        <v>46.975416352922998</v>
      </c>
      <c r="AJ97" s="181" t="s">
        <v>53</v>
      </c>
      <c r="AK97" s="173">
        <v>0.74564152941147699</v>
      </c>
      <c r="AL97" s="174">
        <v>-82.823230860271806</v>
      </c>
      <c r="AM97" s="168"/>
      <c r="AN97" s="168"/>
      <c r="AO97" s="176">
        <v>49</v>
      </c>
      <c r="AP97" s="176">
        <v>88</v>
      </c>
      <c r="AQ97" s="167"/>
      <c r="AR97" s="180">
        <v>17.399999999999999</v>
      </c>
      <c r="AS97" s="166">
        <v>5.69597382955304</v>
      </c>
      <c r="AT97" s="181" t="s">
        <v>54</v>
      </c>
      <c r="AU97" s="173">
        <v>0.355998364347065</v>
      </c>
      <c r="AV97" s="174">
        <v>-40.078915774037299</v>
      </c>
      <c r="AW97" s="168"/>
      <c r="AX97" s="168"/>
      <c r="AY97" s="176">
        <v>32</v>
      </c>
      <c r="AZ97" s="176">
        <v>42</v>
      </c>
      <c r="BA97" s="167"/>
      <c r="BB97" s="184">
        <v>101.6</v>
      </c>
      <c r="BC97" s="180">
        <v>33.259249487505102</v>
      </c>
      <c r="BD97" s="181" t="s">
        <v>55</v>
      </c>
      <c r="BE97" s="182">
        <v>1.03935154648453</v>
      </c>
      <c r="BF97" s="183">
        <v>-13.3578315480746</v>
      </c>
      <c r="BG97" s="168">
        <v>6.0000000000000001E-3</v>
      </c>
      <c r="BH97" s="168">
        <v>4.0000000000000001E-3</v>
      </c>
      <c r="BI97" s="176">
        <v>0</v>
      </c>
      <c r="BJ97" s="176">
        <v>16</v>
      </c>
      <c r="BK97" s="169"/>
      <c r="BL97" s="185">
        <v>0.8</v>
      </c>
      <c r="BM97" s="188">
        <v>0.78</v>
      </c>
      <c r="BN97" s="186"/>
      <c r="BO97" s="187">
        <v>0.95</v>
      </c>
      <c r="BP97" s="178">
        <v>1</v>
      </c>
      <c r="BQ97" s="186">
        <v>2.5000000000000001E-3</v>
      </c>
    </row>
    <row r="98" spans="1:69" s="156" customFormat="1" ht="22.35" customHeight="1" x14ac:dyDescent="0.2">
      <c r="A98" s="165" t="s">
        <v>139</v>
      </c>
      <c r="B98" s="165" t="s">
        <v>140</v>
      </c>
      <c r="C98" s="165" t="s">
        <v>155</v>
      </c>
      <c r="D98" s="166">
        <v>2.7451908808888899</v>
      </c>
      <c r="E98" s="167"/>
      <c r="F98" s="168">
        <v>2.6499999999999999E-2</v>
      </c>
      <c r="G98" s="168">
        <v>2.5000000000000001E-2</v>
      </c>
      <c r="H98" s="169"/>
      <c r="I98" s="170">
        <v>3</v>
      </c>
      <c r="J98" s="170">
        <v>3</v>
      </c>
      <c r="K98" s="167"/>
      <c r="L98" s="171">
        <v>479.52219000000002</v>
      </c>
      <c r="M98" s="171">
        <v>391.96629000000001</v>
      </c>
      <c r="N98" s="171">
        <v>871.48847999999998</v>
      </c>
      <c r="O98" s="166">
        <v>317.460066644915</v>
      </c>
      <c r="P98" s="172">
        <v>287.5</v>
      </c>
      <c r="Q98" s="182">
        <v>1.10420892746057</v>
      </c>
      <c r="R98" s="183">
        <v>-56.660556828533899</v>
      </c>
      <c r="S98" s="168">
        <v>6.4999999999999997E-3</v>
      </c>
      <c r="T98" s="168">
        <v>5.0000000000000001E-3</v>
      </c>
      <c r="U98" s="175">
        <v>0</v>
      </c>
      <c r="V98" s="176">
        <v>76</v>
      </c>
      <c r="W98" s="167"/>
      <c r="X98" s="175">
        <v>728.67929000000004</v>
      </c>
      <c r="Y98" s="166">
        <v>265.43847827589099</v>
      </c>
      <c r="Z98" s="177">
        <v>573</v>
      </c>
      <c r="AA98" s="173">
        <v>0.46324341758445198</v>
      </c>
      <c r="AB98" s="174">
        <v>-1121.1620947052199</v>
      </c>
      <c r="AC98" s="168"/>
      <c r="AD98" s="168"/>
      <c r="AE98" s="176">
        <v>845</v>
      </c>
      <c r="AF98" s="176">
        <v>1159</v>
      </c>
      <c r="AG98" s="167"/>
      <c r="AH98" s="180">
        <v>166.9</v>
      </c>
      <c r="AI98" s="166">
        <v>60.797229497556103</v>
      </c>
      <c r="AJ98" s="181" t="s">
        <v>53</v>
      </c>
      <c r="AK98" s="188">
        <v>0.96503538885009699</v>
      </c>
      <c r="AL98" s="171">
        <v>-36.485701983296103</v>
      </c>
      <c r="AM98" s="168"/>
      <c r="AN98" s="168"/>
      <c r="AO98" s="176">
        <v>7</v>
      </c>
      <c r="AP98" s="176">
        <v>41</v>
      </c>
      <c r="AQ98" s="167"/>
      <c r="AR98" s="180">
        <v>23.6</v>
      </c>
      <c r="AS98" s="166">
        <v>8.5968521039084695</v>
      </c>
      <c r="AT98" s="181" t="s">
        <v>54</v>
      </c>
      <c r="AU98" s="173">
        <v>0.53730325649427901</v>
      </c>
      <c r="AV98" s="174">
        <v>-28.053511614805402</v>
      </c>
      <c r="AW98" s="168"/>
      <c r="AX98" s="168"/>
      <c r="AY98" s="176">
        <v>21</v>
      </c>
      <c r="AZ98" s="176">
        <v>30</v>
      </c>
      <c r="BA98" s="167"/>
      <c r="BB98" s="184">
        <v>108.4</v>
      </c>
      <c r="BC98" s="180">
        <v>39.487235934901598</v>
      </c>
      <c r="BD98" s="181" t="s">
        <v>55</v>
      </c>
      <c r="BE98" s="178">
        <v>1.23397612296568</v>
      </c>
      <c r="BF98" s="179">
        <v>5.0929767703892797</v>
      </c>
      <c r="BG98" s="168">
        <v>0.02</v>
      </c>
      <c r="BH98" s="168">
        <v>0.02</v>
      </c>
      <c r="BI98" s="176">
        <v>0</v>
      </c>
      <c r="BJ98" s="176">
        <v>0</v>
      </c>
      <c r="BK98" s="169"/>
      <c r="BL98" s="185">
        <v>0.8</v>
      </c>
      <c r="BM98" s="188">
        <v>0.7</v>
      </c>
      <c r="BN98" s="186"/>
      <c r="BO98" s="187">
        <v>0.95</v>
      </c>
      <c r="BP98" s="178">
        <v>1</v>
      </c>
      <c r="BQ98" s="186">
        <v>2.5000000000000001E-3</v>
      </c>
    </row>
    <row r="99" spans="1:69" s="156" customFormat="1" ht="22.35" customHeight="1" x14ac:dyDescent="0.2">
      <c r="A99" s="165" t="s">
        <v>139</v>
      </c>
      <c r="B99" s="165" t="s">
        <v>140</v>
      </c>
      <c r="C99" s="165" t="s">
        <v>156</v>
      </c>
      <c r="D99" s="166">
        <v>3.756503602</v>
      </c>
      <c r="E99" s="167"/>
      <c r="F99" s="168">
        <v>3.9E-2</v>
      </c>
      <c r="G99" s="168">
        <v>3.6999999999999998E-2</v>
      </c>
      <c r="H99" s="169"/>
      <c r="I99" s="170">
        <v>4</v>
      </c>
      <c r="J99" s="170">
        <v>4</v>
      </c>
      <c r="K99" s="167"/>
      <c r="L99" s="171">
        <v>2429.1472800000001</v>
      </c>
      <c r="M99" s="171">
        <v>-81.278499999999994</v>
      </c>
      <c r="N99" s="171">
        <v>2347.8687799999998</v>
      </c>
      <c r="O99" s="166">
        <v>625.01438272279904</v>
      </c>
      <c r="P99" s="172">
        <v>261.89100000000002</v>
      </c>
      <c r="Q99" s="178">
        <v>2.3865439542511901</v>
      </c>
      <c r="R99" s="179">
        <v>1190.9264658382899</v>
      </c>
      <c r="S99" s="168">
        <v>0.01</v>
      </c>
      <c r="T99" s="168">
        <v>0.01</v>
      </c>
      <c r="U99" s="175">
        <v>0</v>
      </c>
      <c r="V99" s="176">
        <v>0</v>
      </c>
      <c r="W99" s="167"/>
      <c r="X99" s="175">
        <v>2300.223035</v>
      </c>
      <c r="Y99" s="166">
        <v>612.330847699797</v>
      </c>
      <c r="Z99" s="177">
        <v>573</v>
      </c>
      <c r="AA99" s="182">
        <v>1.06864022286177</v>
      </c>
      <c r="AB99" s="183">
        <v>-231.08940420049601</v>
      </c>
      <c r="AC99" s="168">
        <v>8.9999999999999993E-3</v>
      </c>
      <c r="AD99" s="168">
        <v>7.0000000000000001E-3</v>
      </c>
      <c r="AE99" s="176">
        <v>0</v>
      </c>
      <c r="AF99" s="176">
        <v>283</v>
      </c>
      <c r="AG99" s="167"/>
      <c r="AH99" s="180">
        <v>223.55</v>
      </c>
      <c r="AI99" s="166">
        <v>59.510125288041699</v>
      </c>
      <c r="AJ99" s="181" t="s">
        <v>53</v>
      </c>
      <c r="AK99" s="188">
        <v>0.94460516330224897</v>
      </c>
      <c r="AL99" s="171">
        <v>-54.761838864975999</v>
      </c>
      <c r="AM99" s="168"/>
      <c r="AN99" s="168"/>
      <c r="AO99" s="176">
        <v>14</v>
      </c>
      <c r="AP99" s="176">
        <v>61</v>
      </c>
      <c r="AQ99" s="167"/>
      <c r="AR99" s="180">
        <v>25</v>
      </c>
      <c r="AS99" s="166">
        <v>6.65512472467476</v>
      </c>
      <c r="AT99" s="181" t="s">
        <v>54</v>
      </c>
      <c r="AU99" s="173">
        <v>0.415945295292173</v>
      </c>
      <c r="AV99" s="174">
        <v>-45.682371775231999</v>
      </c>
      <c r="AW99" s="168"/>
      <c r="AX99" s="168"/>
      <c r="AY99" s="176">
        <v>36</v>
      </c>
      <c r="AZ99" s="176">
        <v>48</v>
      </c>
      <c r="BA99" s="167"/>
      <c r="BB99" s="184">
        <v>159</v>
      </c>
      <c r="BC99" s="180">
        <v>42.326593248931502</v>
      </c>
      <c r="BD99" s="181" t="s">
        <v>55</v>
      </c>
      <c r="BE99" s="178">
        <v>1.3227060390291101</v>
      </c>
      <c r="BF99" s="179">
        <v>17.635256449536001</v>
      </c>
      <c r="BG99" s="168">
        <v>0.02</v>
      </c>
      <c r="BH99" s="168">
        <v>0.02</v>
      </c>
      <c r="BI99" s="176">
        <v>0</v>
      </c>
      <c r="BJ99" s="176">
        <v>0</v>
      </c>
      <c r="BK99" s="169"/>
      <c r="BL99" s="185">
        <v>0.8</v>
      </c>
      <c r="BM99" s="188">
        <v>0.7</v>
      </c>
      <c r="BN99" s="186"/>
      <c r="BO99" s="187">
        <v>0.95</v>
      </c>
      <c r="BP99" s="178">
        <v>1</v>
      </c>
      <c r="BQ99" s="186">
        <v>2.5000000000000001E-3</v>
      </c>
    </row>
    <row r="100" spans="1:69" s="156" customFormat="1" ht="22.35" customHeight="1" x14ac:dyDescent="0.2">
      <c r="A100" s="165" t="s">
        <v>139</v>
      </c>
      <c r="B100" s="165" t="s">
        <v>140</v>
      </c>
      <c r="C100" s="165" t="s">
        <v>157</v>
      </c>
      <c r="D100" s="166">
        <v>2.8448773448888902</v>
      </c>
      <c r="E100" s="167"/>
      <c r="F100" s="168">
        <v>0.01</v>
      </c>
      <c r="G100" s="168">
        <v>0.01</v>
      </c>
      <c r="H100" s="169"/>
      <c r="I100" s="170">
        <v>2</v>
      </c>
      <c r="J100" s="170">
        <v>2</v>
      </c>
      <c r="K100" s="167"/>
      <c r="L100" s="171">
        <v>1193.30927</v>
      </c>
      <c r="M100" s="171">
        <v>-201.24996999999999</v>
      </c>
      <c r="N100" s="171">
        <v>992.05930000000001</v>
      </c>
      <c r="O100" s="166">
        <v>348.71777575308698</v>
      </c>
      <c r="P100" s="172">
        <v>228.56200000000001</v>
      </c>
      <c r="Q100" s="178">
        <v>1.5257032041769301</v>
      </c>
      <c r="R100" s="179">
        <v>227.38781369386601</v>
      </c>
      <c r="S100" s="168">
        <v>0.01</v>
      </c>
      <c r="T100" s="168">
        <v>0.01</v>
      </c>
      <c r="U100" s="175">
        <v>0</v>
      </c>
      <c r="V100" s="176">
        <v>0</v>
      </c>
      <c r="W100" s="167"/>
      <c r="X100" s="175">
        <v>991.26073499999995</v>
      </c>
      <c r="Y100" s="166">
        <v>348.43707296587002</v>
      </c>
      <c r="Z100" s="177">
        <v>573</v>
      </c>
      <c r="AA100" s="173">
        <v>0.608092622977085</v>
      </c>
      <c r="AB100" s="174">
        <v>-925.75417409868896</v>
      </c>
      <c r="AC100" s="168"/>
      <c r="AD100" s="168"/>
      <c r="AE100" s="176">
        <v>639</v>
      </c>
      <c r="AF100" s="176">
        <v>965</v>
      </c>
      <c r="AG100" s="167"/>
      <c r="AH100" s="180">
        <v>105</v>
      </c>
      <c r="AI100" s="166">
        <v>36.908445346033297</v>
      </c>
      <c r="AJ100" s="181" t="s">
        <v>53</v>
      </c>
      <c r="AK100" s="173">
        <v>0.58584833882592602</v>
      </c>
      <c r="AL100" s="174">
        <v>-105.771272728128</v>
      </c>
      <c r="AM100" s="168"/>
      <c r="AN100" s="168"/>
      <c r="AO100" s="176">
        <v>75</v>
      </c>
      <c r="AP100" s="176">
        <v>111</v>
      </c>
      <c r="AQ100" s="167"/>
      <c r="AR100" s="180">
        <v>1</v>
      </c>
      <c r="AS100" s="166">
        <v>0.35150900329555601</v>
      </c>
      <c r="AT100" s="181" t="s">
        <v>54</v>
      </c>
      <c r="AU100" s="173">
        <v>2.1969312705972199E-2</v>
      </c>
      <c r="AV100" s="174">
        <v>-52.529212121429403</v>
      </c>
      <c r="AW100" s="168"/>
      <c r="AX100" s="168"/>
      <c r="AY100" s="176">
        <v>45</v>
      </c>
      <c r="AZ100" s="176">
        <v>54</v>
      </c>
      <c r="BA100" s="167"/>
      <c r="BB100" s="184">
        <v>50.4</v>
      </c>
      <c r="BC100" s="180">
        <v>17.716053766096</v>
      </c>
      <c r="BD100" s="181" t="s">
        <v>55</v>
      </c>
      <c r="BE100" s="173">
        <v>0.55362668019049999</v>
      </c>
      <c r="BF100" s="174">
        <v>-56.6584242428587</v>
      </c>
      <c r="BG100" s="168"/>
      <c r="BH100" s="168"/>
      <c r="BI100" s="176">
        <v>41</v>
      </c>
      <c r="BJ100" s="176">
        <v>59</v>
      </c>
      <c r="BK100" s="169"/>
      <c r="BL100" s="185">
        <v>0.8</v>
      </c>
      <c r="BM100" s="188">
        <v>0.75</v>
      </c>
      <c r="BN100" s="186"/>
      <c r="BO100" s="187">
        <v>0.95</v>
      </c>
      <c r="BP100" s="178">
        <v>1</v>
      </c>
      <c r="BQ100" s="186">
        <v>2.5000000000000001E-3</v>
      </c>
    </row>
    <row r="101" spans="1:69" s="156" customFormat="1" ht="22.35" customHeight="1" x14ac:dyDescent="0.2">
      <c r="A101" s="165" t="s">
        <v>139</v>
      </c>
      <c r="B101" s="165" t="s">
        <v>140</v>
      </c>
      <c r="C101" s="165" t="s">
        <v>158</v>
      </c>
      <c r="D101" s="166">
        <v>2.4566604814444402</v>
      </c>
      <c r="E101" s="167"/>
      <c r="F101" s="168">
        <v>0.01</v>
      </c>
      <c r="G101" s="168">
        <v>0.01</v>
      </c>
      <c r="H101" s="169"/>
      <c r="I101" s="170">
        <v>2</v>
      </c>
      <c r="J101" s="170">
        <v>2</v>
      </c>
      <c r="K101" s="167"/>
      <c r="L101" s="171">
        <v>806.66012000000001</v>
      </c>
      <c r="M101" s="171">
        <v>320.62792999999999</v>
      </c>
      <c r="N101" s="171">
        <v>1127.2880500000001</v>
      </c>
      <c r="O101" s="166">
        <v>458.87010375043297</v>
      </c>
      <c r="P101" s="172">
        <v>287.5</v>
      </c>
      <c r="Q101" s="178">
        <v>1.5960699260884601</v>
      </c>
      <c r="R101" s="179">
        <v>296.69114122363499</v>
      </c>
      <c r="S101" s="168">
        <v>0.01</v>
      </c>
      <c r="T101" s="168">
        <v>0.01</v>
      </c>
      <c r="U101" s="175">
        <v>0</v>
      </c>
      <c r="V101" s="176">
        <v>0</v>
      </c>
      <c r="W101" s="167"/>
      <c r="X101" s="175">
        <v>743.36573499999997</v>
      </c>
      <c r="Y101" s="166">
        <v>302.591970121538</v>
      </c>
      <c r="Z101" s="177">
        <v>573</v>
      </c>
      <c r="AA101" s="173">
        <v>0.52808371748959504</v>
      </c>
      <c r="AB101" s="174">
        <v>-912.050017100373</v>
      </c>
      <c r="AC101" s="168"/>
      <c r="AD101" s="168"/>
      <c r="AE101" s="176">
        <v>665</v>
      </c>
      <c r="AF101" s="176">
        <v>946</v>
      </c>
      <c r="AG101" s="167"/>
      <c r="AH101" s="180">
        <v>88.8</v>
      </c>
      <c r="AI101" s="166">
        <v>36.146631034577602</v>
      </c>
      <c r="AJ101" s="181" t="s">
        <v>53</v>
      </c>
      <c r="AK101" s="173">
        <v>0.57375604816789805</v>
      </c>
      <c r="AL101" s="174">
        <v>-93.209061749255596</v>
      </c>
      <c r="AM101" s="168"/>
      <c r="AN101" s="168"/>
      <c r="AO101" s="176">
        <v>66</v>
      </c>
      <c r="AP101" s="176">
        <v>97</v>
      </c>
      <c r="AQ101" s="167"/>
      <c r="AR101" s="180">
        <v>1.5</v>
      </c>
      <c r="AS101" s="166">
        <v>0.61058498369218805</v>
      </c>
      <c r="AT101" s="181" t="s">
        <v>54</v>
      </c>
      <c r="AU101" s="173">
        <v>3.8161561480761802E-2</v>
      </c>
      <c r="AV101" s="174">
        <v>-44.724523618858598</v>
      </c>
      <c r="AW101" s="168"/>
      <c r="AX101" s="168"/>
      <c r="AY101" s="176">
        <v>38</v>
      </c>
      <c r="AZ101" s="176">
        <v>46</v>
      </c>
      <c r="BA101" s="167"/>
      <c r="BB101" s="184">
        <v>72.400000000000006</v>
      </c>
      <c r="BC101" s="180">
        <v>29.470901879543</v>
      </c>
      <c r="BD101" s="181" t="s">
        <v>55</v>
      </c>
      <c r="BE101" s="188">
        <v>0.92096568373571697</v>
      </c>
      <c r="BF101" s="171">
        <v>-20.049047237717101</v>
      </c>
      <c r="BG101" s="168"/>
      <c r="BH101" s="168"/>
      <c r="BI101" s="176">
        <v>7</v>
      </c>
      <c r="BJ101" s="176">
        <v>22</v>
      </c>
      <c r="BK101" s="169"/>
      <c r="BL101" s="185">
        <v>0.8</v>
      </c>
      <c r="BM101" s="188">
        <v>0.77</v>
      </c>
      <c r="BN101" s="186"/>
      <c r="BO101" s="187">
        <v>0.95</v>
      </c>
      <c r="BP101" s="178">
        <v>1</v>
      </c>
      <c r="BQ101" s="186">
        <v>2.5000000000000001E-3</v>
      </c>
    </row>
    <row r="102" spans="1:69" s="156" customFormat="1" ht="22.35" customHeight="1" x14ac:dyDescent="0.2">
      <c r="A102" s="165" t="s">
        <v>139</v>
      </c>
      <c r="B102" s="165" t="s">
        <v>159</v>
      </c>
      <c r="C102" s="165" t="s">
        <v>160</v>
      </c>
      <c r="D102" s="166">
        <v>3.9968760643333301</v>
      </c>
      <c r="E102" s="167"/>
      <c r="F102" s="168">
        <v>0.01</v>
      </c>
      <c r="G102" s="168">
        <v>0.01</v>
      </c>
      <c r="H102" s="169"/>
      <c r="I102" s="170">
        <v>2</v>
      </c>
      <c r="J102" s="170">
        <v>2</v>
      </c>
      <c r="K102" s="167"/>
      <c r="L102" s="171">
        <v>3825.2139900000002</v>
      </c>
      <c r="M102" s="171">
        <v>-502.98129</v>
      </c>
      <c r="N102" s="171">
        <v>3322.2327</v>
      </c>
      <c r="O102" s="166">
        <v>831.20733455970606</v>
      </c>
      <c r="P102" s="172">
        <v>274.60399999999998</v>
      </c>
      <c r="Q102" s="178">
        <v>3.0269309061765499</v>
      </c>
      <c r="R102" s="179">
        <v>2031.50430999026</v>
      </c>
      <c r="S102" s="168">
        <v>0.01</v>
      </c>
      <c r="T102" s="168">
        <v>0.01</v>
      </c>
      <c r="U102" s="175">
        <v>0</v>
      </c>
      <c r="V102" s="176">
        <v>0</v>
      </c>
      <c r="W102" s="167"/>
      <c r="X102" s="175">
        <v>1712.2072450000001</v>
      </c>
      <c r="Y102" s="166">
        <v>428.38637411830598</v>
      </c>
      <c r="Z102" s="177">
        <v>573</v>
      </c>
      <c r="AA102" s="173">
        <v>0.74762019915934597</v>
      </c>
      <c r="AB102" s="174">
        <v>-981.07969719888604</v>
      </c>
      <c r="AC102" s="168"/>
      <c r="AD102" s="168"/>
      <c r="AE102" s="176">
        <v>579</v>
      </c>
      <c r="AF102" s="176">
        <v>1037</v>
      </c>
      <c r="AG102" s="167"/>
      <c r="AH102" s="180">
        <v>132</v>
      </c>
      <c r="AI102" s="166">
        <v>33.0257926128658</v>
      </c>
      <c r="AJ102" s="181" t="s">
        <v>53</v>
      </c>
      <c r="AK102" s="173">
        <v>0.52421893036294898</v>
      </c>
      <c r="AL102" s="174">
        <v>-164.12055385432799</v>
      </c>
      <c r="AM102" s="168"/>
      <c r="AN102" s="168"/>
      <c r="AO102" s="176">
        <v>120</v>
      </c>
      <c r="AP102" s="176">
        <v>171</v>
      </c>
      <c r="AQ102" s="167"/>
      <c r="AR102" s="180">
        <v>8</v>
      </c>
      <c r="AS102" s="166">
        <v>2.0015631886585301</v>
      </c>
      <c r="AT102" s="181" t="s">
        <v>54</v>
      </c>
      <c r="AU102" s="173">
        <v>0.12509769929115799</v>
      </c>
      <c r="AV102" s="174">
        <v>-67.205220026495894</v>
      </c>
      <c r="AW102" s="168"/>
      <c r="AX102" s="168"/>
      <c r="AY102" s="176">
        <v>56</v>
      </c>
      <c r="AZ102" s="176">
        <v>69</v>
      </c>
      <c r="BA102" s="167"/>
      <c r="BB102" s="184">
        <v>101.2</v>
      </c>
      <c r="BC102" s="180">
        <v>25.3197743365305</v>
      </c>
      <c r="BD102" s="181" t="s">
        <v>55</v>
      </c>
      <c r="BE102" s="188">
        <v>0.79124294801657702</v>
      </c>
      <c r="BF102" s="171">
        <v>-49.210440052991899</v>
      </c>
      <c r="BG102" s="168"/>
      <c r="BH102" s="168"/>
      <c r="BI102" s="176">
        <v>27</v>
      </c>
      <c r="BJ102" s="176">
        <v>53</v>
      </c>
      <c r="BK102" s="169"/>
      <c r="BL102" s="185">
        <v>0.8</v>
      </c>
      <c r="BM102" s="188">
        <v>0.71</v>
      </c>
      <c r="BN102" s="186"/>
      <c r="BO102" s="187">
        <v>0.95</v>
      </c>
      <c r="BP102" s="178">
        <v>1</v>
      </c>
      <c r="BQ102" s="186">
        <v>2.5000000000000001E-3</v>
      </c>
    </row>
    <row r="103" spans="1:69" s="156" customFormat="1" ht="22.35" customHeight="1" x14ac:dyDescent="0.2">
      <c r="A103" s="165" t="s">
        <v>139</v>
      </c>
      <c r="B103" s="165" t="s">
        <v>159</v>
      </c>
      <c r="C103" s="165" t="s">
        <v>161</v>
      </c>
      <c r="D103" s="166">
        <v>3.1170158208888901</v>
      </c>
      <c r="E103" s="167"/>
      <c r="F103" s="168">
        <v>0.02</v>
      </c>
      <c r="G103" s="168">
        <v>1.7999999999999999E-2</v>
      </c>
      <c r="H103" s="169"/>
      <c r="I103" s="170">
        <v>3</v>
      </c>
      <c r="J103" s="170">
        <v>3</v>
      </c>
      <c r="K103" s="167"/>
      <c r="L103" s="171">
        <v>3081.0904700000001</v>
      </c>
      <c r="M103" s="171">
        <v>1776.3575599999999</v>
      </c>
      <c r="N103" s="171">
        <v>4857.4480299999996</v>
      </c>
      <c r="O103" s="166">
        <v>1558.36489421949</v>
      </c>
      <c r="P103" s="172">
        <v>254.25200000000001</v>
      </c>
      <c r="Q103" s="178">
        <v>6.1292139067519198</v>
      </c>
      <c r="R103" s="179">
        <v>3925.4592023646501</v>
      </c>
      <c r="S103" s="168">
        <v>0.01</v>
      </c>
      <c r="T103" s="168">
        <v>0.01</v>
      </c>
      <c r="U103" s="175">
        <v>0</v>
      </c>
      <c r="V103" s="176">
        <v>0</v>
      </c>
      <c r="W103" s="167"/>
      <c r="X103" s="175">
        <v>1452.343975</v>
      </c>
      <c r="Y103" s="166">
        <v>465.94052082348099</v>
      </c>
      <c r="Z103" s="177">
        <v>573</v>
      </c>
      <c r="AA103" s="188">
        <v>0.81315972220502897</v>
      </c>
      <c r="AB103" s="171">
        <v>-648.050901874337</v>
      </c>
      <c r="AC103" s="168"/>
      <c r="AD103" s="168"/>
      <c r="AE103" s="176">
        <v>334</v>
      </c>
      <c r="AF103" s="176">
        <v>691</v>
      </c>
      <c r="AG103" s="167"/>
      <c r="AH103" s="180">
        <v>99.3</v>
      </c>
      <c r="AI103" s="166">
        <v>31.8573936437969</v>
      </c>
      <c r="AJ103" s="181" t="s">
        <v>53</v>
      </c>
      <c r="AK103" s="173">
        <v>0.50567291498090305</v>
      </c>
      <c r="AL103" s="174">
        <v>-131.63346813801601</v>
      </c>
      <c r="AM103" s="168"/>
      <c r="AN103" s="168"/>
      <c r="AO103" s="176">
        <v>98</v>
      </c>
      <c r="AP103" s="176">
        <v>137</v>
      </c>
      <c r="AQ103" s="167"/>
      <c r="AR103" s="180">
        <v>32.4</v>
      </c>
      <c r="AS103" s="166">
        <v>10.394557442689001</v>
      </c>
      <c r="AT103" s="181" t="s">
        <v>54</v>
      </c>
      <c r="AU103" s="173">
        <v>0.649659840168063</v>
      </c>
      <c r="AV103" s="174">
        <v>-26.249769685845301</v>
      </c>
      <c r="AW103" s="168"/>
      <c r="AX103" s="168"/>
      <c r="AY103" s="176">
        <v>18</v>
      </c>
      <c r="AZ103" s="176">
        <v>28</v>
      </c>
      <c r="BA103" s="167"/>
      <c r="BB103" s="184">
        <v>107.8</v>
      </c>
      <c r="BC103" s="180">
        <v>34.584360874131903</v>
      </c>
      <c r="BD103" s="181" t="s">
        <v>55</v>
      </c>
      <c r="BE103" s="182">
        <v>1.08076127731662</v>
      </c>
      <c r="BF103" s="183">
        <v>-9.4995393716907</v>
      </c>
      <c r="BG103" s="168">
        <v>0.01</v>
      </c>
      <c r="BH103" s="168">
        <v>8.0000000000000002E-3</v>
      </c>
      <c r="BI103" s="176">
        <v>0</v>
      </c>
      <c r="BJ103" s="176">
        <v>12</v>
      </c>
      <c r="BK103" s="169"/>
      <c r="BL103" s="185">
        <v>0.8</v>
      </c>
      <c r="BM103" s="188">
        <v>0.74</v>
      </c>
      <c r="BN103" s="186"/>
      <c r="BO103" s="187">
        <v>0.95</v>
      </c>
      <c r="BP103" s="178">
        <v>1</v>
      </c>
      <c r="BQ103" s="186">
        <v>2.5000000000000001E-3</v>
      </c>
    </row>
    <row r="104" spans="1:69" s="156" customFormat="1" ht="22.35" customHeight="1" x14ac:dyDescent="0.2">
      <c r="A104" s="165" t="s">
        <v>139</v>
      </c>
      <c r="B104" s="165" t="s">
        <v>159</v>
      </c>
      <c r="C104" s="165" t="s">
        <v>162</v>
      </c>
      <c r="D104" s="166">
        <v>3.5189073529999999</v>
      </c>
      <c r="E104" s="167"/>
      <c r="F104" s="168">
        <v>4.3999999999999997E-2</v>
      </c>
      <c r="G104" s="168">
        <v>3.7999999999999999E-2</v>
      </c>
      <c r="H104" s="169"/>
      <c r="I104" s="170">
        <v>4</v>
      </c>
      <c r="J104" s="170">
        <v>4</v>
      </c>
      <c r="K104" s="167"/>
      <c r="L104" s="171">
        <v>1401.4790599999999</v>
      </c>
      <c r="M104" s="171">
        <v>1413.21549</v>
      </c>
      <c r="N104" s="171">
        <v>2814.6945500000002</v>
      </c>
      <c r="O104" s="166">
        <v>799.87742433751998</v>
      </c>
      <c r="P104" s="172">
        <v>274.60399999999998</v>
      </c>
      <c r="Q104" s="178">
        <v>2.9128396685318498</v>
      </c>
      <c r="R104" s="179">
        <v>1678.3186531184599</v>
      </c>
      <c r="S104" s="168">
        <v>0.01</v>
      </c>
      <c r="T104" s="168">
        <v>0.01</v>
      </c>
      <c r="U104" s="175">
        <v>0</v>
      </c>
      <c r="V104" s="176">
        <v>0</v>
      </c>
      <c r="W104" s="167"/>
      <c r="X104" s="175">
        <v>2362.3563650000001</v>
      </c>
      <c r="Y104" s="166">
        <v>671.33235633100799</v>
      </c>
      <c r="Z104" s="177">
        <v>573</v>
      </c>
      <c r="AA104" s="178">
        <v>1.1716096969127501</v>
      </c>
      <c r="AB104" s="179">
        <v>-8.8523170043440604</v>
      </c>
      <c r="AC104" s="168">
        <v>0.02</v>
      </c>
      <c r="AD104" s="168">
        <v>1.7000000000000001E-2</v>
      </c>
      <c r="AE104" s="176">
        <v>0</v>
      </c>
      <c r="AF104" s="176">
        <v>58</v>
      </c>
      <c r="AG104" s="167"/>
      <c r="AH104" s="180">
        <v>209.5</v>
      </c>
      <c r="AI104" s="166">
        <v>59.535525941424197</v>
      </c>
      <c r="AJ104" s="181" t="s">
        <v>53</v>
      </c>
      <c r="AK104" s="188">
        <v>0.94500834827657498</v>
      </c>
      <c r="AL104" s="171">
        <v>-51.208807969063997</v>
      </c>
      <c r="AM104" s="168"/>
      <c r="AN104" s="168"/>
      <c r="AO104" s="176">
        <v>13</v>
      </c>
      <c r="AP104" s="176">
        <v>57</v>
      </c>
      <c r="AQ104" s="167"/>
      <c r="AR104" s="180">
        <v>25.5</v>
      </c>
      <c r="AS104" s="166">
        <v>7.2465675966888696</v>
      </c>
      <c r="AT104" s="181" t="s">
        <v>54</v>
      </c>
      <c r="AU104" s="173">
        <v>0.45291047479305402</v>
      </c>
      <c r="AV104" s="174">
        <v>-40.711760754048001</v>
      </c>
      <c r="AW104" s="168"/>
      <c r="AX104" s="168"/>
      <c r="AY104" s="176">
        <v>31</v>
      </c>
      <c r="AZ104" s="176">
        <v>43</v>
      </c>
      <c r="BA104" s="167"/>
      <c r="BB104" s="184">
        <v>125.4</v>
      </c>
      <c r="BC104" s="180">
        <v>35.636061828422903</v>
      </c>
      <c r="BD104" s="181" t="s">
        <v>55</v>
      </c>
      <c r="BE104" s="182">
        <v>1.1136269321382199</v>
      </c>
      <c r="BF104" s="183">
        <v>-7.0235215080959996</v>
      </c>
      <c r="BG104" s="168">
        <v>1.4E-2</v>
      </c>
      <c r="BH104" s="168">
        <v>1.0999999999999999E-2</v>
      </c>
      <c r="BI104" s="176">
        <v>0</v>
      </c>
      <c r="BJ104" s="176">
        <v>10</v>
      </c>
      <c r="BK104" s="169"/>
      <c r="BL104" s="185">
        <v>0.8</v>
      </c>
      <c r="BM104" s="173">
        <v>0.68</v>
      </c>
      <c r="BN104" s="186"/>
      <c r="BO104" s="187">
        <v>0.95</v>
      </c>
      <c r="BP104" s="178">
        <v>1</v>
      </c>
      <c r="BQ104" s="186">
        <v>2.5000000000000001E-3</v>
      </c>
    </row>
    <row r="105" spans="1:69" s="156" customFormat="1" ht="22.35" customHeight="1" x14ac:dyDescent="0.2">
      <c r="A105" s="165" t="s">
        <v>139</v>
      </c>
      <c r="B105" s="165" t="s">
        <v>159</v>
      </c>
      <c r="C105" s="165" t="s">
        <v>163</v>
      </c>
      <c r="D105" s="166">
        <v>3.27682426844444</v>
      </c>
      <c r="E105" s="167"/>
      <c r="F105" s="168">
        <v>2.7E-2</v>
      </c>
      <c r="G105" s="168">
        <v>2.1999999999999999E-2</v>
      </c>
      <c r="H105" s="169"/>
      <c r="I105" s="170">
        <v>4</v>
      </c>
      <c r="J105" s="170">
        <v>4</v>
      </c>
      <c r="K105" s="167"/>
      <c r="L105" s="171">
        <v>3432.7529199999999</v>
      </c>
      <c r="M105" s="171">
        <v>2408.1294899999998</v>
      </c>
      <c r="N105" s="171">
        <v>5840.8824100000002</v>
      </c>
      <c r="O105" s="166">
        <v>1782.48265134241</v>
      </c>
      <c r="P105" s="172">
        <v>246.58500000000001</v>
      </c>
      <c r="Q105" s="178">
        <v>7.2286742962565</v>
      </c>
      <c r="R105" s="179">
        <v>4890.65593241238</v>
      </c>
      <c r="S105" s="168">
        <v>0.01</v>
      </c>
      <c r="T105" s="168">
        <v>0.01</v>
      </c>
      <c r="U105" s="175">
        <v>0</v>
      </c>
      <c r="V105" s="176">
        <v>0</v>
      </c>
      <c r="W105" s="167"/>
      <c r="X105" s="175">
        <v>1924.21136</v>
      </c>
      <c r="Y105" s="166">
        <v>587.21835605589297</v>
      </c>
      <c r="Z105" s="177">
        <v>573</v>
      </c>
      <c r="AA105" s="182">
        <v>1.0248138849143</v>
      </c>
      <c r="AB105" s="183">
        <v>-283.87011964274899</v>
      </c>
      <c r="AC105" s="168">
        <v>5.0000000000000001E-3</v>
      </c>
      <c r="AD105" s="168">
        <v>2E-3</v>
      </c>
      <c r="AE105" s="176">
        <v>0</v>
      </c>
      <c r="AF105" s="176">
        <v>329</v>
      </c>
      <c r="AG105" s="167"/>
      <c r="AH105" s="180">
        <v>127.9</v>
      </c>
      <c r="AI105" s="166">
        <v>39.031693347631297</v>
      </c>
      <c r="AJ105" s="181" t="s">
        <v>53</v>
      </c>
      <c r="AK105" s="173">
        <v>0.61955068805764002</v>
      </c>
      <c r="AL105" s="174">
        <v>-114.87335640051199</v>
      </c>
      <c r="AM105" s="168"/>
      <c r="AN105" s="168"/>
      <c r="AO105" s="176">
        <v>79</v>
      </c>
      <c r="AP105" s="176">
        <v>120</v>
      </c>
      <c r="AQ105" s="167"/>
      <c r="AR105" s="180">
        <v>12.8</v>
      </c>
      <c r="AS105" s="166">
        <v>3.9062210699740501</v>
      </c>
      <c r="AT105" s="181" t="s">
        <v>54</v>
      </c>
      <c r="AU105" s="173">
        <v>0.24413881687337799</v>
      </c>
      <c r="AV105" s="174">
        <v>-48.856725435050599</v>
      </c>
      <c r="AW105" s="168"/>
      <c r="AX105" s="168"/>
      <c r="AY105" s="176">
        <v>40</v>
      </c>
      <c r="AZ105" s="176">
        <v>51</v>
      </c>
      <c r="BA105" s="167"/>
      <c r="BB105" s="184">
        <v>115</v>
      </c>
      <c r="BC105" s="180">
        <v>35.094954925548102</v>
      </c>
      <c r="BD105" s="181" t="s">
        <v>55</v>
      </c>
      <c r="BE105" s="182">
        <v>1.09671734142338</v>
      </c>
      <c r="BF105" s="183">
        <v>-8.3134508701011605</v>
      </c>
      <c r="BG105" s="168">
        <v>1.2E-2</v>
      </c>
      <c r="BH105" s="168">
        <v>0.01</v>
      </c>
      <c r="BI105" s="176">
        <v>0</v>
      </c>
      <c r="BJ105" s="176">
        <v>11</v>
      </c>
      <c r="BK105" s="169"/>
      <c r="BL105" s="185">
        <v>0.8</v>
      </c>
      <c r="BM105" s="188">
        <v>0.75</v>
      </c>
      <c r="BN105" s="186"/>
      <c r="BO105" s="187">
        <v>0.95</v>
      </c>
      <c r="BP105" s="178">
        <v>1</v>
      </c>
      <c r="BQ105" s="186">
        <v>2.5000000000000001E-3</v>
      </c>
    </row>
    <row r="106" spans="1:69" s="156" customFormat="1" ht="22.35" customHeight="1" x14ac:dyDescent="0.2">
      <c r="A106" s="165" t="s">
        <v>139</v>
      </c>
      <c r="B106" s="165" t="s">
        <v>159</v>
      </c>
      <c r="C106" s="165" t="s">
        <v>164</v>
      </c>
      <c r="D106" s="166">
        <v>2.5224867724444402</v>
      </c>
      <c r="E106" s="167"/>
      <c r="F106" s="168">
        <v>0.01</v>
      </c>
      <c r="G106" s="168">
        <v>0.01</v>
      </c>
      <c r="H106" s="169"/>
      <c r="I106" s="170">
        <v>2</v>
      </c>
      <c r="J106" s="170">
        <v>2</v>
      </c>
      <c r="K106" s="167"/>
      <c r="L106" s="171">
        <v>737.25931000000003</v>
      </c>
      <c r="M106" s="171">
        <v>394.98446000000001</v>
      </c>
      <c r="N106" s="171">
        <v>1132.24377</v>
      </c>
      <c r="O106" s="166">
        <v>448.86014165409699</v>
      </c>
      <c r="P106" s="172">
        <v>260.82400000000001</v>
      </c>
      <c r="Q106" s="178">
        <v>1.7209311323118199</v>
      </c>
      <c r="R106" s="179">
        <v>358.52386423520699</v>
      </c>
      <c r="S106" s="168">
        <v>0.01</v>
      </c>
      <c r="T106" s="168">
        <v>0.01</v>
      </c>
      <c r="U106" s="175">
        <v>0</v>
      </c>
      <c r="V106" s="176">
        <v>0</v>
      </c>
      <c r="W106" s="167"/>
      <c r="X106" s="175">
        <v>1279.41563</v>
      </c>
      <c r="Y106" s="166">
        <v>507.204098739502</v>
      </c>
      <c r="Z106" s="177">
        <v>573</v>
      </c>
      <c r="AA106" s="188">
        <v>0.88517294718935802</v>
      </c>
      <c r="AB106" s="171">
        <v>-420.35703663814002</v>
      </c>
      <c r="AC106" s="168"/>
      <c r="AD106" s="168"/>
      <c r="AE106" s="176">
        <v>166</v>
      </c>
      <c r="AF106" s="176">
        <v>456</v>
      </c>
      <c r="AG106" s="167"/>
      <c r="AH106" s="180">
        <v>111.7</v>
      </c>
      <c r="AI106" s="166">
        <v>44.281699004413703</v>
      </c>
      <c r="AJ106" s="181" t="s">
        <v>53</v>
      </c>
      <c r="AK106" s="173">
        <v>0.70288411118117</v>
      </c>
      <c r="AL106" s="174">
        <v>-75.1859999968636</v>
      </c>
      <c r="AM106" s="168"/>
      <c r="AN106" s="168"/>
      <c r="AO106" s="176">
        <v>48</v>
      </c>
      <c r="AP106" s="176">
        <v>79</v>
      </c>
      <c r="AQ106" s="167"/>
      <c r="AR106" s="180">
        <v>5</v>
      </c>
      <c r="AS106" s="166">
        <v>1.9821709491680299</v>
      </c>
      <c r="AT106" s="181" t="s">
        <v>54</v>
      </c>
      <c r="AU106" s="173">
        <v>0.123885684323002</v>
      </c>
      <c r="AV106" s="174">
        <v>-42.4631111103146</v>
      </c>
      <c r="AW106" s="168"/>
      <c r="AX106" s="168"/>
      <c r="AY106" s="176">
        <v>36</v>
      </c>
      <c r="AZ106" s="176">
        <v>44</v>
      </c>
      <c r="BA106" s="167"/>
      <c r="BB106" s="184">
        <v>39.6</v>
      </c>
      <c r="BC106" s="180">
        <v>15.6987939174108</v>
      </c>
      <c r="BD106" s="181" t="s">
        <v>55</v>
      </c>
      <c r="BE106" s="173">
        <v>0.490587309919087</v>
      </c>
      <c r="BF106" s="174">
        <v>-55.326222220629198</v>
      </c>
      <c r="BG106" s="168"/>
      <c r="BH106" s="168"/>
      <c r="BI106" s="176">
        <v>42</v>
      </c>
      <c r="BJ106" s="176">
        <v>58</v>
      </c>
      <c r="BK106" s="169"/>
      <c r="BL106" s="185">
        <v>0.8</v>
      </c>
      <c r="BM106" s="188">
        <v>0.77</v>
      </c>
      <c r="BN106" s="186"/>
      <c r="BO106" s="187">
        <v>0.95</v>
      </c>
      <c r="BP106" s="178">
        <v>1</v>
      </c>
      <c r="BQ106" s="186">
        <v>2.5000000000000001E-3</v>
      </c>
    </row>
    <row r="107" spans="1:69" s="156" customFormat="1" ht="22.35" customHeight="1" x14ac:dyDescent="0.2">
      <c r="A107" s="165" t="s">
        <v>139</v>
      </c>
      <c r="B107" s="165" t="s">
        <v>159</v>
      </c>
      <c r="C107" s="165" t="s">
        <v>165</v>
      </c>
      <c r="D107" s="166">
        <v>5.5385385716666704</v>
      </c>
      <c r="E107" s="167"/>
      <c r="F107" s="168">
        <v>2.7E-2</v>
      </c>
      <c r="G107" s="168">
        <v>2.4E-2</v>
      </c>
      <c r="H107" s="169"/>
      <c r="I107" s="170">
        <v>3</v>
      </c>
      <c r="J107" s="170">
        <v>3</v>
      </c>
      <c r="K107" s="167"/>
      <c r="L107" s="171">
        <v>4912.6676299999999</v>
      </c>
      <c r="M107" s="171">
        <v>-1993.1780699999999</v>
      </c>
      <c r="N107" s="171">
        <v>2919.48956</v>
      </c>
      <c r="O107" s="166">
        <v>527.12272781400202</v>
      </c>
      <c r="P107" s="172">
        <v>236.32499999999999</v>
      </c>
      <c r="Q107" s="178">
        <v>2.2304992185084198</v>
      </c>
      <c r="R107" s="179">
        <v>1380.22888953183</v>
      </c>
      <c r="S107" s="168">
        <v>0.01</v>
      </c>
      <c r="T107" s="168">
        <v>0.01</v>
      </c>
      <c r="U107" s="175">
        <v>0</v>
      </c>
      <c r="V107" s="176">
        <v>0</v>
      </c>
      <c r="W107" s="167"/>
      <c r="X107" s="175">
        <v>2229.0601200000001</v>
      </c>
      <c r="Y107" s="166">
        <v>402.46359055855203</v>
      </c>
      <c r="Z107" s="177">
        <v>573</v>
      </c>
      <c r="AA107" s="173">
        <v>0.70237973919468</v>
      </c>
      <c r="AB107" s="174">
        <v>-1503.07301944044</v>
      </c>
      <c r="AC107" s="168"/>
      <c r="AD107" s="168"/>
      <c r="AE107" s="176">
        <v>945</v>
      </c>
      <c r="AF107" s="176">
        <v>1580</v>
      </c>
      <c r="AG107" s="167"/>
      <c r="AH107" s="180">
        <v>201.1</v>
      </c>
      <c r="AI107" s="166">
        <v>36.309217205556898</v>
      </c>
      <c r="AJ107" s="181" t="s">
        <v>53</v>
      </c>
      <c r="AK107" s="173">
        <v>0.57633678104058605</v>
      </c>
      <c r="AL107" s="174">
        <v>-209.23924569764</v>
      </c>
      <c r="AM107" s="168"/>
      <c r="AN107" s="168"/>
      <c r="AO107" s="176">
        <v>148</v>
      </c>
      <c r="AP107" s="176">
        <v>218</v>
      </c>
      <c r="AQ107" s="167"/>
      <c r="AR107" s="180">
        <v>37.6</v>
      </c>
      <c r="AS107" s="166">
        <v>6.7887944650867196</v>
      </c>
      <c r="AT107" s="181" t="s">
        <v>54</v>
      </c>
      <c r="AU107" s="173">
        <v>0.42429965406791997</v>
      </c>
      <c r="AV107" s="174">
        <v>-66.613141764480005</v>
      </c>
      <c r="AW107" s="168"/>
      <c r="AX107" s="168"/>
      <c r="AY107" s="176">
        <v>52</v>
      </c>
      <c r="AZ107" s="176">
        <v>69</v>
      </c>
      <c r="BA107" s="167"/>
      <c r="BB107" s="184">
        <v>202.6</v>
      </c>
      <c r="BC107" s="180">
        <v>36.580046771983199</v>
      </c>
      <c r="BD107" s="181" t="s">
        <v>55</v>
      </c>
      <c r="BE107" s="182">
        <v>1.1431264616244801</v>
      </c>
      <c r="BF107" s="183">
        <v>-5.8262835289600901</v>
      </c>
      <c r="BG107" s="168">
        <v>1.7000000000000001E-2</v>
      </c>
      <c r="BH107" s="168">
        <v>1.4E-2</v>
      </c>
      <c r="BI107" s="176">
        <v>0</v>
      </c>
      <c r="BJ107" s="176">
        <v>11</v>
      </c>
      <c r="BK107" s="169"/>
      <c r="BL107" s="185">
        <v>0.8</v>
      </c>
      <c r="BM107" s="188">
        <v>0.71</v>
      </c>
      <c r="BN107" s="186"/>
      <c r="BO107" s="187">
        <v>0.95</v>
      </c>
      <c r="BP107" s="178">
        <v>1</v>
      </c>
      <c r="BQ107" s="186">
        <v>2.5000000000000001E-3</v>
      </c>
    </row>
    <row r="108" spans="1:69" s="156" customFormat="1" ht="22.35" customHeight="1" x14ac:dyDescent="0.2">
      <c r="A108" s="165" t="s">
        <v>139</v>
      </c>
      <c r="B108" s="165" t="s">
        <v>159</v>
      </c>
      <c r="C108" s="165" t="s">
        <v>166</v>
      </c>
      <c r="D108" s="166">
        <v>4.7470153233333301</v>
      </c>
      <c r="E108" s="167"/>
      <c r="F108" s="168">
        <v>2.4500000000000001E-2</v>
      </c>
      <c r="G108" s="168">
        <v>2.3E-2</v>
      </c>
      <c r="H108" s="169"/>
      <c r="I108" s="170">
        <v>3</v>
      </c>
      <c r="J108" s="170">
        <v>3</v>
      </c>
      <c r="K108" s="167"/>
      <c r="L108" s="171">
        <v>4121.0306300000002</v>
      </c>
      <c r="M108" s="171">
        <v>-2669.4945499999999</v>
      </c>
      <c r="N108" s="171">
        <v>1451.5360800000001</v>
      </c>
      <c r="O108" s="166">
        <v>305.77868010350898</v>
      </c>
      <c r="P108" s="172">
        <v>287.5</v>
      </c>
      <c r="Q108" s="182">
        <v>1.0635780177513401</v>
      </c>
      <c r="R108" s="183">
        <v>-153.42980081899901</v>
      </c>
      <c r="S108" s="168">
        <v>4.4999999999999997E-3</v>
      </c>
      <c r="T108" s="168">
        <v>3.0000000000000001E-3</v>
      </c>
      <c r="U108" s="175">
        <v>0</v>
      </c>
      <c r="V108" s="176">
        <v>187</v>
      </c>
      <c r="W108" s="167"/>
      <c r="X108" s="175">
        <v>2037.02403</v>
      </c>
      <c r="Y108" s="166">
        <v>429.11680103227701</v>
      </c>
      <c r="Z108" s="177">
        <v>573</v>
      </c>
      <c r="AA108" s="173">
        <v>0.74889494071950602</v>
      </c>
      <c r="AB108" s="174">
        <v>-1161.7427515975201</v>
      </c>
      <c r="AC108" s="168"/>
      <c r="AD108" s="168"/>
      <c r="AE108" s="176">
        <v>684</v>
      </c>
      <c r="AF108" s="176">
        <v>1228</v>
      </c>
      <c r="AG108" s="167"/>
      <c r="AH108" s="180">
        <v>213.5</v>
      </c>
      <c r="AI108" s="166">
        <v>44.975628991667399</v>
      </c>
      <c r="AJ108" s="181" t="s">
        <v>53</v>
      </c>
      <c r="AK108" s="173">
        <v>0.71389887288360898</v>
      </c>
      <c r="AL108" s="174">
        <v>-138.19687127512</v>
      </c>
      <c r="AM108" s="168"/>
      <c r="AN108" s="168"/>
      <c r="AO108" s="176">
        <v>86</v>
      </c>
      <c r="AP108" s="176">
        <v>146</v>
      </c>
      <c r="AQ108" s="167"/>
      <c r="AR108" s="180">
        <v>40.700000000000003</v>
      </c>
      <c r="AS108" s="166">
        <v>8.5738084307300397</v>
      </c>
      <c r="AT108" s="181" t="s">
        <v>54</v>
      </c>
      <c r="AU108" s="173">
        <v>0.53586302692062804</v>
      </c>
      <c r="AV108" s="174">
        <v>-48.619840323839902</v>
      </c>
      <c r="AW108" s="168"/>
      <c r="AX108" s="168"/>
      <c r="AY108" s="176">
        <v>36</v>
      </c>
      <c r="AZ108" s="176">
        <v>51</v>
      </c>
      <c r="BA108" s="167"/>
      <c r="BB108" s="184">
        <v>186.8</v>
      </c>
      <c r="BC108" s="180">
        <v>39.351042134161403</v>
      </c>
      <c r="BD108" s="181" t="s">
        <v>55</v>
      </c>
      <c r="BE108" s="178">
        <v>1.2297200666925401</v>
      </c>
      <c r="BF108" s="179">
        <v>8.1603193523201298</v>
      </c>
      <c r="BG108" s="168">
        <v>0.02</v>
      </c>
      <c r="BH108" s="168">
        <v>0.02</v>
      </c>
      <c r="BI108" s="176">
        <v>0</v>
      </c>
      <c r="BJ108" s="176">
        <v>0</v>
      </c>
      <c r="BK108" s="169"/>
      <c r="BL108" s="185">
        <v>0.8</v>
      </c>
      <c r="BM108" s="173">
        <v>0.64</v>
      </c>
      <c r="BN108" s="186"/>
      <c r="BO108" s="187">
        <v>0.95</v>
      </c>
      <c r="BP108" s="178">
        <v>1</v>
      </c>
      <c r="BQ108" s="186">
        <v>2.5000000000000001E-3</v>
      </c>
    </row>
    <row r="109" spans="1:69" s="156" customFormat="1" ht="22.35" customHeight="1" x14ac:dyDescent="0.2">
      <c r="A109" s="165" t="s">
        <v>139</v>
      </c>
      <c r="B109" s="165" t="s">
        <v>159</v>
      </c>
      <c r="C109" s="165" t="s">
        <v>167</v>
      </c>
      <c r="D109" s="166">
        <v>5.8254724778888898</v>
      </c>
      <c r="E109" s="167"/>
      <c r="F109" s="168">
        <v>5.0000000000000001E-3</v>
      </c>
      <c r="G109" s="168">
        <v>3.0000000000000001E-3</v>
      </c>
      <c r="H109" s="169"/>
      <c r="I109" s="170">
        <v>2</v>
      </c>
      <c r="J109" s="170">
        <v>2</v>
      </c>
      <c r="K109" s="167"/>
      <c r="L109" s="171">
        <v>1730.2373</v>
      </c>
      <c r="M109" s="171">
        <v>-795.37324999999998</v>
      </c>
      <c r="N109" s="171">
        <v>934.86405000000002</v>
      </c>
      <c r="O109" s="166">
        <v>160.478665644437</v>
      </c>
      <c r="P109" s="172">
        <v>236.41900000000001</v>
      </c>
      <c r="Q109" s="173">
        <v>0.67878920748517202</v>
      </c>
      <c r="R109" s="174">
        <v>-684.78474623401598</v>
      </c>
      <c r="S109" s="168"/>
      <c r="T109" s="168"/>
      <c r="U109" s="175">
        <v>443</v>
      </c>
      <c r="V109" s="176">
        <v>718</v>
      </c>
      <c r="W109" s="167"/>
      <c r="X109" s="175">
        <v>2834.3791099999999</v>
      </c>
      <c r="Y109" s="166">
        <v>486.54922339057401</v>
      </c>
      <c r="Z109" s="177">
        <v>573</v>
      </c>
      <c r="AA109" s="188">
        <v>0.84912604431164695</v>
      </c>
      <c r="AB109" s="171">
        <v>-1091.1038682804699</v>
      </c>
      <c r="AC109" s="168"/>
      <c r="AD109" s="168"/>
      <c r="AE109" s="176">
        <v>504</v>
      </c>
      <c r="AF109" s="176">
        <v>1172</v>
      </c>
      <c r="AG109" s="167"/>
      <c r="AH109" s="180">
        <v>272.10000000000002</v>
      </c>
      <c r="AI109" s="166">
        <v>46.708657715366499</v>
      </c>
      <c r="AJ109" s="181" t="s">
        <v>53</v>
      </c>
      <c r="AK109" s="173">
        <v>0.74140726532327705</v>
      </c>
      <c r="AL109" s="174">
        <v>-159.49760494183201</v>
      </c>
      <c r="AM109" s="168"/>
      <c r="AN109" s="168"/>
      <c r="AO109" s="176">
        <v>95</v>
      </c>
      <c r="AP109" s="176">
        <v>169</v>
      </c>
      <c r="AQ109" s="167"/>
      <c r="AR109" s="180">
        <v>19.399999999999999</v>
      </c>
      <c r="AS109" s="166">
        <v>3.3302019833815102</v>
      </c>
      <c r="AT109" s="181" t="s">
        <v>54</v>
      </c>
      <c r="AU109" s="173">
        <v>0.208137623961344</v>
      </c>
      <c r="AV109" s="174">
        <v>-90.212090143957298</v>
      </c>
      <c r="AW109" s="168"/>
      <c r="AX109" s="168"/>
      <c r="AY109" s="176">
        <v>74</v>
      </c>
      <c r="AZ109" s="176">
        <v>93</v>
      </c>
      <c r="BA109" s="167"/>
      <c r="BB109" s="184">
        <v>191.4</v>
      </c>
      <c r="BC109" s="180">
        <v>32.8557041040836</v>
      </c>
      <c r="BD109" s="181" t="s">
        <v>55</v>
      </c>
      <c r="BE109" s="182">
        <v>1.02674075325261</v>
      </c>
      <c r="BF109" s="183">
        <v>-27.8241802879147</v>
      </c>
      <c r="BG109" s="168">
        <v>5.0000000000000001E-3</v>
      </c>
      <c r="BH109" s="168">
        <v>3.0000000000000001E-3</v>
      </c>
      <c r="BI109" s="176">
        <v>0</v>
      </c>
      <c r="BJ109" s="176">
        <v>33</v>
      </c>
      <c r="BK109" s="169"/>
      <c r="BL109" s="185">
        <v>0.8</v>
      </c>
      <c r="BM109" s="173">
        <v>0.63</v>
      </c>
      <c r="BN109" s="186"/>
      <c r="BO109" s="187">
        <v>0.95</v>
      </c>
      <c r="BP109" s="178">
        <v>1</v>
      </c>
      <c r="BQ109" s="186">
        <v>2.5000000000000001E-3</v>
      </c>
    </row>
    <row r="110" spans="1:69" s="156" customFormat="1" ht="22.35" customHeight="1" x14ac:dyDescent="0.2">
      <c r="A110" s="165" t="s">
        <v>139</v>
      </c>
      <c r="B110" s="165" t="s">
        <v>159</v>
      </c>
      <c r="C110" s="165" t="s">
        <v>168</v>
      </c>
      <c r="D110" s="166">
        <v>2.9978898042222202</v>
      </c>
      <c r="E110" s="167"/>
      <c r="F110" s="168">
        <v>4.1000000000000002E-2</v>
      </c>
      <c r="G110" s="168">
        <v>3.5999999999999997E-2</v>
      </c>
      <c r="H110" s="169"/>
      <c r="I110" s="170">
        <v>4</v>
      </c>
      <c r="J110" s="170">
        <v>4</v>
      </c>
      <c r="K110" s="167"/>
      <c r="L110" s="171">
        <v>2295.0004300000001</v>
      </c>
      <c r="M110" s="171">
        <v>-602.60153000000003</v>
      </c>
      <c r="N110" s="171">
        <v>1692.3988999999999</v>
      </c>
      <c r="O110" s="166">
        <v>564.53005631375402</v>
      </c>
      <c r="P110" s="172">
        <v>244.03100000000001</v>
      </c>
      <c r="Q110" s="178">
        <v>2.3133538620656999</v>
      </c>
      <c r="R110" s="179">
        <v>832.06311694655699</v>
      </c>
      <c r="S110" s="168">
        <v>0.01</v>
      </c>
      <c r="T110" s="168">
        <v>0.01</v>
      </c>
      <c r="U110" s="175">
        <v>0</v>
      </c>
      <c r="V110" s="176">
        <v>0</v>
      </c>
      <c r="W110" s="167"/>
      <c r="X110" s="175">
        <v>1948.52736</v>
      </c>
      <c r="Y110" s="166">
        <v>649.96630538444003</v>
      </c>
      <c r="Z110" s="177">
        <v>573</v>
      </c>
      <c r="AA110" s="182">
        <v>1.1343216498855799</v>
      </c>
      <c r="AB110" s="183">
        <v>-71.594688795534196</v>
      </c>
      <c r="AC110" s="168">
        <v>1.6E-2</v>
      </c>
      <c r="AD110" s="168">
        <v>1.2999999999999999E-2</v>
      </c>
      <c r="AE110" s="176">
        <v>0</v>
      </c>
      <c r="AF110" s="176">
        <v>113</v>
      </c>
      <c r="AG110" s="167"/>
      <c r="AH110" s="180">
        <v>131.35</v>
      </c>
      <c r="AI110" s="166">
        <v>43.814152146288698</v>
      </c>
      <c r="AJ110" s="181" t="s">
        <v>53</v>
      </c>
      <c r="AK110" s="173">
        <v>0.69546273248077295</v>
      </c>
      <c r="AL110" s="174">
        <v>-90.757659815215803</v>
      </c>
      <c r="AM110" s="168"/>
      <c r="AN110" s="168"/>
      <c r="AO110" s="176">
        <v>58</v>
      </c>
      <c r="AP110" s="176">
        <v>96</v>
      </c>
      <c r="AQ110" s="167"/>
      <c r="AR110" s="180">
        <v>6.8</v>
      </c>
      <c r="AS110" s="166">
        <v>2.2682621590769898</v>
      </c>
      <c r="AT110" s="181" t="s">
        <v>54</v>
      </c>
      <c r="AU110" s="173">
        <v>0.141766384942312</v>
      </c>
      <c r="AV110" s="174">
        <v>-49.608294556245298</v>
      </c>
      <c r="AW110" s="168"/>
      <c r="AX110" s="168"/>
      <c r="AY110" s="176">
        <v>42</v>
      </c>
      <c r="AZ110" s="176">
        <v>51</v>
      </c>
      <c r="BA110" s="167"/>
      <c r="BB110" s="184">
        <v>108.2</v>
      </c>
      <c r="BC110" s="180">
        <v>36.092053766489798</v>
      </c>
      <c r="BD110" s="181" t="s">
        <v>55</v>
      </c>
      <c r="BE110" s="182">
        <v>1.12787668020281</v>
      </c>
      <c r="BF110" s="183">
        <v>-4.6165891124905603</v>
      </c>
      <c r="BG110" s="168">
        <v>1.4999999999999999E-2</v>
      </c>
      <c r="BH110" s="168">
        <v>1.2999999999999999E-2</v>
      </c>
      <c r="BI110" s="176">
        <v>0</v>
      </c>
      <c r="BJ110" s="176">
        <v>7</v>
      </c>
      <c r="BK110" s="169"/>
      <c r="BL110" s="185">
        <v>0.8</v>
      </c>
      <c r="BM110" s="188">
        <v>0.72</v>
      </c>
      <c r="BN110" s="186"/>
      <c r="BO110" s="187">
        <v>0.95</v>
      </c>
      <c r="BP110" s="178">
        <v>1</v>
      </c>
      <c r="BQ110" s="186">
        <v>2.5000000000000001E-3</v>
      </c>
    </row>
    <row r="111" spans="1:69" s="156" customFormat="1" ht="22.35" customHeight="1" x14ac:dyDescent="0.2">
      <c r="A111" s="165" t="s">
        <v>139</v>
      </c>
      <c r="B111" s="165" t="s">
        <v>159</v>
      </c>
      <c r="C111" s="165" t="s">
        <v>169</v>
      </c>
      <c r="D111" s="166">
        <v>3.5180638414444401</v>
      </c>
      <c r="E111" s="167"/>
      <c r="F111" s="168">
        <v>2.1999999999999999E-2</v>
      </c>
      <c r="G111" s="168">
        <v>0.02</v>
      </c>
      <c r="H111" s="169"/>
      <c r="I111" s="170">
        <v>3</v>
      </c>
      <c r="J111" s="170">
        <v>3</v>
      </c>
      <c r="K111" s="167"/>
      <c r="L111" s="171">
        <v>3643.7562200000002</v>
      </c>
      <c r="M111" s="171">
        <v>453.00376999999997</v>
      </c>
      <c r="N111" s="171">
        <v>4096.7599899999996</v>
      </c>
      <c r="O111" s="166">
        <v>1164.4927933763599</v>
      </c>
      <c r="P111" s="172">
        <v>287.5</v>
      </c>
      <c r="Q111" s="178">
        <v>4.0504097160916901</v>
      </c>
      <c r="R111" s="179">
        <v>2907.3026052076402</v>
      </c>
      <c r="S111" s="168">
        <v>0.01</v>
      </c>
      <c r="T111" s="168">
        <v>0.01</v>
      </c>
      <c r="U111" s="175">
        <v>0</v>
      </c>
      <c r="V111" s="176">
        <v>0</v>
      </c>
      <c r="W111" s="167"/>
      <c r="X111" s="175">
        <v>1690.86365</v>
      </c>
      <c r="Y111" s="166">
        <v>480.62335597234801</v>
      </c>
      <c r="Z111" s="177">
        <v>573</v>
      </c>
      <c r="AA111" s="188">
        <v>0.83878421635662903</v>
      </c>
      <c r="AB111" s="171">
        <v>-679.77663342965297</v>
      </c>
      <c r="AC111" s="168"/>
      <c r="AD111" s="168"/>
      <c r="AE111" s="176">
        <v>325</v>
      </c>
      <c r="AF111" s="176">
        <v>729</v>
      </c>
      <c r="AG111" s="167"/>
      <c r="AH111" s="180">
        <v>165.5</v>
      </c>
      <c r="AI111" s="166">
        <v>47.0429211802049</v>
      </c>
      <c r="AJ111" s="181" t="s">
        <v>53</v>
      </c>
      <c r="AK111" s="173">
        <v>0.74671303460642802</v>
      </c>
      <c r="AL111" s="174">
        <v>-95.146313884935594</v>
      </c>
      <c r="AM111" s="168"/>
      <c r="AN111" s="168"/>
      <c r="AO111" s="176">
        <v>57</v>
      </c>
      <c r="AP111" s="176">
        <v>101</v>
      </c>
      <c r="AQ111" s="167"/>
      <c r="AR111" s="180">
        <v>39.700000000000003</v>
      </c>
      <c r="AS111" s="166">
        <v>11.284616138091399</v>
      </c>
      <c r="AT111" s="181" t="s">
        <v>54</v>
      </c>
      <c r="AU111" s="173">
        <v>0.70528850863071602</v>
      </c>
      <c r="AV111" s="174">
        <v>-26.495889240618599</v>
      </c>
      <c r="AW111" s="168"/>
      <c r="AX111" s="168"/>
      <c r="AY111" s="176">
        <v>17</v>
      </c>
      <c r="AZ111" s="176">
        <v>28</v>
      </c>
      <c r="BA111" s="167"/>
      <c r="BB111" s="184">
        <v>124</v>
      </c>
      <c r="BC111" s="180">
        <v>35.246659977917901</v>
      </c>
      <c r="BD111" s="181" t="s">
        <v>55</v>
      </c>
      <c r="BE111" s="182">
        <v>1.10145812430993</v>
      </c>
      <c r="BF111" s="183">
        <v>-8.3917784812371394</v>
      </c>
      <c r="BG111" s="168">
        <v>1.2E-2</v>
      </c>
      <c r="BH111" s="168">
        <v>0.01</v>
      </c>
      <c r="BI111" s="176">
        <v>0</v>
      </c>
      <c r="BJ111" s="176">
        <v>12</v>
      </c>
      <c r="BK111" s="169"/>
      <c r="BL111" s="185">
        <v>0.8</v>
      </c>
      <c r="BM111" s="188">
        <v>0.76</v>
      </c>
      <c r="BN111" s="186"/>
      <c r="BO111" s="187">
        <v>0.95</v>
      </c>
      <c r="BP111" s="178">
        <v>1</v>
      </c>
      <c r="BQ111" s="186">
        <v>2.5000000000000001E-3</v>
      </c>
    </row>
    <row r="112" spans="1:69" s="156" customFormat="1" ht="22.35" customHeight="1" x14ac:dyDescent="0.2">
      <c r="A112" s="165" t="s">
        <v>139</v>
      </c>
      <c r="B112" s="165" t="s">
        <v>159</v>
      </c>
      <c r="C112" s="165" t="s">
        <v>170</v>
      </c>
      <c r="D112" s="166">
        <v>3.33057645111111</v>
      </c>
      <c r="E112" s="167"/>
      <c r="F112" s="168">
        <v>0.01</v>
      </c>
      <c r="G112" s="168">
        <v>0.01</v>
      </c>
      <c r="H112" s="169"/>
      <c r="I112" s="170">
        <v>2</v>
      </c>
      <c r="J112" s="170">
        <v>2</v>
      </c>
      <c r="K112" s="167"/>
      <c r="L112" s="171">
        <v>1752.0404799999999</v>
      </c>
      <c r="M112" s="171">
        <v>1264.5308500000001</v>
      </c>
      <c r="N112" s="171">
        <v>3016.5713300000002</v>
      </c>
      <c r="O112" s="166">
        <v>905.72048841384299</v>
      </c>
      <c r="P112" s="172">
        <v>287.5</v>
      </c>
      <c r="Q112" s="178">
        <v>3.1503321336133698</v>
      </c>
      <c r="R112" s="179">
        <v>1890.50343187933</v>
      </c>
      <c r="S112" s="168">
        <v>0.01</v>
      </c>
      <c r="T112" s="168">
        <v>0.01</v>
      </c>
      <c r="U112" s="175">
        <v>0</v>
      </c>
      <c r="V112" s="176">
        <v>0</v>
      </c>
      <c r="W112" s="167"/>
      <c r="X112" s="175">
        <v>1789.500315</v>
      </c>
      <c r="Y112" s="166">
        <v>537.29447177319901</v>
      </c>
      <c r="Z112" s="177">
        <v>573</v>
      </c>
      <c r="AA112" s="188">
        <v>0.93768668721326198</v>
      </c>
      <c r="AB112" s="171">
        <v>-454.80196542831902</v>
      </c>
      <c r="AC112" s="168"/>
      <c r="AD112" s="168"/>
      <c r="AE112" s="176">
        <v>119</v>
      </c>
      <c r="AF112" s="176">
        <v>501</v>
      </c>
      <c r="AG112" s="167"/>
      <c r="AH112" s="180">
        <v>87.5</v>
      </c>
      <c r="AI112" s="166">
        <v>26.271728418306999</v>
      </c>
      <c r="AJ112" s="181" t="s">
        <v>53</v>
      </c>
      <c r="AK112" s="173">
        <v>0.41701156219535002</v>
      </c>
      <c r="AL112" s="174">
        <v>-159.25574810992001</v>
      </c>
      <c r="AM112" s="168"/>
      <c r="AN112" s="168"/>
      <c r="AO112" s="176">
        <v>123</v>
      </c>
      <c r="AP112" s="176">
        <v>165</v>
      </c>
      <c r="AQ112" s="167"/>
      <c r="AR112" s="180">
        <v>16.600000000000001</v>
      </c>
      <c r="AS112" s="166">
        <v>4.9841221913588196</v>
      </c>
      <c r="AT112" s="181" t="s">
        <v>54</v>
      </c>
      <c r="AU112" s="173">
        <v>0.311507636959926</v>
      </c>
      <c r="AV112" s="174">
        <v>-46.068126504106601</v>
      </c>
      <c r="AW112" s="168"/>
      <c r="AX112" s="168"/>
      <c r="AY112" s="176">
        <v>37</v>
      </c>
      <c r="AZ112" s="176">
        <v>48</v>
      </c>
      <c r="BA112" s="167"/>
      <c r="BB112" s="184">
        <v>102.8</v>
      </c>
      <c r="BC112" s="180">
        <v>30.865527787451001</v>
      </c>
      <c r="BD112" s="181" t="s">
        <v>55</v>
      </c>
      <c r="BE112" s="188">
        <v>0.96454774335784399</v>
      </c>
      <c r="BF112" s="171">
        <v>-22.536253008213301</v>
      </c>
      <c r="BG112" s="168"/>
      <c r="BH112" s="168"/>
      <c r="BI112" s="176">
        <v>4</v>
      </c>
      <c r="BJ112" s="176">
        <v>26</v>
      </c>
      <c r="BK112" s="169"/>
      <c r="BL112" s="185">
        <v>0.8</v>
      </c>
      <c r="BM112" s="188">
        <v>0.74</v>
      </c>
      <c r="BN112" s="186"/>
      <c r="BO112" s="187">
        <v>0.95</v>
      </c>
      <c r="BP112" s="178">
        <v>1</v>
      </c>
      <c r="BQ112" s="186">
        <v>2.5000000000000001E-3</v>
      </c>
    </row>
    <row r="113" spans="1:69" s="156" customFormat="1" ht="22.35" customHeight="1" x14ac:dyDescent="0.2">
      <c r="A113" s="165" t="s">
        <v>139</v>
      </c>
      <c r="B113" s="165" t="s">
        <v>159</v>
      </c>
      <c r="C113" s="165" t="s">
        <v>171</v>
      </c>
      <c r="D113" s="166">
        <v>7.6444229506666703</v>
      </c>
      <c r="E113" s="167"/>
      <c r="F113" s="168">
        <v>1.0999999999999999E-2</v>
      </c>
      <c r="G113" s="168">
        <v>0.01</v>
      </c>
      <c r="H113" s="169"/>
      <c r="I113" s="170">
        <v>3</v>
      </c>
      <c r="J113" s="170">
        <v>2</v>
      </c>
      <c r="K113" s="167"/>
      <c r="L113" s="171">
        <v>5850.23675</v>
      </c>
      <c r="M113" s="171">
        <v>136.65934999999999</v>
      </c>
      <c r="N113" s="171">
        <v>5986.8960999999999</v>
      </c>
      <c r="O113" s="166">
        <v>783.17174999819804</v>
      </c>
      <c r="P113" s="172">
        <v>287.5</v>
      </c>
      <c r="Q113" s="178">
        <v>2.7240756521676399</v>
      </c>
      <c r="R113" s="179">
        <v>3402.3167003796002</v>
      </c>
      <c r="S113" s="168">
        <v>0.01</v>
      </c>
      <c r="T113" s="168">
        <v>0.01</v>
      </c>
      <c r="U113" s="175">
        <v>0</v>
      </c>
      <c r="V113" s="176">
        <v>0</v>
      </c>
      <c r="W113" s="167"/>
      <c r="X113" s="175">
        <v>4315.3844799999997</v>
      </c>
      <c r="Y113" s="166">
        <v>564.51409188755804</v>
      </c>
      <c r="Z113" s="177">
        <v>573</v>
      </c>
      <c r="AA113" s="182">
        <v>0.98519038723832097</v>
      </c>
      <c r="AB113" s="183">
        <v>-835.79463646083298</v>
      </c>
      <c r="AC113" s="168">
        <v>1E-3</v>
      </c>
      <c r="AD113" s="168"/>
      <c r="AE113" s="176">
        <v>65</v>
      </c>
      <c r="AF113" s="176">
        <v>941</v>
      </c>
      <c r="AG113" s="167"/>
      <c r="AH113" s="180">
        <v>357.05</v>
      </c>
      <c r="AI113" s="166">
        <v>46.707253419155997</v>
      </c>
      <c r="AJ113" s="181" t="s">
        <v>53</v>
      </c>
      <c r="AK113" s="173">
        <v>0.74138497490723698</v>
      </c>
      <c r="AL113" s="174">
        <v>-209.31000756899201</v>
      </c>
      <c r="AM113" s="168"/>
      <c r="AN113" s="168"/>
      <c r="AO113" s="176">
        <v>125</v>
      </c>
      <c r="AP113" s="176">
        <v>221</v>
      </c>
      <c r="AQ113" s="167"/>
      <c r="AR113" s="180">
        <v>30.8</v>
      </c>
      <c r="AS113" s="166">
        <v>4.0290810959529599</v>
      </c>
      <c r="AT113" s="181" t="s">
        <v>54</v>
      </c>
      <c r="AU113" s="173">
        <v>0.25181756849706</v>
      </c>
      <c r="AV113" s="174">
        <v>-113.037462239744</v>
      </c>
      <c r="AW113" s="168"/>
      <c r="AX113" s="168"/>
      <c r="AY113" s="176">
        <v>92</v>
      </c>
      <c r="AZ113" s="176">
        <v>116</v>
      </c>
      <c r="BA113" s="167"/>
      <c r="BB113" s="184">
        <v>220.4</v>
      </c>
      <c r="BC113" s="180">
        <v>28.8314764138971</v>
      </c>
      <c r="BD113" s="181" t="s">
        <v>55</v>
      </c>
      <c r="BE113" s="188">
        <v>0.90098363793428604</v>
      </c>
      <c r="BF113" s="171">
        <v>-67.274924479488106</v>
      </c>
      <c r="BG113" s="168"/>
      <c r="BH113" s="168"/>
      <c r="BI113" s="176">
        <v>25</v>
      </c>
      <c r="BJ113" s="176">
        <v>74</v>
      </c>
      <c r="BK113" s="169"/>
      <c r="BL113" s="185">
        <v>0.8</v>
      </c>
      <c r="BM113" s="173">
        <v>0.69</v>
      </c>
      <c r="BN113" s="186"/>
      <c r="BO113" s="187">
        <v>0.95</v>
      </c>
      <c r="BP113" s="178">
        <v>1</v>
      </c>
      <c r="BQ113" s="186">
        <v>2.5000000000000001E-3</v>
      </c>
    </row>
    <row r="114" spans="1:69" s="156" customFormat="1" ht="22.35" customHeight="1" x14ac:dyDescent="0.2">
      <c r="A114" s="165" t="s">
        <v>139</v>
      </c>
      <c r="B114" s="165" t="s">
        <v>159</v>
      </c>
      <c r="C114" s="165" t="s">
        <v>172</v>
      </c>
      <c r="D114" s="166">
        <v>6.0447914316666704</v>
      </c>
      <c r="E114" s="167"/>
      <c r="F114" s="168">
        <v>4.2000000000000003E-2</v>
      </c>
      <c r="G114" s="168">
        <v>3.7999999999999999E-2</v>
      </c>
      <c r="H114" s="169"/>
      <c r="I114" s="170">
        <v>4</v>
      </c>
      <c r="J114" s="170">
        <v>4</v>
      </c>
      <c r="K114" s="167"/>
      <c r="L114" s="171">
        <v>3686.4754699999999</v>
      </c>
      <c r="M114" s="171">
        <v>-407.39415000000002</v>
      </c>
      <c r="N114" s="171">
        <v>3279.0813199999998</v>
      </c>
      <c r="O114" s="166">
        <v>542.463930653087</v>
      </c>
      <c r="P114" s="172">
        <v>260.82400000000001</v>
      </c>
      <c r="Q114" s="178">
        <v>2.07980834069367</v>
      </c>
      <c r="R114" s="179">
        <v>1424.9683438813199</v>
      </c>
      <c r="S114" s="168">
        <v>0.01</v>
      </c>
      <c r="T114" s="168">
        <v>0.01</v>
      </c>
      <c r="U114" s="175">
        <v>0</v>
      </c>
      <c r="V114" s="176">
        <v>0</v>
      </c>
      <c r="W114" s="167"/>
      <c r="X114" s="175">
        <v>4086.9340149999998</v>
      </c>
      <c r="Y114" s="166">
        <v>676.10835894021102</v>
      </c>
      <c r="Z114" s="177">
        <v>573</v>
      </c>
      <c r="AA114" s="178">
        <v>1.17994478000037</v>
      </c>
      <c r="AB114" s="179">
        <v>13.663398354278799</v>
      </c>
      <c r="AC114" s="168">
        <v>0.02</v>
      </c>
      <c r="AD114" s="168">
        <v>1.7999999999999999E-2</v>
      </c>
      <c r="AE114" s="176">
        <v>0</v>
      </c>
      <c r="AF114" s="176">
        <v>70</v>
      </c>
      <c r="AG114" s="167"/>
      <c r="AH114" s="180">
        <v>239.1</v>
      </c>
      <c r="AI114" s="166">
        <v>39.554714617188303</v>
      </c>
      <c r="AJ114" s="181" t="s">
        <v>53</v>
      </c>
      <c r="AK114" s="173">
        <v>0.62785261297124195</v>
      </c>
      <c r="AL114" s="174">
        <v>-208.74650758932</v>
      </c>
      <c r="AM114" s="168"/>
      <c r="AN114" s="168"/>
      <c r="AO114" s="176">
        <v>142</v>
      </c>
      <c r="AP114" s="176">
        <v>218</v>
      </c>
      <c r="AQ114" s="167"/>
      <c r="AR114" s="180">
        <v>38.799999999999997</v>
      </c>
      <c r="AS114" s="166">
        <v>6.4187491725090098</v>
      </c>
      <c r="AT114" s="181" t="s">
        <v>54</v>
      </c>
      <c r="AU114" s="173">
        <v>0.401171823281813</v>
      </c>
      <c r="AV114" s="174">
        <v>-74.938795578240104</v>
      </c>
      <c r="AW114" s="168"/>
      <c r="AX114" s="168"/>
      <c r="AY114" s="176">
        <v>58</v>
      </c>
      <c r="AZ114" s="176">
        <v>78</v>
      </c>
      <c r="BA114" s="167"/>
      <c r="BB114" s="184">
        <v>213.2</v>
      </c>
      <c r="BC114" s="180">
        <v>35.270034112858802</v>
      </c>
      <c r="BD114" s="181" t="s">
        <v>55</v>
      </c>
      <c r="BE114" s="182">
        <v>1.10218856602684</v>
      </c>
      <c r="BF114" s="183">
        <v>-14.277591156480099</v>
      </c>
      <c r="BG114" s="168">
        <v>1.2E-2</v>
      </c>
      <c r="BH114" s="168">
        <v>0.01</v>
      </c>
      <c r="BI114" s="176">
        <v>0</v>
      </c>
      <c r="BJ114" s="176">
        <v>19</v>
      </c>
      <c r="BK114" s="169"/>
      <c r="BL114" s="185">
        <v>0.8</v>
      </c>
      <c r="BM114" s="188">
        <v>0.72</v>
      </c>
      <c r="BN114" s="186"/>
      <c r="BO114" s="187">
        <v>0.95</v>
      </c>
      <c r="BP114" s="178">
        <v>1</v>
      </c>
      <c r="BQ114" s="186">
        <v>2.5000000000000001E-3</v>
      </c>
    </row>
    <row r="115" spans="1:69" s="156" customFormat="1" ht="22.35" customHeight="1" x14ac:dyDescent="0.2">
      <c r="A115" s="165" t="s">
        <v>139</v>
      </c>
      <c r="B115" s="165" t="s">
        <v>159</v>
      </c>
      <c r="C115" s="165" t="s">
        <v>173</v>
      </c>
      <c r="D115" s="166">
        <v>4.01034421888889</v>
      </c>
      <c r="E115" s="167"/>
      <c r="F115" s="168">
        <v>4.2000000000000003E-2</v>
      </c>
      <c r="G115" s="168">
        <v>3.7999999999999999E-2</v>
      </c>
      <c r="H115" s="169"/>
      <c r="I115" s="170">
        <v>5</v>
      </c>
      <c r="J115" s="170">
        <v>5</v>
      </c>
      <c r="K115" s="167"/>
      <c r="L115" s="171">
        <v>2702.5806200000002</v>
      </c>
      <c r="M115" s="171">
        <v>439.71485999999999</v>
      </c>
      <c r="N115" s="171">
        <v>3142.2954800000002</v>
      </c>
      <c r="O115" s="166">
        <v>783.54757309850299</v>
      </c>
      <c r="P115" s="172">
        <v>234.23500000000001</v>
      </c>
      <c r="Q115" s="178">
        <v>3.3451344722116798</v>
      </c>
      <c r="R115" s="179">
        <v>2037.6046177409501</v>
      </c>
      <c r="S115" s="168">
        <v>0.01</v>
      </c>
      <c r="T115" s="168">
        <v>0.01</v>
      </c>
      <c r="U115" s="175">
        <v>0</v>
      </c>
      <c r="V115" s="176">
        <v>0</v>
      </c>
      <c r="W115" s="167"/>
      <c r="X115" s="175">
        <v>3414.3165650000001</v>
      </c>
      <c r="Y115" s="166">
        <v>851.37743261998003</v>
      </c>
      <c r="Z115" s="177">
        <v>573</v>
      </c>
      <c r="AA115" s="178">
        <v>1.48582448973818</v>
      </c>
      <c r="AB115" s="179">
        <v>711.95413379015997</v>
      </c>
      <c r="AC115" s="168">
        <v>0.02</v>
      </c>
      <c r="AD115" s="168">
        <v>0.02</v>
      </c>
      <c r="AE115" s="176">
        <v>0</v>
      </c>
      <c r="AF115" s="176">
        <v>0</v>
      </c>
      <c r="AG115" s="167"/>
      <c r="AH115" s="180">
        <v>267.05</v>
      </c>
      <c r="AI115" s="166">
        <v>66.590293856119203</v>
      </c>
      <c r="AJ115" s="181" t="s">
        <v>53</v>
      </c>
      <c r="AK115" s="182">
        <v>1.05698879136697</v>
      </c>
      <c r="AL115" s="183">
        <v>-30.068382489040101</v>
      </c>
      <c r="AM115" s="168">
        <v>8.0000000000000002E-3</v>
      </c>
      <c r="AN115" s="168">
        <v>6.0000000000000001E-3</v>
      </c>
      <c r="AO115" s="176">
        <v>0</v>
      </c>
      <c r="AP115" s="176">
        <v>37</v>
      </c>
      <c r="AQ115" s="167"/>
      <c r="AR115" s="180">
        <v>29.8</v>
      </c>
      <c r="AS115" s="166">
        <v>7.4307835870149903</v>
      </c>
      <c r="AT115" s="181" t="s">
        <v>54</v>
      </c>
      <c r="AU115" s="173">
        <v>0.46442397418843701</v>
      </c>
      <c r="AV115" s="174">
        <v>-45.658636822613403</v>
      </c>
      <c r="AW115" s="168"/>
      <c r="AX115" s="168"/>
      <c r="AY115" s="176">
        <v>35</v>
      </c>
      <c r="AZ115" s="176">
        <v>48</v>
      </c>
      <c r="BA115" s="167"/>
      <c r="BB115" s="184">
        <v>130.4</v>
      </c>
      <c r="BC115" s="180">
        <v>32.515912072038702</v>
      </c>
      <c r="BD115" s="181" t="s">
        <v>55</v>
      </c>
      <c r="BE115" s="182">
        <v>1.0161222522512099</v>
      </c>
      <c r="BF115" s="183">
        <v>-20.517273645226702</v>
      </c>
      <c r="BG115" s="168">
        <v>4.0000000000000001E-3</v>
      </c>
      <c r="BH115" s="168">
        <v>2E-3</v>
      </c>
      <c r="BI115" s="176">
        <v>0</v>
      </c>
      <c r="BJ115" s="176">
        <v>24</v>
      </c>
      <c r="BK115" s="169"/>
      <c r="BL115" s="185">
        <v>0.8</v>
      </c>
      <c r="BM115" s="188">
        <v>0.74</v>
      </c>
      <c r="BN115" s="186"/>
      <c r="BO115" s="187">
        <v>0.95</v>
      </c>
      <c r="BP115" s="178">
        <v>1</v>
      </c>
      <c r="BQ115" s="186">
        <v>2.5000000000000001E-3</v>
      </c>
    </row>
    <row r="116" spans="1:69" s="156" customFormat="1" ht="22.35" customHeight="1" x14ac:dyDescent="0.2">
      <c r="A116" s="165" t="s">
        <v>139</v>
      </c>
      <c r="B116" s="165" t="s">
        <v>159</v>
      </c>
      <c r="C116" s="165" t="s">
        <v>174</v>
      </c>
      <c r="D116" s="166">
        <v>2.3561526822222199</v>
      </c>
      <c r="E116" s="167"/>
      <c r="F116" s="168">
        <v>2.4E-2</v>
      </c>
      <c r="G116" s="168">
        <v>2.1000000000000001E-2</v>
      </c>
      <c r="H116" s="169"/>
      <c r="I116" s="170">
        <v>3</v>
      </c>
      <c r="J116" s="170">
        <v>3</v>
      </c>
      <c r="K116" s="167"/>
      <c r="L116" s="171">
        <v>2098.7437799999998</v>
      </c>
      <c r="M116" s="171">
        <v>827.56439</v>
      </c>
      <c r="N116" s="171">
        <v>2926.3081699999998</v>
      </c>
      <c r="O116" s="166">
        <v>1241.98579832273</v>
      </c>
      <c r="P116" s="172">
        <v>258.77999999999997</v>
      </c>
      <c r="Q116" s="178">
        <v>4.7993886634312197</v>
      </c>
      <c r="R116" s="179">
        <v>2209.2713452599701</v>
      </c>
      <c r="S116" s="168">
        <v>0.01</v>
      </c>
      <c r="T116" s="168">
        <v>0.01</v>
      </c>
      <c r="U116" s="175">
        <v>0</v>
      </c>
      <c r="V116" s="176">
        <v>0</v>
      </c>
      <c r="W116" s="167"/>
      <c r="X116" s="175">
        <v>1503.561645</v>
      </c>
      <c r="Y116" s="166">
        <v>638.14270456441898</v>
      </c>
      <c r="Z116" s="177">
        <v>573</v>
      </c>
      <c r="AA116" s="182">
        <v>1.11368709348066</v>
      </c>
      <c r="AB116" s="183">
        <v>-84.127127610078304</v>
      </c>
      <c r="AC116" s="168">
        <v>1.4E-2</v>
      </c>
      <c r="AD116" s="168">
        <v>1.0999999999999999E-2</v>
      </c>
      <c r="AE116" s="176">
        <v>0</v>
      </c>
      <c r="AF116" s="176">
        <v>117</v>
      </c>
      <c r="AG116" s="167"/>
      <c r="AH116" s="180">
        <v>135.5</v>
      </c>
      <c r="AI116" s="166">
        <v>57.509006535265002</v>
      </c>
      <c r="AJ116" s="181" t="s">
        <v>53</v>
      </c>
      <c r="AK116" s="188">
        <v>0.912841373575635</v>
      </c>
      <c r="AL116" s="171">
        <v>-39.062639920479803</v>
      </c>
      <c r="AM116" s="168"/>
      <c r="AN116" s="168"/>
      <c r="AO116" s="176">
        <v>13</v>
      </c>
      <c r="AP116" s="176">
        <v>43</v>
      </c>
      <c r="AQ116" s="167"/>
      <c r="AR116" s="180">
        <v>9</v>
      </c>
      <c r="AS116" s="166">
        <v>3.8197864119364202</v>
      </c>
      <c r="AT116" s="181" t="s">
        <v>54</v>
      </c>
      <c r="AU116" s="173">
        <v>0.23873665074602601</v>
      </c>
      <c r="AV116" s="174">
        <v>-35.333368868693299</v>
      </c>
      <c r="AW116" s="168"/>
      <c r="AX116" s="168"/>
      <c r="AY116" s="176">
        <v>29</v>
      </c>
      <c r="AZ116" s="176">
        <v>37</v>
      </c>
      <c r="BA116" s="167"/>
      <c r="BB116" s="184">
        <v>64.2</v>
      </c>
      <c r="BC116" s="180">
        <v>27.247809738479798</v>
      </c>
      <c r="BD116" s="181" t="s">
        <v>55</v>
      </c>
      <c r="BE116" s="188">
        <v>0.85149405432749403</v>
      </c>
      <c r="BF116" s="171">
        <v>-24.466737737386602</v>
      </c>
      <c r="BG116" s="168"/>
      <c r="BH116" s="168"/>
      <c r="BI116" s="176">
        <v>12</v>
      </c>
      <c r="BJ116" s="176">
        <v>27</v>
      </c>
      <c r="BK116" s="169"/>
      <c r="BL116" s="185">
        <v>0.8</v>
      </c>
      <c r="BM116" s="188">
        <v>0.73</v>
      </c>
      <c r="BN116" s="186"/>
      <c r="BO116" s="187">
        <v>0.95</v>
      </c>
      <c r="BP116" s="178">
        <v>1</v>
      </c>
      <c r="BQ116" s="186">
        <v>2.5000000000000001E-3</v>
      </c>
    </row>
    <row r="117" spans="1:69" s="156" customFormat="1" ht="22.35" customHeight="1" x14ac:dyDescent="0.2">
      <c r="A117" s="165" t="s">
        <v>175</v>
      </c>
      <c r="B117" s="165" t="s">
        <v>176</v>
      </c>
      <c r="C117" s="165" t="s">
        <v>177</v>
      </c>
      <c r="D117" s="166">
        <v>5.36114939544444</v>
      </c>
      <c r="E117" s="167"/>
      <c r="F117" s="168">
        <v>3.3000000000000002E-2</v>
      </c>
      <c r="G117" s="168">
        <v>0.03</v>
      </c>
      <c r="H117" s="169"/>
      <c r="I117" s="170">
        <v>6</v>
      </c>
      <c r="J117" s="170">
        <v>4</v>
      </c>
      <c r="K117" s="167"/>
      <c r="L117" s="171">
        <v>3651.5404899999999</v>
      </c>
      <c r="M117" s="171">
        <v>2561.9886999999999</v>
      </c>
      <c r="N117" s="171">
        <v>6213.5291900000002</v>
      </c>
      <c r="O117" s="166">
        <v>1158.99198691979</v>
      </c>
      <c r="P117" s="172">
        <v>227.6</v>
      </c>
      <c r="Q117" s="178">
        <v>5.0922319284700803</v>
      </c>
      <c r="R117" s="179">
        <v>4778.5768095738904</v>
      </c>
      <c r="S117" s="168">
        <v>0.01</v>
      </c>
      <c r="T117" s="168">
        <v>0.01</v>
      </c>
      <c r="U117" s="175">
        <v>0</v>
      </c>
      <c r="V117" s="176">
        <v>0</v>
      </c>
      <c r="W117" s="167"/>
      <c r="X117" s="175">
        <v>3013.1934099999999</v>
      </c>
      <c r="Y117" s="166">
        <v>562.04242555904398</v>
      </c>
      <c r="Z117" s="177">
        <v>573</v>
      </c>
      <c r="AA117" s="182">
        <v>0.98087683343637699</v>
      </c>
      <c r="AB117" s="183">
        <v>-599.40638782144504</v>
      </c>
      <c r="AC117" s="168">
        <v>1E-3</v>
      </c>
      <c r="AD117" s="168"/>
      <c r="AE117" s="176">
        <v>59</v>
      </c>
      <c r="AF117" s="176">
        <v>674</v>
      </c>
      <c r="AG117" s="167"/>
      <c r="AH117" s="180">
        <v>336.85</v>
      </c>
      <c r="AI117" s="166">
        <v>62.831675663848003</v>
      </c>
      <c r="AJ117" s="181" t="s">
        <v>53</v>
      </c>
      <c r="AK117" s="182">
        <v>0.99732818514044397</v>
      </c>
      <c r="AL117" s="183">
        <v>-60.346836409687597</v>
      </c>
      <c r="AM117" s="168">
        <v>2E-3</v>
      </c>
      <c r="AN117" s="168">
        <v>0</v>
      </c>
      <c r="AO117" s="176">
        <v>1</v>
      </c>
      <c r="AP117" s="176">
        <v>69</v>
      </c>
      <c r="AQ117" s="167"/>
      <c r="AR117" s="180">
        <v>54.6</v>
      </c>
      <c r="AS117" s="166">
        <v>10.1843832306549</v>
      </c>
      <c r="AT117" s="181" t="s">
        <v>54</v>
      </c>
      <c r="AU117" s="173">
        <v>0.63652395191593003</v>
      </c>
      <c r="AV117" s="174">
        <v>-46.275387024682601</v>
      </c>
      <c r="AW117" s="168"/>
      <c r="AX117" s="168"/>
      <c r="AY117" s="176">
        <v>32</v>
      </c>
      <c r="AZ117" s="176">
        <v>49</v>
      </c>
      <c r="BA117" s="167"/>
      <c r="BB117" s="184">
        <v>217.4</v>
      </c>
      <c r="BC117" s="180">
        <v>40.551005757222903</v>
      </c>
      <c r="BD117" s="181" t="s">
        <v>55</v>
      </c>
      <c r="BE117" s="178">
        <v>1.2672189299132199</v>
      </c>
      <c r="BF117" s="179">
        <v>15.649225950634801</v>
      </c>
      <c r="BG117" s="168">
        <v>0.02</v>
      </c>
      <c r="BH117" s="168">
        <v>0.02</v>
      </c>
      <c r="BI117" s="176">
        <v>0</v>
      </c>
      <c r="BJ117" s="176">
        <v>0</v>
      </c>
      <c r="BK117" s="169"/>
      <c r="BL117" s="185">
        <v>0.8</v>
      </c>
      <c r="BM117" s="182">
        <v>0.83</v>
      </c>
      <c r="BN117" s="186">
        <v>1.1249999999999999E-3</v>
      </c>
      <c r="BO117" s="187">
        <v>0.95</v>
      </c>
      <c r="BP117" s="178">
        <v>1</v>
      </c>
      <c r="BQ117" s="186">
        <v>2.5000000000000001E-3</v>
      </c>
    </row>
    <row r="118" spans="1:69" s="156" customFormat="1" ht="22.35" customHeight="1" x14ac:dyDescent="0.2">
      <c r="A118" s="165" t="s">
        <v>175</v>
      </c>
      <c r="B118" s="165" t="s">
        <v>176</v>
      </c>
      <c r="C118" s="165" t="s">
        <v>178</v>
      </c>
      <c r="D118" s="166">
        <v>9.7145609433333302</v>
      </c>
      <c r="E118" s="167"/>
      <c r="F118" s="168">
        <v>7.6999999999999999E-2</v>
      </c>
      <c r="G118" s="168">
        <v>7.5499999999999998E-2</v>
      </c>
      <c r="H118" s="169"/>
      <c r="I118" s="170">
        <v>6</v>
      </c>
      <c r="J118" s="170">
        <v>6</v>
      </c>
      <c r="K118" s="167"/>
      <c r="L118" s="171">
        <v>5710.6198299999996</v>
      </c>
      <c r="M118" s="171">
        <v>2373.9783699999998</v>
      </c>
      <c r="N118" s="171">
        <v>8084.5982000000004</v>
      </c>
      <c r="O118" s="166">
        <v>832.21447136508004</v>
      </c>
      <c r="P118" s="172">
        <v>242.374</v>
      </c>
      <c r="Q118" s="178">
        <v>3.4335963072156201</v>
      </c>
      <c r="R118" s="179">
        <v>5315.63917496254</v>
      </c>
      <c r="S118" s="168">
        <v>0.01</v>
      </c>
      <c r="T118" s="168">
        <v>0.01</v>
      </c>
      <c r="U118" s="175">
        <v>0</v>
      </c>
      <c r="V118" s="176">
        <v>0</v>
      </c>
      <c r="W118" s="167"/>
      <c r="X118" s="175">
        <v>6897.0737550000003</v>
      </c>
      <c r="Y118" s="166">
        <v>709.97277131017995</v>
      </c>
      <c r="Z118" s="177">
        <v>573</v>
      </c>
      <c r="AA118" s="178">
        <v>1.23904497610852</v>
      </c>
      <c r="AB118" s="179">
        <v>350.93629245672298</v>
      </c>
      <c r="AC118" s="168">
        <v>0.02</v>
      </c>
      <c r="AD118" s="168">
        <v>0.02</v>
      </c>
      <c r="AE118" s="176">
        <v>0</v>
      </c>
      <c r="AF118" s="176">
        <v>0</v>
      </c>
      <c r="AG118" s="167"/>
      <c r="AH118" s="180">
        <v>765.9</v>
      </c>
      <c r="AI118" s="166">
        <v>78.840413320542595</v>
      </c>
      <c r="AJ118" s="181" t="s">
        <v>53</v>
      </c>
      <c r="AK118" s="178">
        <v>1.2514351320721</v>
      </c>
      <c r="AL118" s="179">
        <v>46.167608830320397</v>
      </c>
      <c r="AM118" s="168">
        <v>0.02</v>
      </c>
      <c r="AN118" s="168">
        <v>0.02</v>
      </c>
      <c r="AO118" s="176">
        <v>0</v>
      </c>
      <c r="AP118" s="176">
        <v>0</v>
      </c>
      <c r="AQ118" s="167"/>
      <c r="AR118" s="180">
        <v>173.1</v>
      </c>
      <c r="AS118" s="166">
        <v>17.818612802958501</v>
      </c>
      <c r="AT118" s="181" t="s">
        <v>54</v>
      </c>
      <c r="AU118" s="182">
        <v>1.1136633001849101</v>
      </c>
      <c r="AV118" s="183">
        <v>-9.6891787097599202</v>
      </c>
      <c r="AW118" s="168">
        <v>7.0000000000000001E-3</v>
      </c>
      <c r="AX118" s="168">
        <v>5.4999999999999997E-3</v>
      </c>
      <c r="AY118" s="176">
        <v>0</v>
      </c>
      <c r="AZ118" s="176">
        <v>14</v>
      </c>
      <c r="BA118" s="167"/>
      <c r="BB118" s="184">
        <v>503.2</v>
      </c>
      <c r="BC118" s="180">
        <v>51.798532423158399</v>
      </c>
      <c r="BD118" s="181" t="s">
        <v>55</v>
      </c>
      <c r="BE118" s="178">
        <v>1.6187041382237</v>
      </c>
      <c r="BF118" s="179">
        <v>137.62164258048</v>
      </c>
      <c r="BG118" s="168">
        <v>0.02</v>
      </c>
      <c r="BH118" s="168">
        <v>0.02</v>
      </c>
      <c r="BI118" s="176">
        <v>0</v>
      </c>
      <c r="BJ118" s="176">
        <v>0</v>
      </c>
      <c r="BK118" s="169"/>
      <c r="BL118" s="185">
        <v>0.8</v>
      </c>
      <c r="BM118" s="188">
        <v>0.77</v>
      </c>
      <c r="BN118" s="186"/>
      <c r="BO118" s="187">
        <v>0.95</v>
      </c>
      <c r="BP118" s="178">
        <v>1</v>
      </c>
      <c r="BQ118" s="186">
        <v>2.5000000000000001E-3</v>
      </c>
    </row>
    <row r="119" spans="1:69" s="156" customFormat="1" ht="22.35" customHeight="1" x14ac:dyDescent="0.2">
      <c r="A119" s="165" t="s">
        <v>175</v>
      </c>
      <c r="B119" s="165" t="s">
        <v>176</v>
      </c>
      <c r="C119" s="165" t="s">
        <v>179</v>
      </c>
      <c r="D119" s="166">
        <v>2.7303992304444402</v>
      </c>
      <c r="E119" s="167"/>
      <c r="F119" s="168">
        <v>0.08</v>
      </c>
      <c r="G119" s="168">
        <v>0.08</v>
      </c>
      <c r="H119" s="169"/>
      <c r="I119" s="170">
        <v>7</v>
      </c>
      <c r="J119" s="170">
        <v>7</v>
      </c>
      <c r="K119" s="167"/>
      <c r="L119" s="171">
        <v>597.04618000000005</v>
      </c>
      <c r="M119" s="171">
        <v>2877.7980400000001</v>
      </c>
      <c r="N119" s="171">
        <v>3474.84422</v>
      </c>
      <c r="O119" s="166">
        <v>1272.65060041581</v>
      </c>
      <c r="P119" s="172">
        <v>212.5</v>
      </c>
      <c r="Q119" s="178">
        <v>5.9889440019567504</v>
      </c>
      <c r="R119" s="179">
        <v>2792.5174523119299</v>
      </c>
      <c r="S119" s="168">
        <v>0.01</v>
      </c>
      <c r="T119" s="168">
        <v>0.01</v>
      </c>
      <c r="U119" s="175">
        <v>0</v>
      </c>
      <c r="V119" s="176">
        <v>0</v>
      </c>
      <c r="W119" s="167"/>
      <c r="X119" s="175">
        <v>1971.4059</v>
      </c>
      <c r="Y119" s="166">
        <v>722.02111618640504</v>
      </c>
      <c r="Z119" s="177">
        <v>573</v>
      </c>
      <c r="AA119" s="178">
        <v>1.2600717559972201</v>
      </c>
      <c r="AB119" s="179">
        <v>131.531839363475</v>
      </c>
      <c r="AC119" s="168">
        <v>0.02</v>
      </c>
      <c r="AD119" s="168">
        <v>0.02</v>
      </c>
      <c r="AE119" s="176">
        <v>0</v>
      </c>
      <c r="AF119" s="176">
        <v>0</v>
      </c>
      <c r="AG119" s="167"/>
      <c r="AH119" s="180">
        <v>227.75</v>
      </c>
      <c r="AI119" s="166">
        <v>83.412710295456506</v>
      </c>
      <c r="AJ119" s="181" t="s">
        <v>53</v>
      </c>
      <c r="AK119" s="178">
        <v>1.3240112745310599</v>
      </c>
      <c r="AL119" s="179">
        <v>25.460181814832399</v>
      </c>
      <c r="AM119" s="168">
        <v>0.02</v>
      </c>
      <c r="AN119" s="168">
        <v>0.02</v>
      </c>
      <c r="AO119" s="176">
        <v>0</v>
      </c>
      <c r="AP119" s="176">
        <v>0</v>
      </c>
      <c r="AQ119" s="167"/>
      <c r="AR119" s="180">
        <v>66.599999999999994</v>
      </c>
      <c r="AS119" s="166">
        <v>24.392037346552801</v>
      </c>
      <c r="AT119" s="181" t="s">
        <v>54</v>
      </c>
      <c r="AU119" s="178">
        <v>1.5245023341595501</v>
      </c>
      <c r="AV119" s="179">
        <v>15.2248080799574</v>
      </c>
      <c r="AW119" s="168">
        <v>0.01</v>
      </c>
      <c r="AX119" s="168">
        <v>0.01</v>
      </c>
      <c r="AY119" s="176">
        <v>0</v>
      </c>
      <c r="AZ119" s="176">
        <v>0</v>
      </c>
      <c r="BA119" s="167"/>
      <c r="BB119" s="184">
        <v>160</v>
      </c>
      <c r="BC119" s="180">
        <v>58.599489120847601</v>
      </c>
      <c r="BD119" s="181" t="s">
        <v>55</v>
      </c>
      <c r="BE119" s="178">
        <v>1.83123403502649</v>
      </c>
      <c r="BF119" s="179">
        <v>57.2496161599149</v>
      </c>
      <c r="BG119" s="168">
        <v>0.02</v>
      </c>
      <c r="BH119" s="168">
        <v>0.02</v>
      </c>
      <c r="BI119" s="176">
        <v>0</v>
      </c>
      <c r="BJ119" s="176">
        <v>0</v>
      </c>
      <c r="BK119" s="169"/>
      <c r="BL119" s="185">
        <v>0.8</v>
      </c>
      <c r="BM119" s="182">
        <v>0.87</v>
      </c>
      <c r="BN119" s="186">
        <v>2.6250000000000002E-3</v>
      </c>
      <c r="BO119" s="187">
        <v>0.95</v>
      </c>
      <c r="BP119" s="178">
        <v>1</v>
      </c>
      <c r="BQ119" s="186">
        <v>2.5000000000000001E-3</v>
      </c>
    </row>
    <row r="120" spans="1:69" s="156" customFormat="1" ht="22.35" customHeight="1" x14ac:dyDescent="0.2">
      <c r="A120" s="165" t="s">
        <v>175</v>
      </c>
      <c r="B120" s="165" t="s">
        <v>176</v>
      </c>
      <c r="C120" s="165" t="s">
        <v>180</v>
      </c>
      <c r="D120" s="166">
        <v>3.1380264342222199</v>
      </c>
      <c r="E120" s="167"/>
      <c r="F120" s="168">
        <v>2.8000000000000001E-2</v>
      </c>
      <c r="G120" s="168">
        <v>2.5000000000000001E-2</v>
      </c>
      <c r="H120" s="169"/>
      <c r="I120" s="170">
        <v>5</v>
      </c>
      <c r="J120" s="170">
        <v>5</v>
      </c>
      <c r="K120" s="167"/>
      <c r="L120" s="171">
        <v>1366.1096500000001</v>
      </c>
      <c r="M120" s="171">
        <v>1389.5113899999999</v>
      </c>
      <c r="N120" s="171">
        <v>2755.62104</v>
      </c>
      <c r="O120" s="166">
        <v>878.13824955333598</v>
      </c>
      <c r="P120" s="172">
        <v>212.5</v>
      </c>
      <c r="Q120" s="178">
        <v>4.1324152920156996</v>
      </c>
      <c r="R120" s="179">
        <v>1971.4282340878699</v>
      </c>
      <c r="S120" s="168">
        <v>0.01</v>
      </c>
      <c r="T120" s="168">
        <v>0.01</v>
      </c>
      <c r="U120" s="175">
        <v>0</v>
      </c>
      <c r="V120" s="176">
        <v>0</v>
      </c>
      <c r="W120" s="167"/>
      <c r="X120" s="175">
        <v>1655.532655</v>
      </c>
      <c r="Y120" s="166">
        <v>527.57129033246395</v>
      </c>
      <c r="Z120" s="177">
        <v>573</v>
      </c>
      <c r="AA120" s="188">
        <v>0.92071778417533101</v>
      </c>
      <c r="AB120" s="171">
        <v>-459.020181647774</v>
      </c>
      <c r="AC120" s="168"/>
      <c r="AD120" s="168"/>
      <c r="AE120" s="176">
        <v>143</v>
      </c>
      <c r="AF120" s="176">
        <v>503</v>
      </c>
      <c r="AG120" s="167"/>
      <c r="AH120" s="180">
        <v>170.9</v>
      </c>
      <c r="AI120" s="166">
        <v>54.460981633623</v>
      </c>
      <c r="AJ120" s="181" t="s">
        <v>53</v>
      </c>
      <c r="AK120" s="188">
        <v>0.86446002593052396</v>
      </c>
      <c r="AL120" s="171">
        <v>-61.590102458655799</v>
      </c>
      <c r="AM120" s="168"/>
      <c r="AN120" s="168"/>
      <c r="AO120" s="176">
        <v>27</v>
      </c>
      <c r="AP120" s="176">
        <v>67</v>
      </c>
      <c r="AQ120" s="167"/>
      <c r="AR120" s="180">
        <v>58.1</v>
      </c>
      <c r="AS120" s="166">
        <v>18.514821725649501</v>
      </c>
      <c r="AT120" s="181" t="s">
        <v>54</v>
      </c>
      <c r="AU120" s="182">
        <v>1.15717635785309</v>
      </c>
      <c r="AV120" s="183">
        <v>-0.94510538632528795</v>
      </c>
      <c r="AW120" s="168">
        <v>8.9999999999999993E-3</v>
      </c>
      <c r="AX120" s="168">
        <v>8.0000000000000002E-3</v>
      </c>
      <c r="AY120" s="176">
        <v>0</v>
      </c>
      <c r="AZ120" s="176">
        <v>3</v>
      </c>
      <c r="BA120" s="167"/>
      <c r="BB120" s="184">
        <v>107.2</v>
      </c>
      <c r="BC120" s="180">
        <v>34.161598777790402</v>
      </c>
      <c r="BD120" s="181" t="s">
        <v>55</v>
      </c>
      <c r="BE120" s="182">
        <v>1.0675499618059501</v>
      </c>
      <c r="BF120" s="183">
        <v>-10.890210772650599</v>
      </c>
      <c r="BG120" s="168">
        <v>8.9999999999999993E-3</v>
      </c>
      <c r="BH120" s="168">
        <v>7.0000000000000001E-3</v>
      </c>
      <c r="BI120" s="176">
        <v>0</v>
      </c>
      <c r="BJ120" s="176">
        <v>14</v>
      </c>
      <c r="BK120" s="169"/>
      <c r="BL120" s="185">
        <v>0.8</v>
      </c>
      <c r="BM120" s="182">
        <v>0.86</v>
      </c>
      <c r="BN120" s="186">
        <v>2.2499999999999998E-3</v>
      </c>
      <c r="BO120" s="187">
        <v>0.95</v>
      </c>
      <c r="BP120" s="178">
        <v>1</v>
      </c>
      <c r="BQ120" s="186">
        <v>2.5000000000000001E-3</v>
      </c>
    </row>
    <row r="121" spans="1:69" s="156" customFormat="1" ht="22.35" customHeight="1" x14ac:dyDescent="0.2">
      <c r="A121" s="165" t="s">
        <v>175</v>
      </c>
      <c r="B121" s="165" t="s">
        <v>176</v>
      </c>
      <c r="C121" s="165" t="s">
        <v>181</v>
      </c>
      <c r="D121" s="166">
        <v>2.9645688838888899</v>
      </c>
      <c r="E121" s="167"/>
      <c r="F121" s="168">
        <v>0.08</v>
      </c>
      <c r="G121" s="168">
        <v>0.08</v>
      </c>
      <c r="H121" s="169"/>
      <c r="I121" s="170">
        <v>7</v>
      </c>
      <c r="J121" s="170">
        <v>7</v>
      </c>
      <c r="K121" s="167"/>
      <c r="L121" s="171">
        <v>1068.9679799999999</v>
      </c>
      <c r="M121" s="171">
        <v>-182.91369</v>
      </c>
      <c r="N121" s="171">
        <v>886.05429000000004</v>
      </c>
      <c r="O121" s="166">
        <v>298.88132969866598</v>
      </c>
      <c r="P121" s="172">
        <v>221.85</v>
      </c>
      <c r="Q121" s="178">
        <v>1.3472225814679499</v>
      </c>
      <c r="R121" s="179">
        <v>112.611312296478</v>
      </c>
      <c r="S121" s="168">
        <v>0.01</v>
      </c>
      <c r="T121" s="168">
        <v>0.01</v>
      </c>
      <c r="U121" s="175">
        <v>0</v>
      </c>
      <c r="V121" s="176">
        <v>0</v>
      </c>
      <c r="W121" s="167"/>
      <c r="X121" s="175">
        <v>2334.4388100000001</v>
      </c>
      <c r="Y121" s="166">
        <v>787.44630380715205</v>
      </c>
      <c r="Z121" s="177">
        <v>573</v>
      </c>
      <c r="AA121" s="178">
        <v>1.3742518391049801</v>
      </c>
      <c r="AB121" s="179">
        <v>336.76999672923898</v>
      </c>
      <c r="AC121" s="168">
        <v>0.02</v>
      </c>
      <c r="AD121" s="168">
        <v>0.02</v>
      </c>
      <c r="AE121" s="176">
        <v>0</v>
      </c>
      <c r="AF121" s="176">
        <v>0</v>
      </c>
      <c r="AG121" s="167"/>
      <c r="AH121" s="180">
        <v>266.89999999999998</v>
      </c>
      <c r="AI121" s="166">
        <v>90.029953916902599</v>
      </c>
      <c r="AJ121" s="181" t="s">
        <v>53</v>
      </c>
      <c r="AK121" s="178">
        <v>1.4290468875698801</v>
      </c>
      <c r="AL121" s="179">
        <v>47.2610205304399</v>
      </c>
      <c r="AM121" s="168">
        <v>0.02</v>
      </c>
      <c r="AN121" s="168">
        <v>0.02</v>
      </c>
      <c r="AO121" s="176">
        <v>0</v>
      </c>
      <c r="AP121" s="176">
        <v>0</v>
      </c>
      <c r="AQ121" s="167"/>
      <c r="AR121" s="180">
        <v>73.5</v>
      </c>
      <c r="AS121" s="166">
        <v>24.792812337550899</v>
      </c>
      <c r="AT121" s="181" t="s">
        <v>54</v>
      </c>
      <c r="AU121" s="178">
        <v>1.5495507710969301</v>
      </c>
      <c r="AV121" s="179">
        <v>17.718671880746601</v>
      </c>
      <c r="AW121" s="168">
        <v>0.01</v>
      </c>
      <c r="AX121" s="168">
        <v>0.01</v>
      </c>
      <c r="AY121" s="176">
        <v>0</v>
      </c>
      <c r="AZ121" s="176">
        <v>0</v>
      </c>
      <c r="BA121" s="167"/>
      <c r="BB121" s="184">
        <v>198</v>
      </c>
      <c r="BC121" s="180">
        <v>66.788800582790202</v>
      </c>
      <c r="BD121" s="181" t="s">
        <v>55</v>
      </c>
      <c r="BE121" s="178">
        <v>2.0871500182121898</v>
      </c>
      <c r="BF121" s="179">
        <v>86.437343761493295</v>
      </c>
      <c r="BG121" s="168">
        <v>0.02</v>
      </c>
      <c r="BH121" s="168">
        <v>0.02</v>
      </c>
      <c r="BI121" s="176">
        <v>0</v>
      </c>
      <c r="BJ121" s="176">
        <v>0</v>
      </c>
      <c r="BK121" s="169"/>
      <c r="BL121" s="185">
        <v>0.8</v>
      </c>
      <c r="BM121" s="182">
        <v>0.86</v>
      </c>
      <c r="BN121" s="186">
        <v>2.2499999999999998E-3</v>
      </c>
      <c r="BO121" s="187">
        <v>0.95</v>
      </c>
      <c r="BP121" s="178">
        <v>1</v>
      </c>
      <c r="BQ121" s="186">
        <v>2.5000000000000001E-3</v>
      </c>
    </row>
    <row r="122" spans="1:69" s="156" customFormat="1" ht="22.35" customHeight="1" x14ac:dyDescent="0.2">
      <c r="A122" s="165" t="s">
        <v>175</v>
      </c>
      <c r="B122" s="165" t="s">
        <v>176</v>
      </c>
      <c r="C122" s="165" t="s">
        <v>182</v>
      </c>
      <c r="D122" s="166">
        <v>3.25939735288889</v>
      </c>
      <c r="E122" s="167"/>
      <c r="F122" s="168">
        <v>0.03</v>
      </c>
      <c r="G122" s="168">
        <v>0.03</v>
      </c>
      <c r="H122" s="169"/>
      <c r="I122" s="170">
        <v>3</v>
      </c>
      <c r="J122" s="170">
        <v>3</v>
      </c>
      <c r="K122" s="167"/>
      <c r="L122" s="171">
        <v>1166.70171</v>
      </c>
      <c r="M122" s="171">
        <v>590.83091999999999</v>
      </c>
      <c r="N122" s="171">
        <v>1757.5326299999999</v>
      </c>
      <c r="O122" s="166">
        <v>539.22011946234602</v>
      </c>
      <c r="P122" s="172">
        <v>225.95400000000001</v>
      </c>
      <c r="Q122" s="178">
        <v>2.3864154627151799</v>
      </c>
      <c r="R122" s="179">
        <v>891.43935949780496</v>
      </c>
      <c r="S122" s="168">
        <v>0.01</v>
      </c>
      <c r="T122" s="168">
        <v>0.01</v>
      </c>
      <c r="U122" s="175">
        <v>0</v>
      </c>
      <c r="V122" s="176">
        <v>0</v>
      </c>
      <c r="W122" s="167"/>
      <c r="X122" s="175">
        <v>1743.5379</v>
      </c>
      <c r="Y122" s="166">
        <v>534.92646376933999</v>
      </c>
      <c r="Z122" s="177">
        <v>573</v>
      </c>
      <c r="AA122" s="188">
        <v>0.93355403799186698</v>
      </c>
      <c r="AB122" s="171">
        <v>-452.800487449473</v>
      </c>
      <c r="AC122" s="168"/>
      <c r="AD122" s="168"/>
      <c r="AE122" s="176">
        <v>125</v>
      </c>
      <c r="AF122" s="176">
        <v>498</v>
      </c>
      <c r="AG122" s="167"/>
      <c r="AH122" s="180">
        <v>176.75</v>
      </c>
      <c r="AI122" s="166">
        <v>54.227816023517903</v>
      </c>
      <c r="AJ122" s="181" t="s">
        <v>53</v>
      </c>
      <c r="AK122" s="188">
        <v>0.86075898450028399</v>
      </c>
      <c r="AL122" s="171">
        <v>-64.732231080832094</v>
      </c>
      <c r="AM122" s="168"/>
      <c r="AN122" s="168"/>
      <c r="AO122" s="176">
        <v>29</v>
      </c>
      <c r="AP122" s="176">
        <v>70</v>
      </c>
      <c r="AQ122" s="167"/>
      <c r="AR122" s="180">
        <v>29.1</v>
      </c>
      <c r="AS122" s="166">
        <v>8.9280308134900803</v>
      </c>
      <c r="AT122" s="181" t="s">
        <v>54</v>
      </c>
      <c r="AU122" s="173">
        <v>0.55800192584313002</v>
      </c>
      <c r="AV122" s="174">
        <v>-32.228820591957401</v>
      </c>
      <c r="AW122" s="168"/>
      <c r="AX122" s="168"/>
      <c r="AY122" s="176">
        <v>24</v>
      </c>
      <c r="AZ122" s="176">
        <v>34</v>
      </c>
      <c r="BA122" s="167"/>
      <c r="BB122" s="184">
        <v>126</v>
      </c>
      <c r="BC122" s="180">
        <v>38.657453006864301</v>
      </c>
      <c r="BD122" s="181" t="s">
        <v>55</v>
      </c>
      <c r="BE122" s="178">
        <v>1.2080454064645101</v>
      </c>
      <c r="BF122" s="179">
        <v>3.34235881608529</v>
      </c>
      <c r="BG122" s="168">
        <v>0.02</v>
      </c>
      <c r="BH122" s="168">
        <v>0.02</v>
      </c>
      <c r="BI122" s="176">
        <v>0</v>
      </c>
      <c r="BJ122" s="176">
        <v>0</v>
      </c>
      <c r="BK122" s="169"/>
      <c r="BL122" s="185">
        <v>0.8</v>
      </c>
      <c r="BM122" s="188">
        <v>0.79</v>
      </c>
      <c r="BN122" s="186"/>
      <c r="BO122" s="187">
        <v>0.95</v>
      </c>
      <c r="BP122" s="178">
        <v>1</v>
      </c>
      <c r="BQ122" s="186">
        <v>2.5000000000000001E-3</v>
      </c>
    </row>
    <row r="123" spans="1:69" s="156" customFormat="1" ht="22.35" customHeight="1" x14ac:dyDescent="0.2">
      <c r="A123" s="165" t="s">
        <v>175</v>
      </c>
      <c r="B123" s="165" t="s">
        <v>176</v>
      </c>
      <c r="C123" s="165" t="s">
        <v>183</v>
      </c>
      <c r="D123" s="166">
        <v>2.4762819977777801</v>
      </c>
      <c r="E123" s="167"/>
      <c r="F123" s="168">
        <v>2.5999999999999999E-2</v>
      </c>
      <c r="G123" s="168">
        <v>2.1999999999999999E-2</v>
      </c>
      <c r="H123" s="169"/>
      <c r="I123" s="170">
        <v>5</v>
      </c>
      <c r="J123" s="170">
        <v>5</v>
      </c>
      <c r="K123" s="167"/>
      <c r="L123" s="171">
        <v>292.65922999999998</v>
      </c>
      <c r="M123" s="171">
        <v>2009.62114</v>
      </c>
      <c r="N123" s="171">
        <v>2302.2803699999999</v>
      </c>
      <c r="O123" s="166">
        <v>929.73270898309295</v>
      </c>
      <c r="P123" s="172">
        <v>224.404</v>
      </c>
      <c r="Q123" s="178">
        <v>4.1431200378919</v>
      </c>
      <c r="R123" s="179">
        <v>1648.79176953511</v>
      </c>
      <c r="S123" s="168">
        <v>0.01</v>
      </c>
      <c r="T123" s="168">
        <v>0.01</v>
      </c>
      <c r="U123" s="175">
        <v>0</v>
      </c>
      <c r="V123" s="176">
        <v>0</v>
      </c>
      <c r="W123" s="167"/>
      <c r="X123" s="175">
        <v>1150.0958800000001</v>
      </c>
      <c r="Y123" s="166">
        <v>464.44463152100599</v>
      </c>
      <c r="Z123" s="177">
        <v>573</v>
      </c>
      <c r="AA123" s="188">
        <v>0.81054909515009699</v>
      </c>
      <c r="AB123" s="171">
        <v>-518.54179163856202</v>
      </c>
      <c r="AC123" s="168"/>
      <c r="AD123" s="168"/>
      <c r="AE123" s="176">
        <v>269</v>
      </c>
      <c r="AF123" s="176">
        <v>553</v>
      </c>
      <c r="AG123" s="167"/>
      <c r="AH123" s="180">
        <v>159</v>
      </c>
      <c r="AI123" s="166">
        <v>64.209165249631099</v>
      </c>
      <c r="AJ123" s="181" t="s">
        <v>53</v>
      </c>
      <c r="AK123" s="182">
        <v>1.0191930992004901</v>
      </c>
      <c r="AL123" s="183">
        <v>-24.462780651360202</v>
      </c>
      <c r="AM123" s="168">
        <v>4.0000000000000001E-3</v>
      </c>
      <c r="AN123" s="168">
        <v>2E-3</v>
      </c>
      <c r="AO123" s="176">
        <v>0</v>
      </c>
      <c r="AP123" s="176">
        <v>29</v>
      </c>
      <c r="AQ123" s="167"/>
      <c r="AR123" s="180">
        <v>33.9</v>
      </c>
      <c r="AS123" s="166">
        <v>13.689878628694901</v>
      </c>
      <c r="AT123" s="181" t="s">
        <v>54</v>
      </c>
      <c r="AU123" s="188">
        <v>0.85561741429343297</v>
      </c>
      <c r="AV123" s="171">
        <v>-12.6937220701867</v>
      </c>
      <c r="AW123" s="168"/>
      <c r="AX123" s="168"/>
      <c r="AY123" s="176">
        <v>6</v>
      </c>
      <c r="AZ123" s="176">
        <v>14</v>
      </c>
      <c r="BA123" s="167"/>
      <c r="BB123" s="184">
        <v>87.2</v>
      </c>
      <c r="BC123" s="180">
        <v>35.214083080300803</v>
      </c>
      <c r="BD123" s="181" t="s">
        <v>55</v>
      </c>
      <c r="BE123" s="182">
        <v>1.1004400962594001</v>
      </c>
      <c r="BF123" s="183">
        <v>-5.9874441403734098</v>
      </c>
      <c r="BG123" s="168">
        <v>1.2E-2</v>
      </c>
      <c r="BH123" s="168">
        <v>0.01</v>
      </c>
      <c r="BI123" s="176">
        <v>0</v>
      </c>
      <c r="BJ123" s="176">
        <v>8</v>
      </c>
      <c r="BK123" s="169"/>
      <c r="BL123" s="185">
        <v>0.8</v>
      </c>
      <c r="BM123" s="182">
        <v>0.84</v>
      </c>
      <c r="BN123" s="186">
        <v>1.5E-3</v>
      </c>
      <c r="BO123" s="187">
        <v>0.95</v>
      </c>
      <c r="BP123" s="178">
        <v>1</v>
      </c>
      <c r="BQ123" s="186">
        <v>2.5000000000000001E-3</v>
      </c>
    </row>
    <row r="124" spans="1:69" s="156" customFormat="1" ht="22.35" customHeight="1" x14ac:dyDescent="0.2">
      <c r="A124" s="165" t="s">
        <v>175</v>
      </c>
      <c r="B124" s="165" t="s">
        <v>176</v>
      </c>
      <c r="C124" s="165" t="s">
        <v>184</v>
      </c>
      <c r="D124" s="166">
        <v>6.49187964211111</v>
      </c>
      <c r="E124" s="167"/>
      <c r="F124" s="168">
        <v>1.2999999999999999E-2</v>
      </c>
      <c r="G124" s="168">
        <v>8.9999999999999993E-3</v>
      </c>
      <c r="H124" s="169"/>
      <c r="I124" s="170">
        <v>4</v>
      </c>
      <c r="J124" s="170">
        <v>4</v>
      </c>
      <c r="K124" s="167"/>
      <c r="L124" s="171">
        <v>2527.58772</v>
      </c>
      <c r="M124" s="171">
        <v>-864.38458000000003</v>
      </c>
      <c r="N124" s="171">
        <v>1663.2031400000001</v>
      </c>
      <c r="O124" s="166">
        <v>256.197470022586</v>
      </c>
      <c r="P124" s="172">
        <v>272.23099999999999</v>
      </c>
      <c r="Q124" s="188">
        <v>0.94110321757105697</v>
      </c>
      <c r="R124" s="171">
        <v>-415.13094293742199</v>
      </c>
      <c r="S124" s="168"/>
      <c r="T124" s="168"/>
      <c r="U124" s="175">
        <v>105</v>
      </c>
      <c r="V124" s="176">
        <v>458</v>
      </c>
      <c r="W124" s="167"/>
      <c r="X124" s="175">
        <v>3814.8952049999998</v>
      </c>
      <c r="Y124" s="166">
        <v>587.64108629706902</v>
      </c>
      <c r="Z124" s="177">
        <v>573</v>
      </c>
      <c r="AA124" s="182">
        <v>1.0255516340263</v>
      </c>
      <c r="AB124" s="183">
        <v>-559.64490807728703</v>
      </c>
      <c r="AC124" s="168">
        <v>5.0000000000000001E-3</v>
      </c>
      <c r="AD124" s="168">
        <v>3.0000000000000001E-3</v>
      </c>
      <c r="AE124" s="176">
        <v>0</v>
      </c>
      <c r="AF124" s="176">
        <v>649</v>
      </c>
      <c r="AG124" s="167"/>
      <c r="AH124" s="180">
        <v>229.4</v>
      </c>
      <c r="AI124" s="166">
        <v>35.336453022317698</v>
      </c>
      <c r="AJ124" s="181" t="s">
        <v>53</v>
      </c>
      <c r="AK124" s="173">
        <v>0.56089607971932898</v>
      </c>
      <c r="AL124" s="174">
        <v>-251.570378924728</v>
      </c>
      <c r="AM124" s="168"/>
      <c r="AN124" s="168"/>
      <c r="AO124" s="176">
        <v>180</v>
      </c>
      <c r="AP124" s="176">
        <v>262</v>
      </c>
      <c r="AQ124" s="167"/>
      <c r="AR124" s="180">
        <v>56.8</v>
      </c>
      <c r="AS124" s="166">
        <v>8.7493920299374306</v>
      </c>
      <c r="AT124" s="181" t="s">
        <v>54</v>
      </c>
      <c r="AU124" s="173">
        <v>0.54683700187108897</v>
      </c>
      <c r="AV124" s="174">
        <v>-65.351207345962607</v>
      </c>
      <c r="AW124" s="168"/>
      <c r="AX124" s="168"/>
      <c r="AY124" s="176">
        <v>48</v>
      </c>
      <c r="AZ124" s="176">
        <v>68</v>
      </c>
      <c r="BA124" s="167"/>
      <c r="BB124" s="184">
        <v>220.6</v>
      </c>
      <c r="BC124" s="180">
        <v>33.980913412045702</v>
      </c>
      <c r="BD124" s="181" t="s">
        <v>55</v>
      </c>
      <c r="BE124" s="182">
        <v>1.06190354412643</v>
      </c>
      <c r="BF124" s="183">
        <v>-23.702414691925298</v>
      </c>
      <c r="BG124" s="168">
        <v>8.0000000000000002E-3</v>
      </c>
      <c r="BH124" s="168">
        <v>6.0000000000000001E-3</v>
      </c>
      <c r="BI124" s="176">
        <v>0</v>
      </c>
      <c r="BJ124" s="176">
        <v>29</v>
      </c>
      <c r="BK124" s="169"/>
      <c r="BL124" s="185">
        <v>0.8</v>
      </c>
      <c r="BM124" s="182">
        <v>0.81</v>
      </c>
      <c r="BN124" s="186">
        <v>3.7500000000000001E-4</v>
      </c>
      <c r="BO124" s="187">
        <v>0.95</v>
      </c>
      <c r="BP124" s="178">
        <v>1</v>
      </c>
      <c r="BQ124" s="186">
        <v>2.5000000000000001E-3</v>
      </c>
    </row>
    <row r="125" spans="1:69" s="156" customFormat="1" ht="22.35" customHeight="1" x14ac:dyDescent="0.2">
      <c r="A125" s="165" t="s">
        <v>175</v>
      </c>
      <c r="B125" s="165" t="s">
        <v>176</v>
      </c>
      <c r="C125" s="165" t="s">
        <v>185</v>
      </c>
      <c r="D125" s="166">
        <v>2.7823128829999999</v>
      </c>
      <c r="E125" s="167"/>
      <c r="F125" s="168">
        <v>0.03</v>
      </c>
      <c r="G125" s="168">
        <v>2.9000000000000001E-2</v>
      </c>
      <c r="H125" s="169"/>
      <c r="I125" s="170">
        <v>4</v>
      </c>
      <c r="J125" s="170">
        <v>4</v>
      </c>
      <c r="K125" s="167"/>
      <c r="L125" s="171">
        <v>387.42970000000003</v>
      </c>
      <c r="M125" s="171">
        <v>765.93589999999995</v>
      </c>
      <c r="N125" s="171">
        <v>1153.3656000000001</v>
      </c>
      <c r="O125" s="166">
        <v>414.53483073276601</v>
      </c>
      <c r="P125" s="172">
        <v>278.23599999999999</v>
      </c>
      <c r="Q125" s="178">
        <v>1.4898677048719999</v>
      </c>
      <c r="R125" s="179">
        <v>242.97742179828001</v>
      </c>
      <c r="S125" s="168">
        <v>0.01</v>
      </c>
      <c r="T125" s="168">
        <v>0.01</v>
      </c>
      <c r="U125" s="175">
        <v>0</v>
      </c>
      <c r="V125" s="176">
        <v>0</v>
      </c>
      <c r="W125" s="167"/>
      <c r="X125" s="175">
        <v>1358.782275</v>
      </c>
      <c r="Y125" s="166">
        <v>488.36429694956098</v>
      </c>
      <c r="Z125" s="177">
        <v>573</v>
      </c>
      <c r="AA125" s="188">
        <v>0.85229371195385795</v>
      </c>
      <c r="AB125" s="171">
        <v>-516.073696583784</v>
      </c>
      <c r="AC125" s="168"/>
      <c r="AD125" s="168"/>
      <c r="AE125" s="176">
        <v>236</v>
      </c>
      <c r="AF125" s="176">
        <v>555</v>
      </c>
      <c r="AG125" s="167"/>
      <c r="AH125" s="180">
        <v>139.85</v>
      </c>
      <c r="AI125" s="166">
        <v>50.263937192142201</v>
      </c>
      <c r="AJ125" s="181" t="s">
        <v>53</v>
      </c>
      <c r="AK125" s="188">
        <v>0.79784027289114501</v>
      </c>
      <c r="AL125" s="171">
        <v>-66.285996875704001</v>
      </c>
      <c r="AM125" s="168"/>
      <c r="AN125" s="168"/>
      <c r="AO125" s="176">
        <v>36</v>
      </c>
      <c r="AP125" s="176">
        <v>71</v>
      </c>
      <c r="AQ125" s="167"/>
      <c r="AR125" s="180">
        <v>21.1</v>
      </c>
      <c r="AS125" s="166">
        <v>7.5836186968480499</v>
      </c>
      <c r="AT125" s="181" t="s">
        <v>54</v>
      </c>
      <c r="AU125" s="173">
        <v>0.47397616855300301</v>
      </c>
      <c r="AV125" s="174">
        <v>-31.251999206528001</v>
      </c>
      <c r="AW125" s="168"/>
      <c r="AX125" s="168"/>
      <c r="AY125" s="176">
        <v>24</v>
      </c>
      <c r="AZ125" s="176">
        <v>33</v>
      </c>
      <c r="BA125" s="167"/>
      <c r="BB125" s="184">
        <v>106</v>
      </c>
      <c r="BC125" s="180">
        <v>38.097800088431001</v>
      </c>
      <c r="BD125" s="181" t="s">
        <v>55</v>
      </c>
      <c r="BE125" s="178">
        <v>1.1905562527634701</v>
      </c>
      <c r="BF125" s="179">
        <v>1.29600158694399</v>
      </c>
      <c r="BG125" s="168">
        <v>0.02</v>
      </c>
      <c r="BH125" s="168">
        <v>1.9E-2</v>
      </c>
      <c r="BI125" s="176">
        <v>0</v>
      </c>
      <c r="BJ125" s="176">
        <v>1</v>
      </c>
      <c r="BK125" s="169"/>
      <c r="BL125" s="185">
        <v>0.8</v>
      </c>
      <c r="BM125" s="182">
        <v>0.84</v>
      </c>
      <c r="BN125" s="186">
        <v>1.5E-3</v>
      </c>
      <c r="BO125" s="187">
        <v>0.95</v>
      </c>
      <c r="BP125" s="178">
        <v>1</v>
      </c>
      <c r="BQ125" s="186">
        <v>2.5000000000000001E-3</v>
      </c>
    </row>
    <row r="126" spans="1:69" s="156" customFormat="1" ht="22.35" customHeight="1" x14ac:dyDescent="0.2">
      <c r="A126" s="165" t="s">
        <v>175</v>
      </c>
      <c r="B126" s="165" t="s">
        <v>176</v>
      </c>
      <c r="C126" s="165" t="s">
        <v>186</v>
      </c>
      <c r="D126" s="166">
        <v>6.3293904736666704</v>
      </c>
      <c r="E126" s="167"/>
      <c r="F126" s="168">
        <v>2.3E-2</v>
      </c>
      <c r="G126" s="168">
        <v>2.1000000000000001E-2</v>
      </c>
      <c r="H126" s="169"/>
      <c r="I126" s="170">
        <v>3</v>
      </c>
      <c r="J126" s="170">
        <v>3</v>
      </c>
      <c r="K126" s="167"/>
      <c r="L126" s="171">
        <v>2434.8150999999998</v>
      </c>
      <c r="M126" s="171">
        <v>893.31460000000004</v>
      </c>
      <c r="N126" s="171">
        <v>3328.1297</v>
      </c>
      <c r="O126" s="166">
        <v>525.8215169133</v>
      </c>
      <c r="P126" s="172">
        <v>213.245</v>
      </c>
      <c r="Q126" s="178">
        <v>2.4658093597191</v>
      </c>
      <c r="R126" s="179">
        <v>1740.8697150489099</v>
      </c>
      <c r="S126" s="168">
        <v>0.01</v>
      </c>
      <c r="T126" s="168">
        <v>0.01</v>
      </c>
      <c r="U126" s="175">
        <v>0</v>
      </c>
      <c r="V126" s="176">
        <v>0</v>
      </c>
      <c r="W126" s="167"/>
      <c r="X126" s="175">
        <v>3158.5967049999999</v>
      </c>
      <c r="Y126" s="166">
        <v>499.03647407144399</v>
      </c>
      <c r="Z126" s="177">
        <v>573</v>
      </c>
      <c r="AA126" s="188">
        <v>0.87091880291700496</v>
      </c>
      <c r="AB126" s="171">
        <v>-1106.4504068993399</v>
      </c>
      <c r="AC126" s="168"/>
      <c r="AD126" s="168"/>
      <c r="AE126" s="176">
        <v>469</v>
      </c>
      <c r="AF126" s="176">
        <v>1194</v>
      </c>
      <c r="AG126" s="167"/>
      <c r="AH126" s="180">
        <v>259.2</v>
      </c>
      <c r="AI126" s="166">
        <v>40.951810617214697</v>
      </c>
      <c r="AJ126" s="181" t="s">
        <v>53</v>
      </c>
      <c r="AK126" s="173">
        <v>0.65002873995578803</v>
      </c>
      <c r="AL126" s="174">
        <v>-209.731881413016</v>
      </c>
      <c r="AM126" s="168"/>
      <c r="AN126" s="168"/>
      <c r="AO126" s="176">
        <v>140</v>
      </c>
      <c r="AP126" s="176">
        <v>220</v>
      </c>
      <c r="AQ126" s="167"/>
      <c r="AR126" s="180">
        <v>85.9</v>
      </c>
      <c r="AS126" s="166">
        <v>13.571606990813001</v>
      </c>
      <c r="AT126" s="181" t="s">
        <v>54</v>
      </c>
      <c r="AU126" s="188">
        <v>0.84822543692581498</v>
      </c>
      <c r="AV126" s="171">
        <v>-33.193811152511998</v>
      </c>
      <c r="AW126" s="168"/>
      <c r="AX126" s="168"/>
      <c r="AY126" s="176">
        <v>16</v>
      </c>
      <c r="AZ126" s="176">
        <v>36</v>
      </c>
      <c r="BA126" s="167"/>
      <c r="BB126" s="184">
        <v>224.6</v>
      </c>
      <c r="BC126" s="180">
        <v>35.485249477725397</v>
      </c>
      <c r="BD126" s="181" t="s">
        <v>55</v>
      </c>
      <c r="BE126" s="182">
        <v>1.10891404617892</v>
      </c>
      <c r="BF126" s="183">
        <v>-13.5876223050241</v>
      </c>
      <c r="BG126" s="168">
        <v>1.2999999999999999E-2</v>
      </c>
      <c r="BH126" s="168">
        <v>1.0999999999999999E-2</v>
      </c>
      <c r="BI126" s="176">
        <v>0</v>
      </c>
      <c r="BJ126" s="176">
        <v>19</v>
      </c>
      <c r="BK126" s="169"/>
      <c r="BL126" s="185">
        <v>0.8</v>
      </c>
      <c r="BM126" s="188">
        <v>0.74</v>
      </c>
      <c r="BN126" s="186"/>
      <c r="BO126" s="187">
        <v>0.95</v>
      </c>
      <c r="BP126" s="178">
        <v>1</v>
      </c>
      <c r="BQ126" s="186">
        <v>2.5000000000000001E-3</v>
      </c>
    </row>
    <row r="127" spans="1:69" s="156" customFormat="1" ht="22.35" customHeight="1" x14ac:dyDescent="0.2">
      <c r="A127" s="165" t="s">
        <v>175</v>
      </c>
      <c r="B127" s="165" t="s">
        <v>187</v>
      </c>
      <c r="C127" s="165" t="s">
        <v>188</v>
      </c>
      <c r="D127" s="166">
        <v>2.9213564213333298</v>
      </c>
      <c r="E127" s="167"/>
      <c r="F127" s="168">
        <v>5.5E-2</v>
      </c>
      <c r="G127" s="168">
        <v>5.0999999999999997E-2</v>
      </c>
      <c r="H127" s="169"/>
      <c r="I127" s="170">
        <v>6</v>
      </c>
      <c r="J127" s="170">
        <v>6</v>
      </c>
      <c r="K127" s="167"/>
      <c r="L127" s="171">
        <v>1450.0682099999999</v>
      </c>
      <c r="M127" s="171">
        <v>1117.6569400000001</v>
      </c>
      <c r="N127" s="171">
        <v>2567.7251500000002</v>
      </c>
      <c r="O127" s="166">
        <v>878.94963149620298</v>
      </c>
      <c r="P127" s="172">
        <v>212.5</v>
      </c>
      <c r="Q127" s="178">
        <v>4.1362335599821298</v>
      </c>
      <c r="R127" s="179">
        <v>1837.6781803087999</v>
      </c>
      <c r="S127" s="168">
        <v>0.01</v>
      </c>
      <c r="T127" s="168">
        <v>0.01</v>
      </c>
      <c r="U127" s="175">
        <v>0</v>
      </c>
      <c r="V127" s="176">
        <v>0</v>
      </c>
      <c r="W127" s="167"/>
      <c r="X127" s="175">
        <v>1976.26314</v>
      </c>
      <c r="Y127" s="166">
        <v>676.48819759487503</v>
      </c>
      <c r="Z127" s="177">
        <v>573</v>
      </c>
      <c r="AA127" s="178">
        <v>1.18060767468565</v>
      </c>
      <c r="AB127" s="179">
        <v>7.7129581973786099</v>
      </c>
      <c r="AC127" s="168">
        <v>0.02</v>
      </c>
      <c r="AD127" s="168">
        <v>1.7999999999999999E-2</v>
      </c>
      <c r="AE127" s="176">
        <v>0</v>
      </c>
      <c r="AF127" s="176">
        <v>33</v>
      </c>
      <c r="AG127" s="167"/>
      <c r="AH127" s="180">
        <v>190</v>
      </c>
      <c r="AI127" s="166">
        <v>65.038281057565101</v>
      </c>
      <c r="AJ127" s="181" t="s">
        <v>53</v>
      </c>
      <c r="AK127" s="182">
        <v>1.0323536675803999</v>
      </c>
      <c r="AL127" s="183">
        <v>-26.437454543743701</v>
      </c>
      <c r="AM127" s="168">
        <v>5.0000000000000001E-3</v>
      </c>
      <c r="AN127" s="168">
        <v>3.0000000000000001E-3</v>
      </c>
      <c r="AO127" s="176">
        <v>0</v>
      </c>
      <c r="AP127" s="176">
        <v>31</v>
      </c>
      <c r="AQ127" s="167"/>
      <c r="AR127" s="180">
        <v>17.399999999999999</v>
      </c>
      <c r="AS127" s="166">
        <v>5.9561373179033303</v>
      </c>
      <c r="AT127" s="181" t="s">
        <v>54</v>
      </c>
      <c r="AU127" s="173">
        <v>0.37225858236895798</v>
      </c>
      <c r="AV127" s="174">
        <v>-37.568242423807902</v>
      </c>
      <c r="AW127" s="168"/>
      <c r="AX127" s="168"/>
      <c r="AY127" s="176">
        <v>30</v>
      </c>
      <c r="AZ127" s="176">
        <v>39</v>
      </c>
      <c r="BA127" s="167"/>
      <c r="BB127" s="184">
        <v>126.4</v>
      </c>
      <c r="BC127" s="180">
        <v>43.267572240401201</v>
      </c>
      <c r="BD127" s="181" t="s">
        <v>55</v>
      </c>
      <c r="BE127" s="178">
        <v>1.35211163251254</v>
      </c>
      <c r="BF127" s="179">
        <v>16.463515152384101</v>
      </c>
      <c r="BG127" s="168">
        <v>0.02</v>
      </c>
      <c r="BH127" s="168">
        <v>0.02</v>
      </c>
      <c r="BI127" s="176">
        <v>0</v>
      </c>
      <c r="BJ127" s="176">
        <v>0</v>
      </c>
      <c r="BK127" s="169"/>
      <c r="BL127" s="185">
        <v>0.8</v>
      </c>
      <c r="BM127" s="182">
        <v>0.85</v>
      </c>
      <c r="BN127" s="186">
        <v>1.8749999999999999E-3</v>
      </c>
      <c r="BO127" s="187">
        <v>0.95</v>
      </c>
      <c r="BP127" s="178">
        <v>1</v>
      </c>
      <c r="BQ127" s="186">
        <v>2.5000000000000001E-3</v>
      </c>
    </row>
    <row r="128" spans="1:69" s="156" customFormat="1" ht="22.35" customHeight="1" x14ac:dyDescent="0.2">
      <c r="A128" s="165" t="s">
        <v>175</v>
      </c>
      <c r="B128" s="165" t="s">
        <v>187</v>
      </c>
      <c r="C128" s="165" t="s">
        <v>189</v>
      </c>
      <c r="D128" s="166">
        <v>8.5281722426666704</v>
      </c>
      <c r="E128" s="167"/>
      <c r="F128" s="168">
        <v>0.04</v>
      </c>
      <c r="G128" s="168">
        <v>0.04</v>
      </c>
      <c r="H128" s="169"/>
      <c r="I128" s="170">
        <v>5</v>
      </c>
      <c r="J128" s="170">
        <v>5</v>
      </c>
      <c r="K128" s="167"/>
      <c r="L128" s="171">
        <v>9000.1027400000003</v>
      </c>
      <c r="M128" s="171">
        <v>3131.3516399999999</v>
      </c>
      <c r="N128" s="171">
        <v>12131.454379999999</v>
      </c>
      <c r="O128" s="166">
        <v>1422.5151691127901</v>
      </c>
      <c r="P128" s="172">
        <v>246.12100000000001</v>
      </c>
      <c r="Q128" s="178">
        <v>5.7797391084579903</v>
      </c>
      <c r="R128" s="179">
        <v>9663.0747380880603</v>
      </c>
      <c r="S128" s="168">
        <v>0.01</v>
      </c>
      <c r="T128" s="168">
        <v>0.01</v>
      </c>
      <c r="U128" s="175">
        <v>0</v>
      </c>
      <c r="V128" s="176">
        <v>0</v>
      </c>
      <c r="W128" s="167"/>
      <c r="X128" s="175">
        <v>4402.8476149999997</v>
      </c>
      <c r="Y128" s="166">
        <v>516.27095346086503</v>
      </c>
      <c r="Z128" s="177">
        <v>573</v>
      </c>
      <c r="AA128" s="188">
        <v>0.90099642837847205</v>
      </c>
      <c r="AB128" s="171">
        <v>-1343.8441943764501</v>
      </c>
      <c r="AC128" s="168"/>
      <c r="AD128" s="168"/>
      <c r="AE128" s="176">
        <v>484</v>
      </c>
      <c r="AF128" s="176">
        <v>1462</v>
      </c>
      <c r="AG128" s="167"/>
      <c r="AH128" s="180">
        <v>406.05</v>
      </c>
      <c r="AI128" s="166">
        <v>47.612781314209499</v>
      </c>
      <c r="AJ128" s="181" t="s">
        <v>53</v>
      </c>
      <c r="AK128" s="173">
        <v>0.75575843355888195</v>
      </c>
      <c r="AL128" s="174">
        <v>-225.78522511468799</v>
      </c>
      <c r="AM128" s="168"/>
      <c r="AN128" s="168"/>
      <c r="AO128" s="176">
        <v>132</v>
      </c>
      <c r="AP128" s="176">
        <v>239</v>
      </c>
      <c r="AQ128" s="167"/>
      <c r="AR128" s="180">
        <v>205.6</v>
      </c>
      <c r="AS128" s="166">
        <v>24.1083310878007</v>
      </c>
      <c r="AT128" s="181" t="s">
        <v>54</v>
      </c>
      <c r="AU128" s="178">
        <v>1.50677069298755</v>
      </c>
      <c r="AV128" s="179">
        <v>45.133911081983896</v>
      </c>
      <c r="AW128" s="168">
        <v>0.01</v>
      </c>
      <c r="AX128" s="168">
        <v>0.01</v>
      </c>
      <c r="AY128" s="176">
        <v>0</v>
      </c>
      <c r="AZ128" s="176">
        <v>0</v>
      </c>
      <c r="BA128" s="167"/>
      <c r="BB128" s="184">
        <v>436.2</v>
      </c>
      <c r="BC128" s="180">
        <v>51.1481226677951</v>
      </c>
      <c r="BD128" s="181" t="s">
        <v>55</v>
      </c>
      <c r="BE128" s="178">
        <v>1.5983788333686</v>
      </c>
      <c r="BF128" s="179">
        <v>115.26782216396801</v>
      </c>
      <c r="BG128" s="168">
        <v>0.02</v>
      </c>
      <c r="BH128" s="168">
        <v>0.02</v>
      </c>
      <c r="BI128" s="176">
        <v>0</v>
      </c>
      <c r="BJ128" s="176">
        <v>0</v>
      </c>
      <c r="BK128" s="169"/>
      <c r="BL128" s="185">
        <v>0.8</v>
      </c>
      <c r="BM128" s="182">
        <v>0.81</v>
      </c>
      <c r="BN128" s="186">
        <v>3.7500000000000001E-4</v>
      </c>
      <c r="BO128" s="187">
        <v>0.95</v>
      </c>
      <c r="BP128" s="178">
        <v>1</v>
      </c>
      <c r="BQ128" s="186">
        <v>2.5000000000000001E-3</v>
      </c>
    </row>
    <row r="129" spans="1:69" s="156" customFormat="1" ht="22.35" customHeight="1" x14ac:dyDescent="0.2">
      <c r="A129" s="165" t="s">
        <v>175</v>
      </c>
      <c r="B129" s="165" t="s">
        <v>187</v>
      </c>
      <c r="C129" s="165" t="s">
        <v>187</v>
      </c>
      <c r="D129" s="166">
        <v>4.1541729739999997</v>
      </c>
      <c r="E129" s="167"/>
      <c r="F129" s="168">
        <v>0.08</v>
      </c>
      <c r="G129" s="168">
        <v>7.6999999999999999E-2</v>
      </c>
      <c r="H129" s="169"/>
      <c r="I129" s="170">
        <v>7</v>
      </c>
      <c r="J129" s="170">
        <v>7</v>
      </c>
      <c r="K129" s="167"/>
      <c r="L129" s="171">
        <v>2166.03784</v>
      </c>
      <c r="M129" s="171">
        <v>2773.3206700000001</v>
      </c>
      <c r="N129" s="171">
        <v>4939.35851</v>
      </c>
      <c r="O129" s="166">
        <v>1189.01127635134</v>
      </c>
      <c r="P129" s="172">
        <v>212.5</v>
      </c>
      <c r="Q129" s="178">
        <v>5.5953471828298396</v>
      </c>
      <c r="R129" s="179">
        <v>3901.2306837974002</v>
      </c>
      <c r="S129" s="168">
        <v>0.01</v>
      </c>
      <c r="T129" s="168">
        <v>0.01</v>
      </c>
      <c r="U129" s="175">
        <v>0</v>
      </c>
      <c r="V129" s="176">
        <v>0</v>
      </c>
      <c r="W129" s="167"/>
      <c r="X129" s="175">
        <v>2879.62228</v>
      </c>
      <c r="Y129" s="166">
        <v>693.18786146433604</v>
      </c>
      <c r="Z129" s="177">
        <v>573</v>
      </c>
      <c r="AA129" s="178">
        <v>1.2097519397283301</v>
      </c>
      <c r="AB129" s="179">
        <v>80.3411298160472</v>
      </c>
      <c r="AC129" s="168">
        <v>0.02</v>
      </c>
      <c r="AD129" s="168">
        <v>0.02</v>
      </c>
      <c r="AE129" s="176">
        <v>0</v>
      </c>
      <c r="AF129" s="176">
        <v>0</v>
      </c>
      <c r="AG129" s="167"/>
      <c r="AH129" s="180">
        <v>307</v>
      </c>
      <c r="AI129" s="166">
        <v>73.9015929094531</v>
      </c>
      <c r="AJ129" s="181" t="s">
        <v>53</v>
      </c>
      <c r="AK129" s="178">
        <v>1.17304115729291</v>
      </c>
      <c r="AL129" s="179">
        <v>-0.77436729771204704</v>
      </c>
      <c r="AM129" s="168">
        <v>0.02</v>
      </c>
      <c r="AN129" s="168">
        <v>1.7000000000000001E-2</v>
      </c>
      <c r="AO129" s="176">
        <v>0</v>
      </c>
      <c r="AP129" s="176">
        <v>8</v>
      </c>
      <c r="AQ129" s="167"/>
      <c r="AR129" s="180">
        <v>105.8</v>
      </c>
      <c r="AS129" s="166">
        <v>25.468366546645399</v>
      </c>
      <c r="AT129" s="181" t="s">
        <v>54</v>
      </c>
      <c r="AU129" s="178">
        <v>1.5917729091653401</v>
      </c>
      <c r="AV129" s="179">
        <v>27.635081321215999</v>
      </c>
      <c r="AW129" s="168">
        <v>0.01</v>
      </c>
      <c r="AX129" s="168">
        <v>0.01</v>
      </c>
      <c r="AY129" s="176">
        <v>0</v>
      </c>
      <c r="AZ129" s="176">
        <v>0</v>
      </c>
      <c r="BA129" s="167"/>
      <c r="BB129" s="184">
        <v>248.8</v>
      </c>
      <c r="BC129" s="180">
        <v>59.891584090788001</v>
      </c>
      <c r="BD129" s="181" t="s">
        <v>55</v>
      </c>
      <c r="BE129" s="178">
        <v>1.8716120028371299</v>
      </c>
      <c r="BF129" s="179">
        <v>92.470162642432001</v>
      </c>
      <c r="BG129" s="168">
        <v>0.02</v>
      </c>
      <c r="BH129" s="168">
        <v>0.02</v>
      </c>
      <c r="BI129" s="176">
        <v>0</v>
      </c>
      <c r="BJ129" s="176">
        <v>0</v>
      </c>
      <c r="BK129" s="169"/>
      <c r="BL129" s="185">
        <v>0.8</v>
      </c>
      <c r="BM129" s="182">
        <v>0.83</v>
      </c>
      <c r="BN129" s="186">
        <v>1.1249999999999999E-3</v>
      </c>
      <c r="BO129" s="187">
        <v>0.95</v>
      </c>
      <c r="BP129" s="178">
        <v>1</v>
      </c>
      <c r="BQ129" s="186">
        <v>2.5000000000000001E-3</v>
      </c>
    </row>
    <row r="130" spans="1:69" s="156" customFormat="1" ht="22.35" customHeight="1" x14ac:dyDescent="0.2">
      <c r="A130" s="165" t="s">
        <v>175</v>
      </c>
      <c r="B130" s="165" t="s">
        <v>187</v>
      </c>
      <c r="C130" s="165" t="s">
        <v>190</v>
      </c>
      <c r="D130" s="166">
        <v>3.1974210582222198</v>
      </c>
      <c r="E130" s="167"/>
      <c r="F130" s="168">
        <v>0.03</v>
      </c>
      <c r="G130" s="168">
        <v>0.03</v>
      </c>
      <c r="H130" s="169"/>
      <c r="I130" s="170">
        <v>4</v>
      </c>
      <c r="J130" s="170">
        <v>4</v>
      </c>
      <c r="K130" s="167"/>
      <c r="L130" s="171">
        <v>1131.03747</v>
      </c>
      <c r="M130" s="171">
        <v>2315.1093000000001</v>
      </c>
      <c r="N130" s="171">
        <v>3446.1467699999998</v>
      </c>
      <c r="O130" s="166">
        <v>1077.78947697182</v>
      </c>
      <c r="P130" s="172">
        <v>212.5</v>
      </c>
      <c r="Q130" s="178">
        <v>5.0719504798673896</v>
      </c>
      <c r="R130" s="179">
        <v>2647.11124755027</v>
      </c>
      <c r="S130" s="168">
        <v>0.01</v>
      </c>
      <c r="T130" s="168">
        <v>0.01</v>
      </c>
      <c r="U130" s="175">
        <v>0</v>
      </c>
      <c r="V130" s="176">
        <v>0</v>
      </c>
      <c r="W130" s="167"/>
      <c r="X130" s="175">
        <v>1338.0501650000001</v>
      </c>
      <c r="Y130" s="166">
        <v>418.47793601007999</v>
      </c>
      <c r="Z130" s="177">
        <v>573</v>
      </c>
      <c r="AA130" s="173">
        <v>0.73032798605598503</v>
      </c>
      <c r="AB130" s="174">
        <v>-816.52562024092595</v>
      </c>
      <c r="AC130" s="168"/>
      <c r="AD130" s="168"/>
      <c r="AE130" s="176">
        <v>495</v>
      </c>
      <c r="AF130" s="176">
        <v>861</v>
      </c>
      <c r="AG130" s="167"/>
      <c r="AH130" s="180">
        <v>111.5</v>
      </c>
      <c r="AI130" s="166">
        <v>34.871853900278701</v>
      </c>
      <c r="AJ130" s="181" t="s">
        <v>53</v>
      </c>
      <c r="AK130" s="173">
        <v>0.55352149048061505</v>
      </c>
      <c r="AL130" s="174">
        <v>-125.39053136156799</v>
      </c>
      <c r="AM130" s="168"/>
      <c r="AN130" s="168"/>
      <c r="AO130" s="176">
        <v>90</v>
      </c>
      <c r="AP130" s="176">
        <v>131</v>
      </c>
      <c r="AQ130" s="167"/>
      <c r="AR130" s="180">
        <v>28</v>
      </c>
      <c r="AS130" s="166">
        <v>8.7570574816843507</v>
      </c>
      <c r="AT130" s="181" t="s">
        <v>54</v>
      </c>
      <c r="AU130" s="173">
        <v>0.54731609260527203</v>
      </c>
      <c r="AV130" s="174">
        <v>-32.162674631509297</v>
      </c>
      <c r="AW130" s="168"/>
      <c r="AX130" s="168"/>
      <c r="AY130" s="176">
        <v>24</v>
      </c>
      <c r="AZ130" s="176">
        <v>34</v>
      </c>
      <c r="BA130" s="167"/>
      <c r="BB130" s="184">
        <v>127</v>
      </c>
      <c r="BC130" s="180">
        <v>39.719510720496899</v>
      </c>
      <c r="BD130" s="181" t="s">
        <v>55</v>
      </c>
      <c r="BE130" s="178">
        <v>1.2412347100155301</v>
      </c>
      <c r="BF130" s="179">
        <v>6.6746507369814303</v>
      </c>
      <c r="BG130" s="168">
        <v>0.02</v>
      </c>
      <c r="BH130" s="168">
        <v>0.02</v>
      </c>
      <c r="BI130" s="176">
        <v>0</v>
      </c>
      <c r="BJ130" s="176">
        <v>0</v>
      </c>
      <c r="BK130" s="169"/>
      <c r="BL130" s="185">
        <v>0.8</v>
      </c>
      <c r="BM130" s="182">
        <v>0.81</v>
      </c>
      <c r="BN130" s="186">
        <v>3.7500000000000001E-4</v>
      </c>
      <c r="BO130" s="187">
        <v>0.95</v>
      </c>
      <c r="BP130" s="178">
        <v>1</v>
      </c>
      <c r="BQ130" s="186">
        <v>2.5000000000000001E-3</v>
      </c>
    </row>
    <row r="131" spans="1:69" s="156" customFormat="1" ht="22.35" customHeight="1" x14ac:dyDescent="0.2">
      <c r="A131" s="165" t="s">
        <v>175</v>
      </c>
      <c r="B131" s="165" t="s">
        <v>187</v>
      </c>
      <c r="C131" s="165" t="s">
        <v>191</v>
      </c>
      <c r="D131" s="166">
        <v>3.6646238142222201</v>
      </c>
      <c r="E131" s="167"/>
      <c r="F131" s="168">
        <v>3.5999999999999997E-2</v>
      </c>
      <c r="G131" s="168">
        <v>3.1E-2</v>
      </c>
      <c r="H131" s="169"/>
      <c r="I131" s="170">
        <v>5</v>
      </c>
      <c r="J131" s="170">
        <v>5</v>
      </c>
      <c r="K131" s="167"/>
      <c r="L131" s="171">
        <v>568.03377</v>
      </c>
      <c r="M131" s="171">
        <v>1243.75821</v>
      </c>
      <c r="N131" s="171">
        <v>1811.79198</v>
      </c>
      <c r="O131" s="166">
        <v>494.40053654853301</v>
      </c>
      <c r="P131" s="172">
        <v>212.5</v>
      </c>
      <c r="Q131" s="178">
        <v>2.32659076022839</v>
      </c>
      <c r="R131" s="179">
        <v>896.00248882586698</v>
      </c>
      <c r="S131" s="168">
        <v>0.01</v>
      </c>
      <c r="T131" s="168">
        <v>0.01</v>
      </c>
      <c r="U131" s="175">
        <v>0</v>
      </c>
      <c r="V131" s="176">
        <v>0</v>
      </c>
      <c r="W131" s="167"/>
      <c r="X131" s="175">
        <v>2022.1221700000001</v>
      </c>
      <c r="Y131" s="166">
        <v>551.79529264429402</v>
      </c>
      <c r="Z131" s="177">
        <v>573</v>
      </c>
      <c r="AA131" s="188">
        <v>0.96299352992023401</v>
      </c>
      <c r="AB131" s="171">
        <v>-447.27725796601402</v>
      </c>
      <c r="AC131" s="168"/>
      <c r="AD131" s="168"/>
      <c r="AE131" s="176">
        <v>78</v>
      </c>
      <c r="AF131" s="176">
        <v>498</v>
      </c>
      <c r="AG131" s="167"/>
      <c r="AH131" s="180">
        <v>245.8</v>
      </c>
      <c r="AI131" s="166">
        <v>67.073733201771603</v>
      </c>
      <c r="AJ131" s="181" t="s">
        <v>53</v>
      </c>
      <c r="AK131" s="182">
        <v>1.06466243177415</v>
      </c>
      <c r="AL131" s="183">
        <v>-25.7046491480958</v>
      </c>
      <c r="AM131" s="168">
        <v>8.9999999999999993E-3</v>
      </c>
      <c r="AN131" s="168">
        <v>6.0000000000000001E-3</v>
      </c>
      <c r="AO131" s="176">
        <v>0</v>
      </c>
      <c r="AP131" s="176">
        <v>32</v>
      </c>
      <c r="AQ131" s="167"/>
      <c r="AR131" s="180">
        <v>43.9</v>
      </c>
      <c r="AS131" s="166">
        <v>11.979401495353001</v>
      </c>
      <c r="AT131" s="181" t="s">
        <v>54</v>
      </c>
      <c r="AU131" s="173">
        <v>0.74871259345956398</v>
      </c>
      <c r="AV131" s="174">
        <v>-25.053561688405299</v>
      </c>
      <c r="AW131" s="168"/>
      <c r="AX131" s="168"/>
      <c r="AY131" s="176">
        <v>15</v>
      </c>
      <c r="AZ131" s="176">
        <v>27</v>
      </c>
      <c r="BA131" s="167"/>
      <c r="BB131" s="184">
        <v>134.6</v>
      </c>
      <c r="BC131" s="180">
        <v>36.7295544709457</v>
      </c>
      <c r="BD131" s="181" t="s">
        <v>55</v>
      </c>
      <c r="BE131" s="182">
        <v>1.14779857721705</v>
      </c>
      <c r="BF131" s="183">
        <v>-3.3071233768105799</v>
      </c>
      <c r="BG131" s="168">
        <v>1.7000000000000001E-2</v>
      </c>
      <c r="BH131" s="168">
        <v>1.4999999999999999E-2</v>
      </c>
      <c r="BI131" s="176">
        <v>0</v>
      </c>
      <c r="BJ131" s="176">
        <v>7</v>
      </c>
      <c r="BK131" s="169"/>
      <c r="BL131" s="185">
        <v>0.8</v>
      </c>
      <c r="BM131" s="182">
        <v>0.84</v>
      </c>
      <c r="BN131" s="186">
        <v>1.5E-3</v>
      </c>
      <c r="BO131" s="187">
        <v>0.95</v>
      </c>
      <c r="BP131" s="178">
        <v>1</v>
      </c>
      <c r="BQ131" s="186">
        <v>2.5000000000000001E-3</v>
      </c>
    </row>
    <row r="132" spans="1:69" s="156" customFormat="1" ht="22.35" customHeight="1" x14ac:dyDescent="0.2">
      <c r="A132" s="165" t="s">
        <v>175</v>
      </c>
      <c r="B132" s="165" t="s">
        <v>187</v>
      </c>
      <c r="C132" s="165" t="s">
        <v>192</v>
      </c>
      <c r="D132" s="166">
        <v>2.8205915805555599</v>
      </c>
      <c r="E132" s="167"/>
      <c r="F132" s="168">
        <v>0.05</v>
      </c>
      <c r="G132" s="168">
        <v>0.05</v>
      </c>
      <c r="H132" s="169"/>
      <c r="I132" s="170">
        <v>4</v>
      </c>
      <c r="J132" s="170">
        <v>4</v>
      </c>
      <c r="K132" s="167"/>
      <c r="L132" s="171">
        <v>1173.58097</v>
      </c>
      <c r="M132" s="171">
        <v>520.91251999999997</v>
      </c>
      <c r="N132" s="171">
        <v>1694.4934900000001</v>
      </c>
      <c r="O132" s="166">
        <v>600.75818905559004</v>
      </c>
      <c r="P132" s="172">
        <v>212.5</v>
      </c>
      <c r="Q132" s="178">
        <v>2.8270973602615999</v>
      </c>
      <c r="R132" s="179">
        <v>989.62765401916602</v>
      </c>
      <c r="S132" s="168">
        <v>0.01</v>
      </c>
      <c r="T132" s="168">
        <v>0.01</v>
      </c>
      <c r="U132" s="175">
        <v>0</v>
      </c>
      <c r="V132" s="176">
        <v>0</v>
      </c>
      <c r="W132" s="167"/>
      <c r="X132" s="175">
        <v>1490.257165</v>
      </c>
      <c r="Y132" s="166">
        <v>528.34915032486595</v>
      </c>
      <c r="Z132" s="177">
        <v>573</v>
      </c>
      <c r="AA132" s="188">
        <v>0.92207530597707899</v>
      </c>
      <c r="AB132" s="171">
        <v>-410.39283037420302</v>
      </c>
      <c r="AC132" s="168"/>
      <c r="AD132" s="168"/>
      <c r="AE132" s="176">
        <v>126</v>
      </c>
      <c r="AF132" s="176">
        <v>450</v>
      </c>
      <c r="AG132" s="167"/>
      <c r="AH132" s="180">
        <v>230.15</v>
      </c>
      <c r="AI132" s="166">
        <v>81.596357865702998</v>
      </c>
      <c r="AJ132" s="181" t="s">
        <v>53</v>
      </c>
      <c r="AK132" s="178">
        <v>1.2951802835825901</v>
      </c>
      <c r="AL132" s="179">
        <v>21.178010979799701</v>
      </c>
      <c r="AM132" s="168">
        <v>0.02</v>
      </c>
      <c r="AN132" s="168">
        <v>0.02</v>
      </c>
      <c r="AO132" s="176">
        <v>0</v>
      </c>
      <c r="AP132" s="176">
        <v>0</v>
      </c>
      <c r="AQ132" s="167"/>
      <c r="AR132" s="180">
        <v>44.2</v>
      </c>
      <c r="AS132" s="166">
        <v>15.6704715084252</v>
      </c>
      <c r="AT132" s="181" t="s">
        <v>54</v>
      </c>
      <c r="AU132" s="188">
        <v>0.97940446927657798</v>
      </c>
      <c r="AV132" s="171">
        <v>-8.8722511797334107</v>
      </c>
      <c r="AW132" s="168">
        <v>0</v>
      </c>
      <c r="AX132" s="168"/>
      <c r="AY132" s="176">
        <v>1</v>
      </c>
      <c r="AZ132" s="176">
        <v>10</v>
      </c>
      <c r="BA132" s="167"/>
      <c r="BB132" s="184">
        <v>141</v>
      </c>
      <c r="BC132" s="180">
        <v>49.989513182985597</v>
      </c>
      <c r="BD132" s="181" t="s">
        <v>55</v>
      </c>
      <c r="BE132" s="178">
        <v>1.5621722869682999</v>
      </c>
      <c r="BF132" s="179">
        <v>34.855497640533201</v>
      </c>
      <c r="BG132" s="168">
        <v>0.02</v>
      </c>
      <c r="BH132" s="168">
        <v>0.02</v>
      </c>
      <c r="BI132" s="176">
        <v>0</v>
      </c>
      <c r="BJ132" s="176">
        <v>0</v>
      </c>
      <c r="BK132" s="169"/>
      <c r="BL132" s="185">
        <v>0.8</v>
      </c>
      <c r="BM132" s="188">
        <v>0.8</v>
      </c>
      <c r="BN132" s="186">
        <v>0</v>
      </c>
      <c r="BO132" s="187">
        <v>0.95</v>
      </c>
      <c r="BP132" s="178">
        <v>1</v>
      </c>
      <c r="BQ132" s="186">
        <v>2.5000000000000001E-3</v>
      </c>
    </row>
    <row r="133" spans="1:69" s="156" customFormat="1" ht="22.35" customHeight="1" x14ac:dyDescent="0.2">
      <c r="A133" s="165" t="s">
        <v>175</v>
      </c>
      <c r="B133" s="165" t="s">
        <v>187</v>
      </c>
      <c r="C133" s="165" t="s">
        <v>193</v>
      </c>
      <c r="D133" s="166">
        <v>1.9545245414444401</v>
      </c>
      <c r="E133" s="167"/>
      <c r="F133" s="168">
        <v>6.2E-2</v>
      </c>
      <c r="G133" s="168">
        <v>0.06</v>
      </c>
      <c r="H133" s="169"/>
      <c r="I133" s="170">
        <v>6</v>
      </c>
      <c r="J133" s="170">
        <v>6</v>
      </c>
      <c r="K133" s="167"/>
      <c r="L133" s="171">
        <v>910.93538000000001</v>
      </c>
      <c r="M133" s="171">
        <v>665.45952999999997</v>
      </c>
      <c r="N133" s="171">
        <v>1576.39491</v>
      </c>
      <c r="O133" s="166">
        <v>806.53625808914296</v>
      </c>
      <c r="P133" s="172">
        <v>212.5</v>
      </c>
      <c r="Q133" s="178">
        <v>3.79546474394891</v>
      </c>
      <c r="R133" s="179">
        <v>1087.95922709303</v>
      </c>
      <c r="S133" s="168">
        <v>0.01</v>
      </c>
      <c r="T133" s="168">
        <v>0.01</v>
      </c>
      <c r="U133" s="175">
        <v>0</v>
      </c>
      <c r="V133" s="176">
        <v>0</v>
      </c>
      <c r="W133" s="167"/>
      <c r="X133" s="175">
        <v>1852.24875</v>
      </c>
      <c r="Y133" s="166">
        <v>947.672290996735</v>
      </c>
      <c r="Z133" s="177">
        <v>573</v>
      </c>
      <c r="AA133" s="178">
        <v>1.65387834379884</v>
      </c>
      <c r="AB133" s="179">
        <v>535.19629679674699</v>
      </c>
      <c r="AC133" s="168">
        <v>0.02</v>
      </c>
      <c r="AD133" s="168">
        <v>0.02</v>
      </c>
      <c r="AE133" s="176">
        <v>0</v>
      </c>
      <c r="AF133" s="176">
        <v>0</v>
      </c>
      <c r="AG133" s="167"/>
      <c r="AH133" s="180">
        <v>135.30000000000001</v>
      </c>
      <c r="AI133" s="166">
        <v>69.2239964917554</v>
      </c>
      <c r="AJ133" s="181" t="s">
        <v>53</v>
      </c>
      <c r="AK133" s="182">
        <v>1.0987935951072301</v>
      </c>
      <c r="AL133" s="183">
        <v>-9.5068142265356208</v>
      </c>
      <c r="AM133" s="168">
        <v>1.2E-2</v>
      </c>
      <c r="AN133" s="168">
        <v>0.01</v>
      </c>
      <c r="AO133" s="176">
        <v>0</v>
      </c>
      <c r="AP133" s="176">
        <v>13</v>
      </c>
      <c r="AQ133" s="167"/>
      <c r="AR133" s="180">
        <v>29.7</v>
      </c>
      <c r="AS133" s="166">
        <v>15.1955114250195</v>
      </c>
      <c r="AT133" s="181" t="s">
        <v>54</v>
      </c>
      <c r="AU133" s="188">
        <v>0.94971946406371699</v>
      </c>
      <c r="AV133" s="171">
        <v>-7.0763337718185797</v>
      </c>
      <c r="AW133" s="168"/>
      <c r="AX133" s="168"/>
      <c r="AY133" s="176">
        <v>2</v>
      </c>
      <c r="AZ133" s="176">
        <v>8</v>
      </c>
      <c r="BA133" s="167"/>
      <c r="BB133" s="184">
        <v>104.6</v>
      </c>
      <c r="BC133" s="180">
        <v>53.516851685422097</v>
      </c>
      <c r="BD133" s="181" t="s">
        <v>55</v>
      </c>
      <c r="BE133" s="178">
        <v>1.6724016151694401</v>
      </c>
      <c r="BF133" s="179">
        <v>31.047332456362899</v>
      </c>
      <c r="BG133" s="168">
        <v>0.02</v>
      </c>
      <c r="BH133" s="168">
        <v>0.02</v>
      </c>
      <c r="BI133" s="176">
        <v>0</v>
      </c>
      <c r="BJ133" s="176">
        <v>0</v>
      </c>
      <c r="BK133" s="169"/>
      <c r="BL133" s="185">
        <v>0.8</v>
      </c>
      <c r="BM133" s="182">
        <v>0.89</v>
      </c>
      <c r="BN133" s="186">
        <v>3.375E-3</v>
      </c>
      <c r="BO133" s="187">
        <v>0.95</v>
      </c>
      <c r="BP133" s="178">
        <v>1</v>
      </c>
      <c r="BQ133" s="186">
        <v>2.5000000000000001E-3</v>
      </c>
    </row>
    <row r="134" spans="1:69" s="156" customFormat="1" ht="22.35" customHeight="1" x14ac:dyDescent="0.2">
      <c r="A134" s="165" t="s">
        <v>175</v>
      </c>
      <c r="B134" s="165" t="s">
        <v>187</v>
      </c>
      <c r="C134" s="165" t="s">
        <v>194</v>
      </c>
      <c r="D134" s="166">
        <v>5.99043692788889</v>
      </c>
      <c r="E134" s="167"/>
      <c r="F134" s="168">
        <v>3.3000000000000002E-2</v>
      </c>
      <c r="G134" s="168">
        <v>2.9000000000000001E-2</v>
      </c>
      <c r="H134" s="169"/>
      <c r="I134" s="170">
        <v>5</v>
      </c>
      <c r="J134" s="170">
        <v>5</v>
      </c>
      <c r="K134" s="167"/>
      <c r="L134" s="171">
        <v>3021.2061600000002</v>
      </c>
      <c r="M134" s="171">
        <v>-370.25308000000001</v>
      </c>
      <c r="N134" s="171">
        <v>2650.9530800000002</v>
      </c>
      <c r="O134" s="166">
        <v>442.53083905421101</v>
      </c>
      <c r="P134" s="172">
        <v>212.5</v>
      </c>
      <c r="Q134" s="178">
        <v>2.0824980661374601</v>
      </c>
      <c r="R134" s="179">
        <v>1153.9428917205701</v>
      </c>
      <c r="S134" s="168">
        <v>0.01</v>
      </c>
      <c r="T134" s="168">
        <v>0.01</v>
      </c>
      <c r="U134" s="175">
        <v>0</v>
      </c>
      <c r="V134" s="176">
        <v>0</v>
      </c>
      <c r="W134" s="167"/>
      <c r="X134" s="175">
        <v>2470.6591400000002</v>
      </c>
      <c r="Y134" s="166">
        <v>412.43387915456998</v>
      </c>
      <c r="Z134" s="177">
        <v>573</v>
      </c>
      <c r="AA134" s="173">
        <v>0.71977989381251295</v>
      </c>
      <c r="AB134" s="174">
        <v>-1565.98480298407</v>
      </c>
      <c r="AC134" s="168"/>
      <c r="AD134" s="168"/>
      <c r="AE134" s="176">
        <v>962</v>
      </c>
      <c r="AF134" s="176">
        <v>1649</v>
      </c>
      <c r="AG134" s="167"/>
      <c r="AH134" s="180">
        <v>386.4</v>
      </c>
      <c r="AI134" s="166">
        <v>64.502807499915093</v>
      </c>
      <c r="AJ134" s="181" t="s">
        <v>53</v>
      </c>
      <c r="AK134" s="182">
        <v>1.02385408730024</v>
      </c>
      <c r="AL134" s="183">
        <v>-57.419491113432002</v>
      </c>
      <c r="AM134" s="168">
        <v>4.0000000000000001E-3</v>
      </c>
      <c r="AN134" s="168">
        <v>2E-3</v>
      </c>
      <c r="AO134" s="176">
        <v>0</v>
      </c>
      <c r="AP134" s="176">
        <v>67</v>
      </c>
      <c r="AQ134" s="167"/>
      <c r="AR134" s="180">
        <v>65.900000000000006</v>
      </c>
      <c r="AS134" s="166">
        <v>11.000867014090099</v>
      </c>
      <c r="AT134" s="181" t="s">
        <v>54</v>
      </c>
      <c r="AU134" s="173">
        <v>0.68755418838062998</v>
      </c>
      <c r="AV134" s="174">
        <v>-46.816061235157299</v>
      </c>
      <c r="AW134" s="168"/>
      <c r="AX134" s="168"/>
      <c r="AY134" s="176">
        <v>30</v>
      </c>
      <c r="AZ134" s="176">
        <v>50</v>
      </c>
      <c r="BA134" s="167"/>
      <c r="BB134" s="184">
        <v>224.2</v>
      </c>
      <c r="BC134" s="180">
        <v>37.426318430333801</v>
      </c>
      <c r="BD134" s="181" t="s">
        <v>55</v>
      </c>
      <c r="BE134" s="182">
        <v>1.1695724509479299</v>
      </c>
      <c r="BF134" s="183">
        <v>-1.23212247031469</v>
      </c>
      <c r="BG134" s="168">
        <v>1.9E-2</v>
      </c>
      <c r="BH134" s="168">
        <v>1.7000000000000001E-2</v>
      </c>
      <c r="BI134" s="176">
        <v>0</v>
      </c>
      <c r="BJ134" s="176">
        <v>6</v>
      </c>
      <c r="BK134" s="169"/>
      <c r="BL134" s="185">
        <v>0.8</v>
      </c>
      <c r="BM134" s="182">
        <v>0.84</v>
      </c>
      <c r="BN134" s="186">
        <v>1.5E-3</v>
      </c>
      <c r="BO134" s="187">
        <v>0.95</v>
      </c>
      <c r="BP134" s="178">
        <v>1</v>
      </c>
      <c r="BQ134" s="186">
        <v>2.5000000000000001E-3</v>
      </c>
    </row>
    <row r="135" spans="1:69" s="156" customFormat="1" ht="22.35" customHeight="1" x14ac:dyDescent="0.2">
      <c r="A135" s="165" t="s">
        <v>175</v>
      </c>
      <c r="B135" s="165" t="s">
        <v>187</v>
      </c>
      <c r="C135" s="165" t="s">
        <v>195</v>
      </c>
      <c r="D135" s="166">
        <v>3.8731675344444398</v>
      </c>
      <c r="E135" s="167"/>
      <c r="F135" s="168">
        <v>6.6000000000000003E-2</v>
      </c>
      <c r="G135" s="168">
        <v>6.25E-2</v>
      </c>
      <c r="H135" s="169"/>
      <c r="I135" s="170">
        <v>6</v>
      </c>
      <c r="J135" s="170">
        <v>6</v>
      </c>
      <c r="K135" s="167"/>
      <c r="L135" s="171">
        <v>884.96117000000004</v>
      </c>
      <c r="M135" s="171">
        <v>91.92653</v>
      </c>
      <c r="N135" s="171">
        <v>976.8877</v>
      </c>
      <c r="O135" s="166">
        <v>252.21932470321701</v>
      </c>
      <c r="P135" s="172">
        <v>212.5</v>
      </c>
      <c r="Q135" s="178">
        <v>1.18691446919161</v>
      </c>
      <c r="R135" s="179">
        <v>8.9831331423345109</v>
      </c>
      <c r="S135" s="168">
        <v>0.01</v>
      </c>
      <c r="T135" s="168">
        <v>9.4999999999999998E-3</v>
      </c>
      <c r="U135" s="175">
        <v>0</v>
      </c>
      <c r="V135" s="176">
        <v>11</v>
      </c>
      <c r="W135" s="167"/>
      <c r="X135" s="175">
        <v>2671.8047750000001</v>
      </c>
      <c r="Y135" s="166">
        <v>689.82422041891698</v>
      </c>
      <c r="Z135" s="177">
        <v>573</v>
      </c>
      <c r="AA135" s="178">
        <v>1.20388171102778</v>
      </c>
      <c r="AB135" s="179">
        <v>61.8785782496834</v>
      </c>
      <c r="AC135" s="168">
        <v>0.02</v>
      </c>
      <c r="AD135" s="168">
        <v>0.02</v>
      </c>
      <c r="AE135" s="176">
        <v>0</v>
      </c>
      <c r="AF135" s="176">
        <v>0</v>
      </c>
      <c r="AG135" s="167"/>
      <c r="AH135" s="180">
        <v>276.7</v>
      </c>
      <c r="AI135" s="166">
        <v>71.440235295602605</v>
      </c>
      <c r="AJ135" s="181" t="s">
        <v>53</v>
      </c>
      <c r="AK135" s="182">
        <v>1.13397198881909</v>
      </c>
      <c r="AL135" s="183">
        <v>-10.2552362919196</v>
      </c>
      <c r="AM135" s="168">
        <v>1.6E-2</v>
      </c>
      <c r="AN135" s="168">
        <v>1.2999999999999999E-2</v>
      </c>
      <c r="AO135" s="176">
        <v>0</v>
      </c>
      <c r="AP135" s="176">
        <v>17</v>
      </c>
      <c r="AQ135" s="167"/>
      <c r="AR135" s="180">
        <v>59.8</v>
      </c>
      <c r="AS135" s="166">
        <v>15.4395593446947</v>
      </c>
      <c r="AT135" s="181" t="s">
        <v>54</v>
      </c>
      <c r="AU135" s="188">
        <v>0.96497245904342099</v>
      </c>
      <c r="AV135" s="171">
        <v>-13.077520328106599</v>
      </c>
      <c r="AW135" s="168"/>
      <c r="AX135" s="168"/>
      <c r="AY135" s="176">
        <v>3</v>
      </c>
      <c r="AZ135" s="176">
        <v>15</v>
      </c>
      <c r="BA135" s="167"/>
      <c r="BB135" s="184">
        <v>214.8</v>
      </c>
      <c r="BC135" s="180">
        <v>55.458484067565699</v>
      </c>
      <c r="BD135" s="181" t="s">
        <v>55</v>
      </c>
      <c r="BE135" s="178">
        <v>1.7330776271114301</v>
      </c>
      <c r="BF135" s="179">
        <v>69.0449593437869</v>
      </c>
      <c r="BG135" s="168">
        <v>0.02</v>
      </c>
      <c r="BH135" s="168">
        <v>0.02</v>
      </c>
      <c r="BI135" s="176">
        <v>0</v>
      </c>
      <c r="BJ135" s="176">
        <v>0</v>
      </c>
      <c r="BK135" s="169"/>
      <c r="BL135" s="185">
        <v>0.8</v>
      </c>
      <c r="BM135" s="182">
        <v>0.87</v>
      </c>
      <c r="BN135" s="186">
        <v>2.6250000000000002E-3</v>
      </c>
      <c r="BO135" s="187">
        <v>0.95</v>
      </c>
      <c r="BP135" s="178">
        <v>1</v>
      </c>
      <c r="BQ135" s="186">
        <v>2.5000000000000001E-3</v>
      </c>
    </row>
    <row r="136" spans="1:69" s="156" customFormat="1" ht="22.35" customHeight="1" x14ac:dyDescent="0.2">
      <c r="A136" s="165" t="s">
        <v>175</v>
      </c>
      <c r="B136" s="165" t="s">
        <v>187</v>
      </c>
      <c r="C136" s="165" t="s">
        <v>196</v>
      </c>
      <c r="D136" s="166">
        <v>2.7806430641111102</v>
      </c>
      <c r="E136" s="167"/>
      <c r="F136" s="168">
        <v>3.1E-2</v>
      </c>
      <c r="G136" s="168">
        <v>2.8000000000000001E-2</v>
      </c>
      <c r="H136" s="169"/>
      <c r="I136" s="170">
        <v>4</v>
      </c>
      <c r="J136" s="170">
        <v>4</v>
      </c>
      <c r="K136" s="167"/>
      <c r="L136" s="171">
        <v>965.81035999999995</v>
      </c>
      <c r="M136" s="171">
        <v>-483.12119999999999</v>
      </c>
      <c r="N136" s="171">
        <v>482.68916000000002</v>
      </c>
      <c r="O136" s="166">
        <v>173.589039970616</v>
      </c>
      <c r="P136" s="172">
        <v>212.5</v>
      </c>
      <c r="Q136" s="188">
        <v>0.81688959986172205</v>
      </c>
      <c r="R136" s="171">
        <v>-212.19354172136599</v>
      </c>
      <c r="S136" s="168"/>
      <c r="T136" s="168"/>
      <c r="U136" s="175">
        <v>109</v>
      </c>
      <c r="V136" s="176">
        <v>227</v>
      </c>
      <c r="W136" s="167"/>
      <c r="X136" s="175">
        <v>1726.07482</v>
      </c>
      <c r="Y136" s="166">
        <v>620.74663313602002</v>
      </c>
      <c r="Z136" s="177">
        <v>573</v>
      </c>
      <c r="AA136" s="182">
        <v>1.0833274574799701</v>
      </c>
      <c r="AB136" s="183">
        <v>-147.65594746514299</v>
      </c>
      <c r="AC136" s="168">
        <v>1.0999999999999999E-2</v>
      </c>
      <c r="AD136" s="168">
        <v>8.0000000000000002E-3</v>
      </c>
      <c r="AE136" s="176">
        <v>0</v>
      </c>
      <c r="AF136" s="176">
        <v>186</v>
      </c>
      <c r="AG136" s="167"/>
      <c r="AH136" s="180">
        <v>149.85</v>
      </c>
      <c r="AI136" s="166">
        <v>53.890411874169303</v>
      </c>
      <c r="AJ136" s="181" t="s">
        <v>53</v>
      </c>
      <c r="AK136" s="188">
        <v>0.855403363082053</v>
      </c>
      <c r="AL136" s="171">
        <v>-56.162283333863897</v>
      </c>
      <c r="AM136" s="168"/>
      <c r="AN136" s="168"/>
      <c r="AO136" s="176">
        <v>26</v>
      </c>
      <c r="AP136" s="176">
        <v>61</v>
      </c>
      <c r="AQ136" s="167"/>
      <c r="AR136" s="180">
        <v>12</v>
      </c>
      <c r="AS136" s="166">
        <v>4.3155484984319799</v>
      </c>
      <c r="AT136" s="181" t="s">
        <v>54</v>
      </c>
      <c r="AU136" s="173">
        <v>0.26972178115199902</v>
      </c>
      <c r="AV136" s="174">
        <v>-40.320579894314598</v>
      </c>
      <c r="AW136" s="168"/>
      <c r="AX136" s="168"/>
      <c r="AY136" s="176">
        <v>33</v>
      </c>
      <c r="AZ136" s="176">
        <v>42</v>
      </c>
      <c r="BA136" s="167"/>
      <c r="BB136" s="184">
        <v>109.6</v>
      </c>
      <c r="BC136" s="180">
        <v>39.415342952345398</v>
      </c>
      <c r="BD136" s="181" t="s">
        <v>55</v>
      </c>
      <c r="BE136" s="178">
        <v>1.2317294672607899</v>
      </c>
      <c r="BF136" s="179">
        <v>4.9588402113707097</v>
      </c>
      <c r="BG136" s="168">
        <v>0.02</v>
      </c>
      <c r="BH136" s="168">
        <v>0.02</v>
      </c>
      <c r="BI136" s="176">
        <v>0</v>
      </c>
      <c r="BJ136" s="176">
        <v>0</v>
      </c>
      <c r="BK136" s="169"/>
      <c r="BL136" s="185">
        <v>0.8</v>
      </c>
      <c r="BM136" s="182">
        <v>0.81</v>
      </c>
      <c r="BN136" s="186">
        <v>3.7500000000000001E-4</v>
      </c>
      <c r="BO136" s="187">
        <v>0.95</v>
      </c>
      <c r="BP136" s="178">
        <v>1</v>
      </c>
      <c r="BQ136" s="186">
        <v>2.5000000000000001E-3</v>
      </c>
    </row>
    <row r="137" spans="1:69" s="156" customFormat="1" ht="22.35" customHeight="1" x14ac:dyDescent="0.2">
      <c r="A137" s="165" t="s">
        <v>175</v>
      </c>
      <c r="B137" s="165" t="s">
        <v>187</v>
      </c>
      <c r="C137" s="165" t="s">
        <v>197</v>
      </c>
      <c r="D137" s="166">
        <v>8.6991771745555599</v>
      </c>
      <c r="E137" s="167"/>
      <c r="F137" s="168">
        <v>2.4E-2</v>
      </c>
      <c r="G137" s="168">
        <v>2.1000000000000001E-2</v>
      </c>
      <c r="H137" s="169"/>
      <c r="I137" s="170">
        <v>4</v>
      </c>
      <c r="J137" s="170">
        <v>4</v>
      </c>
      <c r="K137" s="167"/>
      <c r="L137" s="171">
        <v>5962.80278</v>
      </c>
      <c r="M137" s="171">
        <v>2765.9605299999998</v>
      </c>
      <c r="N137" s="171">
        <v>8728.7633100000003</v>
      </c>
      <c r="O137" s="166">
        <v>1003.40102688459</v>
      </c>
      <c r="P137" s="172">
        <v>226.98400000000001</v>
      </c>
      <c r="Q137" s="178">
        <v>4.42058042366242</v>
      </c>
      <c r="R137" s="179">
        <v>6406.6642486157598</v>
      </c>
      <c r="S137" s="168">
        <v>0.01</v>
      </c>
      <c r="T137" s="168">
        <v>0.01</v>
      </c>
      <c r="U137" s="175">
        <v>0</v>
      </c>
      <c r="V137" s="176">
        <v>0</v>
      </c>
      <c r="W137" s="167"/>
      <c r="X137" s="175">
        <v>4702.1999249999999</v>
      </c>
      <c r="Y137" s="166">
        <v>540.53387241653002</v>
      </c>
      <c r="Z137" s="177">
        <v>573</v>
      </c>
      <c r="AA137" s="188">
        <v>0.94334009147736397</v>
      </c>
      <c r="AB137" s="171">
        <v>-1159.7232157199201</v>
      </c>
      <c r="AC137" s="168"/>
      <c r="AD137" s="168"/>
      <c r="AE137" s="176">
        <v>283</v>
      </c>
      <c r="AF137" s="176">
        <v>1280</v>
      </c>
      <c r="AG137" s="167"/>
      <c r="AH137" s="180">
        <v>410.5</v>
      </c>
      <c r="AI137" s="166">
        <v>47.188371010614901</v>
      </c>
      <c r="AJ137" s="181" t="s">
        <v>53</v>
      </c>
      <c r="AK137" s="173">
        <v>0.749021762073252</v>
      </c>
      <c r="AL137" s="174">
        <v>-234.004638508472</v>
      </c>
      <c r="AM137" s="168"/>
      <c r="AN137" s="168"/>
      <c r="AO137" s="176">
        <v>138</v>
      </c>
      <c r="AP137" s="176">
        <v>248</v>
      </c>
      <c r="AQ137" s="167"/>
      <c r="AR137" s="180">
        <v>83.4</v>
      </c>
      <c r="AS137" s="166">
        <v>9.5871136231066494</v>
      </c>
      <c r="AT137" s="181" t="s">
        <v>54</v>
      </c>
      <c r="AU137" s="173">
        <v>0.59919460144416603</v>
      </c>
      <c r="AV137" s="174">
        <v>-80.283717716437394</v>
      </c>
      <c r="AW137" s="168"/>
      <c r="AX137" s="168"/>
      <c r="AY137" s="176">
        <v>56</v>
      </c>
      <c r="AZ137" s="176">
        <v>84</v>
      </c>
      <c r="BA137" s="167"/>
      <c r="BB137" s="184">
        <v>309.8</v>
      </c>
      <c r="BC137" s="180">
        <v>35.612563554417797</v>
      </c>
      <c r="BD137" s="181" t="s">
        <v>55</v>
      </c>
      <c r="BE137" s="182">
        <v>1.1128926110755499</v>
      </c>
      <c r="BF137" s="183">
        <v>-17.567435432874799</v>
      </c>
      <c r="BG137" s="168">
        <v>1.4E-2</v>
      </c>
      <c r="BH137" s="168">
        <v>1.0999999999999999E-2</v>
      </c>
      <c r="BI137" s="176">
        <v>0</v>
      </c>
      <c r="BJ137" s="176">
        <v>25</v>
      </c>
      <c r="BK137" s="169"/>
      <c r="BL137" s="185">
        <v>0.8</v>
      </c>
      <c r="BM137" s="182">
        <v>0.84</v>
      </c>
      <c r="BN137" s="186">
        <v>1.5E-3</v>
      </c>
      <c r="BO137" s="187">
        <v>0.95</v>
      </c>
      <c r="BP137" s="178">
        <v>1</v>
      </c>
      <c r="BQ137" s="186">
        <v>2.5000000000000001E-3</v>
      </c>
    </row>
    <row r="138" spans="1:69" s="156" customFormat="1" ht="22.35" customHeight="1" x14ac:dyDescent="0.2">
      <c r="A138" s="165" t="s">
        <v>175</v>
      </c>
      <c r="B138" s="165" t="s">
        <v>187</v>
      </c>
      <c r="C138" s="165" t="s">
        <v>198</v>
      </c>
      <c r="D138" s="166">
        <v>2.92608844211111</v>
      </c>
      <c r="E138" s="167"/>
      <c r="F138" s="168">
        <v>0.08</v>
      </c>
      <c r="G138" s="168">
        <v>7.9500000000000001E-2</v>
      </c>
      <c r="H138" s="169"/>
      <c r="I138" s="170">
        <v>6</v>
      </c>
      <c r="J138" s="170">
        <v>6</v>
      </c>
      <c r="K138" s="167"/>
      <c r="L138" s="171">
        <v>5235.9536200000002</v>
      </c>
      <c r="M138" s="171">
        <v>623.87639000000001</v>
      </c>
      <c r="N138" s="171">
        <v>5859.8300099999997</v>
      </c>
      <c r="O138" s="166">
        <v>2002.61547999289</v>
      </c>
      <c r="P138" s="172">
        <v>212.5</v>
      </c>
      <c r="Q138" s="178">
        <v>9.4240728470253696</v>
      </c>
      <c r="R138" s="179">
        <v>5128.60050831643</v>
      </c>
      <c r="S138" s="168">
        <v>0.01</v>
      </c>
      <c r="T138" s="168">
        <v>0.01</v>
      </c>
      <c r="U138" s="175">
        <v>0</v>
      </c>
      <c r="V138" s="176">
        <v>0</v>
      </c>
      <c r="W138" s="167"/>
      <c r="X138" s="175">
        <v>2065.0716200000002</v>
      </c>
      <c r="Y138" s="166">
        <v>705.74477185320302</v>
      </c>
      <c r="Z138" s="177">
        <v>573</v>
      </c>
      <c r="AA138" s="178">
        <v>1.2316662685047199</v>
      </c>
      <c r="AB138" s="179">
        <v>93.332775460313101</v>
      </c>
      <c r="AC138" s="168">
        <v>0.02</v>
      </c>
      <c r="AD138" s="168">
        <v>0.02</v>
      </c>
      <c r="AE138" s="176">
        <v>0</v>
      </c>
      <c r="AF138" s="176">
        <v>0</v>
      </c>
      <c r="AG138" s="167"/>
      <c r="AH138" s="180">
        <v>265</v>
      </c>
      <c r="AI138" s="166">
        <v>90.564589978287898</v>
      </c>
      <c r="AJ138" s="181" t="s">
        <v>53</v>
      </c>
      <c r="AK138" s="178">
        <v>1.43753317425854</v>
      </c>
      <c r="AL138" s="179">
        <v>48.211959500872098</v>
      </c>
      <c r="AM138" s="168">
        <v>0.02</v>
      </c>
      <c r="AN138" s="168">
        <v>0.02</v>
      </c>
      <c r="AO138" s="176">
        <v>0</v>
      </c>
      <c r="AP138" s="176">
        <v>0</v>
      </c>
      <c r="AQ138" s="167"/>
      <c r="AR138" s="180">
        <v>55.9</v>
      </c>
      <c r="AS138" s="166">
        <v>19.104002187872801</v>
      </c>
      <c r="AT138" s="181" t="s">
        <v>54</v>
      </c>
      <c r="AU138" s="178">
        <v>1.1940001367420501</v>
      </c>
      <c r="AV138" s="179">
        <v>0.84271987323735698</v>
      </c>
      <c r="AW138" s="168">
        <v>0.01</v>
      </c>
      <c r="AX138" s="168">
        <v>9.4999999999999998E-3</v>
      </c>
      <c r="AY138" s="176">
        <v>0</v>
      </c>
      <c r="AZ138" s="176">
        <v>1</v>
      </c>
      <c r="BA138" s="167"/>
      <c r="BB138" s="184">
        <v>155.80000000000001</v>
      </c>
      <c r="BC138" s="180">
        <v>53.245143843838697</v>
      </c>
      <c r="BD138" s="181" t="s">
        <v>55</v>
      </c>
      <c r="BE138" s="178">
        <v>1.66391074511996</v>
      </c>
      <c r="BF138" s="179">
        <v>45.6854397464747</v>
      </c>
      <c r="BG138" s="168">
        <v>0.02</v>
      </c>
      <c r="BH138" s="168">
        <v>0.02</v>
      </c>
      <c r="BI138" s="176">
        <v>0</v>
      </c>
      <c r="BJ138" s="176">
        <v>0</v>
      </c>
      <c r="BK138" s="169"/>
      <c r="BL138" s="185">
        <v>0.8</v>
      </c>
      <c r="BM138" s="188">
        <v>0.8</v>
      </c>
      <c r="BN138" s="186">
        <v>0</v>
      </c>
      <c r="BO138" s="187">
        <v>0.95</v>
      </c>
      <c r="BP138" s="178">
        <v>1</v>
      </c>
      <c r="BQ138" s="186">
        <v>2.5000000000000001E-3</v>
      </c>
    </row>
    <row r="139" spans="1:69" s="156" customFormat="1" ht="22.35" customHeight="1" x14ac:dyDescent="0.2">
      <c r="A139" s="165" t="s">
        <v>175</v>
      </c>
      <c r="B139" s="165" t="s">
        <v>187</v>
      </c>
      <c r="C139" s="165" t="s">
        <v>199</v>
      </c>
      <c r="D139" s="166">
        <v>2.8460876042222201</v>
      </c>
      <c r="E139" s="167"/>
      <c r="F139" s="168">
        <v>7.6499999999999999E-2</v>
      </c>
      <c r="G139" s="168">
        <v>7.5499999999999998E-2</v>
      </c>
      <c r="H139" s="169"/>
      <c r="I139" s="170">
        <v>6</v>
      </c>
      <c r="J139" s="170">
        <v>6</v>
      </c>
      <c r="K139" s="167"/>
      <c r="L139" s="171">
        <v>1658.2786699999999</v>
      </c>
      <c r="M139" s="171">
        <v>187.33198999999999</v>
      </c>
      <c r="N139" s="171">
        <v>1845.6106600000001</v>
      </c>
      <c r="O139" s="166">
        <v>648.47289214218301</v>
      </c>
      <c r="P139" s="172">
        <v>212.5</v>
      </c>
      <c r="Q139" s="178">
        <v>3.0516371394926201</v>
      </c>
      <c r="R139" s="179">
        <v>1134.3733677048699</v>
      </c>
      <c r="S139" s="168">
        <v>0.01</v>
      </c>
      <c r="T139" s="168">
        <v>0.01</v>
      </c>
      <c r="U139" s="175">
        <v>0</v>
      </c>
      <c r="V139" s="176">
        <v>0</v>
      </c>
      <c r="W139" s="167"/>
      <c r="X139" s="175">
        <v>2514.6544399999998</v>
      </c>
      <c r="Y139" s="166">
        <v>883.547799536973</v>
      </c>
      <c r="Z139" s="177">
        <v>573</v>
      </c>
      <c r="AA139" s="178">
        <v>1.54196823653922</v>
      </c>
      <c r="AB139" s="179">
        <v>596.82400007006595</v>
      </c>
      <c r="AC139" s="168">
        <v>0.02</v>
      </c>
      <c r="AD139" s="168">
        <v>0.02</v>
      </c>
      <c r="AE139" s="176">
        <v>0</v>
      </c>
      <c r="AF139" s="176">
        <v>0</v>
      </c>
      <c r="AG139" s="167"/>
      <c r="AH139" s="180">
        <v>282.2</v>
      </c>
      <c r="AI139" s="166">
        <v>99.1536590726692</v>
      </c>
      <c r="AJ139" s="181" t="s">
        <v>53</v>
      </c>
      <c r="AK139" s="178">
        <v>1.5738676043280799</v>
      </c>
      <c r="AL139" s="179">
        <v>71.339061578384204</v>
      </c>
      <c r="AM139" s="168">
        <v>0.02</v>
      </c>
      <c r="AN139" s="168">
        <v>0.02</v>
      </c>
      <c r="AO139" s="176">
        <v>0</v>
      </c>
      <c r="AP139" s="176">
        <v>0</v>
      </c>
      <c r="AQ139" s="167"/>
      <c r="AR139" s="180">
        <v>50.6</v>
      </c>
      <c r="AS139" s="166">
        <v>17.778792165404202</v>
      </c>
      <c r="AT139" s="181" t="s">
        <v>54</v>
      </c>
      <c r="AU139" s="182">
        <v>1.1111745103377599</v>
      </c>
      <c r="AV139" s="183">
        <v>-2.9519843610452798</v>
      </c>
      <c r="AW139" s="168">
        <v>6.4999999999999997E-3</v>
      </c>
      <c r="AX139" s="168">
        <v>5.4999999999999997E-3</v>
      </c>
      <c r="AY139" s="176">
        <v>0</v>
      </c>
      <c r="AZ139" s="176">
        <v>5</v>
      </c>
      <c r="BA139" s="167"/>
      <c r="BB139" s="184">
        <v>166.4</v>
      </c>
      <c r="BC139" s="180">
        <v>58.466225619036699</v>
      </c>
      <c r="BD139" s="181" t="s">
        <v>55</v>
      </c>
      <c r="BE139" s="178">
        <v>1.8270695505948999</v>
      </c>
      <c r="BF139" s="179">
        <v>59.2960312779094</v>
      </c>
      <c r="BG139" s="168">
        <v>0.02</v>
      </c>
      <c r="BH139" s="168">
        <v>0.02</v>
      </c>
      <c r="BI139" s="176">
        <v>0</v>
      </c>
      <c r="BJ139" s="176">
        <v>0</v>
      </c>
      <c r="BK139" s="169"/>
      <c r="BL139" s="185">
        <v>0.8</v>
      </c>
      <c r="BM139" s="188">
        <v>0.78</v>
      </c>
      <c r="BN139" s="186"/>
      <c r="BO139" s="187">
        <v>0.95</v>
      </c>
      <c r="BP139" s="178">
        <v>1</v>
      </c>
      <c r="BQ139" s="186">
        <v>2.5000000000000001E-3</v>
      </c>
    </row>
    <row r="140" spans="1:69" s="156" customFormat="1" ht="22.35" customHeight="1" x14ac:dyDescent="0.2">
      <c r="A140" s="165" t="s">
        <v>175</v>
      </c>
      <c r="B140" s="165" t="s">
        <v>187</v>
      </c>
      <c r="C140" s="165" t="s">
        <v>200</v>
      </c>
      <c r="D140" s="166">
        <v>0.62457229755555599</v>
      </c>
      <c r="E140" s="167"/>
      <c r="F140" s="168">
        <v>6.0999999999999999E-2</v>
      </c>
      <c r="G140" s="168">
        <v>5.8999999999999997E-2</v>
      </c>
      <c r="H140" s="169"/>
      <c r="I140" s="170">
        <v>5</v>
      </c>
      <c r="J140" s="170">
        <v>5</v>
      </c>
      <c r="K140" s="167"/>
      <c r="L140" s="171"/>
      <c r="M140" s="171">
        <v>368.28228000000001</v>
      </c>
      <c r="N140" s="171">
        <v>368.28228000000001</v>
      </c>
      <c r="O140" s="166">
        <v>589.65516312743796</v>
      </c>
      <c r="P140" s="172">
        <v>226.98400000000001</v>
      </c>
      <c r="Q140" s="178">
        <v>2.5977829412092399</v>
      </c>
      <c r="R140" s="179">
        <v>201.5632079753</v>
      </c>
      <c r="S140" s="168">
        <v>0.01</v>
      </c>
      <c r="T140" s="168">
        <v>0.01</v>
      </c>
      <c r="U140" s="175">
        <v>0</v>
      </c>
      <c r="V140" s="176">
        <v>0</v>
      </c>
      <c r="W140" s="167"/>
      <c r="X140" s="175">
        <v>389.79370999999998</v>
      </c>
      <c r="Y140" s="166">
        <v>624.09702051399097</v>
      </c>
      <c r="Z140" s="177">
        <v>573</v>
      </c>
      <c r="AA140" s="182">
        <v>1.0891745558708401</v>
      </c>
      <c r="AB140" s="183">
        <v>-31.073083563215999</v>
      </c>
      <c r="AC140" s="168">
        <v>1.0999999999999999E-2</v>
      </c>
      <c r="AD140" s="168">
        <v>8.9999999999999993E-3</v>
      </c>
      <c r="AE140" s="176">
        <v>0</v>
      </c>
      <c r="AF140" s="176">
        <v>40</v>
      </c>
      <c r="AG140" s="167"/>
      <c r="AH140" s="180">
        <v>51.6</v>
      </c>
      <c r="AI140" s="166">
        <v>82.616536471360504</v>
      </c>
      <c r="AJ140" s="181" t="s">
        <v>53</v>
      </c>
      <c r="AK140" s="178">
        <v>1.3113735947834999</v>
      </c>
      <c r="AL140" s="179">
        <v>5.3266876187040104</v>
      </c>
      <c r="AM140" s="168">
        <v>0.02</v>
      </c>
      <c r="AN140" s="168">
        <v>0.02</v>
      </c>
      <c r="AO140" s="176">
        <v>0</v>
      </c>
      <c r="AP140" s="176">
        <v>0</v>
      </c>
      <c r="AQ140" s="167"/>
      <c r="AR140" s="180">
        <v>1</v>
      </c>
      <c r="AS140" s="166">
        <v>1.60109566804962</v>
      </c>
      <c r="AT140" s="181" t="s">
        <v>54</v>
      </c>
      <c r="AU140" s="173">
        <v>0.100068479253101</v>
      </c>
      <c r="AV140" s="174">
        <v>-10.751952350805301</v>
      </c>
      <c r="AW140" s="168"/>
      <c r="AX140" s="168"/>
      <c r="AY140" s="176">
        <v>9</v>
      </c>
      <c r="AZ140" s="176">
        <v>11</v>
      </c>
      <c r="BA140" s="167"/>
      <c r="BB140" s="184">
        <v>26.2</v>
      </c>
      <c r="BC140" s="180">
        <v>41.948706502900102</v>
      </c>
      <c r="BD140" s="181" t="s">
        <v>55</v>
      </c>
      <c r="BE140" s="178">
        <v>1.31089707821563</v>
      </c>
      <c r="BF140" s="179">
        <v>2.6960952983893298</v>
      </c>
      <c r="BG140" s="168">
        <v>0.02</v>
      </c>
      <c r="BH140" s="168">
        <v>0.02</v>
      </c>
      <c r="BI140" s="176">
        <v>0</v>
      </c>
      <c r="BJ140" s="176">
        <v>0</v>
      </c>
      <c r="BK140" s="169"/>
      <c r="BL140" s="185">
        <v>0.8</v>
      </c>
      <c r="BM140" s="173"/>
      <c r="BN140" s="186"/>
      <c r="BO140" s="187">
        <v>0.95</v>
      </c>
      <c r="BP140" s="178">
        <v>1</v>
      </c>
      <c r="BQ140" s="186">
        <v>2.5000000000000001E-3</v>
      </c>
    </row>
    <row r="141" spans="1:69" s="156" customFormat="1" ht="22.35" customHeight="1" x14ac:dyDescent="0.2">
      <c r="A141" s="165" t="s">
        <v>175</v>
      </c>
      <c r="B141" s="165" t="s">
        <v>201</v>
      </c>
      <c r="C141" s="165" t="s">
        <v>202</v>
      </c>
      <c r="D141" s="166">
        <v>2.7066750453333301</v>
      </c>
      <c r="E141" s="167"/>
      <c r="F141" s="168">
        <v>7.5999999999999998E-2</v>
      </c>
      <c r="G141" s="168">
        <v>7.3999999999999996E-2</v>
      </c>
      <c r="H141" s="169"/>
      <c r="I141" s="170">
        <v>7</v>
      </c>
      <c r="J141" s="170">
        <v>7</v>
      </c>
      <c r="K141" s="167"/>
      <c r="L141" s="171">
        <v>891.60798</v>
      </c>
      <c r="M141" s="171">
        <v>513.91945999999996</v>
      </c>
      <c r="N141" s="171">
        <v>1405.5274400000001</v>
      </c>
      <c r="O141" s="166">
        <v>519.28192947406603</v>
      </c>
      <c r="P141" s="172">
        <v>287.5</v>
      </c>
      <c r="Q141" s="178">
        <v>1.8061980155619699</v>
      </c>
      <c r="R141" s="179">
        <v>490.40060717280102</v>
      </c>
      <c r="S141" s="168">
        <v>0.01</v>
      </c>
      <c r="T141" s="168">
        <v>0.01</v>
      </c>
      <c r="U141" s="175">
        <v>0</v>
      </c>
      <c r="V141" s="176">
        <v>0</v>
      </c>
      <c r="W141" s="167"/>
      <c r="X141" s="175">
        <v>1910.87799</v>
      </c>
      <c r="Y141" s="166">
        <v>705.98721974202499</v>
      </c>
      <c r="Z141" s="177">
        <v>573</v>
      </c>
      <c r="AA141" s="178">
        <v>1.2320893887295401</v>
      </c>
      <c r="AB141" s="179">
        <v>86.990424052226501</v>
      </c>
      <c r="AC141" s="168">
        <v>0.02</v>
      </c>
      <c r="AD141" s="168">
        <v>0.02</v>
      </c>
      <c r="AE141" s="176">
        <v>0</v>
      </c>
      <c r="AF141" s="176">
        <v>0</v>
      </c>
      <c r="AG141" s="167"/>
      <c r="AH141" s="180">
        <v>194.45</v>
      </c>
      <c r="AI141" s="166">
        <v>71.840910616609705</v>
      </c>
      <c r="AJ141" s="181" t="s">
        <v>53</v>
      </c>
      <c r="AK141" s="182">
        <v>1.14033191454936</v>
      </c>
      <c r="AL141" s="183">
        <v>-6.0821407586556999</v>
      </c>
      <c r="AM141" s="168">
        <v>1.6E-2</v>
      </c>
      <c r="AN141" s="168">
        <v>1.4E-2</v>
      </c>
      <c r="AO141" s="176">
        <v>0</v>
      </c>
      <c r="AP141" s="176">
        <v>11</v>
      </c>
      <c r="AQ141" s="167"/>
      <c r="AR141" s="180">
        <v>66.099999999999994</v>
      </c>
      <c r="AS141" s="166">
        <v>24.421106668850101</v>
      </c>
      <c r="AT141" s="181" t="s">
        <v>54</v>
      </c>
      <c r="AU141" s="178">
        <v>1.52631916680313</v>
      </c>
      <c r="AV141" s="179">
        <v>15.1712023470081</v>
      </c>
      <c r="AW141" s="168">
        <v>0.01</v>
      </c>
      <c r="AX141" s="168">
        <v>0.01</v>
      </c>
      <c r="AY141" s="176">
        <v>0</v>
      </c>
      <c r="AZ141" s="176">
        <v>0</v>
      </c>
      <c r="BA141" s="167"/>
      <c r="BB141" s="184">
        <v>145.4</v>
      </c>
      <c r="BC141" s="180">
        <v>53.7190455317822</v>
      </c>
      <c r="BD141" s="181" t="s">
        <v>55</v>
      </c>
      <c r="BE141" s="178">
        <v>1.67872017286819</v>
      </c>
      <c r="BF141" s="179">
        <v>43.542404694016099</v>
      </c>
      <c r="BG141" s="168">
        <v>0.02</v>
      </c>
      <c r="BH141" s="168">
        <v>0.02</v>
      </c>
      <c r="BI141" s="176">
        <v>0</v>
      </c>
      <c r="BJ141" s="176">
        <v>0</v>
      </c>
      <c r="BK141" s="169"/>
      <c r="BL141" s="185">
        <v>0.8</v>
      </c>
      <c r="BM141" s="182">
        <v>0.88</v>
      </c>
      <c r="BN141" s="186">
        <v>3.0000000000000001E-3</v>
      </c>
      <c r="BO141" s="187">
        <v>0.95</v>
      </c>
      <c r="BP141" s="178">
        <v>1</v>
      </c>
      <c r="BQ141" s="186">
        <v>2.5000000000000001E-3</v>
      </c>
    </row>
    <row r="142" spans="1:69" s="156" customFormat="1" ht="22.35" customHeight="1" x14ac:dyDescent="0.2">
      <c r="A142" s="165" t="s">
        <v>175</v>
      </c>
      <c r="B142" s="165" t="s">
        <v>201</v>
      </c>
      <c r="C142" s="165" t="s">
        <v>203</v>
      </c>
      <c r="D142" s="166">
        <v>2.9894179894444401</v>
      </c>
      <c r="E142" s="167"/>
      <c r="F142" s="168">
        <v>0.08</v>
      </c>
      <c r="G142" s="168">
        <v>7.8E-2</v>
      </c>
      <c r="H142" s="169"/>
      <c r="I142" s="170">
        <v>7</v>
      </c>
      <c r="J142" s="170">
        <v>7</v>
      </c>
      <c r="K142" s="167"/>
      <c r="L142" s="171">
        <v>2045.1310699999999</v>
      </c>
      <c r="M142" s="171">
        <v>2856.1975600000001</v>
      </c>
      <c r="N142" s="171">
        <v>4901.32863</v>
      </c>
      <c r="O142" s="166">
        <v>1639.5594886049601</v>
      </c>
      <c r="P142" s="172">
        <v>273.93400000000003</v>
      </c>
      <c r="Q142" s="178">
        <v>5.9852354530834404</v>
      </c>
      <c r="R142" s="179">
        <v>3938.2984344359202</v>
      </c>
      <c r="S142" s="168">
        <v>0.01</v>
      </c>
      <c r="T142" s="168">
        <v>0.01</v>
      </c>
      <c r="U142" s="175">
        <v>0</v>
      </c>
      <c r="V142" s="176">
        <v>0</v>
      </c>
      <c r="W142" s="167"/>
      <c r="X142" s="175">
        <v>2070.3073599999998</v>
      </c>
      <c r="Y142" s="166">
        <v>692.54529386997797</v>
      </c>
      <c r="Z142" s="177">
        <v>573</v>
      </c>
      <c r="AA142" s="178">
        <v>1.2086305303141001</v>
      </c>
      <c r="AB142" s="179">
        <v>55.894026648843202</v>
      </c>
      <c r="AC142" s="168">
        <v>0.02</v>
      </c>
      <c r="AD142" s="168">
        <v>0.02</v>
      </c>
      <c r="AE142" s="176">
        <v>0</v>
      </c>
      <c r="AF142" s="176">
        <v>0</v>
      </c>
      <c r="AG142" s="167"/>
      <c r="AH142" s="180">
        <v>222.2</v>
      </c>
      <c r="AI142" s="166">
        <v>74.328849556864299</v>
      </c>
      <c r="AJ142" s="181" t="s">
        <v>53</v>
      </c>
      <c r="AK142" s="178">
        <v>1.1798230088391199</v>
      </c>
      <c r="AL142" s="179">
        <v>0.71999999804034998</v>
      </c>
      <c r="AM142" s="168">
        <v>0.02</v>
      </c>
      <c r="AN142" s="168">
        <v>1.7999999999999999E-2</v>
      </c>
      <c r="AO142" s="176">
        <v>0</v>
      </c>
      <c r="AP142" s="176">
        <v>4</v>
      </c>
      <c r="AQ142" s="167"/>
      <c r="AR142" s="180">
        <v>74.400000000000006</v>
      </c>
      <c r="AS142" s="166">
        <v>24.887787610399201</v>
      </c>
      <c r="AT142" s="181" t="s">
        <v>54</v>
      </c>
      <c r="AU142" s="178">
        <v>1.5554867256499501</v>
      </c>
      <c r="AV142" s="179">
        <v>18.1511111106134</v>
      </c>
      <c r="AW142" s="168">
        <v>0.01</v>
      </c>
      <c r="AX142" s="168">
        <v>0.01</v>
      </c>
      <c r="AY142" s="176">
        <v>0</v>
      </c>
      <c r="AZ142" s="176">
        <v>0</v>
      </c>
      <c r="BA142" s="167"/>
      <c r="BB142" s="184">
        <v>140.80000000000001</v>
      </c>
      <c r="BC142" s="180">
        <v>47.099469026131899</v>
      </c>
      <c r="BD142" s="181" t="s">
        <v>55</v>
      </c>
      <c r="BE142" s="178">
        <v>1.4718584070666201</v>
      </c>
      <c r="BF142" s="179">
        <v>28.302222221226799</v>
      </c>
      <c r="BG142" s="168">
        <v>0.02</v>
      </c>
      <c r="BH142" s="168">
        <v>0.02</v>
      </c>
      <c r="BI142" s="176">
        <v>0</v>
      </c>
      <c r="BJ142" s="176">
        <v>0</v>
      </c>
      <c r="BK142" s="169"/>
      <c r="BL142" s="185">
        <v>0.8</v>
      </c>
      <c r="BM142" s="182">
        <v>0.83</v>
      </c>
      <c r="BN142" s="186">
        <v>1.1249999999999999E-3</v>
      </c>
      <c r="BO142" s="187">
        <v>0.95</v>
      </c>
      <c r="BP142" s="178">
        <v>1</v>
      </c>
      <c r="BQ142" s="186">
        <v>2.5000000000000001E-3</v>
      </c>
    </row>
    <row r="143" spans="1:69" s="156" customFormat="1" ht="22.35" customHeight="1" x14ac:dyDescent="0.2">
      <c r="A143" s="165" t="s">
        <v>175</v>
      </c>
      <c r="B143" s="165" t="s">
        <v>201</v>
      </c>
      <c r="C143" s="165" t="s">
        <v>204</v>
      </c>
      <c r="D143" s="166">
        <v>2.92477570733333</v>
      </c>
      <c r="E143" s="167"/>
      <c r="F143" s="168">
        <v>0.06</v>
      </c>
      <c r="G143" s="168">
        <v>0.06</v>
      </c>
      <c r="H143" s="169"/>
      <c r="I143" s="170">
        <v>6</v>
      </c>
      <c r="J143" s="170">
        <v>6</v>
      </c>
      <c r="K143" s="167"/>
      <c r="L143" s="171">
        <v>2288.3770399999999</v>
      </c>
      <c r="M143" s="171">
        <v>-45.901330000000002</v>
      </c>
      <c r="N143" s="171">
        <v>2242.4757100000002</v>
      </c>
      <c r="O143" s="166">
        <v>766.71715522575198</v>
      </c>
      <c r="P143" s="172">
        <v>287.5</v>
      </c>
      <c r="Q143" s="178">
        <v>2.6668422790460902</v>
      </c>
      <c r="R143" s="179">
        <v>1253.6090433505999</v>
      </c>
      <c r="S143" s="168">
        <v>0.01</v>
      </c>
      <c r="T143" s="168">
        <v>0.01</v>
      </c>
      <c r="U143" s="175">
        <v>0</v>
      </c>
      <c r="V143" s="176">
        <v>0</v>
      </c>
      <c r="W143" s="167"/>
      <c r="X143" s="175">
        <v>2355.2183799999998</v>
      </c>
      <c r="Y143" s="166">
        <v>805.26461365728903</v>
      </c>
      <c r="Z143" s="177">
        <v>573</v>
      </c>
      <c r="AA143" s="178">
        <v>1.40534836589405</v>
      </c>
      <c r="AB143" s="179">
        <v>384.36411916485002</v>
      </c>
      <c r="AC143" s="168">
        <v>0.02</v>
      </c>
      <c r="AD143" s="168">
        <v>0.02</v>
      </c>
      <c r="AE143" s="176">
        <v>0</v>
      </c>
      <c r="AF143" s="176">
        <v>0</v>
      </c>
      <c r="AG143" s="167"/>
      <c r="AH143" s="180">
        <v>158.1</v>
      </c>
      <c r="AI143" s="166">
        <v>54.055427089193003</v>
      </c>
      <c r="AJ143" s="181" t="s">
        <v>53</v>
      </c>
      <c r="AK143" s="188">
        <v>0.85802265220941298</v>
      </c>
      <c r="AL143" s="171">
        <v>-58.590782604911702</v>
      </c>
      <c r="AM143" s="168"/>
      <c r="AN143" s="168"/>
      <c r="AO143" s="176">
        <v>27</v>
      </c>
      <c r="AP143" s="176">
        <v>64</v>
      </c>
      <c r="AQ143" s="167"/>
      <c r="AR143" s="180">
        <v>66.7</v>
      </c>
      <c r="AS143" s="166">
        <v>22.805167532252799</v>
      </c>
      <c r="AT143" s="181" t="s">
        <v>54</v>
      </c>
      <c r="AU143" s="178">
        <v>1.4253229707657999</v>
      </c>
      <c r="AV143" s="179">
        <v>11.6674202908161</v>
      </c>
      <c r="AW143" s="168">
        <v>0.01</v>
      </c>
      <c r="AX143" s="168">
        <v>0.01</v>
      </c>
      <c r="AY143" s="176">
        <v>0</v>
      </c>
      <c r="AZ143" s="176">
        <v>0</v>
      </c>
      <c r="BA143" s="167"/>
      <c r="BB143" s="184">
        <v>158</v>
      </c>
      <c r="BC143" s="180">
        <v>54.021236433222597</v>
      </c>
      <c r="BD143" s="181" t="s">
        <v>55</v>
      </c>
      <c r="BE143" s="178">
        <v>1.6881636385382099</v>
      </c>
      <c r="BF143" s="179">
        <v>47.934840581632102</v>
      </c>
      <c r="BG143" s="168">
        <v>0.02</v>
      </c>
      <c r="BH143" s="168">
        <v>0.02</v>
      </c>
      <c r="BI143" s="176">
        <v>0</v>
      </c>
      <c r="BJ143" s="176">
        <v>0</v>
      </c>
      <c r="BK143" s="169"/>
      <c r="BL143" s="185">
        <v>0.8</v>
      </c>
      <c r="BM143" s="182">
        <v>0.84</v>
      </c>
      <c r="BN143" s="186">
        <v>1.5E-3</v>
      </c>
      <c r="BO143" s="187">
        <v>0.95</v>
      </c>
      <c r="BP143" s="178">
        <v>1</v>
      </c>
      <c r="BQ143" s="186">
        <v>2.5000000000000001E-3</v>
      </c>
    </row>
    <row r="144" spans="1:69" s="156" customFormat="1" ht="22.35" customHeight="1" x14ac:dyDescent="0.2">
      <c r="A144" s="165" t="s">
        <v>175</v>
      </c>
      <c r="B144" s="165" t="s">
        <v>201</v>
      </c>
      <c r="C144" s="165" t="s">
        <v>205</v>
      </c>
      <c r="D144" s="166">
        <v>2.6681531807777801</v>
      </c>
      <c r="E144" s="167"/>
      <c r="F144" s="168">
        <v>0.04</v>
      </c>
      <c r="G144" s="168">
        <v>0.04</v>
      </c>
      <c r="H144" s="169"/>
      <c r="I144" s="170">
        <v>4</v>
      </c>
      <c r="J144" s="170">
        <v>4</v>
      </c>
      <c r="K144" s="167"/>
      <c r="L144" s="171">
        <v>1131.4666</v>
      </c>
      <c r="M144" s="171">
        <v>411.97717999999998</v>
      </c>
      <c r="N144" s="171">
        <v>1543.4437800000001</v>
      </c>
      <c r="O144" s="166">
        <v>578.46895415130496</v>
      </c>
      <c r="P144" s="172">
        <v>265.91699999999997</v>
      </c>
      <c r="Q144" s="178">
        <v>2.17537409850181</v>
      </c>
      <c r="R144" s="179">
        <v>709.06320769748697</v>
      </c>
      <c r="S144" s="168">
        <v>0.01</v>
      </c>
      <c r="T144" s="168">
        <v>0.01</v>
      </c>
      <c r="U144" s="175">
        <v>0</v>
      </c>
      <c r="V144" s="176">
        <v>0</v>
      </c>
      <c r="W144" s="167"/>
      <c r="X144" s="175">
        <v>1102.8725750000001</v>
      </c>
      <c r="Y144" s="166">
        <v>413.34679843175599</v>
      </c>
      <c r="Z144" s="177">
        <v>573</v>
      </c>
      <c r="AA144" s="173">
        <v>0.72137312117234897</v>
      </c>
      <c r="AB144" s="174">
        <v>-695.05710956074597</v>
      </c>
      <c r="AC144" s="168"/>
      <c r="AD144" s="168"/>
      <c r="AE144" s="176">
        <v>426</v>
      </c>
      <c r="AF144" s="176">
        <v>732</v>
      </c>
      <c r="AG144" s="167"/>
      <c r="AH144" s="180">
        <v>121.1</v>
      </c>
      <c r="AI144" s="166">
        <v>45.387199232953598</v>
      </c>
      <c r="AJ144" s="181" t="s">
        <v>53</v>
      </c>
      <c r="AK144" s="173">
        <v>0.72043173385640702</v>
      </c>
      <c r="AL144" s="174">
        <v>-76.578132857464198</v>
      </c>
      <c r="AM144" s="168"/>
      <c r="AN144" s="168"/>
      <c r="AO144" s="176">
        <v>47</v>
      </c>
      <c r="AP144" s="176">
        <v>81</v>
      </c>
      <c r="AQ144" s="167"/>
      <c r="AR144" s="180">
        <v>61</v>
      </c>
      <c r="AS144" s="166">
        <v>22.862255600414301</v>
      </c>
      <c r="AT144" s="181" t="s">
        <v>54</v>
      </c>
      <c r="AU144" s="178">
        <v>1.42889097502589</v>
      </c>
      <c r="AV144" s="179">
        <v>10.7960297504853</v>
      </c>
      <c r="AW144" s="168">
        <v>0.01</v>
      </c>
      <c r="AX144" s="168">
        <v>0.01</v>
      </c>
      <c r="AY144" s="176">
        <v>0</v>
      </c>
      <c r="AZ144" s="176">
        <v>0</v>
      </c>
      <c r="BA144" s="167"/>
      <c r="BB144" s="184">
        <v>107.8</v>
      </c>
      <c r="BC144" s="180">
        <v>40.4024779299125</v>
      </c>
      <c r="BD144" s="181" t="s">
        <v>55</v>
      </c>
      <c r="BE144" s="178">
        <v>1.2625774353097701</v>
      </c>
      <c r="BF144" s="179">
        <v>7.3920595009705901</v>
      </c>
      <c r="BG144" s="168">
        <v>0.02</v>
      </c>
      <c r="BH144" s="168">
        <v>0.02</v>
      </c>
      <c r="BI144" s="176">
        <v>0</v>
      </c>
      <c r="BJ144" s="176">
        <v>0</v>
      </c>
      <c r="BK144" s="169"/>
      <c r="BL144" s="185">
        <v>0.8</v>
      </c>
      <c r="BM144" s="188">
        <v>0.79</v>
      </c>
      <c r="BN144" s="186"/>
      <c r="BO144" s="187">
        <v>0.95</v>
      </c>
      <c r="BP144" s="178">
        <v>1</v>
      </c>
      <c r="BQ144" s="186">
        <v>2.5000000000000001E-3</v>
      </c>
    </row>
    <row r="145" spans="1:69" s="156" customFormat="1" ht="22.35" customHeight="1" x14ac:dyDescent="0.2">
      <c r="A145" s="165" t="s">
        <v>175</v>
      </c>
      <c r="B145" s="165" t="s">
        <v>201</v>
      </c>
      <c r="C145" s="165" t="s">
        <v>206</v>
      </c>
      <c r="D145" s="166">
        <v>10.628939992444399</v>
      </c>
      <c r="E145" s="167"/>
      <c r="F145" s="168">
        <v>5.1499999999999997E-2</v>
      </c>
      <c r="G145" s="168">
        <v>4.65E-2</v>
      </c>
      <c r="H145" s="169"/>
      <c r="I145" s="170">
        <v>6</v>
      </c>
      <c r="J145" s="170">
        <v>6</v>
      </c>
      <c r="K145" s="167"/>
      <c r="L145" s="171">
        <v>8197.7455499999996</v>
      </c>
      <c r="M145" s="171">
        <v>3369.9423200000001</v>
      </c>
      <c r="N145" s="171">
        <v>11567.68787</v>
      </c>
      <c r="O145" s="166">
        <v>1088.31999034926</v>
      </c>
      <c r="P145" s="172">
        <v>287.5</v>
      </c>
      <c r="Q145" s="178">
        <v>3.78546083599743</v>
      </c>
      <c r="R145" s="179">
        <v>7974.0432585545304</v>
      </c>
      <c r="S145" s="168">
        <v>0.01</v>
      </c>
      <c r="T145" s="168">
        <v>0.01</v>
      </c>
      <c r="U145" s="175">
        <v>0</v>
      </c>
      <c r="V145" s="176">
        <v>0</v>
      </c>
      <c r="W145" s="167"/>
      <c r="X145" s="175">
        <v>6561.4659499999998</v>
      </c>
      <c r="Y145" s="166">
        <v>617.32081982438501</v>
      </c>
      <c r="Z145" s="177">
        <v>573</v>
      </c>
      <c r="AA145" s="182">
        <v>1.07734872569701</v>
      </c>
      <c r="AB145" s="183">
        <v>-600.82400602869996</v>
      </c>
      <c r="AC145" s="168">
        <v>0.01</v>
      </c>
      <c r="AD145" s="168">
        <v>8.0000000000000002E-3</v>
      </c>
      <c r="AE145" s="176">
        <v>0</v>
      </c>
      <c r="AF145" s="176">
        <v>747</v>
      </c>
      <c r="AG145" s="167"/>
      <c r="AH145" s="180">
        <v>708.45</v>
      </c>
      <c r="AI145" s="166">
        <v>66.652930631238803</v>
      </c>
      <c r="AJ145" s="181" t="s">
        <v>53</v>
      </c>
      <c r="AK145" s="182">
        <v>1.0579830258926799</v>
      </c>
      <c r="AL145" s="183">
        <v>-79.026906160223504</v>
      </c>
      <c r="AM145" s="168">
        <v>8.0000000000000002E-3</v>
      </c>
      <c r="AN145" s="168">
        <v>6.0000000000000001E-3</v>
      </c>
      <c r="AO145" s="176">
        <v>0</v>
      </c>
      <c r="AP145" s="176">
        <v>96</v>
      </c>
      <c r="AQ145" s="167"/>
      <c r="AR145" s="180">
        <v>179.1</v>
      </c>
      <c r="AS145" s="166">
        <v>16.850222141371798</v>
      </c>
      <c r="AT145" s="181" t="s">
        <v>54</v>
      </c>
      <c r="AU145" s="182">
        <v>1.0531388838357401</v>
      </c>
      <c r="AV145" s="183">
        <v>-20.894134897834601</v>
      </c>
      <c r="AW145" s="168">
        <v>3.5000000000000001E-3</v>
      </c>
      <c r="AX145" s="168">
        <v>2.5000000000000001E-3</v>
      </c>
      <c r="AY145" s="176">
        <v>0</v>
      </c>
      <c r="AZ145" s="176">
        <v>25</v>
      </c>
      <c r="BA145" s="167"/>
      <c r="BB145" s="184">
        <v>431.8</v>
      </c>
      <c r="BC145" s="180">
        <v>40.624935346981403</v>
      </c>
      <c r="BD145" s="181" t="s">
        <v>55</v>
      </c>
      <c r="BE145" s="178">
        <v>1.2695292295931699</v>
      </c>
      <c r="BF145" s="179">
        <v>31.8117302043309</v>
      </c>
      <c r="BG145" s="168">
        <v>0.02</v>
      </c>
      <c r="BH145" s="168">
        <v>0.02</v>
      </c>
      <c r="BI145" s="176">
        <v>0</v>
      </c>
      <c r="BJ145" s="176">
        <v>0</v>
      </c>
      <c r="BK145" s="169"/>
      <c r="BL145" s="185">
        <v>0.8</v>
      </c>
      <c r="BM145" s="188">
        <v>0.79</v>
      </c>
      <c r="BN145" s="186"/>
      <c r="BO145" s="187">
        <v>0.95</v>
      </c>
      <c r="BP145" s="178">
        <v>1</v>
      </c>
      <c r="BQ145" s="186">
        <v>2.5000000000000001E-3</v>
      </c>
    </row>
    <row r="146" spans="1:69" s="156" customFormat="1" ht="22.35" customHeight="1" x14ac:dyDescent="0.2">
      <c r="A146" s="165" t="s">
        <v>175</v>
      </c>
      <c r="B146" s="165" t="s">
        <v>201</v>
      </c>
      <c r="C146" s="165" t="s">
        <v>207</v>
      </c>
      <c r="D146" s="166">
        <v>2.3655582742222201</v>
      </c>
      <c r="E146" s="167"/>
      <c r="F146" s="168">
        <v>5.7000000000000002E-2</v>
      </c>
      <c r="G146" s="168">
        <v>5.5E-2</v>
      </c>
      <c r="H146" s="169"/>
      <c r="I146" s="170">
        <v>5</v>
      </c>
      <c r="J146" s="170">
        <v>5</v>
      </c>
      <c r="K146" s="167"/>
      <c r="L146" s="171">
        <v>1723.18011</v>
      </c>
      <c r="M146" s="171">
        <v>66.516260000000003</v>
      </c>
      <c r="N146" s="171">
        <v>1789.6963699999999</v>
      </c>
      <c r="O146" s="166">
        <v>756.56405910712101</v>
      </c>
      <c r="P146" s="172">
        <v>212.5</v>
      </c>
      <c r="Q146" s="178">
        <v>3.5603014546217402</v>
      </c>
      <c r="R146" s="179">
        <v>1198.54335727187</v>
      </c>
      <c r="S146" s="168">
        <v>0.01</v>
      </c>
      <c r="T146" s="168">
        <v>0.01</v>
      </c>
      <c r="U146" s="175">
        <v>0</v>
      </c>
      <c r="V146" s="176">
        <v>0</v>
      </c>
      <c r="W146" s="167"/>
      <c r="X146" s="175">
        <v>1559.6367299999999</v>
      </c>
      <c r="Y146" s="166">
        <v>659.31021315160694</v>
      </c>
      <c r="Z146" s="177">
        <v>573</v>
      </c>
      <c r="AA146" s="182">
        <v>1.15062864424364</v>
      </c>
      <c r="AB146" s="183">
        <v>-34.389981968094602</v>
      </c>
      <c r="AC146" s="168">
        <v>1.7000000000000001E-2</v>
      </c>
      <c r="AD146" s="168">
        <v>1.4999999999999999E-2</v>
      </c>
      <c r="AE146" s="176">
        <v>0</v>
      </c>
      <c r="AF146" s="176">
        <v>67</v>
      </c>
      <c r="AG146" s="167"/>
      <c r="AH146" s="180">
        <v>142.1</v>
      </c>
      <c r="AI146" s="166">
        <v>60.070386575752998</v>
      </c>
      <c r="AJ146" s="181" t="s">
        <v>53</v>
      </c>
      <c r="AK146" s="188">
        <v>0.95349819961512705</v>
      </c>
      <c r="AL146" s="171">
        <v>-33.159481420575801</v>
      </c>
      <c r="AM146" s="168"/>
      <c r="AN146" s="168"/>
      <c r="AO146" s="176">
        <v>7</v>
      </c>
      <c r="AP146" s="176">
        <v>37</v>
      </c>
      <c r="AQ146" s="167"/>
      <c r="AR146" s="180">
        <v>91.1</v>
      </c>
      <c r="AS146" s="166">
        <v>38.510993786425701</v>
      </c>
      <c r="AT146" s="181" t="s">
        <v>54</v>
      </c>
      <c r="AU146" s="178">
        <v>2.4069371116516098</v>
      </c>
      <c r="AV146" s="179">
        <v>46.5896555122347</v>
      </c>
      <c r="AW146" s="168">
        <v>0.01</v>
      </c>
      <c r="AX146" s="168">
        <v>0.01</v>
      </c>
      <c r="AY146" s="176">
        <v>0</v>
      </c>
      <c r="AZ146" s="176">
        <v>0</v>
      </c>
      <c r="BA146" s="167"/>
      <c r="BB146" s="184">
        <v>159</v>
      </c>
      <c r="BC146" s="180">
        <v>67.214577519667301</v>
      </c>
      <c r="BD146" s="181" t="s">
        <v>55</v>
      </c>
      <c r="BE146" s="178">
        <v>2.1004555474896001</v>
      </c>
      <c r="BF146" s="179">
        <v>69.979311024469396</v>
      </c>
      <c r="BG146" s="168">
        <v>0.02</v>
      </c>
      <c r="BH146" s="168">
        <v>0.02</v>
      </c>
      <c r="BI146" s="176">
        <v>0</v>
      </c>
      <c r="BJ146" s="176">
        <v>0</v>
      </c>
      <c r="BK146" s="169"/>
      <c r="BL146" s="185">
        <v>0.8</v>
      </c>
      <c r="BM146" s="188">
        <v>0.78</v>
      </c>
      <c r="BN146" s="186"/>
      <c r="BO146" s="187">
        <v>0.95</v>
      </c>
      <c r="BP146" s="178">
        <v>1</v>
      </c>
      <c r="BQ146" s="186">
        <v>2.5000000000000001E-3</v>
      </c>
    </row>
    <row r="147" spans="1:69" s="156" customFormat="1" ht="22.35" customHeight="1" x14ac:dyDescent="0.2">
      <c r="A147" s="165" t="s">
        <v>175</v>
      </c>
      <c r="B147" s="165" t="s">
        <v>201</v>
      </c>
      <c r="C147" s="165" t="s">
        <v>208</v>
      </c>
      <c r="D147" s="166">
        <v>1.8899021605555599</v>
      </c>
      <c r="E147" s="167"/>
      <c r="F147" s="168">
        <v>5.8999999999999997E-2</v>
      </c>
      <c r="G147" s="168">
        <v>5.5E-2</v>
      </c>
      <c r="H147" s="169"/>
      <c r="I147" s="170">
        <v>7</v>
      </c>
      <c r="J147" s="170">
        <v>6</v>
      </c>
      <c r="K147" s="167"/>
      <c r="L147" s="171">
        <v>320.28152</v>
      </c>
      <c r="M147" s="171">
        <v>1632.9655600000001</v>
      </c>
      <c r="N147" s="171">
        <v>1953.2470800000001</v>
      </c>
      <c r="O147" s="166">
        <v>1033.5175654944101</v>
      </c>
      <c r="P147" s="172">
        <v>273.64299999999997</v>
      </c>
      <c r="Q147" s="178">
        <v>3.7768828930190401</v>
      </c>
      <c r="R147" s="179">
        <v>1345.06868762102</v>
      </c>
      <c r="S147" s="168">
        <v>0.01</v>
      </c>
      <c r="T147" s="168">
        <v>0.01</v>
      </c>
      <c r="U147" s="175">
        <v>0</v>
      </c>
      <c r="V147" s="176">
        <v>0</v>
      </c>
      <c r="W147" s="167"/>
      <c r="X147" s="175">
        <v>1246.8568399999999</v>
      </c>
      <c r="Y147" s="166">
        <v>659.74676680271898</v>
      </c>
      <c r="Z147" s="177">
        <v>573</v>
      </c>
      <c r="AA147" s="182">
        <v>1.1513905179803099</v>
      </c>
      <c r="AB147" s="183">
        <v>-26.649951086042599</v>
      </c>
      <c r="AC147" s="168">
        <v>1.7000000000000001E-2</v>
      </c>
      <c r="AD147" s="168">
        <v>1.4999999999999999E-2</v>
      </c>
      <c r="AE147" s="176">
        <v>0</v>
      </c>
      <c r="AF147" s="176">
        <v>53</v>
      </c>
      <c r="AG147" s="167"/>
      <c r="AH147" s="180">
        <v>119</v>
      </c>
      <c r="AI147" s="166">
        <v>62.966222529222797</v>
      </c>
      <c r="AJ147" s="181" t="s">
        <v>53</v>
      </c>
      <c r="AK147" s="182">
        <v>0.99946384967020196</v>
      </c>
      <c r="AL147" s="183">
        <v>-21.0190712712403</v>
      </c>
      <c r="AM147" s="168">
        <v>2E-3</v>
      </c>
      <c r="AN147" s="168">
        <v>0</v>
      </c>
      <c r="AO147" s="176">
        <v>1</v>
      </c>
      <c r="AP147" s="176">
        <v>24</v>
      </c>
      <c r="AQ147" s="167"/>
      <c r="AR147" s="180">
        <v>61.5</v>
      </c>
      <c r="AS147" s="166">
        <v>32.541367105438702</v>
      </c>
      <c r="AT147" s="181" t="s">
        <v>54</v>
      </c>
      <c r="AU147" s="178">
        <v>2.0338354440899198</v>
      </c>
      <c r="AV147" s="179">
        <v>25.939600946986602</v>
      </c>
      <c r="AW147" s="168">
        <v>0.01</v>
      </c>
      <c r="AX147" s="168">
        <v>0.01</v>
      </c>
      <c r="AY147" s="176">
        <v>0</v>
      </c>
      <c r="AZ147" s="176">
        <v>0</v>
      </c>
      <c r="BA147" s="167"/>
      <c r="BB147" s="184">
        <v>87.6</v>
      </c>
      <c r="BC147" s="180">
        <v>46.351605828234597</v>
      </c>
      <c r="BD147" s="181" t="s">
        <v>55</v>
      </c>
      <c r="BE147" s="178">
        <v>1.44848768213233</v>
      </c>
      <c r="BF147" s="179">
        <v>16.479201893973201</v>
      </c>
      <c r="BG147" s="168">
        <v>0.02</v>
      </c>
      <c r="BH147" s="168">
        <v>0.02</v>
      </c>
      <c r="BI147" s="176">
        <v>0</v>
      </c>
      <c r="BJ147" s="176">
        <v>0</v>
      </c>
      <c r="BK147" s="169"/>
      <c r="BL147" s="185">
        <v>0.8</v>
      </c>
      <c r="BM147" s="182">
        <v>0.88</v>
      </c>
      <c r="BN147" s="186">
        <v>3.0000000000000001E-3</v>
      </c>
      <c r="BO147" s="187">
        <v>0.95</v>
      </c>
      <c r="BP147" s="178">
        <v>1</v>
      </c>
      <c r="BQ147" s="186">
        <v>2.5000000000000001E-3</v>
      </c>
    </row>
    <row r="148" spans="1:69" s="156" customFormat="1" ht="22.35" customHeight="1" x14ac:dyDescent="0.2">
      <c r="A148" s="165" t="s">
        <v>175</v>
      </c>
      <c r="B148" s="165" t="s">
        <v>201</v>
      </c>
      <c r="C148" s="165" t="s">
        <v>209</v>
      </c>
      <c r="D148" s="166">
        <v>8.0221390946666702</v>
      </c>
      <c r="E148" s="167"/>
      <c r="F148" s="168">
        <v>0.04</v>
      </c>
      <c r="G148" s="168">
        <v>3.6999999999999998E-2</v>
      </c>
      <c r="H148" s="169"/>
      <c r="I148" s="170">
        <v>4</v>
      </c>
      <c r="J148" s="170">
        <v>4</v>
      </c>
      <c r="K148" s="167"/>
      <c r="L148" s="171">
        <v>5249.6984199999997</v>
      </c>
      <c r="M148" s="171">
        <v>-3835.9917999999998</v>
      </c>
      <c r="N148" s="171">
        <v>1413.7066199999999</v>
      </c>
      <c r="O148" s="166">
        <v>176.225642975933</v>
      </c>
      <c r="P148" s="172">
        <v>287.5</v>
      </c>
      <c r="Q148" s="173">
        <v>0.61295875817715695</v>
      </c>
      <c r="R148" s="174">
        <v>-1298.5786079068</v>
      </c>
      <c r="S148" s="168"/>
      <c r="T148" s="168"/>
      <c r="U148" s="175">
        <v>893</v>
      </c>
      <c r="V148" s="176">
        <v>1354</v>
      </c>
      <c r="W148" s="167"/>
      <c r="X148" s="175">
        <v>4933.2632649999996</v>
      </c>
      <c r="Y148" s="166">
        <v>614.95608674745699</v>
      </c>
      <c r="Z148" s="177">
        <v>573</v>
      </c>
      <c r="AA148" s="182">
        <v>1.0732217918803799</v>
      </c>
      <c r="AB148" s="183">
        <v>-472.43911966294701</v>
      </c>
      <c r="AC148" s="168">
        <v>0.01</v>
      </c>
      <c r="AD148" s="168">
        <v>7.0000000000000001E-3</v>
      </c>
      <c r="AE148" s="176">
        <v>0</v>
      </c>
      <c r="AF148" s="176">
        <v>583</v>
      </c>
      <c r="AG148" s="167"/>
      <c r="AH148" s="180">
        <v>470.05</v>
      </c>
      <c r="AI148" s="166">
        <v>58.594097466161102</v>
      </c>
      <c r="AJ148" s="181" t="s">
        <v>53</v>
      </c>
      <c r="AK148" s="188">
        <v>0.93006503914541405</v>
      </c>
      <c r="AL148" s="171">
        <v>-124.294241245664</v>
      </c>
      <c r="AM148" s="168"/>
      <c r="AN148" s="168"/>
      <c r="AO148" s="176">
        <v>36</v>
      </c>
      <c r="AP148" s="176">
        <v>137</v>
      </c>
      <c r="AQ148" s="167"/>
      <c r="AR148" s="180">
        <v>157.69999999999999</v>
      </c>
      <c r="AS148" s="166">
        <v>19.658098437216498</v>
      </c>
      <c r="AT148" s="181" t="s">
        <v>54</v>
      </c>
      <c r="AU148" s="178">
        <v>1.22863115232603</v>
      </c>
      <c r="AV148" s="179">
        <v>6.7554307947519598</v>
      </c>
      <c r="AW148" s="168">
        <v>0.01</v>
      </c>
      <c r="AX148" s="168">
        <v>0.01</v>
      </c>
      <c r="AY148" s="176">
        <v>0</v>
      </c>
      <c r="AZ148" s="176">
        <v>0</v>
      </c>
      <c r="BA148" s="167"/>
      <c r="BB148" s="184">
        <v>365.6</v>
      </c>
      <c r="BC148" s="180">
        <v>45.573879446077001</v>
      </c>
      <c r="BD148" s="181" t="s">
        <v>55</v>
      </c>
      <c r="BE148" s="178">
        <v>1.4241837326899101</v>
      </c>
      <c r="BF148" s="179">
        <v>63.710861589503899</v>
      </c>
      <c r="BG148" s="168">
        <v>0.02</v>
      </c>
      <c r="BH148" s="168">
        <v>0.02</v>
      </c>
      <c r="BI148" s="176">
        <v>0</v>
      </c>
      <c r="BJ148" s="176">
        <v>0</v>
      </c>
      <c r="BK148" s="169"/>
      <c r="BL148" s="185">
        <v>0.8</v>
      </c>
      <c r="BM148" s="188">
        <v>0.77</v>
      </c>
      <c r="BN148" s="186"/>
      <c r="BO148" s="187">
        <v>0.95</v>
      </c>
      <c r="BP148" s="178">
        <v>1</v>
      </c>
      <c r="BQ148" s="186">
        <v>2.5000000000000001E-3</v>
      </c>
    </row>
    <row r="149" spans="1:69" s="156" customFormat="1" ht="22.35" customHeight="1" x14ac:dyDescent="0.2">
      <c r="A149" s="165" t="s">
        <v>175</v>
      </c>
      <c r="B149" s="165" t="s">
        <v>201</v>
      </c>
      <c r="C149" s="165" t="s">
        <v>210</v>
      </c>
      <c r="D149" s="166">
        <v>3.69585255633333</v>
      </c>
      <c r="E149" s="167"/>
      <c r="F149" s="168">
        <v>7.0000000000000007E-2</v>
      </c>
      <c r="G149" s="168">
        <v>6.8000000000000005E-2</v>
      </c>
      <c r="H149" s="169"/>
      <c r="I149" s="170">
        <v>6</v>
      </c>
      <c r="J149" s="170">
        <v>6</v>
      </c>
      <c r="K149" s="167"/>
      <c r="L149" s="171">
        <v>2364.5979499999999</v>
      </c>
      <c r="M149" s="171">
        <v>425.75058000000001</v>
      </c>
      <c r="N149" s="171">
        <v>2790.3485300000002</v>
      </c>
      <c r="O149" s="166">
        <v>754.994547934107</v>
      </c>
      <c r="P149" s="172">
        <v>239.22399999999999</v>
      </c>
      <c r="Q149" s="178">
        <v>3.15601506510261</v>
      </c>
      <c r="R149" s="179">
        <v>1750.6038508429299</v>
      </c>
      <c r="S149" s="168">
        <v>0.01</v>
      </c>
      <c r="T149" s="168">
        <v>0.01</v>
      </c>
      <c r="U149" s="175">
        <v>0</v>
      </c>
      <c r="V149" s="176">
        <v>0</v>
      </c>
      <c r="W149" s="167"/>
      <c r="X149" s="175">
        <v>2540.845335</v>
      </c>
      <c r="Y149" s="166">
        <v>687.48557911108298</v>
      </c>
      <c r="Z149" s="177">
        <v>573</v>
      </c>
      <c r="AA149" s="178">
        <v>1.19980031258479</v>
      </c>
      <c r="AB149" s="179">
        <v>50.402481619898502</v>
      </c>
      <c r="AC149" s="168">
        <v>0.02</v>
      </c>
      <c r="AD149" s="168">
        <v>0.02</v>
      </c>
      <c r="AE149" s="176">
        <v>0</v>
      </c>
      <c r="AF149" s="176">
        <v>1</v>
      </c>
      <c r="AG149" s="167"/>
      <c r="AH149" s="180">
        <v>251.4</v>
      </c>
      <c r="AI149" s="166">
        <v>68.022194113018003</v>
      </c>
      <c r="AJ149" s="181" t="s">
        <v>53</v>
      </c>
      <c r="AK149" s="182">
        <v>1.0797173668733</v>
      </c>
      <c r="AL149" s="183">
        <v>-22.4183241936237</v>
      </c>
      <c r="AM149" s="168">
        <v>0.01</v>
      </c>
      <c r="AN149" s="168">
        <v>8.0000000000000002E-3</v>
      </c>
      <c r="AO149" s="176">
        <v>0</v>
      </c>
      <c r="AP149" s="176">
        <v>29</v>
      </c>
      <c r="AQ149" s="167"/>
      <c r="AR149" s="180">
        <v>110.7</v>
      </c>
      <c r="AS149" s="166">
        <v>29.952493589145199</v>
      </c>
      <c r="AT149" s="181" t="s">
        <v>54</v>
      </c>
      <c r="AU149" s="178">
        <v>1.87203084932157</v>
      </c>
      <c r="AV149" s="179">
        <v>41.158838300032102</v>
      </c>
      <c r="AW149" s="168">
        <v>0.01</v>
      </c>
      <c r="AX149" s="168">
        <v>0.01</v>
      </c>
      <c r="AY149" s="176">
        <v>0</v>
      </c>
      <c r="AZ149" s="176">
        <v>0</v>
      </c>
      <c r="BA149" s="167"/>
      <c r="BB149" s="184">
        <v>207</v>
      </c>
      <c r="BC149" s="180">
        <v>56.008727849621103</v>
      </c>
      <c r="BD149" s="181" t="s">
        <v>55</v>
      </c>
      <c r="BE149" s="178">
        <v>1.7502727453006599</v>
      </c>
      <c r="BF149" s="179">
        <v>67.917676600064098</v>
      </c>
      <c r="BG149" s="168">
        <v>0.02</v>
      </c>
      <c r="BH149" s="168">
        <v>0.02</v>
      </c>
      <c r="BI149" s="176">
        <v>0</v>
      </c>
      <c r="BJ149" s="176">
        <v>0</v>
      </c>
      <c r="BK149" s="169"/>
      <c r="BL149" s="185">
        <v>0.8</v>
      </c>
      <c r="BM149" s="188">
        <v>0.77</v>
      </c>
      <c r="BN149" s="186"/>
      <c r="BO149" s="187">
        <v>0.95</v>
      </c>
      <c r="BP149" s="178">
        <v>1</v>
      </c>
      <c r="BQ149" s="186">
        <v>2.5000000000000001E-3</v>
      </c>
    </row>
    <row r="150" spans="1:69" s="156" customFormat="1" ht="22.35" customHeight="1" x14ac:dyDescent="0.2">
      <c r="A150" s="165" t="s">
        <v>175</v>
      </c>
      <c r="B150" s="165" t="s">
        <v>201</v>
      </c>
      <c r="C150" s="165" t="s">
        <v>211</v>
      </c>
      <c r="D150" s="166">
        <v>2.8061909415555601</v>
      </c>
      <c r="E150" s="167"/>
      <c r="F150" s="168">
        <v>5.6000000000000001E-2</v>
      </c>
      <c r="G150" s="168">
        <v>5.1999999999999998E-2</v>
      </c>
      <c r="H150" s="169"/>
      <c r="I150" s="170">
        <v>7</v>
      </c>
      <c r="J150" s="170">
        <v>7</v>
      </c>
      <c r="K150" s="167"/>
      <c r="L150" s="171">
        <v>2016.1551099999999</v>
      </c>
      <c r="M150" s="171">
        <v>1565.2537</v>
      </c>
      <c r="N150" s="171">
        <v>3581.4088099999999</v>
      </c>
      <c r="O150" s="166">
        <v>1276.2527157238701</v>
      </c>
      <c r="P150" s="172">
        <v>229.53</v>
      </c>
      <c r="Q150" s="178">
        <v>5.5602871769436204</v>
      </c>
      <c r="R150" s="179">
        <v>2823.94132198527</v>
      </c>
      <c r="S150" s="168">
        <v>0.01</v>
      </c>
      <c r="T150" s="168">
        <v>0.01</v>
      </c>
      <c r="U150" s="175">
        <v>0</v>
      </c>
      <c r="V150" s="176">
        <v>0</v>
      </c>
      <c r="W150" s="167"/>
      <c r="X150" s="175">
        <v>1785.2129600000001</v>
      </c>
      <c r="Y150" s="166">
        <v>636.16945431746103</v>
      </c>
      <c r="Z150" s="177">
        <v>573</v>
      </c>
      <c r="AA150" s="182">
        <v>1.1102433757721799</v>
      </c>
      <c r="AB150" s="183">
        <v>-105.73319358533099</v>
      </c>
      <c r="AC150" s="168">
        <v>1.2999999999999999E-2</v>
      </c>
      <c r="AD150" s="168">
        <v>1.0999999999999999E-2</v>
      </c>
      <c r="AE150" s="176">
        <v>0</v>
      </c>
      <c r="AF150" s="176">
        <v>145</v>
      </c>
      <c r="AG150" s="167"/>
      <c r="AH150" s="180">
        <v>177.65</v>
      </c>
      <c r="AI150" s="166">
        <v>63.306454799374201</v>
      </c>
      <c r="AJ150" s="181" t="s">
        <v>53</v>
      </c>
      <c r="AK150" s="182">
        <v>1.0048643618948301</v>
      </c>
      <c r="AL150" s="183">
        <v>-30.2550744779683</v>
      </c>
      <c r="AM150" s="168">
        <v>3.0000000000000001E-3</v>
      </c>
      <c r="AN150" s="168">
        <v>1E-3</v>
      </c>
      <c r="AO150" s="176">
        <v>0</v>
      </c>
      <c r="AP150" s="176">
        <v>35</v>
      </c>
      <c r="AQ150" s="167"/>
      <c r="AR150" s="180">
        <v>65.400000000000006</v>
      </c>
      <c r="AS150" s="166">
        <v>23.305612968641</v>
      </c>
      <c r="AT150" s="181" t="s">
        <v>54</v>
      </c>
      <c r="AU150" s="178">
        <v>1.4566008105400601</v>
      </c>
      <c r="AV150" s="179">
        <v>12.5987112436906</v>
      </c>
      <c r="AW150" s="168">
        <v>0.01</v>
      </c>
      <c r="AX150" s="168">
        <v>0.01</v>
      </c>
      <c r="AY150" s="176">
        <v>0</v>
      </c>
      <c r="AZ150" s="176">
        <v>0</v>
      </c>
      <c r="BA150" s="167"/>
      <c r="BB150" s="184">
        <v>164.4</v>
      </c>
      <c r="BC150" s="180">
        <v>58.584751866125004</v>
      </c>
      <c r="BD150" s="181" t="s">
        <v>55</v>
      </c>
      <c r="BE150" s="178">
        <v>1.8307734958164099</v>
      </c>
      <c r="BF150" s="179">
        <v>58.797422487381198</v>
      </c>
      <c r="BG150" s="168">
        <v>0.02</v>
      </c>
      <c r="BH150" s="168">
        <v>0.02</v>
      </c>
      <c r="BI150" s="176">
        <v>0</v>
      </c>
      <c r="BJ150" s="176">
        <v>0</v>
      </c>
      <c r="BK150" s="169"/>
      <c r="BL150" s="185">
        <v>0.8</v>
      </c>
      <c r="BM150" s="182">
        <v>0.84</v>
      </c>
      <c r="BN150" s="186">
        <v>1.5E-3</v>
      </c>
      <c r="BO150" s="187">
        <v>0.95</v>
      </c>
      <c r="BP150" s="178">
        <v>1</v>
      </c>
      <c r="BQ150" s="186">
        <v>2.5000000000000001E-3</v>
      </c>
    </row>
    <row r="151" spans="1:69" s="156" customFormat="1" ht="22.35" customHeight="1" x14ac:dyDescent="0.2">
      <c r="A151" s="165" t="s">
        <v>175</v>
      </c>
      <c r="B151" s="165" t="s">
        <v>201</v>
      </c>
      <c r="C151" s="165" t="s">
        <v>212</v>
      </c>
      <c r="D151" s="166">
        <v>3.7250110427777798</v>
      </c>
      <c r="E151" s="167"/>
      <c r="F151" s="168">
        <v>0.04</v>
      </c>
      <c r="G151" s="168">
        <v>0.04</v>
      </c>
      <c r="H151" s="169"/>
      <c r="I151" s="170">
        <v>4</v>
      </c>
      <c r="J151" s="170">
        <v>4</v>
      </c>
      <c r="K151" s="167"/>
      <c r="L151" s="171">
        <v>2309.8305599999999</v>
      </c>
      <c r="M151" s="171">
        <v>3829.0872399999998</v>
      </c>
      <c r="N151" s="171">
        <v>6138.9178000000002</v>
      </c>
      <c r="O151" s="166">
        <v>1648.0267385790501</v>
      </c>
      <c r="P151" s="172">
        <v>247.43600000000001</v>
      </c>
      <c r="Q151" s="178">
        <v>6.6604161826858297</v>
      </c>
      <c r="R151" s="179">
        <v>5054.9964451202204</v>
      </c>
      <c r="S151" s="168">
        <v>0.01</v>
      </c>
      <c r="T151" s="168">
        <v>0.01</v>
      </c>
      <c r="U151" s="175">
        <v>0</v>
      </c>
      <c r="V151" s="176">
        <v>0</v>
      </c>
      <c r="W151" s="167"/>
      <c r="X151" s="175">
        <v>1870.709255</v>
      </c>
      <c r="Y151" s="166">
        <v>502.20233806474698</v>
      </c>
      <c r="Z151" s="177">
        <v>573</v>
      </c>
      <c r="AA151" s="188">
        <v>0.87644387096814402</v>
      </c>
      <c r="AB151" s="171">
        <v>-639.38198615372198</v>
      </c>
      <c r="AC151" s="168"/>
      <c r="AD151" s="168"/>
      <c r="AE151" s="176">
        <v>264</v>
      </c>
      <c r="AF151" s="176">
        <v>691</v>
      </c>
      <c r="AG151" s="167"/>
      <c r="AH151" s="180">
        <v>222.95</v>
      </c>
      <c r="AI151" s="166">
        <v>59.8521715612805</v>
      </c>
      <c r="AJ151" s="181" t="s">
        <v>53</v>
      </c>
      <c r="AK151" s="188">
        <v>0.950034469226675</v>
      </c>
      <c r="AL151" s="171">
        <v>-53.028618137320102</v>
      </c>
      <c r="AM151" s="168"/>
      <c r="AN151" s="168"/>
      <c r="AO151" s="176">
        <v>12</v>
      </c>
      <c r="AP151" s="176">
        <v>59</v>
      </c>
      <c r="AQ151" s="167"/>
      <c r="AR151" s="180">
        <v>108.6</v>
      </c>
      <c r="AS151" s="166">
        <v>29.1542759881366</v>
      </c>
      <c r="AT151" s="181" t="s">
        <v>54</v>
      </c>
      <c r="AU151" s="178">
        <v>1.82214224925854</v>
      </c>
      <c r="AV151" s="179">
        <v>38.510192219093298</v>
      </c>
      <c r="AW151" s="168">
        <v>0.01</v>
      </c>
      <c r="AX151" s="168">
        <v>0.01</v>
      </c>
      <c r="AY151" s="176">
        <v>0</v>
      </c>
      <c r="AZ151" s="176">
        <v>0</v>
      </c>
      <c r="BA151" s="167"/>
      <c r="BB151" s="184">
        <v>196.2</v>
      </c>
      <c r="BC151" s="180">
        <v>52.670984796246898</v>
      </c>
      <c r="BD151" s="181" t="s">
        <v>55</v>
      </c>
      <c r="BE151" s="178">
        <v>1.64596827488271</v>
      </c>
      <c r="BF151" s="179">
        <v>56.020384438186603</v>
      </c>
      <c r="BG151" s="168">
        <v>0.02</v>
      </c>
      <c r="BH151" s="168">
        <v>0.02</v>
      </c>
      <c r="BI151" s="176">
        <v>0</v>
      </c>
      <c r="BJ151" s="176">
        <v>0</v>
      </c>
      <c r="BK151" s="169"/>
      <c r="BL151" s="185">
        <v>0.8</v>
      </c>
      <c r="BM151" s="188">
        <v>0.8</v>
      </c>
      <c r="BN151" s="186">
        <v>0</v>
      </c>
      <c r="BO151" s="187">
        <v>0.95</v>
      </c>
      <c r="BP151" s="178">
        <v>1</v>
      </c>
      <c r="BQ151" s="186">
        <v>2.5000000000000001E-3</v>
      </c>
    </row>
    <row r="152" spans="1:69" s="156" customFormat="1" ht="22.35" customHeight="1" x14ac:dyDescent="0.2">
      <c r="A152" s="165" t="s">
        <v>175</v>
      </c>
      <c r="B152" s="165" t="s">
        <v>201</v>
      </c>
      <c r="C152" s="165" t="s">
        <v>213</v>
      </c>
      <c r="D152" s="166">
        <v>7.9314378249999997</v>
      </c>
      <c r="E152" s="167"/>
      <c r="F152" s="168">
        <v>1.4999999999999999E-2</v>
      </c>
      <c r="G152" s="168">
        <v>1.2999999999999999E-2</v>
      </c>
      <c r="H152" s="169"/>
      <c r="I152" s="170">
        <v>3</v>
      </c>
      <c r="J152" s="170">
        <v>3</v>
      </c>
      <c r="K152" s="167"/>
      <c r="L152" s="171">
        <v>5742.8224600000003</v>
      </c>
      <c r="M152" s="171">
        <v>1229.0456200000001</v>
      </c>
      <c r="N152" s="171">
        <v>6971.8680800000002</v>
      </c>
      <c r="O152" s="166">
        <v>879.01692402159097</v>
      </c>
      <c r="P152" s="172">
        <v>287.5</v>
      </c>
      <c r="Q152" s="178">
        <v>3.0574501705098802</v>
      </c>
      <c r="R152" s="179">
        <v>4290.2489513675</v>
      </c>
      <c r="S152" s="168">
        <v>0.01</v>
      </c>
      <c r="T152" s="168">
        <v>0.01</v>
      </c>
      <c r="U152" s="175">
        <v>0</v>
      </c>
      <c r="V152" s="176">
        <v>0</v>
      </c>
      <c r="W152" s="167"/>
      <c r="X152" s="175">
        <v>3201.4128350000001</v>
      </c>
      <c r="Y152" s="166">
        <v>403.63587354982502</v>
      </c>
      <c r="Z152" s="177">
        <v>573</v>
      </c>
      <c r="AA152" s="173">
        <v>0.70442560828939804</v>
      </c>
      <c r="AB152" s="174">
        <v>-2143.1706805006002</v>
      </c>
      <c r="AC152" s="168"/>
      <c r="AD152" s="168"/>
      <c r="AE152" s="176">
        <v>1344</v>
      </c>
      <c r="AF152" s="176">
        <v>2253</v>
      </c>
      <c r="AG152" s="167"/>
      <c r="AH152" s="180">
        <v>299.2</v>
      </c>
      <c r="AI152" s="166">
        <v>37.723298927833397</v>
      </c>
      <c r="AJ152" s="181" t="s">
        <v>53</v>
      </c>
      <c r="AK152" s="173">
        <v>0.59878252266402299</v>
      </c>
      <c r="AL152" s="174">
        <v>-288.42436557859997</v>
      </c>
      <c r="AM152" s="168"/>
      <c r="AN152" s="168"/>
      <c r="AO152" s="176">
        <v>201</v>
      </c>
      <c r="AP152" s="176">
        <v>301</v>
      </c>
      <c r="AQ152" s="167"/>
      <c r="AR152" s="180">
        <v>75.400000000000006</v>
      </c>
      <c r="AS152" s="166">
        <v>9.5064730586852999</v>
      </c>
      <c r="AT152" s="181" t="s">
        <v>54</v>
      </c>
      <c r="AU152" s="173">
        <v>0.59415456616783102</v>
      </c>
      <c r="AV152" s="174">
        <v>-73.837934115199999</v>
      </c>
      <c r="AW152" s="168"/>
      <c r="AX152" s="168"/>
      <c r="AY152" s="176">
        <v>52</v>
      </c>
      <c r="AZ152" s="176">
        <v>77</v>
      </c>
      <c r="BA152" s="167"/>
      <c r="BB152" s="184">
        <v>261.39999999999998</v>
      </c>
      <c r="BC152" s="180">
        <v>32.9574543440363</v>
      </c>
      <c r="BD152" s="181" t="s">
        <v>55</v>
      </c>
      <c r="BE152" s="182">
        <v>1.0299204482511299</v>
      </c>
      <c r="BF152" s="183">
        <v>-37.075868230399998</v>
      </c>
      <c r="BG152" s="168">
        <v>5.0000000000000001E-3</v>
      </c>
      <c r="BH152" s="168">
        <v>3.0000000000000001E-3</v>
      </c>
      <c r="BI152" s="176">
        <v>0</v>
      </c>
      <c r="BJ152" s="176">
        <v>44</v>
      </c>
      <c r="BK152" s="169"/>
      <c r="BL152" s="185">
        <v>0.8</v>
      </c>
      <c r="BM152" s="188">
        <v>0.76</v>
      </c>
      <c r="BN152" s="186"/>
      <c r="BO152" s="187">
        <v>0.95</v>
      </c>
      <c r="BP152" s="178">
        <v>1</v>
      </c>
      <c r="BQ152" s="186">
        <v>2.5000000000000001E-3</v>
      </c>
    </row>
    <row r="153" spans="1:69" s="156" customFormat="1" ht="22.35" customHeight="1" x14ac:dyDescent="0.2">
      <c r="A153" s="165" t="s">
        <v>175</v>
      </c>
      <c r="B153" s="165" t="s">
        <v>201</v>
      </c>
      <c r="C153" s="165" t="s">
        <v>214</v>
      </c>
      <c r="D153" s="166">
        <v>4.0442520443333301</v>
      </c>
      <c r="E153" s="167"/>
      <c r="F153" s="168">
        <v>5.8999999999999997E-2</v>
      </c>
      <c r="G153" s="168">
        <v>5.5E-2</v>
      </c>
      <c r="H153" s="169"/>
      <c r="I153" s="170">
        <v>7</v>
      </c>
      <c r="J153" s="170">
        <v>7</v>
      </c>
      <c r="K153" s="167"/>
      <c r="L153" s="171">
        <v>975.77193</v>
      </c>
      <c r="M153" s="171">
        <v>2095.1510400000002</v>
      </c>
      <c r="N153" s="171">
        <v>3070.9229700000001</v>
      </c>
      <c r="O153" s="166">
        <v>759.330263380313</v>
      </c>
      <c r="P153" s="172">
        <v>232.012</v>
      </c>
      <c r="Q153" s="178">
        <v>3.2728059901225501</v>
      </c>
      <c r="R153" s="179">
        <v>1967.4645237556001</v>
      </c>
      <c r="S153" s="168">
        <v>0.01</v>
      </c>
      <c r="T153" s="168">
        <v>0.01</v>
      </c>
      <c r="U153" s="175">
        <v>0</v>
      </c>
      <c r="V153" s="176">
        <v>0</v>
      </c>
      <c r="W153" s="167"/>
      <c r="X153" s="175">
        <v>2553.4404650000001</v>
      </c>
      <c r="Y153" s="166">
        <v>631.37520535541103</v>
      </c>
      <c r="Z153" s="177">
        <v>573</v>
      </c>
      <c r="AA153" s="182">
        <v>1.10187644913684</v>
      </c>
      <c r="AB153" s="183">
        <v>-171.770686569926</v>
      </c>
      <c r="AC153" s="168">
        <v>1.2E-2</v>
      </c>
      <c r="AD153" s="168">
        <v>0.01</v>
      </c>
      <c r="AE153" s="176">
        <v>0</v>
      </c>
      <c r="AF153" s="176">
        <v>228</v>
      </c>
      <c r="AG153" s="167"/>
      <c r="AH153" s="180">
        <v>267.7</v>
      </c>
      <c r="AI153" s="166">
        <v>66.192709323122401</v>
      </c>
      <c r="AJ153" s="181" t="s">
        <v>53</v>
      </c>
      <c r="AK153" s="182">
        <v>1.0506779257638501</v>
      </c>
      <c r="AL153" s="183">
        <v>-31.930545460567799</v>
      </c>
      <c r="AM153" s="168">
        <v>7.0000000000000001E-3</v>
      </c>
      <c r="AN153" s="168">
        <v>5.0000000000000001E-3</v>
      </c>
      <c r="AO153" s="176">
        <v>0</v>
      </c>
      <c r="AP153" s="176">
        <v>39</v>
      </c>
      <c r="AQ153" s="167"/>
      <c r="AR153" s="180">
        <v>85.1</v>
      </c>
      <c r="AS153" s="166">
        <v>21.042209799767299</v>
      </c>
      <c r="AT153" s="181" t="s">
        <v>54</v>
      </c>
      <c r="AU153" s="178">
        <v>1.31513811248546</v>
      </c>
      <c r="AV153" s="179">
        <v>9.00335353382407</v>
      </c>
      <c r="AW153" s="168">
        <v>0.01</v>
      </c>
      <c r="AX153" s="168">
        <v>0.01</v>
      </c>
      <c r="AY153" s="176">
        <v>0</v>
      </c>
      <c r="AZ153" s="176">
        <v>0</v>
      </c>
      <c r="BA153" s="167"/>
      <c r="BB153" s="184">
        <v>205.4</v>
      </c>
      <c r="BC153" s="180">
        <v>50.788130351024797</v>
      </c>
      <c r="BD153" s="181" t="s">
        <v>55</v>
      </c>
      <c r="BE153" s="178">
        <v>1.58712907346953</v>
      </c>
      <c r="BF153" s="179">
        <v>53.206707067648097</v>
      </c>
      <c r="BG153" s="168">
        <v>0.02</v>
      </c>
      <c r="BH153" s="168">
        <v>0.02</v>
      </c>
      <c r="BI153" s="176">
        <v>0</v>
      </c>
      <c r="BJ153" s="176">
        <v>0</v>
      </c>
      <c r="BK153" s="169"/>
      <c r="BL153" s="185">
        <v>0.8</v>
      </c>
      <c r="BM153" s="182">
        <v>0.83</v>
      </c>
      <c r="BN153" s="186">
        <v>1.1249999999999999E-3</v>
      </c>
      <c r="BO153" s="187">
        <v>0.95</v>
      </c>
      <c r="BP153" s="178">
        <v>1</v>
      </c>
      <c r="BQ153" s="186">
        <v>2.5000000000000001E-3</v>
      </c>
    </row>
    <row r="154" spans="1:69" s="156" customFormat="1" ht="22.35" customHeight="1" x14ac:dyDescent="0.2">
      <c r="A154" s="165" t="s">
        <v>175</v>
      </c>
      <c r="B154" s="165" t="s">
        <v>201</v>
      </c>
      <c r="C154" s="165" t="s">
        <v>215</v>
      </c>
      <c r="D154" s="166">
        <v>2.8994516252222202</v>
      </c>
      <c r="E154" s="167"/>
      <c r="F154" s="168">
        <v>7.85E-2</v>
      </c>
      <c r="G154" s="168">
        <v>7.4999999999999997E-2</v>
      </c>
      <c r="H154" s="169"/>
      <c r="I154" s="170">
        <v>6</v>
      </c>
      <c r="J154" s="170">
        <v>6</v>
      </c>
      <c r="K154" s="167"/>
      <c r="L154" s="171">
        <v>2014.65408</v>
      </c>
      <c r="M154" s="171">
        <v>-851.21006</v>
      </c>
      <c r="N154" s="171">
        <v>1163.4440199999999</v>
      </c>
      <c r="O154" s="166">
        <v>401.263469919361</v>
      </c>
      <c r="P154" s="172">
        <v>221.65100000000001</v>
      </c>
      <c r="Q154" s="178">
        <v>1.81033909127124</v>
      </c>
      <c r="R154" s="179">
        <v>407.66838983381501</v>
      </c>
      <c r="S154" s="168">
        <v>0.01</v>
      </c>
      <c r="T154" s="168">
        <v>0.01</v>
      </c>
      <c r="U154" s="175">
        <v>0</v>
      </c>
      <c r="V154" s="176">
        <v>0</v>
      </c>
      <c r="W154" s="167"/>
      <c r="X154" s="175">
        <v>1965.57529</v>
      </c>
      <c r="Y154" s="166">
        <v>677.912772505509</v>
      </c>
      <c r="Z154" s="177">
        <v>573</v>
      </c>
      <c r="AA154" s="178">
        <v>1.1830938438141501</v>
      </c>
      <c r="AB154" s="179">
        <v>11.785611247257499</v>
      </c>
      <c r="AC154" s="168">
        <v>0.02</v>
      </c>
      <c r="AD154" s="168">
        <v>1.7999999999999999E-2</v>
      </c>
      <c r="AE154" s="176">
        <v>0</v>
      </c>
      <c r="AF154" s="176">
        <v>29</v>
      </c>
      <c r="AG154" s="167"/>
      <c r="AH154" s="180">
        <v>224.95</v>
      </c>
      <c r="AI154" s="166">
        <v>77.583636175602393</v>
      </c>
      <c r="AJ154" s="181" t="s">
        <v>53</v>
      </c>
      <c r="AK154" s="178">
        <v>1.23148628850163</v>
      </c>
      <c r="AL154" s="179">
        <v>10.135427990536201</v>
      </c>
      <c r="AM154" s="168">
        <v>0.02</v>
      </c>
      <c r="AN154" s="168">
        <v>0.02</v>
      </c>
      <c r="AO154" s="176">
        <v>0</v>
      </c>
      <c r="AP154" s="176">
        <v>0</v>
      </c>
      <c r="AQ154" s="167"/>
      <c r="AR154" s="180">
        <v>53</v>
      </c>
      <c r="AS154" s="166">
        <v>18.279318592162401</v>
      </c>
      <c r="AT154" s="181" t="s">
        <v>54</v>
      </c>
      <c r="AU154" s="182">
        <v>1.1424574120101501</v>
      </c>
      <c r="AV154" s="183">
        <v>-1.5560817801812901</v>
      </c>
      <c r="AW154" s="168">
        <v>8.5000000000000006E-3</v>
      </c>
      <c r="AX154" s="168">
        <v>7.0000000000000001E-3</v>
      </c>
      <c r="AY154" s="176">
        <v>0</v>
      </c>
      <c r="AZ154" s="176">
        <v>3</v>
      </c>
      <c r="BA154" s="167"/>
      <c r="BB154" s="184">
        <v>150.4</v>
      </c>
      <c r="BC154" s="180">
        <v>51.871877665306101</v>
      </c>
      <c r="BD154" s="181" t="s">
        <v>55</v>
      </c>
      <c r="BE154" s="178">
        <v>1.6209961770408099</v>
      </c>
      <c r="BF154" s="179">
        <v>41.287836439637402</v>
      </c>
      <c r="BG154" s="168">
        <v>0.02</v>
      </c>
      <c r="BH154" s="168">
        <v>0.02</v>
      </c>
      <c r="BI154" s="176">
        <v>0</v>
      </c>
      <c r="BJ154" s="176">
        <v>0</v>
      </c>
      <c r="BK154" s="169"/>
      <c r="BL154" s="185">
        <v>0.8</v>
      </c>
      <c r="BM154" s="188">
        <v>0.73</v>
      </c>
      <c r="BN154" s="186"/>
      <c r="BO154" s="187">
        <v>0.95</v>
      </c>
      <c r="BP154" s="178">
        <v>1</v>
      </c>
      <c r="BQ154" s="186">
        <v>2.5000000000000001E-3</v>
      </c>
    </row>
    <row r="155" spans="1:69" s="156" customFormat="1" ht="22.35" customHeight="1" x14ac:dyDescent="0.2">
      <c r="A155" s="165" t="s">
        <v>175</v>
      </c>
      <c r="B155" s="165" t="s">
        <v>201</v>
      </c>
      <c r="C155" s="165" t="s">
        <v>216</v>
      </c>
      <c r="D155" s="166">
        <v>4.91139505655556</v>
      </c>
      <c r="E155" s="167"/>
      <c r="F155" s="168">
        <v>3.5000000000000003E-2</v>
      </c>
      <c r="G155" s="168">
        <v>2.9499999999999998E-2</v>
      </c>
      <c r="H155" s="169"/>
      <c r="I155" s="170">
        <v>6</v>
      </c>
      <c r="J155" s="170">
        <v>6</v>
      </c>
      <c r="K155" s="167"/>
      <c r="L155" s="171">
        <v>2252.8888299999999</v>
      </c>
      <c r="M155" s="171">
        <v>2098.95228</v>
      </c>
      <c r="N155" s="171">
        <v>4351.8411100000003</v>
      </c>
      <c r="O155" s="166">
        <v>886.07026311013601</v>
      </c>
      <c r="P155" s="172">
        <v>287.5</v>
      </c>
      <c r="Q155" s="178">
        <v>3.0819835238613398</v>
      </c>
      <c r="R155" s="179">
        <v>2691.2984413785698</v>
      </c>
      <c r="S155" s="168">
        <v>0.01</v>
      </c>
      <c r="T155" s="168">
        <v>0.01</v>
      </c>
      <c r="U155" s="175">
        <v>0</v>
      </c>
      <c r="V155" s="176">
        <v>0</v>
      </c>
      <c r="W155" s="167"/>
      <c r="X155" s="175">
        <v>2821.732645</v>
      </c>
      <c r="Y155" s="166">
        <v>574.52772837600401</v>
      </c>
      <c r="Z155" s="177">
        <v>573</v>
      </c>
      <c r="AA155" s="182">
        <v>1.0026661926282801</v>
      </c>
      <c r="AB155" s="183">
        <v>-487.80109106984997</v>
      </c>
      <c r="AC155" s="168">
        <v>2E-3</v>
      </c>
      <c r="AD155" s="168">
        <v>1E-3</v>
      </c>
      <c r="AE155" s="176">
        <v>0</v>
      </c>
      <c r="AF155" s="176">
        <v>556</v>
      </c>
      <c r="AG155" s="167"/>
      <c r="AH155" s="180">
        <v>233.6</v>
      </c>
      <c r="AI155" s="166">
        <v>47.562860920381297</v>
      </c>
      <c r="AJ155" s="181" t="s">
        <v>53</v>
      </c>
      <c r="AK155" s="173">
        <v>0.75496604635525799</v>
      </c>
      <c r="AL155" s="174">
        <v>-130.27543695008799</v>
      </c>
      <c r="AM155" s="168"/>
      <c r="AN155" s="168"/>
      <c r="AO155" s="176">
        <v>76</v>
      </c>
      <c r="AP155" s="176">
        <v>138</v>
      </c>
      <c r="AQ155" s="167"/>
      <c r="AR155" s="180">
        <v>92.2</v>
      </c>
      <c r="AS155" s="166">
        <v>18.772670277650501</v>
      </c>
      <c r="AT155" s="181" t="s">
        <v>54</v>
      </c>
      <c r="AU155" s="178">
        <v>1.1732918923531499</v>
      </c>
      <c r="AV155" s="179">
        <v>-0.21280938414939499</v>
      </c>
      <c r="AW155" s="168">
        <v>0.01</v>
      </c>
      <c r="AX155" s="168">
        <v>8.5000000000000006E-3</v>
      </c>
      <c r="AY155" s="176">
        <v>0</v>
      </c>
      <c r="AZ155" s="176">
        <v>3</v>
      </c>
      <c r="BA155" s="167"/>
      <c r="BB155" s="184">
        <v>173.4</v>
      </c>
      <c r="BC155" s="180">
        <v>35.305651042782998</v>
      </c>
      <c r="BD155" s="181" t="s">
        <v>55</v>
      </c>
      <c r="BE155" s="182">
        <v>1.10330159508697</v>
      </c>
      <c r="BF155" s="183">
        <v>-11.425618768298801</v>
      </c>
      <c r="BG155" s="168">
        <v>1.2999999999999999E-2</v>
      </c>
      <c r="BH155" s="168">
        <v>0.01</v>
      </c>
      <c r="BI155" s="176">
        <v>0</v>
      </c>
      <c r="BJ155" s="176">
        <v>16</v>
      </c>
      <c r="BK155" s="169"/>
      <c r="BL155" s="185">
        <v>0.8</v>
      </c>
      <c r="BM155" s="182">
        <v>0.81</v>
      </c>
      <c r="BN155" s="186">
        <v>3.7500000000000001E-4</v>
      </c>
      <c r="BO155" s="187">
        <v>0.95</v>
      </c>
      <c r="BP155" s="178">
        <v>1</v>
      </c>
      <c r="BQ155" s="186">
        <v>2.5000000000000001E-3</v>
      </c>
    </row>
    <row r="156" spans="1:69" s="156" customFormat="1" ht="22.35" customHeight="1" x14ac:dyDescent="0.2">
      <c r="A156" s="165" t="s">
        <v>175</v>
      </c>
      <c r="B156" s="165" t="s">
        <v>201</v>
      </c>
      <c r="C156" s="165" t="s">
        <v>217</v>
      </c>
      <c r="D156" s="166">
        <v>2.8078154285555601</v>
      </c>
      <c r="E156" s="167"/>
      <c r="F156" s="168">
        <v>5.6000000000000001E-2</v>
      </c>
      <c r="G156" s="168">
        <v>5.0999999999999997E-2</v>
      </c>
      <c r="H156" s="169"/>
      <c r="I156" s="170">
        <v>7</v>
      </c>
      <c r="J156" s="170">
        <v>7</v>
      </c>
      <c r="K156" s="167"/>
      <c r="L156" s="171">
        <v>1794.2928400000001</v>
      </c>
      <c r="M156" s="171">
        <v>1978.19551</v>
      </c>
      <c r="N156" s="171">
        <v>3772.4883500000001</v>
      </c>
      <c r="O156" s="166">
        <v>1343.56707055375</v>
      </c>
      <c r="P156" s="172">
        <v>264.61399999999998</v>
      </c>
      <c r="Q156" s="178">
        <v>5.07746026496614</v>
      </c>
      <c r="R156" s="179">
        <v>2898.7353183493201</v>
      </c>
      <c r="S156" s="168">
        <v>0.01</v>
      </c>
      <c r="T156" s="168">
        <v>0.01</v>
      </c>
      <c r="U156" s="175">
        <v>0</v>
      </c>
      <c r="V156" s="176">
        <v>0</v>
      </c>
      <c r="W156" s="167"/>
      <c r="X156" s="175">
        <v>1774.1372449999999</v>
      </c>
      <c r="Y156" s="166">
        <v>631.856790498755</v>
      </c>
      <c r="Z156" s="177">
        <v>573</v>
      </c>
      <c r="AA156" s="182">
        <v>1.1027169118651901</v>
      </c>
      <c r="AB156" s="183">
        <v>-117.903565901307</v>
      </c>
      <c r="AC156" s="168">
        <v>1.2999999999999999E-2</v>
      </c>
      <c r="AD156" s="168">
        <v>0.01</v>
      </c>
      <c r="AE156" s="176">
        <v>0</v>
      </c>
      <c r="AF156" s="176">
        <v>157</v>
      </c>
      <c r="AG156" s="167"/>
      <c r="AH156" s="180">
        <v>177.8</v>
      </c>
      <c r="AI156" s="166">
        <v>63.3232505925316</v>
      </c>
      <c r="AJ156" s="181" t="s">
        <v>53</v>
      </c>
      <c r="AK156" s="182">
        <v>1.0051309617862201</v>
      </c>
      <c r="AL156" s="183">
        <v>-30.225429470824299</v>
      </c>
      <c r="AM156" s="168">
        <v>3.0000000000000001E-3</v>
      </c>
      <c r="AN156" s="168">
        <v>1E-3</v>
      </c>
      <c r="AO156" s="176">
        <v>0</v>
      </c>
      <c r="AP156" s="176">
        <v>35</v>
      </c>
      <c r="AQ156" s="167"/>
      <c r="AR156" s="180">
        <v>90.4</v>
      </c>
      <c r="AS156" s="166">
        <v>32.195848445246703</v>
      </c>
      <c r="AT156" s="181" t="s">
        <v>54</v>
      </c>
      <c r="AU156" s="178">
        <v>2.0122405278279198</v>
      </c>
      <c r="AV156" s="179">
        <v>37.568144896298598</v>
      </c>
      <c r="AW156" s="168">
        <v>0.01</v>
      </c>
      <c r="AX156" s="168">
        <v>0.01</v>
      </c>
      <c r="AY156" s="176">
        <v>0</v>
      </c>
      <c r="AZ156" s="176">
        <v>0</v>
      </c>
      <c r="BA156" s="167"/>
      <c r="BB156" s="184">
        <v>190.2</v>
      </c>
      <c r="BC156" s="180">
        <v>67.739495290773405</v>
      </c>
      <c r="BD156" s="181" t="s">
        <v>55</v>
      </c>
      <c r="BE156" s="178">
        <v>2.1168592278366698</v>
      </c>
      <c r="BF156" s="179">
        <v>84.536289792597202</v>
      </c>
      <c r="BG156" s="168">
        <v>0.02</v>
      </c>
      <c r="BH156" s="168">
        <v>0.02</v>
      </c>
      <c r="BI156" s="176">
        <v>0</v>
      </c>
      <c r="BJ156" s="176">
        <v>0</v>
      </c>
      <c r="BK156" s="169"/>
      <c r="BL156" s="185">
        <v>0.8</v>
      </c>
      <c r="BM156" s="182">
        <v>0.82</v>
      </c>
      <c r="BN156" s="186">
        <v>7.5000000000000002E-4</v>
      </c>
      <c r="BO156" s="187">
        <v>0.95</v>
      </c>
      <c r="BP156" s="178">
        <v>1</v>
      </c>
      <c r="BQ156" s="186">
        <v>2.5000000000000001E-3</v>
      </c>
    </row>
    <row r="157" spans="1:69" s="156" customFormat="1" ht="22.35" customHeight="1" x14ac:dyDescent="0.2">
      <c r="A157" s="165" t="s">
        <v>175</v>
      </c>
      <c r="B157" s="165" t="s">
        <v>201</v>
      </c>
      <c r="C157" s="165" t="s">
        <v>218</v>
      </c>
      <c r="D157" s="166">
        <v>8.1451756455555593</v>
      </c>
      <c r="E157" s="167"/>
      <c r="F157" s="168">
        <v>4.9500000000000002E-2</v>
      </c>
      <c r="G157" s="168">
        <v>4.5999999999999999E-2</v>
      </c>
      <c r="H157" s="169"/>
      <c r="I157" s="170">
        <v>6</v>
      </c>
      <c r="J157" s="170">
        <v>6</v>
      </c>
      <c r="K157" s="167"/>
      <c r="L157" s="171">
        <v>3420.64077</v>
      </c>
      <c r="M157" s="171">
        <v>5069.7222300000003</v>
      </c>
      <c r="N157" s="171">
        <v>8490.3629999999994</v>
      </c>
      <c r="O157" s="166">
        <v>1042.3793628849201</v>
      </c>
      <c r="P157" s="172">
        <v>241.934</v>
      </c>
      <c r="Q157" s="178">
        <v>4.30852779222813</v>
      </c>
      <c r="R157" s="179">
        <v>6172.9433686329603</v>
      </c>
      <c r="S157" s="168">
        <v>0.01</v>
      </c>
      <c r="T157" s="168">
        <v>0.01</v>
      </c>
      <c r="U157" s="175">
        <v>0</v>
      </c>
      <c r="V157" s="176">
        <v>0</v>
      </c>
      <c r="W157" s="167"/>
      <c r="X157" s="175">
        <v>5219.7546300000004</v>
      </c>
      <c r="Y157" s="166">
        <v>640.84003306278305</v>
      </c>
      <c r="Z157" s="177">
        <v>573</v>
      </c>
      <c r="AA157" s="182">
        <v>1.1183944730589599</v>
      </c>
      <c r="AB157" s="183">
        <v>-268.85568840632402</v>
      </c>
      <c r="AC157" s="168">
        <v>1.4E-2</v>
      </c>
      <c r="AD157" s="168">
        <v>1.2E-2</v>
      </c>
      <c r="AE157" s="176">
        <v>0</v>
      </c>
      <c r="AF157" s="176">
        <v>381</v>
      </c>
      <c r="AG157" s="167"/>
      <c r="AH157" s="180">
        <v>464.15</v>
      </c>
      <c r="AI157" s="166">
        <v>56.984652044092499</v>
      </c>
      <c r="AJ157" s="181" t="s">
        <v>53</v>
      </c>
      <c r="AK157" s="188">
        <v>0.90451828641416698</v>
      </c>
      <c r="AL157" s="171">
        <v>-139.30977322792</v>
      </c>
      <c r="AM157" s="168"/>
      <c r="AN157" s="168"/>
      <c r="AO157" s="176">
        <v>49</v>
      </c>
      <c r="AP157" s="176">
        <v>152</v>
      </c>
      <c r="AQ157" s="167"/>
      <c r="AR157" s="180">
        <v>141.4</v>
      </c>
      <c r="AS157" s="166">
        <v>17.359969404362101</v>
      </c>
      <c r="AT157" s="181" t="s">
        <v>54</v>
      </c>
      <c r="AU157" s="182">
        <v>1.08499808777263</v>
      </c>
      <c r="AV157" s="183">
        <v>-11.859624946773399</v>
      </c>
      <c r="AW157" s="168">
        <v>5.4999999999999997E-3</v>
      </c>
      <c r="AX157" s="168">
        <v>4.0000000000000001E-3</v>
      </c>
      <c r="AY157" s="176">
        <v>0</v>
      </c>
      <c r="AZ157" s="176">
        <v>15</v>
      </c>
      <c r="BA157" s="167"/>
      <c r="BB157" s="184">
        <v>339.2</v>
      </c>
      <c r="BC157" s="180">
        <v>41.644283040732901</v>
      </c>
      <c r="BD157" s="181" t="s">
        <v>55</v>
      </c>
      <c r="BE157" s="178">
        <v>1.3013838450229001</v>
      </c>
      <c r="BF157" s="179">
        <v>32.680750106453097</v>
      </c>
      <c r="BG157" s="168">
        <v>0.02</v>
      </c>
      <c r="BH157" s="168">
        <v>0.02</v>
      </c>
      <c r="BI157" s="176">
        <v>0</v>
      </c>
      <c r="BJ157" s="176">
        <v>0</v>
      </c>
      <c r="BK157" s="169"/>
      <c r="BL157" s="185">
        <v>0.8</v>
      </c>
      <c r="BM157" s="182">
        <v>0.81</v>
      </c>
      <c r="BN157" s="186">
        <v>3.7500000000000001E-4</v>
      </c>
      <c r="BO157" s="187">
        <v>0.95</v>
      </c>
      <c r="BP157" s="178">
        <v>1</v>
      </c>
      <c r="BQ157" s="186">
        <v>2.5000000000000001E-3</v>
      </c>
    </row>
    <row r="158" spans="1:69" s="156" customFormat="1" ht="22.35" customHeight="1" x14ac:dyDescent="0.2">
      <c r="A158" s="165" t="s">
        <v>175</v>
      </c>
      <c r="B158" s="165" t="s">
        <v>201</v>
      </c>
      <c r="C158" s="165" t="s">
        <v>219</v>
      </c>
      <c r="D158" s="166">
        <v>4.9912352884444404</v>
      </c>
      <c r="E158" s="167"/>
      <c r="F158" s="168">
        <v>0.05</v>
      </c>
      <c r="G158" s="168">
        <v>0.05</v>
      </c>
      <c r="H158" s="169"/>
      <c r="I158" s="170">
        <v>5</v>
      </c>
      <c r="J158" s="170">
        <v>5</v>
      </c>
      <c r="K158" s="167"/>
      <c r="L158" s="171">
        <v>6271.41309</v>
      </c>
      <c r="M158" s="171">
        <v>8351.9718599999997</v>
      </c>
      <c r="N158" s="171">
        <v>14623.38495</v>
      </c>
      <c r="O158" s="166">
        <v>2929.8127827905901</v>
      </c>
      <c r="P158" s="172">
        <v>267.06299999999999</v>
      </c>
      <c r="Q158" s="178">
        <v>10.970493040183699</v>
      </c>
      <c r="R158" s="179">
        <v>13055.8072086707</v>
      </c>
      <c r="S158" s="168">
        <v>0.01</v>
      </c>
      <c r="T158" s="168">
        <v>0.01</v>
      </c>
      <c r="U158" s="175">
        <v>0</v>
      </c>
      <c r="V158" s="176">
        <v>0</v>
      </c>
      <c r="W158" s="167"/>
      <c r="X158" s="175">
        <v>3490.3972600000002</v>
      </c>
      <c r="Y158" s="166">
        <v>699.30529383795204</v>
      </c>
      <c r="Z158" s="177">
        <v>573</v>
      </c>
      <c r="AA158" s="178">
        <v>1.2204280869772299</v>
      </c>
      <c r="AB158" s="179">
        <v>127.06334335229199</v>
      </c>
      <c r="AC158" s="168">
        <v>0.02</v>
      </c>
      <c r="AD158" s="168">
        <v>0.02</v>
      </c>
      <c r="AE158" s="176">
        <v>0</v>
      </c>
      <c r="AF158" s="176">
        <v>0</v>
      </c>
      <c r="AG158" s="167"/>
      <c r="AH158" s="180">
        <v>287.10000000000002</v>
      </c>
      <c r="AI158" s="166">
        <v>57.5208306979006</v>
      </c>
      <c r="AJ158" s="181" t="s">
        <v>53</v>
      </c>
      <c r="AK158" s="188">
        <v>0.91302905869683504</v>
      </c>
      <c r="AL158" s="171">
        <v>-82.690640050271597</v>
      </c>
      <c r="AM158" s="168"/>
      <c r="AN158" s="168"/>
      <c r="AO158" s="176">
        <v>28</v>
      </c>
      <c r="AP158" s="176">
        <v>91</v>
      </c>
      <c r="AQ158" s="167"/>
      <c r="AR158" s="180">
        <v>64.400000000000006</v>
      </c>
      <c r="AS158" s="166">
        <v>12.9026175442173</v>
      </c>
      <c r="AT158" s="181" t="s">
        <v>54</v>
      </c>
      <c r="AU158" s="188">
        <v>0.80641359651358402</v>
      </c>
      <c r="AV158" s="171">
        <v>-29.5150831873706</v>
      </c>
      <c r="AW158" s="168"/>
      <c r="AX158" s="168"/>
      <c r="AY158" s="176">
        <v>16</v>
      </c>
      <c r="AZ158" s="176">
        <v>32</v>
      </c>
      <c r="BA158" s="167"/>
      <c r="BB158" s="184">
        <v>245</v>
      </c>
      <c r="BC158" s="180">
        <v>49.086045005174697</v>
      </c>
      <c r="BD158" s="181" t="s">
        <v>55</v>
      </c>
      <c r="BE158" s="178">
        <v>1.5339389064117099</v>
      </c>
      <c r="BF158" s="179">
        <v>57.169833625258903</v>
      </c>
      <c r="BG158" s="168">
        <v>0.02</v>
      </c>
      <c r="BH158" s="168">
        <v>0.02</v>
      </c>
      <c r="BI158" s="176">
        <v>0</v>
      </c>
      <c r="BJ158" s="176">
        <v>0</v>
      </c>
      <c r="BK158" s="169"/>
      <c r="BL158" s="185">
        <v>0.8</v>
      </c>
      <c r="BM158" s="182">
        <v>0.82</v>
      </c>
      <c r="BN158" s="186">
        <v>7.5000000000000002E-4</v>
      </c>
      <c r="BO158" s="187">
        <v>0.95</v>
      </c>
      <c r="BP158" s="178">
        <v>1</v>
      </c>
      <c r="BQ158" s="186">
        <v>2.5000000000000001E-3</v>
      </c>
    </row>
    <row r="159" spans="1:69" s="156" customFormat="1" ht="22.35" customHeight="1" x14ac:dyDescent="0.2">
      <c r="A159" s="165" t="s">
        <v>220</v>
      </c>
      <c r="B159" s="165" t="s">
        <v>221</v>
      </c>
      <c r="C159" s="165" t="s">
        <v>222</v>
      </c>
      <c r="D159" s="166">
        <v>2.5021163648888902</v>
      </c>
      <c r="E159" s="167"/>
      <c r="F159" s="168">
        <v>1.2E-2</v>
      </c>
      <c r="G159" s="168">
        <v>1.0999999999999999E-2</v>
      </c>
      <c r="H159" s="169"/>
      <c r="I159" s="170">
        <v>3</v>
      </c>
      <c r="J159" s="170">
        <v>3</v>
      </c>
      <c r="K159" s="167"/>
      <c r="L159" s="171">
        <v>787.56478000000004</v>
      </c>
      <c r="M159" s="171">
        <v>1057.09583</v>
      </c>
      <c r="N159" s="171">
        <v>1844.6606099999999</v>
      </c>
      <c r="O159" s="166">
        <v>737.24013634430503</v>
      </c>
      <c r="P159" s="172">
        <v>242.67599999999999</v>
      </c>
      <c r="Q159" s="178">
        <v>3.0379606402953101</v>
      </c>
      <c r="R159" s="179">
        <v>1130.5891870242499</v>
      </c>
      <c r="S159" s="168">
        <v>0.01</v>
      </c>
      <c r="T159" s="168">
        <v>0.01</v>
      </c>
      <c r="U159" s="175">
        <v>0</v>
      </c>
      <c r="V159" s="176">
        <v>0</v>
      </c>
      <c r="W159" s="167"/>
      <c r="X159" s="175">
        <v>1435.7353900000001</v>
      </c>
      <c r="Y159" s="166">
        <v>573.80840081902295</v>
      </c>
      <c r="Z159" s="177">
        <v>573</v>
      </c>
      <c r="AA159" s="182">
        <v>1.0014108216736901</v>
      </c>
      <c r="AB159" s="183">
        <v>-250.31071824764899</v>
      </c>
      <c r="AC159" s="168">
        <v>2E-3</v>
      </c>
      <c r="AD159" s="168">
        <v>1E-3</v>
      </c>
      <c r="AE159" s="176">
        <v>0</v>
      </c>
      <c r="AF159" s="176">
        <v>285</v>
      </c>
      <c r="AG159" s="167"/>
      <c r="AH159" s="180">
        <v>123.7</v>
      </c>
      <c r="AI159" s="166">
        <v>49.438148335476399</v>
      </c>
      <c r="AJ159" s="181" t="s">
        <v>53</v>
      </c>
      <c r="AK159" s="188">
        <v>0.78473251326153104</v>
      </c>
      <c r="AL159" s="171">
        <v>-61.676797241888103</v>
      </c>
      <c r="AM159" s="168"/>
      <c r="AN159" s="168"/>
      <c r="AO159" s="176">
        <v>34</v>
      </c>
      <c r="AP159" s="176">
        <v>66</v>
      </c>
      <c r="AQ159" s="167"/>
      <c r="AR159" s="180">
        <v>20.399999999999999</v>
      </c>
      <c r="AS159" s="166">
        <v>8.1530980278392793</v>
      </c>
      <c r="AT159" s="181" t="s">
        <v>54</v>
      </c>
      <c r="AU159" s="173">
        <v>0.50956862673995496</v>
      </c>
      <c r="AV159" s="174">
        <v>-26.6798215217494</v>
      </c>
      <c r="AW159" s="168"/>
      <c r="AX159" s="168"/>
      <c r="AY159" s="176">
        <v>20</v>
      </c>
      <c r="AZ159" s="176">
        <v>28</v>
      </c>
      <c r="BA159" s="167"/>
      <c r="BB159" s="184">
        <v>60</v>
      </c>
      <c r="BC159" s="180">
        <v>23.9797000818802</v>
      </c>
      <c r="BD159" s="181" t="s">
        <v>55</v>
      </c>
      <c r="BE159" s="173">
        <v>0.74936562755875702</v>
      </c>
      <c r="BF159" s="174">
        <v>-34.159643043498697</v>
      </c>
      <c r="BG159" s="168"/>
      <c r="BH159" s="168"/>
      <c r="BI159" s="176">
        <v>21</v>
      </c>
      <c r="BJ159" s="176">
        <v>37</v>
      </c>
      <c r="BK159" s="169"/>
      <c r="BL159" s="185">
        <v>0.8</v>
      </c>
      <c r="BM159" s="188">
        <v>0.78</v>
      </c>
      <c r="BN159" s="186"/>
      <c r="BO159" s="187">
        <v>0.95</v>
      </c>
      <c r="BP159" s="178">
        <v>1</v>
      </c>
      <c r="BQ159" s="186">
        <v>2.5000000000000001E-3</v>
      </c>
    </row>
    <row r="160" spans="1:69" s="156" customFormat="1" ht="22.35" customHeight="1" x14ac:dyDescent="0.2">
      <c r="A160" s="165" t="s">
        <v>220</v>
      </c>
      <c r="B160" s="165" t="s">
        <v>221</v>
      </c>
      <c r="C160" s="165" t="s">
        <v>223</v>
      </c>
      <c r="D160" s="166">
        <v>1.37464506811111</v>
      </c>
      <c r="E160" s="167"/>
      <c r="F160" s="168">
        <v>1.7000000000000001E-2</v>
      </c>
      <c r="G160" s="168">
        <v>1.4999999999999999E-2</v>
      </c>
      <c r="H160" s="169"/>
      <c r="I160" s="170">
        <v>3</v>
      </c>
      <c r="J160" s="170">
        <v>3</v>
      </c>
      <c r="K160" s="167"/>
      <c r="L160" s="171">
        <v>982.87054999999998</v>
      </c>
      <c r="M160" s="171">
        <v>-189.86632</v>
      </c>
      <c r="N160" s="171">
        <v>793.00423000000001</v>
      </c>
      <c r="O160" s="166">
        <v>576.87926025127399</v>
      </c>
      <c r="P160" s="172">
        <v>219.79400000000001</v>
      </c>
      <c r="Q160" s="178">
        <v>2.6246360694617401</v>
      </c>
      <c r="R160" s="179">
        <v>437.68907399391401</v>
      </c>
      <c r="S160" s="168">
        <v>0.01</v>
      </c>
      <c r="T160" s="168">
        <v>0.01</v>
      </c>
      <c r="U160" s="175">
        <v>0</v>
      </c>
      <c r="V160" s="176">
        <v>0</v>
      </c>
      <c r="W160" s="167"/>
      <c r="X160" s="175">
        <v>825.39783499999999</v>
      </c>
      <c r="Y160" s="166">
        <v>600.44432861071004</v>
      </c>
      <c r="Z160" s="177">
        <v>573</v>
      </c>
      <c r="AA160" s="182">
        <v>1.04789586144976</v>
      </c>
      <c r="AB160" s="183">
        <v>-100.90399485653499</v>
      </c>
      <c r="AC160" s="168">
        <v>7.0000000000000001E-3</v>
      </c>
      <c r="AD160" s="168">
        <v>5.0000000000000001E-3</v>
      </c>
      <c r="AE160" s="176">
        <v>0</v>
      </c>
      <c r="AF160" s="176">
        <v>120</v>
      </c>
      <c r="AG160" s="167"/>
      <c r="AH160" s="180">
        <v>72.7</v>
      </c>
      <c r="AI160" s="166">
        <v>52.8863789544573</v>
      </c>
      <c r="AJ160" s="181" t="s">
        <v>53</v>
      </c>
      <c r="AK160" s="188">
        <v>0.83946633261043302</v>
      </c>
      <c r="AL160" s="171">
        <v>-29.144703806215901</v>
      </c>
      <c r="AM160" s="168"/>
      <c r="AN160" s="168"/>
      <c r="AO160" s="176">
        <v>14</v>
      </c>
      <c r="AP160" s="176">
        <v>32</v>
      </c>
      <c r="AQ160" s="167"/>
      <c r="AR160" s="180">
        <v>10.6</v>
      </c>
      <c r="AS160" s="166">
        <v>7.7110813881327003</v>
      </c>
      <c r="AT160" s="181" t="s">
        <v>54</v>
      </c>
      <c r="AU160" s="173">
        <v>0.48194258675829399</v>
      </c>
      <c r="AV160" s="174">
        <v>-15.2653216015786</v>
      </c>
      <c r="AW160" s="168"/>
      <c r="AX160" s="168"/>
      <c r="AY160" s="176">
        <v>12</v>
      </c>
      <c r="AZ160" s="176">
        <v>16</v>
      </c>
      <c r="BA160" s="167"/>
      <c r="BB160" s="184">
        <v>31.8</v>
      </c>
      <c r="BC160" s="180">
        <v>23.1332441643981</v>
      </c>
      <c r="BD160" s="181" t="s">
        <v>55</v>
      </c>
      <c r="BE160" s="173">
        <v>0.72291388013744096</v>
      </c>
      <c r="BF160" s="174">
        <v>-19.930643203157299</v>
      </c>
      <c r="BG160" s="168"/>
      <c r="BH160" s="168"/>
      <c r="BI160" s="176">
        <v>13</v>
      </c>
      <c r="BJ160" s="176">
        <v>21</v>
      </c>
      <c r="BK160" s="169"/>
      <c r="BL160" s="185">
        <v>0.8</v>
      </c>
      <c r="BM160" s="188">
        <v>0.77</v>
      </c>
      <c r="BN160" s="186"/>
      <c r="BO160" s="187">
        <v>0.95</v>
      </c>
      <c r="BP160" s="178">
        <v>1</v>
      </c>
      <c r="BQ160" s="186">
        <v>2.5000000000000001E-3</v>
      </c>
    </row>
    <row r="161" spans="1:69" s="156" customFormat="1" ht="22.35" customHeight="1" x14ac:dyDescent="0.2">
      <c r="A161" s="165" t="s">
        <v>220</v>
      </c>
      <c r="B161" s="165" t="s">
        <v>221</v>
      </c>
      <c r="C161" s="165" t="s">
        <v>224</v>
      </c>
      <c r="D161" s="166">
        <v>2.7294855338888899</v>
      </c>
      <c r="E161" s="167"/>
      <c r="F161" s="168">
        <v>3.5999999999999997E-2</v>
      </c>
      <c r="G161" s="168">
        <v>3.1E-2</v>
      </c>
      <c r="H161" s="169"/>
      <c r="I161" s="170">
        <v>4</v>
      </c>
      <c r="J161" s="170">
        <v>4</v>
      </c>
      <c r="K161" s="167"/>
      <c r="L161" s="171">
        <v>1355.4406200000001</v>
      </c>
      <c r="M161" s="171">
        <v>777.58928000000003</v>
      </c>
      <c r="N161" s="171">
        <v>2133.0299</v>
      </c>
      <c r="O161" s="166">
        <v>781.47690233804701</v>
      </c>
      <c r="P161" s="172">
        <v>219.79400000000001</v>
      </c>
      <c r="Q161" s="178">
        <v>3.5554969759777202</v>
      </c>
      <c r="R161" s="179">
        <v>1427.51863691976</v>
      </c>
      <c r="S161" s="168">
        <v>0.01</v>
      </c>
      <c r="T161" s="168">
        <v>0.01</v>
      </c>
      <c r="U161" s="175">
        <v>0</v>
      </c>
      <c r="V161" s="176">
        <v>0</v>
      </c>
      <c r="W161" s="167"/>
      <c r="X161" s="175">
        <v>1650.8910350000001</v>
      </c>
      <c r="Y161" s="166">
        <v>604.83597165208596</v>
      </c>
      <c r="Z161" s="177">
        <v>573</v>
      </c>
      <c r="AA161" s="182">
        <v>1.05556015995129</v>
      </c>
      <c r="AB161" s="183">
        <v>-188.36733303996101</v>
      </c>
      <c r="AC161" s="168">
        <v>8.0000000000000002E-3</v>
      </c>
      <c r="AD161" s="168">
        <v>6.0000000000000001E-3</v>
      </c>
      <c r="AE161" s="176">
        <v>0</v>
      </c>
      <c r="AF161" s="176">
        <v>226</v>
      </c>
      <c r="AG161" s="167"/>
      <c r="AH161" s="180">
        <v>71.2</v>
      </c>
      <c r="AI161" s="166">
        <v>26.0855018705874</v>
      </c>
      <c r="AJ161" s="181" t="s">
        <v>53</v>
      </c>
      <c r="AK161" s="173">
        <v>0.41405558524741998</v>
      </c>
      <c r="AL161" s="174">
        <v>-131.02212423476001</v>
      </c>
      <c r="AM161" s="168"/>
      <c r="AN161" s="168"/>
      <c r="AO161" s="176">
        <v>101</v>
      </c>
      <c r="AP161" s="176">
        <v>136</v>
      </c>
      <c r="AQ161" s="167"/>
      <c r="AR161" s="180">
        <v>21.6</v>
      </c>
      <c r="AS161" s="166">
        <v>7.91357921916698</v>
      </c>
      <c r="AT161" s="181" t="s">
        <v>54</v>
      </c>
      <c r="AU161" s="173">
        <v>0.49459870119793597</v>
      </c>
      <c r="AV161" s="174">
        <v>-29.757999805653402</v>
      </c>
      <c r="AW161" s="168"/>
      <c r="AX161" s="168"/>
      <c r="AY161" s="176">
        <v>23</v>
      </c>
      <c r="AZ161" s="176">
        <v>31</v>
      </c>
      <c r="BA161" s="167"/>
      <c r="BB161" s="184">
        <v>100.6</v>
      </c>
      <c r="BC161" s="180">
        <v>36.856762474453603</v>
      </c>
      <c r="BD161" s="181" t="s">
        <v>55</v>
      </c>
      <c r="BE161" s="182">
        <v>1.15177382732668</v>
      </c>
      <c r="BF161" s="183">
        <v>-2.1159996113067101</v>
      </c>
      <c r="BG161" s="168">
        <v>1.7999999999999999E-2</v>
      </c>
      <c r="BH161" s="168">
        <v>1.4999999999999999E-2</v>
      </c>
      <c r="BI161" s="176">
        <v>0</v>
      </c>
      <c r="BJ161" s="176">
        <v>5</v>
      </c>
      <c r="BK161" s="169"/>
      <c r="BL161" s="185">
        <v>0.8</v>
      </c>
      <c r="BM161" s="188">
        <v>0.8</v>
      </c>
      <c r="BN161" s="186">
        <v>0</v>
      </c>
      <c r="BO161" s="187">
        <v>0.95</v>
      </c>
      <c r="BP161" s="178">
        <v>1</v>
      </c>
      <c r="BQ161" s="186">
        <v>2.5000000000000001E-3</v>
      </c>
    </row>
    <row r="162" spans="1:69" s="156" customFormat="1" ht="22.35" customHeight="1" x14ac:dyDescent="0.2">
      <c r="A162" s="165" t="s">
        <v>220</v>
      </c>
      <c r="B162" s="165" t="s">
        <v>221</v>
      </c>
      <c r="C162" s="165" t="s">
        <v>225</v>
      </c>
      <c r="D162" s="166">
        <v>1.1783439328888901</v>
      </c>
      <c r="E162" s="167"/>
      <c r="F162" s="168">
        <v>4.7E-2</v>
      </c>
      <c r="G162" s="168">
        <v>4.4999999999999998E-2</v>
      </c>
      <c r="H162" s="169"/>
      <c r="I162" s="170">
        <v>5</v>
      </c>
      <c r="J162" s="170">
        <v>5</v>
      </c>
      <c r="K162" s="167"/>
      <c r="L162" s="171">
        <v>955.99843999999996</v>
      </c>
      <c r="M162" s="171">
        <v>597.37900999999999</v>
      </c>
      <c r="N162" s="171">
        <v>1553.37745</v>
      </c>
      <c r="O162" s="166">
        <v>1318.2716918579599</v>
      </c>
      <c r="P162" s="172">
        <v>224.79599999999999</v>
      </c>
      <c r="Q162" s="178">
        <v>5.8643022645330003</v>
      </c>
      <c r="R162" s="179">
        <v>1241.8703347804801</v>
      </c>
      <c r="S162" s="168">
        <v>0.01</v>
      </c>
      <c r="T162" s="168">
        <v>0.01</v>
      </c>
      <c r="U162" s="175">
        <v>0</v>
      </c>
      <c r="V162" s="176">
        <v>0</v>
      </c>
      <c r="W162" s="167"/>
      <c r="X162" s="175">
        <v>619.43449499999997</v>
      </c>
      <c r="Y162" s="166">
        <v>525.68225431548001</v>
      </c>
      <c r="Z162" s="177">
        <v>573</v>
      </c>
      <c r="AA162" s="188">
        <v>0.91742103719979096</v>
      </c>
      <c r="AB162" s="171">
        <v>-174.590207489313</v>
      </c>
      <c r="AC162" s="168"/>
      <c r="AD162" s="168"/>
      <c r="AE162" s="176">
        <v>56</v>
      </c>
      <c r="AF162" s="176">
        <v>191</v>
      </c>
      <c r="AG162" s="167"/>
      <c r="AH162" s="180">
        <v>85.4</v>
      </c>
      <c r="AI162" s="166">
        <v>72.474595588258296</v>
      </c>
      <c r="AJ162" s="181" t="s">
        <v>53</v>
      </c>
      <c r="AK162" s="182">
        <v>1.1503904061628301</v>
      </c>
      <c r="AL162" s="183">
        <v>-1.9011452998720599</v>
      </c>
      <c r="AM162" s="168">
        <v>1.7000000000000001E-2</v>
      </c>
      <c r="AN162" s="168">
        <v>1.4999999999999999E-2</v>
      </c>
      <c r="AO162" s="176">
        <v>0</v>
      </c>
      <c r="AP162" s="176">
        <v>4</v>
      </c>
      <c r="AQ162" s="167"/>
      <c r="AR162" s="180">
        <v>9.6</v>
      </c>
      <c r="AS162" s="166">
        <v>8.14702713872693</v>
      </c>
      <c r="AT162" s="181" t="s">
        <v>54</v>
      </c>
      <c r="AU162" s="173">
        <v>0.50918919617043301</v>
      </c>
      <c r="AV162" s="174">
        <v>-12.5717194412374</v>
      </c>
      <c r="AW162" s="168"/>
      <c r="AX162" s="168"/>
      <c r="AY162" s="176">
        <v>10</v>
      </c>
      <c r="AZ162" s="176">
        <v>14</v>
      </c>
      <c r="BA162" s="167"/>
      <c r="BB162" s="184">
        <v>50.4</v>
      </c>
      <c r="BC162" s="180">
        <v>42.771892478316403</v>
      </c>
      <c r="BD162" s="181" t="s">
        <v>55</v>
      </c>
      <c r="BE162" s="178">
        <v>1.33662163994739</v>
      </c>
      <c r="BF162" s="179">
        <v>6.0565611175253</v>
      </c>
      <c r="BG162" s="168">
        <v>0.02</v>
      </c>
      <c r="BH162" s="168">
        <v>0.02</v>
      </c>
      <c r="BI162" s="176">
        <v>0</v>
      </c>
      <c r="BJ162" s="176">
        <v>0</v>
      </c>
      <c r="BK162" s="169"/>
      <c r="BL162" s="185">
        <v>0.8</v>
      </c>
      <c r="BM162" s="182">
        <v>0.83</v>
      </c>
      <c r="BN162" s="186">
        <v>1.1249999999999999E-3</v>
      </c>
      <c r="BO162" s="187">
        <v>0.95</v>
      </c>
      <c r="BP162" s="178">
        <v>1</v>
      </c>
      <c r="BQ162" s="186">
        <v>2.5000000000000001E-3</v>
      </c>
    </row>
    <row r="163" spans="1:69" s="156" customFormat="1" ht="22.35" customHeight="1" x14ac:dyDescent="0.2">
      <c r="A163" s="165" t="s">
        <v>220</v>
      </c>
      <c r="B163" s="165" t="s">
        <v>221</v>
      </c>
      <c r="C163" s="165" t="s">
        <v>226</v>
      </c>
      <c r="D163" s="166">
        <v>3.1786816065555601</v>
      </c>
      <c r="E163" s="167"/>
      <c r="F163" s="168">
        <v>0.08</v>
      </c>
      <c r="G163" s="168">
        <v>0.08</v>
      </c>
      <c r="H163" s="169"/>
      <c r="I163" s="170">
        <v>6</v>
      </c>
      <c r="J163" s="170">
        <v>6</v>
      </c>
      <c r="K163" s="167"/>
      <c r="L163" s="171">
        <v>3207.3896500000001</v>
      </c>
      <c r="M163" s="171">
        <v>-330.82089000000002</v>
      </c>
      <c r="N163" s="171">
        <v>2876.5687600000001</v>
      </c>
      <c r="O163" s="166">
        <v>904.95655622365803</v>
      </c>
      <c r="P163" s="172">
        <v>239.25899999999999</v>
      </c>
      <c r="Q163" s="178">
        <v>3.7823302622833701</v>
      </c>
      <c r="R163" s="179">
        <v>1982.18761737662</v>
      </c>
      <c r="S163" s="168">
        <v>0.01</v>
      </c>
      <c r="T163" s="168">
        <v>0.01</v>
      </c>
      <c r="U163" s="175">
        <v>0</v>
      </c>
      <c r="V163" s="176">
        <v>0</v>
      </c>
      <c r="W163" s="167"/>
      <c r="X163" s="175">
        <v>2558.0620800000002</v>
      </c>
      <c r="Y163" s="166">
        <v>804.755680696166</v>
      </c>
      <c r="Z163" s="177">
        <v>573</v>
      </c>
      <c r="AA163" s="178">
        <v>1.4044601757350199</v>
      </c>
      <c r="AB163" s="179">
        <v>416.11383678574998</v>
      </c>
      <c r="AC163" s="168">
        <v>0.02</v>
      </c>
      <c r="AD163" s="168">
        <v>0.02</v>
      </c>
      <c r="AE163" s="176">
        <v>0</v>
      </c>
      <c r="AF163" s="176">
        <v>0</v>
      </c>
      <c r="AG163" s="167"/>
      <c r="AH163" s="180">
        <v>307.89999999999998</v>
      </c>
      <c r="AI163" s="166">
        <v>96.864058157005203</v>
      </c>
      <c r="AJ163" s="181" t="s">
        <v>53</v>
      </c>
      <c r="AK163" s="178">
        <v>1.5375247326508801</v>
      </c>
      <c r="AL163" s="179">
        <v>72.3978371335118</v>
      </c>
      <c r="AM163" s="168">
        <v>0.02</v>
      </c>
      <c r="AN163" s="168">
        <v>0.02</v>
      </c>
      <c r="AO163" s="176">
        <v>0</v>
      </c>
      <c r="AP163" s="176">
        <v>0</v>
      </c>
      <c r="AQ163" s="167"/>
      <c r="AR163" s="180">
        <v>64.3</v>
      </c>
      <c r="AS163" s="166">
        <v>20.228512307552599</v>
      </c>
      <c r="AT163" s="181" t="s">
        <v>54</v>
      </c>
      <c r="AU163" s="178">
        <v>1.2642820192220301</v>
      </c>
      <c r="AV163" s="179">
        <v>4.4899268910505903</v>
      </c>
      <c r="AW163" s="168">
        <v>0.01</v>
      </c>
      <c r="AX163" s="168">
        <v>0.01</v>
      </c>
      <c r="AY163" s="176">
        <v>0</v>
      </c>
      <c r="AZ163" s="176">
        <v>0</v>
      </c>
      <c r="BA163" s="167"/>
      <c r="BB163" s="184">
        <v>201.2</v>
      </c>
      <c r="BC163" s="180">
        <v>63.296682368267099</v>
      </c>
      <c r="BD163" s="181" t="s">
        <v>55</v>
      </c>
      <c r="BE163" s="178">
        <v>1.97802132400835</v>
      </c>
      <c r="BF163" s="179">
        <v>81.579853782101196</v>
      </c>
      <c r="BG163" s="168">
        <v>0.02</v>
      </c>
      <c r="BH163" s="168">
        <v>0.02</v>
      </c>
      <c r="BI163" s="176">
        <v>0</v>
      </c>
      <c r="BJ163" s="176">
        <v>0</v>
      </c>
      <c r="BK163" s="169"/>
      <c r="BL163" s="185">
        <v>0.8</v>
      </c>
      <c r="BM163" s="188">
        <v>0.78</v>
      </c>
      <c r="BN163" s="186"/>
      <c r="BO163" s="187">
        <v>0.95</v>
      </c>
      <c r="BP163" s="178">
        <v>1</v>
      </c>
      <c r="BQ163" s="186">
        <v>2.5000000000000001E-3</v>
      </c>
    </row>
    <row r="164" spans="1:69" s="156" customFormat="1" ht="22.35" customHeight="1" x14ac:dyDescent="0.2">
      <c r="A164" s="165" t="s">
        <v>220</v>
      </c>
      <c r="B164" s="165" t="s">
        <v>221</v>
      </c>
      <c r="C164" s="165" t="s">
        <v>227</v>
      </c>
      <c r="D164" s="166">
        <v>3.7074923414444401</v>
      </c>
      <c r="E164" s="167"/>
      <c r="F164" s="168">
        <v>2.5999999999999999E-2</v>
      </c>
      <c r="G164" s="168">
        <v>2.4E-2</v>
      </c>
      <c r="H164" s="169"/>
      <c r="I164" s="170">
        <v>3</v>
      </c>
      <c r="J164" s="170">
        <v>3</v>
      </c>
      <c r="K164" s="167"/>
      <c r="L164" s="171">
        <v>2243.84944</v>
      </c>
      <c r="M164" s="171">
        <v>-567.83866999999998</v>
      </c>
      <c r="N164" s="171">
        <v>1676.0107700000001</v>
      </c>
      <c r="O164" s="166">
        <v>452.06048068248299</v>
      </c>
      <c r="P164" s="172">
        <v>272.85399999999998</v>
      </c>
      <c r="Q164" s="178">
        <v>1.65678524295954</v>
      </c>
      <c r="R164" s="179">
        <v>486.364330369002</v>
      </c>
      <c r="S164" s="168">
        <v>0.01</v>
      </c>
      <c r="T164" s="168">
        <v>0.01</v>
      </c>
      <c r="U164" s="175">
        <v>0</v>
      </c>
      <c r="V164" s="176">
        <v>0</v>
      </c>
      <c r="W164" s="167"/>
      <c r="X164" s="175">
        <v>1859.05547</v>
      </c>
      <c r="Y164" s="166">
        <v>501.43204591913201</v>
      </c>
      <c r="Z164" s="177">
        <v>573</v>
      </c>
      <c r="AA164" s="188">
        <v>0.87509955657789096</v>
      </c>
      <c r="AB164" s="171">
        <v>-639.23082929765201</v>
      </c>
      <c r="AC164" s="168"/>
      <c r="AD164" s="168"/>
      <c r="AE164" s="176">
        <v>266</v>
      </c>
      <c r="AF164" s="176">
        <v>691</v>
      </c>
      <c r="AG164" s="167"/>
      <c r="AH164" s="180">
        <v>97.2</v>
      </c>
      <c r="AI164" s="166">
        <v>26.217181601009301</v>
      </c>
      <c r="AJ164" s="181" t="s">
        <v>53</v>
      </c>
      <c r="AK164" s="173">
        <v>0.41614573969856</v>
      </c>
      <c r="AL164" s="174">
        <v>-177.48069259293601</v>
      </c>
      <c r="AM164" s="168"/>
      <c r="AN164" s="168"/>
      <c r="AO164" s="176">
        <v>137</v>
      </c>
      <c r="AP164" s="176">
        <v>184</v>
      </c>
      <c r="AQ164" s="167"/>
      <c r="AR164" s="180">
        <v>32.799999999999997</v>
      </c>
      <c r="AS164" s="166">
        <v>8.8469501698879007</v>
      </c>
      <c r="AT164" s="181" t="s">
        <v>54</v>
      </c>
      <c r="AU164" s="173">
        <v>0.55293438561799402</v>
      </c>
      <c r="AV164" s="174">
        <v>-36.960175896618601</v>
      </c>
      <c r="AW164" s="168"/>
      <c r="AX164" s="168"/>
      <c r="AY164" s="176">
        <v>27</v>
      </c>
      <c r="AZ164" s="176">
        <v>39</v>
      </c>
      <c r="BA164" s="167"/>
      <c r="BB164" s="184">
        <v>135</v>
      </c>
      <c r="BC164" s="180">
        <v>36.412752223623997</v>
      </c>
      <c r="BD164" s="181" t="s">
        <v>55</v>
      </c>
      <c r="BE164" s="182">
        <v>1.1378985069882499</v>
      </c>
      <c r="BF164" s="183">
        <v>-4.5203517932371504</v>
      </c>
      <c r="BG164" s="168">
        <v>1.6E-2</v>
      </c>
      <c r="BH164" s="168">
        <v>1.4E-2</v>
      </c>
      <c r="BI164" s="176">
        <v>0</v>
      </c>
      <c r="BJ164" s="176">
        <v>8</v>
      </c>
      <c r="BK164" s="169"/>
      <c r="BL164" s="185">
        <v>0.8</v>
      </c>
      <c r="BM164" s="188">
        <v>0.73</v>
      </c>
      <c r="BN164" s="186"/>
      <c r="BO164" s="187">
        <v>0.95</v>
      </c>
      <c r="BP164" s="178">
        <v>1</v>
      </c>
      <c r="BQ164" s="186">
        <v>2.5000000000000001E-3</v>
      </c>
    </row>
    <row r="165" spans="1:69" s="156" customFormat="1" ht="22.35" customHeight="1" x14ac:dyDescent="0.2">
      <c r="A165" s="165" t="s">
        <v>220</v>
      </c>
      <c r="B165" s="165" t="s">
        <v>221</v>
      </c>
      <c r="C165" s="165" t="s">
        <v>228</v>
      </c>
      <c r="D165" s="166">
        <v>3.59068721</v>
      </c>
      <c r="E165" s="167"/>
      <c r="F165" s="168">
        <v>1.7999999999999999E-2</v>
      </c>
      <c r="G165" s="168">
        <v>1.6E-2</v>
      </c>
      <c r="H165" s="169"/>
      <c r="I165" s="170">
        <v>3</v>
      </c>
      <c r="J165" s="170">
        <v>3</v>
      </c>
      <c r="K165" s="167"/>
      <c r="L165" s="171">
        <v>1149.9147399999999</v>
      </c>
      <c r="M165" s="171">
        <v>665.13494000000003</v>
      </c>
      <c r="N165" s="171">
        <v>1815.0496800000001</v>
      </c>
      <c r="O165" s="166">
        <v>505.48810682955599</v>
      </c>
      <c r="P165" s="172">
        <v>244.22499999999999</v>
      </c>
      <c r="Q165" s="178">
        <v>2.06976397514405</v>
      </c>
      <c r="R165" s="179">
        <v>783.77343337799402</v>
      </c>
      <c r="S165" s="168">
        <v>0.01</v>
      </c>
      <c r="T165" s="168">
        <v>0.01</v>
      </c>
      <c r="U165" s="175">
        <v>0</v>
      </c>
      <c r="V165" s="176">
        <v>0</v>
      </c>
      <c r="W165" s="167"/>
      <c r="X165" s="175">
        <v>1826.071535</v>
      </c>
      <c r="Y165" s="166">
        <v>508.55767383870801</v>
      </c>
      <c r="Z165" s="177">
        <v>573</v>
      </c>
      <c r="AA165" s="188">
        <v>0.887535207397396</v>
      </c>
      <c r="AB165" s="171">
        <v>-593.50586008408004</v>
      </c>
      <c r="AC165" s="168"/>
      <c r="AD165" s="168"/>
      <c r="AE165" s="176">
        <v>232</v>
      </c>
      <c r="AF165" s="176">
        <v>643</v>
      </c>
      <c r="AG165" s="167"/>
      <c r="AH165" s="180">
        <v>176.8</v>
      </c>
      <c r="AI165" s="166">
        <v>49.238485465293401</v>
      </c>
      <c r="AJ165" s="181" t="s">
        <v>53</v>
      </c>
      <c r="AK165" s="188">
        <v>0.781563261353864</v>
      </c>
      <c r="AL165" s="171">
        <v>-89.226834014480005</v>
      </c>
      <c r="AM165" s="168"/>
      <c r="AN165" s="168"/>
      <c r="AO165" s="176">
        <v>50</v>
      </c>
      <c r="AP165" s="176">
        <v>95</v>
      </c>
      <c r="AQ165" s="167"/>
      <c r="AR165" s="180">
        <v>32.4</v>
      </c>
      <c r="AS165" s="166">
        <v>9.02334235902436</v>
      </c>
      <c r="AT165" s="181" t="s">
        <v>54</v>
      </c>
      <c r="AU165" s="173">
        <v>0.56395889743902206</v>
      </c>
      <c r="AV165" s="174">
        <v>-35.162370543359998</v>
      </c>
      <c r="AW165" s="168"/>
      <c r="AX165" s="168"/>
      <c r="AY165" s="176">
        <v>26</v>
      </c>
      <c r="AZ165" s="176">
        <v>37</v>
      </c>
      <c r="BA165" s="167"/>
      <c r="BB165" s="184">
        <v>121.6</v>
      </c>
      <c r="BC165" s="180">
        <v>33.865383668437097</v>
      </c>
      <c r="BD165" s="181" t="s">
        <v>55</v>
      </c>
      <c r="BE165" s="182">
        <v>1.05829323963866</v>
      </c>
      <c r="BF165" s="183">
        <v>-13.524741086720001</v>
      </c>
      <c r="BG165" s="168">
        <v>8.0000000000000002E-3</v>
      </c>
      <c r="BH165" s="168">
        <v>6.0000000000000001E-3</v>
      </c>
      <c r="BI165" s="176">
        <v>0</v>
      </c>
      <c r="BJ165" s="176">
        <v>17</v>
      </c>
      <c r="BK165" s="169"/>
      <c r="BL165" s="185">
        <v>0.8</v>
      </c>
      <c r="BM165" s="188">
        <v>0.78</v>
      </c>
      <c r="BN165" s="186"/>
      <c r="BO165" s="187">
        <v>0.95</v>
      </c>
      <c r="BP165" s="178">
        <v>1</v>
      </c>
      <c r="BQ165" s="186">
        <v>2.5000000000000001E-3</v>
      </c>
    </row>
    <row r="166" spans="1:69" s="156" customFormat="1" ht="22.35" customHeight="1" x14ac:dyDescent="0.2">
      <c r="A166" s="165" t="s">
        <v>220</v>
      </c>
      <c r="B166" s="165" t="s">
        <v>221</v>
      </c>
      <c r="C166" s="165" t="s">
        <v>229</v>
      </c>
      <c r="D166" s="166">
        <v>8.2706296171111102</v>
      </c>
      <c r="E166" s="167"/>
      <c r="F166" s="168">
        <v>4.4999999999999998E-2</v>
      </c>
      <c r="G166" s="168">
        <v>0.04</v>
      </c>
      <c r="H166" s="169"/>
      <c r="I166" s="170">
        <v>5</v>
      </c>
      <c r="J166" s="170">
        <v>5</v>
      </c>
      <c r="K166" s="167"/>
      <c r="L166" s="171">
        <v>12718.32114</v>
      </c>
      <c r="M166" s="171">
        <v>267.41129999999998</v>
      </c>
      <c r="N166" s="171">
        <v>12985.73244</v>
      </c>
      <c r="O166" s="166">
        <v>1570.1020407362701</v>
      </c>
      <c r="P166" s="172">
        <v>224.79599999999999</v>
      </c>
      <c r="Q166" s="178">
        <v>6.9845639634880996</v>
      </c>
      <c r="R166" s="179">
        <v>10799.3080004401</v>
      </c>
      <c r="S166" s="168">
        <v>0.01</v>
      </c>
      <c r="T166" s="168">
        <v>0.01</v>
      </c>
      <c r="U166" s="175">
        <v>0</v>
      </c>
      <c r="V166" s="176">
        <v>0</v>
      </c>
      <c r="W166" s="167"/>
      <c r="X166" s="175">
        <v>5140.3120900000004</v>
      </c>
      <c r="Y166" s="166">
        <v>621.513999292775</v>
      </c>
      <c r="Z166" s="177">
        <v>573</v>
      </c>
      <c r="AA166" s="182">
        <v>1.08466666543242</v>
      </c>
      <c r="AB166" s="183">
        <v>-432.83513623108797</v>
      </c>
      <c r="AC166" s="168">
        <v>1.0999999999999999E-2</v>
      </c>
      <c r="AD166" s="168">
        <v>8.0000000000000002E-3</v>
      </c>
      <c r="AE166" s="176">
        <v>0</v>
      </c>
      <c r="AF166" s="176">
        <v>547</v>
      </c>
      <c r="AG166" s="167"/>
      <c r="AH166" s="180">
        <v>529.20000000000005</v>
      </c>
      <c r="AI166" s="166">
        <v>63.985455098259699</v>
      </c>
      <c r="AJ166" s="181" t="s">
        <v>53</v>
      </c>
      <c r="AK166" s="182">
        <v>1.01564214441682</v>
      </c>
      <c r="AL166" s="183">
        <v>-83.554407072527795</v>
      </c>
      <c r="AM166" s="168">
        <v>4.0000000000000001E-3</v>
      </c>
      <c r="AN166" s="168">
        <v>2E-3</v>
      </c>
      <c r="AO166" s="176">
        <v>0</v>
      </c>
      <c r="AP166" s="176">
        <v>97</v>
      </c>
      <c r="AQ166" s="167"/>
      <c r="AR166" s="180">
        <v>108.6</v>
      </c>
      <c r="AS166" s="166">
        <v>13.1308020099603</v>
      </c>
      <c r="AT166" s="181" t="s">
        <v>54</v>
      </c>
      <c r="AU166" s="188">
        <v>0.82067512562251999</v>
      </c>
      <c r="AV166" s="171">
        <v>-47.020166875562602</v>
      </c>
      <c r="AW166" s="168"/>
      <c r="AX166" s="168"/>
      <c r="AY166" s="176">
        <v>24</v>
      </c>
      <c r="AZ166" s="176">
        <v>51</v>
      </c>
      <c r="BA166" s="167"/>
      <c r="BB166" s="184">
        <v>388</v>
      </c>
      <c r="BC166" s="180">
        <v>46.912994289729298</v>
      </c>
      <c r="BD166" s="181" t="s">
        <v>55</v>
      </c>
      <c r="BE166" s="178">
        <v>1.4660310715540401</v>
      </c>
      <c r="BF166" s="179">
        <v>76.759666248874694</v>
      </c>
      <c r="BG166" s="168">
        <v>0.02</v>
      </c>
      <c r="BH166" s="168">
        <v>0.02</v>
      </c>
      <c r="BI166" s="176">
        <v>0</v>
      </c>
      <c r="BJ166" s="176">
        <v>0</v>
      </c>
      <c r="BK166" s="169"/>
      <c r="BL166" s="185">
        <v>0.8</v>
      </c>
      <c r="BM166" s="188">
        <v>0.75</v>
      </c>
      <c r="BN166" s="186"/>
      <c r="BO166" s="187">
        <v>0.95</v>
      </c>
      <c r="BP166" s="178">
        <v>1</v>
      </c>
      <c r="BQ166" s="186">
        <v>2.5000000000000001E-3</v>
      </c>
    </row>
    <row r="167" spans="1:69" s="156" customFormat="1" ht="22.35" customHeight="1" x14ac:dyDescent="0.2">
      <c r="A167" s="165" t="s">
        <v>220</v>
      </c>
      <c r="B167" s="165" t="s">
        <v>221</v>
      </c>
      <c r="C167" s="165" t="s">
        <v>230</v>
      </c>
      <c r="D167" s="166">
        <v>2.0619326908888902</v>
      </c>
      <c r="E167" s="167"/>
      <c r="F167" s="168">
        <v>2.1999999999999999E-2</v>
      </c>
      <c r="G167" s="168">
        <v>1.7999999999999999E-2</v>
      </c>
      <c r="H167" s="169"/>
      <c r="I167" s="170">
        <v>3</v>
      </c>
      <c r="J167" s="170">
        <v>3</v>
      </c>
      <c r="K167" s="167"/>
      <c r="L167" s="171">
        <v>-7851.7588100000003</v>
      </c>
      <c r="M167" s="171">
        <v>784.15520000000004</v>
      </c>
      <c r="N167" s="171">
        <v>-7067.6036100000001</v>
      </c>
      <c r="O167" s="166">
        <v>-3427.6597103435001</v>
      </c>
      <c r="P167" s="172">
        <v>225.90199999999999</v>
      </c>
      <c r="Q167" s="173">
        <v>-15.1732154223668</v>
      </c>
      <c r="R167" s="174">
        <v>-7615.3781992349304</v>
      </c>
      <c r="S167" s="168"/>
      <c r="T167" s="168"/>
      <c r="U167" s="175">
        <v>7534</v>
      </c>
      <c r="V167" s="176">
        <v>7627</v>
      </c>
      <c r="W167" s="167"/>
      <c r="X167" s="175">
        <v>883.646885</v>
      </c>
      <c r="Y167" s="166">
        <v>428.55273060298799</v>
      </c>
      <c r="Z167" s="177">
        <v>573</v>
      </c>
      <c r="AA167" s="173">
        <v>0.74791052461254404</v>
      </c>
      <c r="AB167" s="174">
        <v>-505.78233489009699</v>
      </c>
      <c r="AC167" s="168"/>
      <c r="AD167" s="168"/>
      <c r="AE167" s="176">
        <v>298</v>
      </c>
      <c r="AF167" s="176">
        <v>535</v>
      </c>
      <c r="AG167" s="167"/>
      <c r="AH167" s="180">
        <v>146.25</v>
      </c>
      <c r="AI167" s="166">
        <v>70.928600456376898</v>
      </c>
      <c r="AJ167" s="181" t="s">
        <v>53</v>
      </c>
      <c r="AK167" s="182">
        <v>1.12585080089487</v>
      </c>
      <c r="AL167" s="183">
        <v>-6.5144692025760902</v>
      </c>
      <c r="AM167" s="168">
        <v>1.4999999999999999E-2</v>
      </c>
      <c r="AN167" s="168">
        <v>1.2999999999999999E-2</v>
      </c>
      <c r="AO167" s="176">
        <v>0</v>
      </c>
      <c r="AP167" s="176">
        <v>10</v>
      </c>
      <c r="AQ167" s="167"/>
      <c r="AR167" s="180">
        <v>23.1</v>
      </c>
      <c r="AS167" s="166">
        <v>11.203081507981601</v>
      </c>
      <c r="AT167" s="181" t="s">
        <v>54</v>
      </c>
      <c r="AU167" s="173">
        <v>0.70019259424884805</v>
      </c>
      <c r="AV167" s="174">
        <v>-15.697325511765399</v>
      </c>
      <c r="AW167" s="168"/>
      <c r="AX167" s="168"/>
      <c r="AY167" s="176">
        <v>10</v>
      </c>
      <c r="AZ167" s="176">
        <v>17</v>
      </c>
      <c r="BA167" s="167"/>
      <c r="BB167" s="184">
        <v>69.400000000000006</v>
      </c>
      <c r="BC167" s="180">
        <v>33.657742712290997</v>
      </c>
      <c r="BD167" s="181" t="s">
        <v>55</v>
      </c>
      <c r="BE167" s="182">
        <v>1.0518044597590901</v>
      </c>
      <c r="BF167" s="183">
        <v>-8.1946510235307102</v>
      </c>
      <c r="BG167" s="168">
        <v>7.0000000000000001E-3</v>
      </c>
      <c r="BH167" s="168">
        <v>5.0000000000000001E-3</v>
      </c>
      <c r="BI167" s="176">
        <v>0</v>
      </c>
      <c r="BJ167" s="176">
        <v>10</v>
      </c>
      <c r="BK167" s="169"/>
      <c r="BL167" s="185">
        <v>0.8</v>
      </c>
      <c r="BM167" s="173"/>
      <c r="BN167" s="186"/>
      <c r="BO167" s="187">
        <v>0.95</v>
      </c>
      <c r="BP167" s="178">
        <v>1</v>
      </c>
      <c r="BQ167" s="186">
        <v>2.5000000000000001E-3</v>
      </c>
    </row>
    <row r="168" spans="1:69" s="156" customFormat="1" ht="22.35" customHeight="1" x14ac:dyDescent="0.2">
      <c r="A168" s="165" t="s">
        <v>220</v>
      </c>
      <c r="B168" s="165" t="s">
        <v>221</v>
      </c>
      <c r="C168" s="165" t="s">
        <v>231</v>
      </c>
      <c r="D168" s="166">
        <v>2.0199468106666698</v>
      </c>
      <c r="E168" s="167"/>
      <c r="F168" s="168">
        <v>5.0999999999999997E-2</v>
      </c>
      <c r="G168" s="168">
        <v>0.05</v>
      </c>
      <c r="H168" s="169"/>
      <c r="I168" s="170">
        <v>5</v>
      </c>
      <c r="J168" s="170">
        <v>4</v>
      </c>
      <c r="K168" s="167"/>
      <c r="L168" s="171">
        <v>2133.9153099999999</v>
      </c>
      <c r="M168" s="171">
        <v>354.08022999999997</v>
      </c>
      <c r="N168" s="171">
        <v>2487.9955399999999</v>
      </c>
      <c r="O168" s="166">
        <v>1231.71339307635</v>
      </c>
      <c r="P168" s="172">
        <v>258.548</v>
      </c>
      <c r="Q168" s="178">
        <v>4.7639641114081304</v>
      </c>
      <c r="R168" s="179">
        <v>1873.82576738701</v>
      </c>
      <c r="S168" s="168">
        <v>0.01</v>
      </c>
      <c r="T168" s="168">
        <v>0.01</v>
      </c>
      <c r="U168" s="175">
        <v>0</v>
      </c>
      <c r="V168" s="176">
        <v>0</v>
      </c>
      <c r="W168" s="167"/>
      <c r="X168" s="175">
        <v>1998.8524649999999</v>
      </c>
      <c r="Y168" s="166">
        <v>989.55697964160504</v>
      </c>
      <c r="Z168" s="177">
        <v>573</v>
      </c>
      <c r="AA168" s="178">
        <v>1.72697553166074</v>
      </c>
      <c r="AB168" s="179">
        <v>637.71534652588605</v>
      </c>
      <c r="AC168" s="168">
        <v>0.02</v>
      </c>
      <c r="AD168" s="168">
        <v>0.02</v>
      </c>
      <c r="AE168" s="176">
        <v>0</v>
      </c>
      <c r="AF168" s="176">
        <v>0</v>
      </c>
      <c r="AG168" s="167"/>
      <c r="AH168" s="180">
        <v>125.55</v>
      </c>
      <c r="AI168" s="166">
        <v>62.155101974473901</v>
      </c>
      <c r="AJ168" s="181" t="s">
        <v>53</v>
      </c>
      <c r="AK168" s="182">
        <v>0.98658892022974398</v>
      </c>
      <c r="AL168" s="183">
        <v>-24.1038193086722</v>
      </c>
      <c r="AM168" s="168">
        <v>1E-3</v>
      </c>
      <c r="AN168" s="168"/>
      <c r="AO168" s="176">
        <v>2</v>
      </c>
      <c r="AP168" s="176">
        <v>28</v>
      </c>
      <c r="AQ168" s="167"/>
      <c r="AR168" s="180">
        <v>27.8</v>
      </c>
      <c r="AS168" s="166">
        <v>13.7627386291547</v>
      </c>
      <c r="AT168" s="181" t="s">
        <v>54</v>
      </c>
      <c r="AU168" s="188">
        <v>0.860171164322169</v>
      </c>
      <c r="AV168" s="171">
        <v>-10.2073191895041</v>
      </c>
      <c r="AW168" s="168"/>
      <c r="AX168" s="168"/>
      <c r="AY168" s="176">
        <v>5</v>
      </c>
      <c r="AZ168" s="176">
        <v>11</v>
      </c>
      <c r="BA168" s="167"/>
      <c r="BB168" s="184">
        <v>108</v>
      </c>
      <c r="BC168" s="180">
        <v>53.466754386644197</v>
      </c>
      <c r="BD168" s="181" t="s">
        <v>55</v>
      </c>
      <c r="BE168" s="178">
        <v>1.6708360745826301</v>
      </c>
      <c r="BF168" s="179">
        <v>31.985361620991899</v>
      </c>
      <c r="BG168" s="168">
        <v>0.02</v>
      </c>
      <c r="BH168" s="168">
        <v>0.02</v>
      </c>
      <c r="BI168" s="176">
        <v>0</v>
      </c>
      <c r="BJ168" s="176">
        <v>0</v>
      </c>
      <c r="BK168" s="169"/>
      <c r="BL168" s="185">
        <v>0.8</v>
      </c>
      <c r="BM168" s="188">
        <v>0.77</v>
      </c>
      <c r="BN168" s="186"/>
      <c r="BO168" s="187">
        <v>0.95</v>
      </c>
      <c r="BP168" s="178">
        <v>1</v>
      </c>
      <c r="BQ168" s="186">
        <v>2.5000000000000001E-3</v>
      </c>
    </row>
    <row r="169" spans="1:69" s="156" customFormat="1" ht="22.35" customHeight="1" x14ac:dyDescent="0.2">
      <c r="A169" s="165" t="s">
        <v>220</v>
      </c>
      <c r="B169" s="165" t="s">
        <v>221</v>
      </c>
      <c r="C169" s="165" t="s">
        <v>232</v>
      </c>
      <c r="D169" s="166">
        <v>1.8614832398888901</v>
      </c>
      <c r="E169" s="167"/>
      <c r="F169" s="168">
        <v>4.4999999999999998E-2</v>
      </c>
      <c r="G169" s="168">
        <v>4.2999999999999997E-2</v>
      </c>
      <c r="H169" s="169"/>
      <c r="I169" s="170">
        <v>5</v>
      </c>
      <c r="J169" s="170">
        <v>5</v>
      </c>
      <c r="K169" s="167"/>
      <c r="L169" s="171">
        <v>1549.8575900000001</v>
      </c>
      <c r="M169" s="171">
        <v>1081.7327399999999</v>
      </c>
      <c r="N169" s="171">
        <v>2631.59033</v>
      </c>
      <c r="O169" s="166">
        <v>1413.7061637777999</v>
      </c>
      <c r="P169" s="172">
        <v>266.29899999999998</v>
      </c>
      <c r="Q169" s="178">
        <v>5.3087175084315001</v>
      </c>
      <c r="R169" s="179">
        <v>2048.6340466481702</v>
      </c>
      <c r="S169" s="168">
        <v>0.01</v>
      </c>
      <c r="T169" s="168">
        <v>0.01</v>
      </c>
      <c r="U169" s="175">
        <v>0</v>
      </c>
      <c r="V169" s="176">
        <v>0</v>
      </c>
      <c r="W169" s="167"/>
      <c r="X169" s="175">
        <v>1097.3044850000001</v>
      </c>
      <c r="Y169" s="166">
        <v>589.47857358387898</v>
      </c>
      <c r="Z169" s="177">
        <v>573</v>
      </c>
      <c r="AA169" s="182">
        <v>1.02875841812195</v>
      </c>
      <c r="AB169" s="183">
        <v>-157.05227323264899</v>
      </c>
      <c r="AC169" s="168">
        <v>5.0000000000000001E-3</v>
      </c>
      <c r="AD169" s="168">
        <v>3.0000000000000001E-3</v>
      </c>
      <c r="AE169" s="176">
        <v>0</v>
      </c>
      <c r="AF169" s="176">
        <v>183</v>
      </c>
      <c r="AG169" s="167"/>
      <c r="AH169" s="180">
        <v>113.6</v>
      </c>
      <c r="AI169" s="166">
        <v>61.026603713488598</v>
      </c>
      <c r="AJ169" s="181" t="s">
        <v>53</v>
      </c>
      <c r="AK169" s="188">
        <v>0.96867624942045305</v>
      </c>
      <c r="AL169" s="171">
        <v>-24.3135702768881</v>
      </c>
      <c r="AM169" s="168"/>
      <c r="AN169" s="168"/>
      <c r="AO169" s="176">
        <v>4</v>
      </c>
      <c r="AP169" s="176">
        <v>28</v>
      </c>
      <c r="AQ169" s="167"/>
      <c r="AR169" s="180">
        <v>49.6</v>
      </c>
      <c r="AS169" s="166">
        <v>26.645418522790798</v>
      </c>
      <c r="AT169" s="181" t="s">
        <v>54</v>
      </c>
      <c r="AU169" s="178">
        <v>1.66533865767442</v>
      </c>
      <c r="AV169" s="179">
        <v>14.5743313582506</v>
      </c>
      <c r="AW169" s="168">
        <v>0.01</v>
      </c>
      <c r="AX169" s="168">
        <v>0.01</v>
      </c>
      <c r="AY169" s="176">
        <v>0</v>
      </c>
      <c r="AZ169" s="176">
        <v>0</v>
      </c>
      <c r="BA169" s="167"/>
      <c r="BB169" s="184">
        <v>96</v>
      </c>
      <c r="BC169" s="180">
        <v>51.571777786046702</v>
      </c>
      <c r="BD169" s="181" t="s">
        <v>55</v>
      </c>
      <c r="BE169" s="178">
        <v>1.6116180558139599</v>
      </c>
      <c r="BF169" s="179">
        <v>25.9486627165013</v>
      </c>
      <c r="BG169" s="168">
        <v>0.02</v>
      </c>
      <c r="BH169" s="168">
        <v>0.02</v>
      </c>
      <c r="BI169" s="176">
        <v>0</v>
      </c>
      <c r="BJ169" s="176">
        <v>0</v>
      </c>
      <c r="BK169" s="169"/>
      <c r="BL169" s="185">
        <v>0.8</v>
      </c>
      <c r="BM169" s="188">
        <v>0.76</v>
      </c>
      <c r="BN169" s="186"/>
      <c r="BO169" s="187">
        <v>0.95</v>
      </c>
      <c r="BP169" s="178">
        <v>1</v>
      </c>
      <c r="BQ169" s="186">
        <v>2.5000000000000001E-3</v>
      </c>
    </row>
    <row r="170" spans="1:69" s="156" customFormat="1" ht="22.35" customHeight="1" x14ac:dyDescent="0.2">
      <c r="A170" s="165" t="s">
        <v>220</v>
      </c>
      <c r="B170" s="165" t="s">
        <v>221</v>
      </c>
      <c r="C170" s="165" t="s">
        <v>233</v>
      </c>
      <c r="D170" s="166">
        <v>10.3992394423333</v>
      </c>
      <c r="E170" s="167"/>
      <c r="F170" s="168">
        <v>0.06</v>
      </c>
      <c r="G170" s="168">
        <v>0.06</v>
      </c>
      <c r="H170" s="169"/>
      <c r="I170" s="170">
        <v>5</v>
      </c>
      <c r="J170" s="170">
        <v>5</v>
      </c>
      <c r="K170" s="167"/>
      <c r="L170" s="171">
        <v>9498.8859699999994</v>
      </c>
      <c r="M170" s="171">
        <v>5300.0369600000004</v>
      </c>
      <c r="N170" s="171">
        <v>14798.922930000001</v>
      </c>
      <c r="O170" s="166">
        <v>1423.07742908163</v>
      </c>
      <c r="P170" s="172">
        <v>287.5</v>
      </c>
      <c r="Q170" s="178">
        <v>4.9498345359361</v>
      </c>
      <c r="R170" s="179">
        <v>11282.940074547099</v>
      </c>
      <c r="S170" s="168">
        <v>0.01</v>
      </c>
      <c r="T170" s="168">
        <v>0.01</v>
      </c>
      <c r="U170" s="175">
        <v>0</v>
      </c>
      <c r="V170" s="176">
        <v>0</v>
      </c>
      <c r="W170" s="167"/>
      <c r="X170" s="175">
        <v>4430.0094900000004</v>
      </c>
      <c r="Y170" s="166">
        <v>425.99360410591902</v>
      </c>
      <c r="Z170" s="177">
        <v>573</v>
      </c>
      <c r="AA170" s="173">
        <v>0.74344433526338305</v>
      </c>
      <c r="AB170" s="174">
        <v>-2577.4972097374298</v>
      </c>
      <c r="AC170" s="168"/>
      <c r="AD170" s="168"/>
      <c r="AE170" s="176">
        <v>1529</v>
      </c>
      <c r="AF170" s="176">
        <v>2721</v>
      </c>
      <c r="AG170" s="167"/>
      <c r="AH170" s="180">
        <v>863.3</v>
      </c>
      <c r="AI170" s="166">
        <v>83.015686366992298</v>
      </c>
      <c r="AJ170" s="181" t="s">
        <v>53</v>
      </c>
      <c r="AK170" s="178">
        <v>1.3177093074125801</v>
      </c>
      <c r="AL170" s="179">
        <v>92.841148196408298</v>
      </c>
      <c r="AM170" s="168">
        <v>0.02</v>
      </c>
      <c r="AN170" s="168">
        <v>0.02</v>
      </c>
      <c r="AO170" s="176">
        <v>0</v>
      </c>
      <c r="AP170" s="176">
        <v>0</v>
      </c>
      <c r="AQ170" s="167"/>
      <c r="AR170" s="180">
        <v>448.2</v>
      </c>
      <c r="AS170" s="166">
        <v>43.099305721864901</v>
      </c>
      <c r="AT170" s="181" t="s">
        <v>54</v>
      </c>
      <c r="AU170" s="178">
        <v>2.6937066076165501</v>
      </c>
      <c r="AV170" s="179">
        <v>252.52791065305601</v>
      </c>
      <c r="AW170" s="168">
        <v>0.01</v>
      </c>
      <c r="AX170" s="168">
        <v>0.01</v>
      </c>
      <c r="AY170" s="176">
        <v>0</v>
      </c>
      <c r="AZ170" s="176">
        <v>0</v>
      </c>
      <c r="BA170" s="167"/>
      <c r="BB170" s="184">
        <v>811</v>
      </c>
      <c r="BC170" s="180">
        <v>77.986472423990193</v>
      </c>
      <c r="BD170" s="181" t="s">
        <v>55</v>
      </c>
      <c r="BE170" s="178">
        <v>2.43707726324969</v>
      </c>
      <c r="BF170" s="179">
        <v>419.65582130611199</v>
      </c>
      <c r="BG170" s="168">
        <v>0.02</v>
      </c>
      <c r="BH170" s="168">
        <v>0.02</v>
      </c>
      <c r="BI170" s="176">
        <v>0</v>
      </c>
      <c r="BJ170" s="176">
        <v>0</v>
      </c>
      <c r="BK170" s="169"/>
      <c r="BL170" s="185">
        <v>0.8</v>
      </c>
      <c r="BM170" s="188">
        <v>0.76</v>
      </c>
      <c r="BN170" s="186"/>
      <c r="BO170" s="187">
        <v>0.95</v>
      </c>
      <c r="BP170" s="178">
        <v>1</v>
      </c>
      <c r="BQ170" s="186">
        <v>2.5000000000000001E-3</v>
      </c>
    </row>
    <row r="171" spans="1:69" s="156" customFormat="1" ht="22.35" customHeight="1" x14ac:dyDescent="0.2">
      <c r="A171" s="165" t="s">
        <v>220</v>
      </c>
      <c r="B171" s="165" t="s">
        <v>221</v>
      </c>
      <c r="C171" s="165" t="s">
        <v>234</v>
      </c>
      <c r="D171" s="166">
        <v>4.7502856914444402</v>
      </c>
      <c r="E171" s="167"/>
      <c r="F171" s="168">
        <v>2.1999999999999999E-2</v>
      </c>
      <c r="G171" s="168">
        <v>1.9E-2</v>
      </c>
      <c r="H171" s="169"/>
      <c r="I171" s="170">
        <v>3</v>
      </c>
      <c r="J171" s="170">
        <v>3</v>
      </c>
      <c r="K171" s="167"/>
      <c r="L171" s="171">
        <v>1210.7938099999999</v>
      </c>
      <c r="M171" s="171">
        <v>1208.40338</v>
      </c>
      <c r="N171" s="171">
        <v>2419.1971899999999</v>
      </c>
      <c r="O171" s="166">
        <v>509.27404100286498</v>
      </c>
      <c r="P171" s="172">
        <v>266.29899999999998</v>
      </c>
      <c r="Q171" s="178">
        <v>1.9124143951079999</v>
      </c>
      <c r="R171" s="179">
        <v>931.561506689147</v>
      </c>
      <c r="S171" s="168">
        <v>0.01</v>
      </c>
      <c r="T171" s="168">
        <v>0.01</v>
      </c>
      <c r="U171" s="175">
        <v>0</v>
      </c>
      <c r="V171" s="176">
        <v>0</v>
      </c>
      <c r="W171" s="167"/>
      <c r="X171" s="175">
        <v>2184.645305</v>
      </c>
      <c r="Y171" s="166">
        <v>459.897666562388</v>
      </c>
      <c r="Z171" s="177">
        <v>573</v>
      </c>
      <c r="AA171" s="188">
        <v>0.80261372873017101</v>
      </c>
      <c r="AB171" s="171">
        <v>-1016.32520760845</v>
      </c>
      <c r="AC171" s="168"/>
      <c r="AD171" s="168"/>
      <c r="AE171" s="176">
        <v>538</v>
      </c>
      <c r="AF171" s="176">
        <v>1082</v>
      </c>
      <c r="AG171" s="167"/>
      <c r="AH171" s="180">
        <v>220.3</v>
      </c>
      <c r="AI171" s="166">
        <v>46.3761580480883</v>
      </c>
      <c r="AJ171" s="181" t="s">
        <v>53</v>
      </c>
      <c r="AK171" s="173">
        <v>0.73612949282679796</v>
      </c>
      <c r="AL171" s="174">
        <v>-131.63916630773599</v>
      </c>
      <c r="AM171" s="168"/>
      <c r="AN171" s="168"/>
      <c r="AO171" s="176">
        <v>79</v>
      </c>
      <c r="AP171" s="176">
        <v>139</v>
      </c>
      <c r="AQ171" s="167"/>
      <c r="AR171" s="180">
        <v>57.3</v>
      </c>
      <c r="AS171" s="166">
        <v>12.062432392898099</v>
      </c>
      <c r="AT171" s="181" t="s">
        <v>54</v>
      </c>
      <c r="AU171" s="173">
        <v>0.75390202455613298</v>
      </c>
      <c r="AV171" s="174">
        <v>-32.081375570218597</v>
      </c>
      <c r="AW171" s="168"/>
      <c r="AX171" s="168"/>
      <c r="AY171" s="176">
        <v>19</v>
      </c>
      <c r="AZ171" s="176">
        <v>34</v>
      </c>
      <c r="BA171" s="167"/>
      <c r="BB171" s="184">
        <v>166.2</v>
      </c>
      <c r="BC171" s="180">
        <v>34.987369349034402</v>
      </c>
      <c r="BD171" s="181" t="s">
        <v>55</v>
      </c>
      <c r="BE171" s="182">
        <v>1.09335529215732</v>
      </c>
      <c r="BF171" s="183">
        <v>-12.562751140437101</v>
      </c>
      <c r="BG171" s="168">
        <v>1.2E-2</v>
      </c>
      <c r="BH171" s="168">
        <v>8.9999999999999993E-3</v>
      </c>
      <c r="BI171" s="176">
        <v>0</v>
      </c>
      <c r="BJ171" s="176">
        <v>17</v>
      </c>
      <c r="BK171" s="169"/>
      <c r="BL171" s="185">
        <v>0.8</v>
      </c>
      <c r="BM171" s="188">
        <v>0.74</v>
      </c>
      <c r="BN171" s="186"/>
      <c r="BO171" s="187">
        <v>0.95</v>
      </c>
      <c r="BP171" s="178">
        <v>1</v>
      </c>
      <c r="BQ171" s="186">
        <v>2.5000000000000001E-3</v>
      </c>
    </row>
    <row r="172" spans="1:69" s="156" customFormat="1" ht="22.35" customHeight="1" x14ac:dyDescent="0.2">
      <c r="A172" s="165" t="s">
        <v>220</v>
      </c>
      <c r="B172" s="165" t="s">
        <v>221</v>
      </c>
      <c r="C172" s="165" t="s">
        <v>235</v>
      </c>
      <c r="D172" s="166">
        <v>3.3012442740000001</v>
      </c>
      <c r="E172" s="167"/>
      <c r="F172" s="168">
        <v>0.04</v>
      </c>
      <c r="G172" s="168">
        <v>0.04</v>
      </c>
      <c r="H172" s="169"/>
      <c r="I172" s="170">
        <v>4</v>
      </c>
      <c r="J172" s="170">
        <v>4</v>
      </c>
      <c r="K172" s="167"/>
      <c r="L172" s="171">
        <v>298.49270999999999</v>
      </c>
      <c r="M172" s="171">
        <v>3064.22939</v>
      </c>
      <c r="N172" s="171">
        <v>3362.7221</v>
      </c>
      <c r="O172" s="166">
        <v>1018.62262253181</v>
      </c>
      <c r="P172" s="172">
        <v>263.185</v>
      </c>
      <c r="Q172" s="178">
        <v>3.8703673177871498</v>
      </c>
      <c r="R172" s="179">
        <v>2340.96864227884</v>
      </c>
      <c r="S172" s="168">
        <v>0.01</v>
      </c>
      <c r="T172" s="168">
        <v>0.01</v>
      </c>
      <c r="U172" s="175">
        <v>0</v>
      </c>
      <c r="V172" s="176">
        <v>0</v>
      </c>
      <c r="W172" s="167"/>
      <c r="X172" s="175">
        <v>1680.3574149999999</v>
      </c>
      <c r="Y172" s="166">
        <v>509.00729407823297</v>
      </c>
      <c r="Z172" s="177">
        <v>573</v>
      </c>
      <c r="AA172" s="188">
        <v>0.88831988495328595</v>
      </c>
      <c r="AB172" s="171">
        <v>-544.17943654635201</v>
      </c>
      <c r="AC172" s="168"/>
      <c r="AD172" s="168"/>
      <c r="AE172" s="176">
        <v>212</v>
      </c>
      <c r="AF172" s="176">
        <v>590</v>
      </c>
      <c r="AG172" s="167"/>
      <c r="AH172" s="180">
        <v>169.3</v>
      </c>
      <c r="AI172" s="166">
        <v>51.283693646476301</v>
      </c>
      <c r="AJ172" s="181" t="s">
        <v>53</v>
      </c>
      <c r="AK172" s="188">
        <v>0.81402688327740103</v>
      </c>
      <c r="AL172" s="171">
        <v>-75.282585772112</v>
      </c>
      <c r="AM172" s="168"/>
      <c r="AN172" s="168"/>
      <c r="AO172" s="176">
        <v>39</v>
      </c>
      <c r="AP172" s="176">
        <v>81</v>
      </c>
      <c r="AQ172" s="167"/>
      <c r="AR172" s="180">
        <v>70.8</v>
      </c>
      <c r="AS172" s="166">
        <v>21.446459008685899</v>
      </c>
      <c r="AT172" s="181" t="s">
        <v>54</v>
      </c>
      <c r="AU172" s="178">
        <v>1.34040368804287</v>
      </c>
      <c r="AV172" s="179">
        <v>8.6837877404159993</v>
      </c>
      <c r="AW172" s="168">
        <v>0.01</v>
      </c>
      <c r="AX172" s="168">
        <v>0.01</v>
      </c>
      <c r="AY172" s="176">
        <v>0</v>
      </c>
      <c r="AZ172" s="176">
        <v>0</v>
      </c>
      <c r="BA172" s="167"/>
      <c r="BB172" s="184">
        <v>126.8</v>
      </c>
      <c r="BC172" s="180">
        <v>38.409759919510897</v>
      </c>
      <c r="BD172" s="181" t="s">
        <v>55</v>
      </c>
      <c r="BE172" s="178">
        <v>1.20030499748472</v>
      </c>
      <c r="BF172" s="179">
        <v>2.5675754808320099</v>
      </c>
      <c r="BG172" s="168">
        <v>0.02</v>
      </c>
      <c r="BH172" s="168">
        <v>0.02</v>
      </c>
      <c r="BI172" s="176">
        <v>0</v>
      </c>
      <c r="BJ172" s="176">
        <v>0</v>
      </c>
      <c r="BK172" s="169"/>
      <c r="BL172" s="185">
        <v>0.8</v>
      </c>
      <c r="BM172" s="188">
        <v>0.76</v>
      </c>
      <c r="BN172" s="186"/>
      <c r="BO172" s="187">
        <v>0.95</v>
      </c>
      <c r="BP172" s="178">
        <v>1</v>
      </c>
      <c r="BQ172" s="186">
        <v>2.5000000000000001E-3</v>
      </c>
    </row>
    <row r="173" spans="1:69" s="156" customFormat="1" ht="22.35" customHeight="1" x14ac:dyDescent="0.2">
      <c r="A173" s="165" t="s">
        <v>220</v>
      </c>
      <c r="B173" s="165" t="s">
        <v>221</v>
      </c>
      <c r="C173" s="165" t="s">
        <v>236</v>
      </c>
      <c r="D173" s="166">
        <v>3.9852030364444402</v>
      </c>
      <c r="E173" s="167"/>
      <c r="F173" s="168">
        <v>1.4999999999999999E-2</v>
      </c>
      <c r="G173" s="168">
        <v>1.2999999999999999E-2</v>
      </c>
      <c r="H173" s="169"/>
      <c r="I173" s="170">
        <v>3</v>
      </c>
      <c r="J173" s="170">
        <v>3</v>
      </c>
      <c r="K173" s="167"/>
      <c r="L173" s="171">
        <v>2268.1007800000002</v>
      </c>
      <c r="M173" s="171">
        <v>-214.93081000000001</v>
      </c>
      <c r="N173" s="171">
        <v>2053.1699699999999</v>
      </c>
      <c r="O173" s="166">
        <v>515.19833524763499</v>
      </c>
      <c r="P173" s="172">
        <v>254.727</v>
      </c>
      <c r="Q173" s="178">
        <v>2.0225509476719599</v>
      </c>
      <c r="R173" s="179">
        <v>859.36672489548596</v>
      </c>
      <c r="S173" s="168">
        <v>0.01</v>
      </c>
      <c r="T173" s="168">
        <v>0.01</v>
      </c>
      <c r="U173" s="175">
        <v>0</v>
      </c>
      <c r="V173" s="176">
        <v>0</v>
      </c>
      <c r="W173" s="167"/>
      <c r="X173" s="175">
        <v>1357.6010799999999</v>
      </c>
      <c r="Y173" s="166">
        <v>340.66045508467698</v>
      </c>
      <c r="Z173" s="177">
        <v>573</v>
      </c>
      <c r="AA173" s="173">
        <v>0.59452086402212301</v>
      </c>
      <c r="AB173" s="174">
        <v>-1327.8200157020101</v>
      </c>
      <c r="AC173" s="168"/>
      <c r="AD173" s="168"/>
      <c r="AE173" s="176">
        <v>926</v>
      </c>
      <c r="AF173" s="176">
        <v>1383</v>
      </c>
      <c r="AG173" s="167"/>
      <c r="AH173" s="180">
        <v>151.5</v>
      </c>
      <c r="AI173" s="166">
        <v>38.015628969099303</v>
      </c>
      <c r="AJ173" s="181" t="s">
        <v>53</v>
      </c>
      <c r="AK173" s="173">
        <v>0.60342268204919602</v>
      </c>
      <c r="AL173" s="174">
        <v>-143.755722564096</v>
      </c>
      <c r="AM173" s="168"/>
      <c r="AN173" s="168"/>
      <c r="AO173" s="176">
        <v>100</v>
      </c>
      <c r="AP173" s="176">
        <v>150</v>
      </c>
      <c r="AQ173" s="167"/>
      <c r="AR173" s="180">
        <v>55.5</v>
      </c>
      <c r="AS173" s="166">
        <v>13.9265175431354</v>
      </c>
      <c r="AT173" s="181" t="s">
        <v>54</v>
      </c>
      <c r="AU173" s="188">
        <v>0.87040734644596196</v>
      </c>
      <c r="AV173" s="171">
        <v>-19.4855803337386</v>
      </c>
      <c r="AW173" s="168"/>
      <c r="AX173" s="168"/>
      <c r="AY173" s="176">
        <v>9</v>
      </c>
      <c r="AZ173" s="176">
        <v>22</v>
      </c>
      <c r="BA173" s="167"/>
      <c r="BB173" s="184">
        <v>131.4</v>
      </c>
      <c r="BC173" s="180">
        <v>32.971971264288101</v>
      </c>
      <c r="BD173" s="181" t="s">
        <v>55</v>
      </c>
      <c r="BE173" s="182">
        <v>1.030374102009</v>
      </c>
      <c r="BF173" s="183">
        <v>-18.571160667477098</v>
      </c>
      <c r="BG173" s="168">
        <v>5.0000000000000001E-3</v>
      </c>
      <c r="BH173" s="168">
        <v>3.0000000000000001E-3</v>
      </c>
      <c r="BI173" s="176">
        <v>0</v>
      </c>
      <c r="BJ173" s="176">
        <v>22</v>
      </c>
      <c r="BK173" s="169"/>
      <c r="BL173" s="185">
        <v>0.8</v>
      </c>
      <c r="BM173" s="188">
        <v>0.73</v>
      </c>
      <c r="BN173" s="186"/>
      <c r="BO173" s="187">
        <v>0.95</v>
      </c>
      <c r="BP173" s="178">
        <v>1</v>
      </c>
      <c r="BQ173" s="186">
        <v>2.5000000000000001E-3</v>
      </c>
    </row>
    <row r="174" spans="1:69" s="156" customFormat="1" ht="22.35" customHeight="1" x14ac:dyDescent="0.2">
      <c r="A174" s="165" t="s">
        <v>220</v>
      </c>
      <c r="B174" s="165" t="s">
        <v>221</v>
      </c>
      <c r="C174" s="165" t="s">
        <v>237</v>
      </c>
      <c r="D174" s="166">
        <v>3.0016649496666701</v>
      </c>
      <c r="E174" s="167"/>
      <c r="F174" s="168">
        <v>0.03</v>
      </c>
      <c r="G174" s="168">
        <v>0.03</v>
      </c>
      <c r="H174" s="169"/>
      <c r="I174" s="170">
        <v>3</v>
      </c>
      <c r="J174" s="170">
        <v>3</v>
      </c>
      <c r="K174" s="167"/>
      <c r="L174" s="171">
        <v>2509.50576</v>
      </c>
      <c r="M174" s="171">
        <v>1473.3764900000001</v>
      </c>
      <c r="N174" s="171">
        <v>3982.8822500000001</v>
      </c>
      <c r="O174" s="166">
        <v>1326.8910144159499</v>
      </c>
      <c r="P174" s="172">
        <v>242.02199999999999</v>
      </c>
      <c r="Q174" s="178">
        <v>5.4825223096080098</v>
      </c>
      <c r="R174" s="179">
        <v>3128.5547595688899</v>
      </c>
      <c r="S174" s="168">
        <v>0.01</v>
      </c>
      <c r="T174" s="168">
        <v>0.01</v>
      </c>
      <c r="U174" s="175">
        <v>0</v>
      </c>
      <c r="V174" s="176">
        <v>0</v>
      </c>
      <c r="W174" s="167"/>
      <c r="X174" s="175">
        <v>1215.45658</v>
      </c>
      <c r="Y174" s="166">
        <v>404.92746538382801</v>
      </c>
      <c r="Z174" s="177">
        <v>573</v>
      </c>
      <c r="AA174" s="173">
        <v>0.70667969525973495</v>
      </c>
      <c r="AB174" s="174">
        <v>-807.20934300298597</v>
      </c>
      <c r="AC174" s="168"/>
      <c r="AD174" s="168"/>
      <c r="AE174" s="176">
        <v>505</v>
      </c>
      <c r="AF174" s="176">
        <v>849</v>
      </c>
      <c r="AG174" s="167"/>
      <c r="AH174" s="180">
        <v>131.4</v>
      </c>
      <c r="AI174" s="166">
        <v>43.775705218063003</v>
      </c>
      <c r="AJ174" s="181" t="s">
        <v>53</v>
      </c>
      <c r="AK174" s="173">
        <v>0.69485246377877796</v>
      </c>
      <c r="AL174" s="174">
        <v>-90.987352790904197</v>
      </c>
      <c r="AM174" s="168"/>
      <c r="AN174" s="168"/>
      <c r="AO174" s="176">
        <v>58</v>
      </c>
      <c r="AP174" s="176">
        <v>96</v>
      </c>
      <c r="AQ174" s="167"/>
      <c r="AR174" s="180">
        <v>27.4</v>
      </c>
      <c r="AS174" s="166">
        <v>9.1282672981349098</v>
      </c>
      <c r="AT174" s="181" t="s">
        <v>54</v>
      </c>
      <c r="AU174" s="173">
        <v>0.57051670613343197</v>
      </c>
      <c r="AV174" s="174">
        <v>-29.0793276929281</v>
      </c>
      <c r="AW174" s="168"/>
      <c r="AX174" s="168"/>
      <c r="AY174" s="176">
        <v>21</v>
      </c>
      <c r="AZ174" s="176">
        <v>31</v>
      </c>
      <c r="BA174" s="167"/>
      <c r="BB174" s="184">
        <v>122.2</v>
      </c>
      <c r="BC174" s="180">
        <v>40.710739555915502</v>
      </c>
      <c r="BD174" s="181" t="s">
        <v>55</v>
      </c>
      <c r="BE174" s="178">
        <v>1.2722106111223599</v>
      </c>
      <c r="BF174" s="179">
        <v>9.2413446141438804</v>
      </c>
      <c r="BG174" s="168">
        <v>0.02</v>
      </c>
      <c r="BH174" s="168">
        <v>0.02</v>
      </c>
      <c r="BI174" s="176">
        <v>0</v>
      </c>
      <c r="BJ174" s="176">
        <v>0</v>
      </c>
      <c r="BK174" s="169"/>
      <c r="BL174" s="185">
        <v>0.8</v>
      </c>
      <c r="BM174" s="188">
        <v>0.79</v>
      </c>
      <c r="BN174" s="186"/>
      <c r="BO174" s="187">
        <v>0.95</v>
      </c>
      <c r="BP174" s="178">
        <v>1</v>
      </c>
      <c r="BQ174" s="186">
        <v>2.5000000000000001E-3</v>
      </c>
    </row>
    <row r="175" spans="1:69" s="156" customFormat="1" ht="22.35" customHeight="1" x14ac:dyDescent="0.2">
      <c r="A175" s="165" t="s">
        <v>220</v>
      </c>
      <c r="B175" s="165" t="s">
        <v>221</v>
      </c>
      <c r="C175" s="165" t="s">
        <v>238</v>
      </c>
      <c r="D175" s="166">
        <v>2.70658970644444</v>
      </c>
      <c r="E175" s="167"/>
      <c r="F175" s="168">
        <v>5.8999999999999997E-2</v>
      </c>
      <c r="G175" s="168">
        <v>5.3999999999999999E-2</v>
      </c>
      <c r="H175" s="169"/>
      <c r="I175" s="170">
        <v>6</v>
      </c>
      <c r="J175" s="170">
        <v>5</v>
      </c>
      <c r="K175" s="167"/>
      <c r="L175" s="171">
        <v>1415.7800400000001</v>
      </c>
      <c r="M175" s="171">
        <v>970.15965000000006</v>
      </c>
      <c r="N175" s="171">
        <v>2385.9396900000002</v>
      </c>
      <c r="O175" s="166">
        <v>881.52987662630596</v>
      </c>
      <c r="P175" s="172">
        <v>222.28899999999999</v>
      </c>
      <c r="Q175" s="178">
        <v>3.9656927541457501</v>
      </c>
      <c r="R175" s="179">
        <v>1678.4050297551501</v>
      </c>
      <c r="S175" s="168">
        <v>0.01</v>
      </c>
      <c r="T175" s="168">
        <v>0.01</v>
      </c>
      <c r="U175" s="175">
        <v>0</v>
      </c>
      <c r="V175" s="176">
        <v>0</v>
      </c>
      <c r="W175" s="167"/>
      <c r="X175" s="175">
        <v>1800.242835</v>
      </c>
      <c r="Y175" s="166">
        <v>665.13326002592305</v>
      </c>
      <c r="Z175" s="177">
        <v>573</v>
      </c>
      <c r="AA175" s="182">
        <v>1.1607910297136499</v>
      </c>
      <c r="AB175" s="183">
        <v>-23.5872255081727</v>
      </c>
      <c r="AC175" s="168">
        <v>1.7999999999999999E-2</v>
      </c>
      <c r="AD175" s="168">
        <v>1.6E-2</v>
      </c>
      <c r="AE175" s="176">
        <v>0</v>
      </c>
      <c r="AF175" s="176">
        <v>61</v>
      </c>
      <c r="AG175" s="167"/>
      <c r="AH175" s="180">
        <v>184.35</v>
      </c>
      <c r="AI175" s="166">
        <v>68.111542566299903</v>
      </c>
      <c r="AJ175" s="181" t="s">
        <v>53</v>
      </c>
      <c r="AK175" s="182">
        <v>1.0811355962904701</v>
      </c>
      <c r="AL175" s="183">
        <v>-16.175818171055599</v>
      </c>
      <c r="AM175" s="168">
        <v>0.01</v>
      </c>
      <c r="AN175" s="168">
        <v>8.0000000000000002E-3</v>
      </c>
      <c r="AO175" s="176">
        <v>0</v>
      </c>
      <c r="AP175" s="176">
        <v>21</v>
      </c>
      <c r="AQ175" s="167"/>
      <c r="AR175" s="180">
        <v>43.1</v>
      </c>
      <c r="AS175" s="166">
        <v>15.9240980993085</v>
      </c>
      <c r="AT175" s="181" t="s">
        <v>54</v>
      </c>
      <c r="AU175" s="182">
        <v>0.99525613120678202</v>
      </c>
      <c r="AV175" s="183">
        <v>-7.8271919164585704</v>
      </c>
      <c r="AW175" s="168">
        <v>1E-3</v>
      </c>
      <c r="AX175" s="168">
        <v>0</v>
      </c>
      <c r="AY175" s="176">
        <v>1</v>
      </c>
      <c r="AZ175" s="176">
        <v>9</v>
      </c>
      <c r="BA175" s="167"/>
      <c r="BB175" s="184">
        <v>121.8</v>
      </c>
      <c r="BC175" s="180">
        <v>45.001279547465799</v>
      </c>
      <c r="BD175" s="181" t="s">
        <v>55</v>
      </c>
      <c r="BE175" s="178">
        <v>1.40628998585831</v>
      </c>
      <c r="BF175" s="179">
        <v>19.9456161670829</v>
      </c>
      <c r="BG175" s="168">
        <v>0.02</v>
      </c>
      <c r="BH175" s="168">
        <v>0.02</v>
      </c>
      <c r="BI175" s="176">
        <v>0</v>
      </c>
      <c r="BJ175" s="176">
        <v>0</v>
      </c>
      <c r="BK175" s="169"/>
      <c r="BL175" s="185">
        <v>0.8</v>
      </c>
      <c r="BM175" s="188">
        <v>0.76</v>
      </c>
      <c r="BN175" s="186"/>
      <c r="BO175" s="187">
        <v>0.95</v>
      </c>
      <c r="BP175" s="178">
        <v>1</v>
      </c>
      <c r="BQ175" s="186">
        <v>2.5000000000000001E-3</v>
      </c>
    </row>
    <row r="176" spans="1:69" s="156" customFormat="1" ht="22.35" customHeight="1" x14ac:dyDescent="0.2">
      <c r="A176" s="165" t="s">
        <v>220</v>
      </c>
      <c r="B176" s="165" t="s">
        <v>221</v>
      </c>
      <c r="C176" s="165" t="s">
        <v>239</v>
      </c>
      <c r="D176" s="166">
        <v>4.3740007442222204</v>
      </c>
      <c r="E176" s="167"/>
      <c r="F176" s="168">
        <v>0.04</v>
      </c>
      <c r="G176" s="168">
        <v>3.95E-2</v>
      </c>
      <c r="H176" s="169"/>
      <c r="I176" s="170">
        <v>4</v>
      </c>
      <c r="J176" s="170">
        <v>4</v>
      </c>
      <c r="K176" s="167"/>
      <c r="L176" s="171">
        <v>3177.6501400000002</v>
      </c>
      <c r="M176" s="171">
        <v>2298.4779699999999</v>
      </c>
      <c r="N176" s="171">
        <v>5476.1281099999997</v>
      </c>
      <c r="O176" s="166">
        <v>1251.9723772872301</v>
      </c>
      <c r="P176" s="172">
        <v>258.548</v>
      </c>
      <c r="Q176" s="178">
        <v>4.8423208738308903</v>
      </c>
      <c r="R176" s="179">
        <v>4146.2024761654102</v>
      </c>
      <c r="S176" s="168">
        <v>0.01</v>
      </c>
      <c r="T176" s="168">
        <v>0.01</v>
      </c>
      <c r="U176" s="175">
        <v>0</v>
      </c>
      <c r="V176" s="176">
        <v>0</v>
      </c>
      <c r="W176" s="167"/>
      <c r="X176" s="175">
        <v>2039.1219550000001</v>
      </c>
      <c r="Y176" s="166">
        <v>466.19149703930702</v>
      </c>
      <c r="Z176" s="177">
        <v>573</v>
      </c>
      <c r="AA176" s="188">
        <v>0.81359772607208902</v>
      </c>
      <c r="AB176" s="171">
        <v>-908.289698492654</v>
      </c>
      <c r="AC176" s="168"/>
      <c r="AD176" s="168"/>
      <c r="AE176" s="176">
        <v>468</v>
      </c>
      <c r="AF176" s="176">
        <v>969</v>
      </c>
      <c r="AG176" s="167"/>
      <c r="AH176" s="180">
        <v>221.3</v>
      </c>
      <c r="AI176" s="166">
        <v>50.594412973597102</v>
      </c>
      <c r="AJ176" s="181" t="s">
        <v>53</v>
      </c>
      <c r="AK176" s="188">
        <v>0.80308592021582603</v>
      </c>
      <c r="AL176" s="171">
        <v>-102.76096713793601</v>
      </c>
      <c r="AM176" s="168"/>
      <c r="AN176" s="168"/>
      <c r="AO176" s="176">
        <v>55</v>
      </c>
      <c r="AP176" s="176">
        <v>110</v>
      </c>
      <c r="AQ176" s="167"/>
      <c r="AR176" s="180">
        <v>83.3</v>
      </c>
      <c r="AS176" s="166">
        <v>19.044349754634599</v>
      </c>
      <c r="AT176" s="181" t="s">
        <v>54</v>
      </c>
      <c r="AU176" s="178">
        <v>1.19027185966466</v>
      </c>
      <c r="AV176" s="179">
        <v>0.99880199671471803</v>
      </c>
      <c r="AW176" s="168">
        <v>0.01</v>
      </c>
      <c r="AX176" s="168">
        <v>9.4999999999999998E-3</v>
      </c>
      <c r="AY176" s="176">
        <v>0</v>
      </c>
      <c r="AZ176" s="176">
        <v>1</v>
      </c>
      <c r="BA176" s="167"/>
      <c r="BB176" s="184">
        <v>203.8</v>
      </c>
      <c r="BC176" s="180">
        <v>46.593499159598203</v>
      </c>
      <c r="BD176" s="181" t="s">
        <v>55</v>
      </c>
      <c r="BE176" s="178">
        <v>1.4560468487374401</v>
      </c>
      <c r="BF176" s="179">
        <v>39.197603993429503</v>
      </c>
      <c r="BG176" s="168">
        <v>0.02</v>
      </c>
      <c r="BH176" s="168">
        <v>0.02</v>
      </c>
      <c r="BI176" s="176">
        <v>0</v>
      </c>
      <c r="BJ176" s="176">
        <v>0</v>
      </c>
      <c r="BK176" s="169"/>
      <c r="BL176" s="185">
        <v>0.8</v>
      </c>
      <c r="BM176" s="188">
        <v>0.71</v>
      </c>
      <c r="BN176" s="186"/>
      <c r="BO176" s="187">
        <v>0.95</v>
      </c>
      <c r="BP176" s="178">
        <v>1</v>
      </c>
      <c r="BQ176" s="186">
        <v>2.5000000000000001E-3</v>
      </c>
    </row>
    <row r="177" spans="1:69" s="156" customFormat="1" ht="22.35" customHeight="1" x14ac:dyDescent="0.2">
      <c r="A177" s="165" t="s">
        <v>220</v>
      </c>
      <c r="B177" s="165" t="s">
        <v>240</v>
      </c>
      <c r="C177" s="165" t="s">
        <v>241</v>
      </c>
      <c r="D177" s="166">
        <v>3.97523895733333</v>
      </c>
      <c r="E177" s="167"/>
      <c r="F177" s="168">
        <v>0.02</v>
      </c>
      <c r="G177" s="168">
        <v>1.7999999999999999E-2</v>
      </c>
      <c r="H177" s="169"/>
      <c r="I177" s="170">
        <v>3</v>
      </c>
      <c r="J177" s="170">
        <v>3</v>
      </c>
      <c r="K177" s="167"/>
      <c r="L177" s="171">
        <v>2883.8302699999999</v>
      </c>
      <c r="M177" s="171">
        <v>-600.12462000000005</v>
      </c>
      <c r="N177" s="171">
        <v>2283.7056499999999</v>
      </c>
      <c r="O177" s="166">
        <v>574.48260960190305</v>
      </c>
      <c r="P177" s="172">
        <v>241.762</v>
      </c>
      <c r="Q177" s="178">
        <v>2.3762320364734801</v>
      </c>
      <c r="R177" s="179">
        <v>1153.4970663358799</v>
      </c>
      <c r="S177" s="168">
        <v>0.01</v>
      </c>
      <c r="T177" s="168">
        <v>0.01</v>
      </c>
      <c r="U177" s="175">
        <v>0</v>
      </c>
      <c r="V177" s="176">
        <v>0</v>
      </c>
      <c r="W177" s="167"/>
      <c r="X177" s="175">
        <v>2465.25585</v>
      </c>
      <c r="Y177" s="166">
        <v>620.15287042108798</v>
      </c>
      <c r="Z177" s="177">
        <v>573</v>
      </c>
      <c r="AA177" s="182">
        <v>1.08229122237537</v>
      </c>
      <c r="AB177" s="183">
        <v>-213.45097092114901</v>
      </c>
      <c r="AC177" s="168">
        <v>0.01</v>
      </c>
      <c r="AD177" s="168">
        <v>8.0000000000000002E-3</v>
      </c>
      <c r="AE177" s="176">
        <v>0</v>
      </c>
      <c r="AF177" s="176">
        <v>269</v>
      </c>
      <c r="AG177" s="167"/>
      <c r="AH177" s="180">
        <v>191.5</v>
      </c>
      <c r="AI177" s="166">
        <v>48.173204694205801</v>
      </c>
      <c r="AJ177" s="181" t="s">
        <v>53</v>
      </c>
      <c r="AK177" s="173">
        <v>0.76465404276517202</v>
      </c>
      <c r="AL177" s="174">
        <v>-103.01750387091199</v>
      </c>
      <c r="AM177" s="168"/>
      <c r="AN177" s="168"/>
      <c r="AO177" s="176">
        <v>59</v>
      </c>
      <c r="AP177" s="176">
        <v>110</v>
      </c>
      <c r="AQ177" s="167"/>
      <c r="AR177" s="180">
        <v>33.799999999999997</v>
      </c>
      <c r="AS177" s="166">
        <v>8.5026335178284995</v>
      </c>
      <c r="AT177" s="181" t="s">
        <v>54</v>
      </c>
      <c r="AU177" s="173">
        <v>0.531414594864281</v>
      </c>
      <c r="AV177" s="174">
        <v>-40.9980962211839</v>
      </c>
      <c r="AW177" s="168"/>
      <c r="AX177" s="168"/>
      <c r="AY177" s="176">
        <v>30</v>
      </c>
      <c r="AZ177" s="176">
        <v>43</v>
      </c>
      <c r="BA177" s="167"/>
      <c r="BB177" s="184">
        <v>102.2</v>
      </c>
      <c r="BC177" s="180">
        <v>25.709146317221101</v>
      </c>
      <c r="BD177" s="181" t="s">
        <v>55</v>
      </c>
      <c r="BE177" s="188">
        <v>0.80341082241315798</v>
      </c>
      <c r="BF177" s="171">
        <v>-47.396192442367798</v>
      </c>
      <c r="BG177" s="168"/>
      <c r="BH177" s="168"/>
      <c r="BI177" s="176">
        <v>26</v>
      </c>
      <c r="BJ177" s="176">
        <v>51</v>
      </c>
      <c r="BK177" s="169"/>
      <c r="BL177" s="185">
        <v>0.8</v>
      </c>
      <c r="BM177" s="188">
        <v>0.77</v>
      </c>
      <c r="BN177" s="186"/>
      <c r="BO177" s="187">
        <v>0.95</v>
      </c>
      <c r="BP177" s="178">
        <v>1</v>
      </c>
      <c r="BQ177" s="186">
        <v>2.5000000000000001E-3</v>
      </c>
    </row>
    <row r="178" spans="1:69" s="156" customFormat="1" ht="22.35" customHeight="1" x14ac:dyDescent="0.2">
      <c r="A178" s="165" t="s">
        <v>220</v>
      </c>
      <c r="B178" s="165" t="s">
        <v>240</v>
      </c>
      <c r="C178" s="165" t="s">
        <v>242</v>
      </c>
      <c r="D178" s="166">
        <v>2.6208074601111102</v>
      </c>
      <c r="E178" s="167"/>
      <c r="F178" s="168">
        <v>5.5500000000000001E-2</v>
      </c>
      <c r="G178" s="168">
        <v>5.45E-2</v>
      </c>
      <c r="H178" s="169"/>
      <c r="I178" s="170">
        <v>5</v>
      </c>
      <c r="J178" s="170">
        <v>5</v>
      </c>
      <c r="K178" s="167"/>
      <c r="L178" s="171">
        <v>1760.23353</v>
      </c>
      <c r="M178" s="171">
        <v>1262.99432</v>
      </c>
      <c r="N178" s="171">
        <v>3023.2278500000002</v>
      </c>
      <c r="O178" s="166">
        <v>1153.54824649035</v>
      </c>
      <c r="P178" s="172">
        <v>238.04499999999999</v>
      </c>
      <c r="Q178" s="178">
        <v>4.8459251254609397</v>
      </c>
      <c r="R178" s="179">
        <v>2289.5565984736299</v>
      </c>
      <c r="S178" s="168">
        <v>0.01</v>
      </c>
      <c r="T178" s="168">
        <v>0.01</v>
      </c>
      <c r="U178" s="175">
        <v>0</v>
      </c>
      <c r="V178" s="176">
        <v>0</v>
      </c>
      <c r="W178" s="167"/>
      <c r="X178" s="175">
        <v>1223.9746399999999</v>
      </c>
      <c r="Y178" s="166">
        <v>467.02196121958099</v>
      </c>
      <c r="Z178" s="177">
        <v>573</v>
      </c>
      <c r="AA178" s="188">
        <v>0.81504705273923395</v>
      </c>
      <c r="AB178" s="171">
        <v>-542.051225380951</v>
      </c>
      <c r="AC178" s="168"/>
      <c r="AD178" s="168"/>
      <c r="AE178" s="176">
        <v>278</v>
      </c>
      <c r="AF178" s="176">
        <v>579</v>
      </c>
      <c r="AG178" s="167"/>
      <c r="AH178" s="180">
        <v>208.8</v>
      </c>
      <c r="AI178" s="166">
        <v>79.670102889262907</v>
      </c>
      <c r="AJ178" s="181" t="s">
        <v>53</v>
      </c>
      <c r="AK178" s="178">
        <v>1.2646048077660801</v>
      </c>
      <c r="AL178" s="179">
        <v>14.6296168952881</v>
      </c>
      <c r="AM178" s="168">
        <v>0.02</v>
      </c>
      <c r="AN178" s="168">
        <v>0.02</v>
      </c>
      <c r="AO178" s="176">
        <v>0</v>
      </c>
      <c r="AP178" s="176">
        <v>0</v>
      </c>
      <c r="AQ178" s="167"/>
      <c r="AR178" s="180">
        <v>45.5</v>
      </c>
      <c r="AS178" s="166">
        <v>17.3610616928231</v>
      </c>
      <c r="AT178" s="181" t="s">
        <v>54</v>
      </c>
      <c r="AU178" s="182">
        <v>1.08506635580144</v>
      </c>
      <c r="AV178" s="183">
        <v>-3.8131131694506402</v>
      </c>
      <c r="AW178" s="168">
        <v>5.4999999999999997E-3</v>
      </c>
      <c r="AX178" s="168">
        <v>4.4999999999999997E-3</v>
      </c>
      <c r="AY178" s="176">
        <v>0</v>
      </c>
      <c r="AZ178" s="176">
        <v>5</v>
      </c>
      <c r="BA178" s="167"/>
      <c r="BB178" s="184">
        <v>137.19999999999999</v>
      </c>
      <c r="BC178" s="180">
        <v>52.350278335281899</v>
      </c>
      <c r="BD178" s="181" t="s">
        <v>55</v>
      </c>
      <c r="BE178" s="178">
        <v>1.63594619797756</v>
      </c>
      <c r="BF178" s="179">
        <v>38.573773661098699</v>
      </c>
      <c r="BG178" s="168">
        <v>0.02</v>
      </c>
      <c r="BH178" s="168">
        <v>0.02</v>
      </c>
      <c r="BI178" s="176">
        <v>0</v>
      </c>
      <c r="BJ178" s="176">
        <v>0</v>
      </c>
      <c r="BK178" s="169"/>
      <c r="BL178" s="185">
        <v>0.8</v>
      </c>
      <c r="BM178" s="188">
        <v>0.72</v>
      </c>
      <c r="BN178" s="186"/>
      <c r="BO178" s="187">
        <v>0.95</v>
      </c>
      <c r="BP178" s="178">
        <v>1</v>
      </c>
      <c r="BQ178" s="186">
        <v>2.5000000000000001E-3</v>
      </c>
    </row>
    <row r="179" spans="1:69" s="156" customFormat="1" ht="22.35" customHeight="1" x14ac:dyDescent="0.2">
      <c r="A179" s="165" t="s">
        <v>220</v>
      </c>
      <c r="B179" s="165" t="s">
        <v>240</v>
      </c>
      <c r="C179" s="165" t="s">
        <v>243</v>
      </c>
      <c r="D179" s="166">
        <v>3.17144203944444</v>
      </c>
      <c r="E179" s="167"/>
      <c r="F179" s="168">
        <v>1.7000000000000001E-2</v>
      </c>
      <c r="G179" s="168">
        <v>1.4999999999999999E-2</v>
      </c>
      <c r="H179" s="169"/>
      <c r="I179" s="170">
        <v>3</v>
      </c>
      <c r="J179" s="170">
        <v>3</v>
      </c>
      <c r="K179" s="167"/>
      <c r="L179" s="171">
        <v>1812.93551</v>
      </c>
      <c r="M179" s="171">
        <v>2237.2494000000002</v>
      </c>
      <c r="N179" s="171">
        <v>4050.1849099999999</v>
      </c>
      <c r="O179" s="166">
        <v>1277.0799086429099</v>
      </c>
      <c r="P179" s="172">
        <v>247.75800000000001</v>
      </c>
      <c r="Q179" s="178">
        <v>5.1545455995080296</v>
      </c>
      <c r="R179" s="179">
        <v>3126.1427491129998</v>
      </c>
      <c r="S179" s="168">
        <v>0.01</v>
      </c>
      <c r="T179" s="168">
        <v>0.01</v>
      </c>
      <c r="U179" s="175">
        <v>0</v>
      </c>
      <c r="V179" s="176">
        <v>0</v>
      </c>
      <c r="W179" s="167"/>
      <c r="X179" s="175">
        <v>1903.01602</v>
      </c>
      <c r="Y179" s="166">
        <v>600.04754819147195</v>
      </c>
      <c r="Z179" s="177">
        <v>573</v>
      </c>
      <c r="AA179" s="182">
        <v>1.04720339998512</v>
      </c>
      <c r="AB179" s="183">
        <v>-234.05385539555701</v>
      </c>
      <c r="AC179" s="168">
        <v>7.0000000000000001E-3</v>
      </c>
      <c r="AD179" s="168">
        <v>5.0000000000000001E-3</v>
      </c>
      <c r="AE179" s="176">
        <v>0</v>
      </c>
      <c r="AF179" s="176">
        <v>278</v>
      </c>
      <c r="AG179" s="167"/>
      <c r="AH179" s="180">
        <v>172.5</v>
      </c>
      <c r="AI179" s="166">
        <v>54.391660908366298</v>
      </c>
      <c r="AJ179" s="181" t="s">
        <v>53</v>
      </c>
      <c r="AK179" s="188">
        <v>0.86335969695819603</v>
      </c>
      <c r="AL179" s="171">
        <v>-62.465797818359597</v>
      </c>
      <c r="AM179" s="168"/>
      <c r="AN179" s="168"/>
      <c r="AO179" s="176">
        <v>28</v>
      </c>
      <c r="AP179" s="176">
        <v>68</v>
      </c>
      <c r="AQ179" s="167"/>
      <c r="AR179" s="180">
        <v>28</v>
      </c>
      <c r="AS179" s="166">
        <v>8.8287913358507701</v>
      </c>
      <c r="AT179" s="181" t="s">
        <v>54</v>
      </c>
      <c r="AU179" s="173">
        <v>0.55179945849067302</v>
      </c>
      <c r="AV179" s="174">
        <v>-31.673853414186599</v>
      </c>
      <c r="AW179" s="168"/>
      <c r="AX179" s="168"/>
      <c r="AY179" s="176">
        <v>23</v>
      </c>
      <c r="AZ179" s="176">
        <v>33</v>
      </c>
      <c r="BA179" s="167"/>
      <c r="BB179" s="184">
        <v>95</v>
      </c>
      <c r="BC179" s="180">
        <v>29.9548277466365</v>
      </c>
      <c r="BD179" s="181" t="s">
        <v>55</v>
      </c>
      <c r="BE179" s="188">
        <v>0.93608836708239096</v>
      </c>
      <c r="BF179" s="171">
        <v>-24.347706828373202</v>
      </c>
      <c r="BG179" s="168"/>
      <c r="BH179" s="168"/>
      <c r="BI179" s="176">
        <v>7</v>
      </c>
      <c r="BJ179" s="176">
        <v>27</v>
      </c>
      <c r="BK179" s="169"/>
      <c r="BL179" s="185">
        <v>0.8</v>
      </c>
      <c r="BM179" s="188">
        <v>0.7</v>
      </c>
      <c r="BN179" s="186"/>
      <c r="BO179" s="187">
        <v>0.95</v>
      </c>
      <c r="BP179" s="178">
        <v>1</v>
      </c>
      <c r="BQ179" s="186">
        <v>2.5000000000000001E-3</v>
      </c>
    </row>
    <row r="180" spans="1:69" s="156" customFormat="1" ht="22.35" customHeight="1" x14ac:dyDescent="0.2">
      <c r="A180" s="165" t="s">
        <v>220</v>
      </c>
      <c r="B180" s="165" t="s">
        <v>240</v>
      </c>
      <c r="C180" s="165" t="s">
        <v>244</v>
      </c>
      <c r="D180" s="166">
        <v>3.4906875204444399</v>
      </c>
      <c r="E180" s="167"/>
      <c r="F180" s="168">
        <v>0.01</v>
      </c>
      <c r="G180" s="168">
        <v>0.01</v>
      </c>
      <c r="H180" s="169"/>
      <c r="I180" s="170">
        <v>3</v>
      </c>
      <c r="J180" s="170">
        <v>3</v>
      </c>
      <c r="K180" s="167"/>
      <c r="L180" s="171">
        <v>1143.02943</v>
      </c>
      <c r="M180" s="171">
        <v>218.91685000000001</v>
      </c>
      <c r="N180" s="171">
        <v>1361.9462799999999</v>
      </c>
      <c r="O180" s="166">
        <v>390.16562554605099</v>
      </c>
      <c r="P180" s="172">
        <v>247.167</v>
      </c>
      <c r="Q180" s="178">
        <v>1.5785506380141801</v>
      </c>
      <c r="R180" s="179">
        <v>347.313751457948</v>
      </c>
      <c r="S180" s="168">
        <v>0.01</v>
      </c>
      <c r="T180" s="168">
        <v>0.01</v>
      </c>
      <c r="U180" s="175">
        <v>0</v>
      </c>
      <c r="V180" s="176">
        <v>0</v>
      </c>
      <c r="W180" s="167"/>
      <c r="X180" s="175">
        <v>1461.699345</v>
      </c>
      <c r="Y180" s="166">
        <v>418.74253608753003</v>
      </c>
      <c r="Z180" s="177">
        <v>573</v>
      </c>
      <c r="AA180" s="173">
        <v>0.73078976629586501</v>
      </c>
      <c r="AB180" s="174">
        <v>-890.49345927644504</v>
      </c>
      <c r="AC180" s="168"/>
      <c r="AD180" s="168"/>
      <c r="AE180" s="176">
        <v>539</v>
      </c>
      <c r="AF180" s="176">
        <v>939</v>
      </c>
      <c r="AG180" s="167"/>
      <c r="AH180" s="180">
        <v>184.4</v>
      </c>
      <c r="AI180" s="166">
        <v>52.826269587293702</v>
      </c>
      <c r="AJ180" s="181" t="s">
        <v>53</v>
      </c>
      <c r="AK180" s="188">
        <v>0.83851221567132805</v>
      </c>
      <c r="AL180" s="171">
        <v>-74.218057014687602</v>
      </c>
      <c r="AM180" s="168"/>
      <c r="AN180" s="168"/>
      <c r="AO180" s="176">
        <v>36</v>
      </c>
      <c r="AP180" s="176">
        <v>80</v>
      </c>
      <c r="AQ180" s="167"/>
      <c r="AR180" s="180">
        <v>24.8</v>
      </c>
      <c r="AS180" s="166">
        <v>7.1046176017618397</v>
      </c>
      <c r="AT180" s="181" t="s">
        <v>54</v>
      </c>
      <c r="AU180" s="173">
        <v>0.44403860011011498</v>
      </c>
      <c r="AV180" s="174">
        <v>-40.880776384682598</v>
      </c>
      <c r="AW180" s="168"/>
      <c r="AX180" s="168"/>
      <c r="AY180" s="176">
        <v>32</v>
      </c>
      <c r="AZ180" s="176">
        <v>43</v>
      </c>
      <c r="BA180" s="167"/>
      <c r="BB180" s="184">
        <v>83.2</v>
      </c>
      <c r="BC180" s="180">
        <v>23.8348461478462</v>
      </c>
      <c r="BD180" s="181" t="s">
        <v>55</v>
      </c>
      <c r="BE180" s="173">
        <v>0.74483894212019297</v>
      </c>
      <c r="BF180" s="174">
        <v>-48.161552769365102</v>
      </c>
      <c r="BG180" s="168"/>
      <c r="BH180" s="168"/>
      <c r="BI180" s="176">
        <v>29</v>
      </c>
      <c r="BJ180" s="176">
        <v>51</v>
      </c>
      <c r="BK180" s="169"/>
      <c r="BL180" s="185">
        <v>0.8</v>
      </c>
      <c r="BM180" s="182">
        <v>0.86</v>
      </c>
      <c r="BN180" s="186">
        <v>2.2499999999999998E-3</v>
      </c>
      <c r="BO180" s="187">
        <v>0.95</v>
      </c>
      <c r="BP180" s="178">
        <v>1</v>
      </c>
      <c r="BQ180" s="186">
        <v>2.5000000000000001E-3</v>
      </c>
    </row>
    <row r="181" spans="1:69" s="156" customFormat="1" ht="22.35" customHeight="1" x14ac:dyDescent="0.2">
      <c r="A181" s="165" t="s">
        <v>220</v>
      </c>
      <c r="B181" s="165" t="s">
        <v>240</v>
      </c>
      <c r="C181" s="165" t="s">
        <v>245</v>
      </c>
      <c r="D181" s="166">
        <v>2.5343313424444398</v>
      </c>
      <c r="E181" s="167"/>
      <c r="F181" s="168">
        <v>6.5000000000000002E-2</v>
      </c>
      <c r="G181" s="168">
        <v>6.2E-2</v>
      </c>
      <c r="H181" s="169"/>
      <c r="I181" s="170">
        <v>5</v>
      </c>
      <c r="J181" s="170">
        <v>5</v>
      </c>
      <c r="K181" s="167"/>
      <c r="L181" s="171">
        <v>2273.9973599999998</v>
      </c>
      <c r="M181" s="171">
        <v>915.54655000000002</v>
      </c>
      <c r="N181" s="171">
        <v>3189.5439099999999</v>
      </c>
      <c r="O181" s="166">
        <v>1258.5346898340399</v>
      </c>
      <c r="P181" s="172">
        <v>233.029</v>
      </c>
      <c r="Q181" s="178">
        <v>5.40076423893181</v>
      </c>
      <c r="R181" s="179">
        <v>2495.0304166833798</v>
      </c>
      <c r="S181" s="168">
        <v>0.01</v>
      </c>
      <c r="T181" s="168">
        <v>0.01</v>
      </c>
      <c r="U181" s="175">
        <v>0</v>
      </c>
      <c r="V181" s="176">
        <v>0</v>
      </c>
      <c r="W181" s="167"/>
      <c r="X181" s="175">
        <v>1642.46561</v>
      </c>
      <c r="Y181" s="166">
        <v>648.08637390554804</v>
      </c>
      <c r="Z181" s="177">
        <v>573</v>
      </c>
      <c r="AA181" s="182">
        <v>1.13104079215628</v>
      </c>
      <c r="AB181" s="183">
        <v>-65.288496443500705</v>
      </c>
      <c r="AC181" s="168">
        <v>1.4999999999999999E-2</v>
      </c>
      <c r="AD181" s="168">
        <v>1.2999999999999999E-2</v>
      </c>
      <c r="AE181" s="176">
        <v>0</v>
      </c>
      <c r="AF181" s="176">
        <v>101</v>
      </c>
      <c r="AG181" s="167"/>
      <c r="AH181" s="180">
        <v>190.4</v>
      </c>
      <c r="AI181" s="166">
        <v>75.128297871403404</v>
      </c>
      <c r="AJ181" s="181" t="s">
        <v>53</v>
      </c>
      <c r="AK181" s="178">
        <v>1.19251266462545</v>
      </c>
      <c r="AL181" s="179">
        <v>2.6364595009763701</v>
      </c>
      <c r="AM181" s="168">
        <v>0.02</v>
      </c>
      <c r="AN181" s="168">
        <v>1.9E-2</v>
      </c>
      <c r="AO181" s="176">
        <v>0</v>
      </c>
      <c r="AP181" s="176">
        <v>2</v>
      </c>
      <c r="AQ181" s="167"/>
      <c r="AR181" s="180">
        <v>25.7</v>
      </c>
      <c r="AS181" s="166">
        <v>10.140741887053901</v>
      </c>
      <c r="AT181" s="181" t="s">
        <v>54</v>
      </c>
      <c r="AU181" s="173">
        <v>0.63379636794087102</v>
      </c>
      <c r="AV181" s="174">
        <v>-21.985978539434601</v>
      </c>
      <c r="AW181" s="168"/>
      <c r="AX181" s="168"/>
      <c r="AY181" s="176">
        <v>15</v>
      </c>
      <c r="AZ181" s="176">
        <v>23</v>
      </c>
      <c r="BA181" s="167"/>
      <c r="BB181" s="184">
        <v>120.6</v>
      </c>
      <c r="BC181" s="180">
        <v>47.586516403840598</v>
      </c>
      <c r="BD181" s="181" t="s">
        <v>55</v>
      </c>
      <c r="BE181" s="178">
        <v>1.48707863762002</v>
      </c>
      <c r="BF181" s="179">
        <v>25.2280429211309</v>
      </c>
      <c r="BG181" s="168">
        <v>0.02</v>
      </c>
      <c r="BH181" s="168">
        <v>0.02</v>
      </c>
      <c r="BI181" s="176">
        <v>0</v>
      </c>
      <c r="BJ181" s="176">
        <v>0</v>
      </c>
      <c r="BK181" s="169"/>
      <c r="BL181" s="185">
        <v>0.8</v>
      </c>
      <c r="BM181" s="188">
        <v>0.73</v>
      </c>
      <c r="BN181" s="186"/>
      <c r="BO181" s="187">
        <v>0.95</v>
      </c>
      <c r="BP181" s="178">
        <v>1</v>
      </c>
      <c r="BQ181" s="186">
        <v>2.5000000000000001E-3</v>
      </c>
    </row>
    <row r="182" spans="1:69" s="156" customFormat="1" ht="22.35" customHeight="1" x14ac:dyDescent="0.2">
      <c r="A182" s="165" t="s">
        <v>220</v>
      </c>
      <c r="B182" s="165" t="s">
        <v>240</v>
      </c>
      <c r="C182" s="165" t="s">
        <v>246</v>
      </c>
      <c r="D182" s="166">
        <v>3.7290475793333302</v>
      </c>
      <c r="E182" s="167"/>
      <c r="F182" s="168">
        <v>1.2999999999999999E-2</v>
      </c>
      <c r="G182" s="168">
        <v>1.0999999999999999E-2</v>
      </c>
      <c r="H182" s="169"/>
      <c r="I182" s="170">
        <v>3</v>
      </c>
      <c r="J182" s="170">
        <v>3</v>
      </c>
      <c r="K182" s="167"/>
      <c r="L182" s="171">
        <v>2019.8528200000001</v>
      </c>
      <c r="M182" s="171">
        <v>2258.73893</v>
      </c>
      <c r="N182" s="171">
        <v>4278.5917499999996</v>
      </c>
      <c r="O182" s="166">
        <v>1147.36850602612</v>
      </c>
      <c r="P182" s="172">
        <v>254.047</v>
      </c>
      <c r="Q182" s="178">
        <v>4.5163631376324904</v>
      </c>
      <c r="R182" s="179">
        <v>3164.5042099450102</v>
      </c>
      <c r="S182" s="168">
        <v>0.01</v>
      </c>
      <c r="T182" s="168">
        <v>0.01</v>
      </c>
      <c r="U182" s="175">
        <v>0</v>
      </c>
      <c r="V182" s="176">
        <v>0</v>
      </c>
      <c r="W182" s="167"/>
      <c r="X182" s="175">
        <v>1894.53422</v>
      </c>
      <c r="Y182" s="166">
        <v>508.04774669533703</v>
      </c>
      <c r="Z182" s="177">
        <v>573</v>
      </c>
      <c r="AA182" s="188">
        <v>0.88664528219081395</v>
      </c>
      <c r="AB182" s="171">
        <v>-618.27703323860601</v>
      </c>
      <c r="AC182" s="168"/>
      <c r="AD182" s="168"/>
      <c r="AE182" s="176">
        <v>243</v>
      </c>
      <c r="AF182" s="176">
        <v>670</v>
      </c>
      <c r="AG182" s="167"/>
      <c r="AH182" s="180">
        <v>215.8</v>
      </c>
      <c r="AI182" s="166">
        <v>57.870004447242799</v>
      </c>
      <c r="AJ182" s="181" t="s">
        <v>53</v>
      </c>
      <c r="AK182" s="188">
        <v>0.91857149916258396</v>
      </c>
      <c r="AL182" s="171">
        <v>-60.477677057647703</v>
      </c>
      <c r="AM182" s="168"/>
      <c r="AN182" s="168"/>
      <c r="AO182" s="176">
        <v>20</v>
      </c>
      <c r="AP182" s="176">
        <v>67</v>
      </c>
      <c r="AQ182" s="167"/>
      <c r="AR182" s="180">
        <v>28.8</v>
      </c>
      <c r="AS182" s="166">
        <v>7.7231516593169296</v>
      </c>
      <c r="AT182" s="181" t="s">
        <v>54</v>
      </c>
      <c r="AU182" s="173">
        <v>0.48269697870730799</v>
      </c>
      <c r="AV182" s="174">
        <v>-41.365759252735899</v>
      </c>
      <c r="AW182" s="168"/>
      <c r="AX182" s="168"/>
      <c r="AY182" s="176">
        <v>31</v>
      </c>
      <c r="AZ182" s="176">
        <v>43</v>
      </c>
      <c r="BA182" s="167"/>
      <c r="BB182" s="184">
        <v>121</v>
      </c>
      <c r="BC182" s="180">
        <v>32.447963568657897</v>
      </c>
      <c r="BD182" s="181" t="s">
        <v>55</v>
      </c>
      <c r="BE182" s="182">
        <v>1.01399886152056</v>
      </c>
      <c r="BF182" s="183">
        <v>-19.331518505471902</v>
      </c>
      <c r="BG182" s="168">
        <v>3.0000000000000001E-3</v>
      </c>
      <c r="BH182" s="168">
        <v>1E-3</v>
      </c>
      <c r="BI182" s="176">
        <v>0</v>
      </c>
      <c r="BJ182" s="176">
        <v>23</v>
      </c>
      <c r="BK182" s="169"/>
      <c r="BL182" s="185">
        <v>0.8</v>
      </c>
      <c r="BM182" s="188">
        <v>0.79</v>
      </c>
      <c r="BN182" s="186"/>
      <c r="BO182" s="187">
        <v>0.95</v>
      </c>
      <c r="BP182" s="178">
        <v>1</v>
      </c>
      <c r="BQ182" s="186">
        <v>2.5000000000000001E-3</v>
      </c>
    </row>
    <row r="183" spans="1:69" s="156" customFormat="1" ht="22.35" customHeight="1" x14ac:dyDescent="0.2">
      <c r="A183" s="165" t="s">
        <v>220</v>
      </c>
      <c r="B183" s="165" t="s">
        <v>240</v>
      </c>
      <c r="C183" s="165" t="s">
        <v>247</v>
      </c>
      <c r="D183" s="166">
        <v>4.4497067784444404</v>
      </c>
      <c r="E183" s="167"/>
      <c r="F183" s="168">
        <v>0.01</v>
      </c>
      <c r="G183" s="168">
        <v>0.01</v>
      </c>
      <c r="H183" s="169"/>
      <c r="I183" s="170">
        <v>2</v>
      </c>
      <c r="J183" s="170">
        <v>2</v>
      </c>
      <c r="K183" s="167"/>
      <c r="L183" s="171">
        <v>2237.88105</v>
      </c>
      <c r="M183" s="171">
        <v>-316.78881000000001</v>
      </c>
      <c r="N183" s="171">
        <v>1921.0922399999999</v>
      </c>
      <c r="O183" s="166">
        <v>431.73456941169201</v>
      </c>
      <c r="P183" s="172">
        <v>217.155</v>
      </c>
      <c r="Q183" s="178">
        <v>1.9881401276124999</v>
      </c>
      <c r="R183" s="179">
        <v>784.75157524363203</v>
      </c>
      <c r="S183" s="168">
        <v>0.01</v>
      </c>
      <c r="T183" s="168">
        <v>0.01</v>
      </c>
      <c r="U183" s="175">
        <v>0</v>
      </c>
      <c r="V183" s="176">
        <v>0</v>
      </c>
      <c r="W183" s="167"/>
      <c r="X183" s="175">
        <v>2285.1937349999998</v>
      </c>
      <c r="Y183" s="166">
        <v>513.56052180114</v>
      </c>
      <c r="Z183" s="177">
        <v>573</v>
      </c>
      <c r="AA183" s="188">
        <v>0.89626618115382295</v>
      </c>
      <c r="AB183" s="171">
        <v>-713.23227824122898</v>
      </c>
      <c r="AC183" s="168"/>
      <c r="AD183" s="168"/>
      <c r="AE183" s="176">
        <v>265</v>
      </c>
      <c r="AF183" s="176">
        <v>775</v>
      </c>
      <c r="AG183" s="167"/>
      <c r="AH183" s="180">
        <v>187.35</v>
      </c>
      <c r="AI183" s="166">
        <v>42.103897925942597</v>
      </c>
      <c r="AJ183" s="181" t="s">
        <v>53</v>
      </c>
      <c r="AK183" s="173">
        <v>0.66831584009432798</v>
      </c>
      <c r="AL183" s="174">
        <v>-142.31987580139199</v>
      </c>
      <c r="AM183" s="168"/>
      <c r="AN183" s="168"/>
      <c r="AO183" s="176">
        <v>93</v>
      </c>
      <c r="AP183" s="176">
        <v>150</v>
      </c>
      <c r="AQ183" s="167"/>
      <c r="AR183" s="180">
        <v>31.4</v>
      </c>
      <c r="AS183" s="166">
        <v>7.0566447551353004</v>
      </c>
      <c r="AT183" s="181" t="s">
        <v>54</v>
      </c>
      <c r="AU183" s="173">
        <v>0.441040297195956</v>
      </c>
      <c r="AV183" s="174">
        <v>-52.325682743210599</v>
      </c>
      <c r="AW183" s="168"/>
      <c r="AX183" s="168"/>
      <c r="AY183" s="176">
        <v>40</v>
      </c>
      <c r="AZ183" s="176">
        <v>55</v>
      </c>
      <c r="BA183" s="167"/>
      <c r="BB183" s="184">
        <v>120.8</v>
      </c>
      <c r="BC183" s="180">
        <v>27.147856255425001</v>
      </c>
      <c r="BD183" s="181" t="s">
        <v>55</v>
      </c>
      <c r="BE183" s="188">
        <v>0.84837050798203095</v>
      </c>
      <c r="BF183" s="171">
        <v>-46.651365486421099</v>
      </c>
      <c r="BG183" s="168"/>
      <c r="BH183" s="168"/>
      <c r="BI183" s="176">
        <v>22</v>
      </c>
      <c r="BJ183" s="176">
        <v>51</v>
      </c>
      <c r="BK183" s="169"/>
      <c r="BL183" s="185">
        <v>0.8</v>
      </c>
      <c r="BM183" s="188">
        <v>0.76</v>
      </c>
      <c r="BN183" s="186"/>
      <c r="BO183" s="187">
        <v>0.95</v>
      </c>
      <c r="BP183" s="178">
        <v>1</v>
      </c>
      <c r="BQ183" s="186">
        <v>2.5000000000000001E-3</v>
      </c>
    </row>
    <row r="184" spans="1:69" s="156" customFormat="1" ht="22.35" customHeight="1" x14ac:dyDescent="0.2">
      <c r="A184" s="165" t="s">
        <v>220</v>
      </c>
      <c r="B184" s="165" t="s">
        <v>240</v>
      </c>
      <c r="C184" s="165" t="s">
        <v>248</v>
      </c>
      <c r="D184" s="166">
        <v>4.5199524895555596</v>
      </c>
      <c r="E184" s="167"/>
      <c r="F184" s="168">
        <v>1.4999999999999999E-2</v>
      </c>
      <c r="G184" s="168">
        <v>1.2999999999999999E-2</v>
      </c>
      <c r="H184" s="169"/>
      <c r="I184" s="170">
        <v>3</v>
      </c>
      <c r="J184" s="170">
        <v>3</v>
      </c>
      <c r="K184" s="167"/>
      <c r="L184" s="171">
        <v>1199.1297400000001</v>
      </c>
      <c r="M184" s="171">
        <v>983.39122999999995</v>
      </c>
      <c r="N184" s="171">
        <v>2182.52097</v>
      </c>
      <c r="O184" s="166">
        <v>482.86369713912802</v>
      </c>
      <c r="P184" s="172">
        <v>287.5</v>
      </c>
      <c r="Q184" s="178">
        <v>1.67952590309262</v>
      </c>
      <c r="R184" s="179">
        <v>654.32503328126495</v>
      </c>
      <c r="S184" s="168">
        <v>0.01</v>
      </c>
      <c r="T184" s="168">
        <v>0.01</v>
      </c>
      <c r="U184" s="175">
        <v>0</v>
      </c>
      <c r="V184" s="176">
        <v>0</v>
      </c>
      <c r="W184" s="167"/>
      <c r="X184" s="175">
        <v>1792.9428949999999</v>
      </c>
      <c r="Y184" s="166">
        <v>396.67295157261702</v>
      </c>
      <c r="Z184" s="177">
        <v>573</v>
      </c>
      <c r="AA184" s="173">
        <v>0.69227391199409605</v>
      </c>
      <c r="AB184" s="174">
        <v>-1252.81805018203</v>
      </c>
      <c r="AC184" s="168"/>
      <c r="AD184" s="168"/>
      <c r="AE184" s="176">
        <v>797</v>
      </c>
      <c r="AF184" s="176">
        <v>1315</v>
      </c>
      <c r="AG184" s="167"/>
      <c r="AH184" s="180">
        <v>176.8</v>
      </c>
      <c r="AI184" s="166">
        <v>39.115455396608503</v>
      </c>
      <c r="AJ184" s="181" t="s">
        <v>53</v>
      </c>
      <c r="AK184" s="173">
        <v>0.62088024439061096</v>
      </c>
      <c r="AL184" s="174">
        <v>-158.07424004619199</v>
      </c>
      <c r="AM184" s="168"/>
      <c r="AN184" s="168"/>
      <c r="AO184" s="176">
        <v>108</v>
      </c>
      <c r="AP184" s="176">
        <v>165</v>
      </c>
      <c r="AQ184" s="167"/>
      <c r="AR184" s="180">
        <v>44.4</v>
      </c>
      <c r="AS184" s="166">
        <v>9.8231121018632308</v>
      </c>
      <c r="AT184" s="181" t="s">
        <v>54</v>
      </c>
      <c r="AU184" s="173">
        <v>0.61394450636645204</v>
      </c>
      <c r="AV184" s="174">
        <v>-40.647426043477402</v>
      </c>
      <c r="AW184" s="168"/>
      <c r="AX184" s="168"/>
      <c r="AY184" s="176">
        <v>28</v>
      </c>
      <c r="AZ184" s="176">
        <v>43</v>
      </c>
      <c r="BA184" s="167"/>
      <c r="BB184" s="184">
        <v>149</v>
      </c>
      <c r="BC184" s="180">
        <v>32.964948269766197</v>
      </c>
      <c r="BD184" s="181" t="s">
        <v>55</v>
      </c>
      <c r="BE184" s="182">
        <v>1.0301546334301901</v>
      </c>
      <c r="BF184" s="183">
        <v>-21.094852086954798</v>
      </c>
      <c r="BG184" s="168">
        <v>5.0000000000000001E-3</v>
      </c>
      <c r="BH184" s="168">
        <v>3.0000000000000001E-3</v>
      </c>
      <c r="BI184" s="176">
        <v>0</v>
      </c>
      <c r="BJ184" s="176">
        <v>25</v>
      </c>
      <c r="BK184" s="169"/>
      <c r="BL184" s="185">
        <v>0.8</v>
      </c>
      <c r="BM184" s="173">
        <v>0.69</v>
      </c>
      <c r="BN184" s="186"/>
      <c r="BO184" s="187">
        <v>0.95</v>
      </c>
      <c r="BP184" s="178">
        <v>1</v>
      </c>
      <c r="BQ184" s="186">
        <v>2.5000000000000001E-3</v>
      </c>
    </row>
    <row r="185" spans="1:69" s="156" customFormat="1" ht="22.35" customHeight="1" x14ac:dyDescent="0.2">
      <c r="A185" s="165" t="s">
        <v>220</v>
      </c>
      <c r="B185" s="165" t="s">
        <v>240</v>
      </c>
      <c r="C185" s="165" t="s">
        <v>249</v>
      </c>
      <c r="D185" s="166">
        <v>3.0343497082222202</v>
      </c>
      <c r="E185" s="167"/>
      <c r="F185" s="168">
        <v>0.01</v>
      </c>
      <c r="G185" s="168">
        <v>0.01</v>
      </c>
      <c r="H185" s="169"/>
      <c r="I185" s="170">
        <v>2</v>
      </c>
      <c r="J185" s="170">
        <v>2</v>
      </c>
      <c r="K185" s="167"/>
      <c r="L185" s="171">
        <v>1806.9964600000001</v>
      </c>
      <c r="M185" s="171">
        <v>1514.4563499999999</v>
      </c>
      <c r="N185" s="171">
        <v>3321.4528100000002</v>
      </c>
      <c r="O185" s="166">
        <v>1094.6176707977399</v>
      </c>
      <c r="P185" s="172">
        <v>243.29900000000001</v>
      </c>
      <c r="Q185" s="178">
        <v>4.4990635834826298</v>
      </c>
      <c r="R185" s="179">
        <v>2453.2658123989499</v>
      </c>
      <c r="S185" s="168">
        <v>0.01</v>
      </c>
      <c r="T185" s="168">
        <v>0.01</v>
      </c>
      <c r="U185" s="175">
        <v>0</v>
      </c>
      <c r="V185" s="176">
        <v>0</v>
      </c>
      <c r="W185" s="167"/>
      <c r="X185" s="175">
        <v>1165.4873250000001</v>
      </c>
      <c r="Y185" s="166">
        <v>384.09789149940798</v>
      </c>
      <c r="Z185" s="177">
        <v>573</v>
      </c>
      <c r="AA185" s="173">
        <v>0.67032790837593004</v>
      </c>
      <c r="AB185" s="174">
        <v>-879.20315718612596</v>
      </c>
      <c r="AC185" s="168"/>
      <c r="AD185" s="168"/>
      <c r="AE185" s="176">
        <v>574</v>
      </c>
      <c r="AF185" s="176">
        <v>921</v>
      </c>
      <c r="AG185" s="167"/>
      <c r="AH185" s="180">
        <v>119.8</v>
      </c>
      <c r="AI185" s="166">
        <v>39.481276556679099</v>
      </c>
      <c r="AJ185" s="181" t="s">
        <v>53</v>
      </c>
      <c r="AK185" s="173">
        <v>0.62668692947109605</v>
      </c>
      <c r="AL185" s="174">
        <v>-105.008901182768</v>
      </c>
      <c r="AM185" s="168"/>
      <c r="AN185" s="168"/>
      <c r="AO185" s="176">
        <v>72</v>
      </c>
      <c r="AP185" s="176">
        <v>110</v>
      </c>
      <c r="AQ185" s="167"/>
      <c r="AR185" s="180">
        <v>38.799999999999997</v>
      </c>
      <c r="AS185" s="166">
        <v>12.7869242938159</v>
      </c>
      <c r="AT185" s="181" t="s">
        <v>54</v>
      </c>
      <c r="AU185" s="188">
        <v>0.799182768363495</v>
      </c>
      <c r="AV185" s="171">
        <v>-18.294324109909301</v>
      </c>
      <c r="AW185" s="168"/>
      <c r="AX185" s="168"/>
      <c r="AY185" s="176">
        <v>10</v>
      </c>
      <c r="AZ185" s="176">
        <v>20</v>
      </c>
      <c r="BA185" s="167"/>
      <c r="BB185" s="184">
        <v>82</v>
      </c>
      <c r="BC185" s="180">
        <v>27.0239121673429</v>
      </c>
      <c r="BD185" s="181" t="s">
        <v>55</v>
      </c>
      <c r="BE185" s="188">
        <v>0.84449725522946595</v>
      </c>
      <c r="BF185" s="171">
        <v>-32.188648219818603</v>
      </c>
      <c r="BG185" s="168"/>
      <c r="BH185" s="168"/>
      <c r="BI185" s="176">
        <v>16</v>
      </c>
      <c r="BJ185" s="176">
        <v>35</v>
      </c>
      <c r="BK185" s="169"/>
      <c r="BL185" s="185">
        <v>0.8</v>
      </c>
      <c r="BM185" s="188">
        <v>0.7</v>
      </c>
      <c r="BN185" s="186"/>
      <c r="BO185" s="187">
        <v>0.95</v>
      </c>
      <c r="BP185" s="178">
        <v>1</v>
      </c>
      <c r="BQ185" s="186">
        <v>2.5000000000000001E-3</v>
      </c>
    </row>
    <row r="186" spans="1:69" s="156" customFormat="1" ht="22.35" customHeight="1" x14ac:dyDescent="0.2">
      <c r="A186" s="165" t="s">
        <v>220</v>
      </c>
      <c r="B186" s="165" t="s">
        <v>240</v>
      </c>
      <c r="C186" s="165" t="s">
        <v>250</v>
      </c>
      <c r="D186" s="166">
        <v>3.9243355210000002</v>
      </c>
      <c r="E186" s="167"/>
      <c r="F186" s="168">
        <v>0.04</v>
      </c>
      <c r="G186" s="168">
        <v>0.04</v>
      </c>
      <c r="H186" s="169"/>
      <c r="I186" s="170">
        <v>5</v>
      </c>
      <c r="J186" s="170">
        <v>5</v>
      </c>
      <c r="K186" s="167"/>
      <c r="L186" s="171">
        <v>4285.8177100000003</v>
      </c>
      <c r="M186" s="171">
        <v>3188.9398299999998</v>
      </c>
      <c r="N186" s="171">
        <v>7474.7575399999996</v>
      </c>
      <c r="O186" s="166">
        <v>1904.71928304828</v>
      </c>
      <c r="P186" s="172">
        <v>285.27300000000002</v>
      </c>
      <c r="Q186" s="178">
        <v>6.6768298543790703</v>
      </c>
      <c r="R186" s="179">
        <v>6158.2173467112898</v>
      </c>
      <c r="S186" s="168">
        <v>0.01</v>
      </c>
      <c r="T186" s="168">
        <v>0.01</v>
      </c>
      <c r="U186" s="175">
        <v>0</v>
      </c>
      <c r="V186" s="176">
        <v>0</v>
      </c>
      <c r="W186" s="167"/>
      <c r="X186" s="175">
        <v>1905.99947</v>
      </c>
      <c r="Y186" s="166">
        <v>485.687184441944</v>
      </c>
      <c r="Z186" s="177">
        <v>573</v>
      </c>
      <c r="AA186" s="188">
        <v>0.84762161333672603</v>
      </c>
      <c r="AB186" s="171">
        <v>-738.40617215480802</v>
      </c>
      <c r="AC186" s="168"/>
      <c r="AD186" s="168"/>
      <c r="AE186" s="176">
        <v>343</v>
      </c>
      <c r="AF186" s="176">
        <v>793</v>
      </c>
      <c r="AG186" s="167"/>
      <c r="AH186" s="180">
        <v>189.9</v>
      </c>
      <c r="AI186" s="166">
        <v>48.3903578029459</v>
      </c>
      <c r="AJ186" s="181" t="s">
        <v>53</v>
      </c>
      <c r="AK186" s="173">
        <v>0.76810091750707699</v>
      </c>
      <c r="AL186" s="174">
        <v>-100.84617007984799</v>
      </c>
      <c r="AM186" s="168"/>
      <c r="AN186" s="168"/>
      <c r="AO186" s="176">
        <v>58</v>
      </c>
      <c r="AP186" s="176">
        <v>107</v>
      </c>
      <c r="AQ186" s="167"/>
      <c r="AR186" s="180">
        <v>75.599999999999994</v>
      </c>
      <c r="AS186" s="166">
        <v>19.264407845722499</v>
      </c>
      <c r="AT186" s="181" t="s">
        <v>54</v>
      </c>
      <c r="AU186" s="178">
        <v>1.2040254903576599</v>
      </c>
      <c r="AV186" s="179">
        <v>1.75970283686402</v>
      </c>
      <c r="AW186" s="168">
        <v>0.01</v>
      </c>
      <c r="AX186" s="168">
        <v>0.01</v>
      </c>
      <c r="AY186" s="176">
        <v>0</v>
      </c>
      <c r="AZ186" s="176">
        <v>0</v>
      </c>
      <c r="BA186" s="167"/>
      <c r="BB186" s="184">
        <v>220.6</v>
      </c>
      <c r="BC186" s="180">
        <v>56.213338237650703</v>
      </c>
      <c r="BD186" s="181" t="s">
        <v>55</v>
      </c>
      <c r="BE186" s="178">
        <v>1.75666681992658</v>
      </c>
      <c r="BF186" s="179">
        <v>72.919405673727994</v>
      </c>
      <c r="BG186" s="168">
        <v>0.02</v>
      </c>
      <c r="BH186" s="168">
        <v>0.02</v>
      </c>
      <c r="BI186" s="176">
        <v>0</v>
      </c>
      <c r="BJ186" s="176">
        <v>0</v>
      </c>
      <c r="BK186" s="169"/>
      <c r="BL186" s="185">
        <v>0.8</v>
      </c>
      <c r="BM186" s="182">
        <v>0.82</v>
      </c>
      <c r="BN186" s="186">
        <v>7.5000000000000002E-4</v>
      </c>
      <c r="BO186" s="187">
        <v>0.95</v>
      </c>
      <c r="BP186" s="178">
        <v>1</v>
      </c>
      <c r="BQ186" s="186">
        <v>2.5000000000000001E-3</v>
      </c>
    </row>
    <row r="187" spans="1:69" s="156" customFormat="1" ht="22.35" customHeight="1" x14ac:dyDescent="0.2">
      <c r="A187" s="165" t="s">
        <v>220</v>
      </c>
      <c r="B187" s="165" t="s">
        <v>240</v>
      </c>
      <c r="C187" s="165" t="s">
        <v>251</v>
      </c>
      <c r="D187" s="166">
        <v>1.82888188633333</v>
      </c>
      <c r="E187" s="167"/>
      <c r="F187" s="168">
        <v>7.0000000000000007E-2</v>
      </c>
      <c r="G187" s="168">
        <v>7.0000000000000007E-2</v>
      </c>
      <c r="H187" s="169"/>
      <c r="I187" s="170">
        <v>5</v>
      </c>
      <c r="J187" s="170">
        <v>5</v>
      </c>
      <c r="K187" s="167"/>
      <c r="L187" s="171">
        <v>507.77127000000002</v>
      </c>
      <c r="M187" s="171">
        <v>28.087350000000001</v>
      </c>
      <c r="N187" s="171">
        <v>535.85861999999997</v>
      </c>
      <c r="O187" s="166">
        <v>292.99793715728998</v>
      </c>
      <c r="P187" s="172">
        <v>243.29900000000001</v>
      </c>
      <c r="Q187" s="178">
        <v>1.20427102929848</v>
      </c>
      <c r="R187" s="179">
        <v>12.579622341896901</v>
      </c>
      <c r="S187" s="168">
        <v>0.01</v>
      </c>
      <c r="T187" s="168">
        <v>0.01</v>
      </c>
      <c r="U187" s="175">
        <v>0</v>
      </c>
      <c r="V187" s="176">
        <v>0</v>
      </c>
      <c r="W187" s="167"/>
      <c r="X187" s="175">
        <v>1268.6986850000001</v>
      </c>
      <c r="Y187" s="166">
        <v>693.70181556315401</v>
      </c>
      <c r="Z187" s="177">
        <v>573</v>
      </c>
      <c r="AA187" s="178">
        <v>1.21064889278037</v>
      </c>
      <c r="AB187" s="179">
        <v>36.310283658058303</v>
      </c>
      <c r="AC187" s="168">
        <v>0.02</v>
      </c>
      <c r="AD187" s="168">
        <v>0.02</v>
      </c>
      <c r="AE187" s="176">
        <v>0</v>
      </c>
      <c r="AF187" s="176">
        <v>0</v>
      </c>
      <c r="AG187" s="167"/>
      <c r="AH187" s="180">
        <v>172.2</v>
      </c>
      <c r="AI187" s="166">
        <v>94.155889063584198</v>
      </c>
      <c r="AJ187" s="181" t="s">
        <v>53</v>
      </c>
      <c r="AK187" s="178">
        <v>1.4945379216441901</v>
      </c>
      <c r="AL187" s="179">
        <v>36.701798805336303</v>
      </c>
      <c r="AM187" s="168">
        <v>0.02</v>
      </c>
      <c r="AN187" s="168">
        <v>0.02</v>
      </c>
      <c r="AO187" s="176">
        <v>0</v>
      </c>
      <c r="AP187" s="176">
        <v>0</v>
      </c>
      <c r="AQ187" s="167"/>
      <c r="AR187" s="180">
        <v>20.6</v>
      </c>
      <c r="AS187" s="166">
        <v>11.263712628977</v>
      </c>
      <c r="AT187" s="181" t="s">
        <v>54</v>
      </c>
      <c r="AU187" s="173">
        <v>0.70398203931106096</v>
      </c>
      <c r="AV187" s="174">
        <v>-13.812241573247899</v>
      </c>
      <c r="AW187" s="168"/>
      <c r="AX187" s="168"/>
      <c r="AY187" s="176">
        <v>9</v>
      </c>
      <c r="AZ187" s="176">
        <v>15</v>
      </c>
      <c r="BA187" s="167"/>
      <c r="BB187" s="184">
        <v>90</v>
      </c>
      <c r="BC187" s="180">
        <v>49.210394980967401</v>
      </c>
      <c r="BD187" s="181" t="s">
        <v>55</v>
      </c>
      <c r="BE187" s="178">
        <v>1.5378248431552299</v>
      </c>
      <c r="BF187" s="179">
        <v>21.175516853504099</v>
      </c>
      <c r="BG187" s="168">
        <v>0.02</v>
      </c>
      <c r="BH187" s="168">
        <v>0.02</v>
      </c>
      <c r="BI187" s="176">
        <v>0</v>
      </c>
      <c r="BJ187" s="176">
        <v>0</v>
      </c>
      <c r="BK187" s="169"/>
      <c r="BL187" s="185">
        <v>0.8</v>
      </c>
      <c r="BM187" s="188">
        <v>0.75</v>
      </c>
      <c r="BN187" s="186"/>
      <c r="BO187" s="187">
        <v>0.95</v>
      </c>
      <c r="BP187" s="178">
        <v>1</v>
      </c>
      <c r="BQ187" s="186">
        <v>2.5000000000000001E-3</v>
      </c>
    </row>
    <row r="188" spans="1:69" s="156" customFormat="1" ht="22.35" customHeight="1" x14ac:dyDescent="0.2">
      <c r="A188" s="165" t="s">
        <v>220</v>
      </c>
      <c r="B188" s="165" t="s">
        <v>240</v>
      </c>
      <c r="C188" s="165" t="s">
        <v>252</v>
      </c>
      <c r="D188" s="166">
        <v>3.0121534749999999</v>
      </c>
      <c r="E188" s="167"/>
      <c r="F188" s="168">
        <v>3.5999999999999997E-2</v>
      </c>
      <c r="G188" s="168">
        <v>3.1E-2</v>
      </c>
      <c r="H188" s="169"/>
      <c r="I188" s="170">
        <v>4</v>
      </c>
      <c r="J188" s="170">
        <v>4</v>
      </c>
      <c r="K188" s="167"/>
      <c r="L188" s="171">
        <v>1488.5916299999999</v>
      </c>
      <c r="M188" s="171">
        <v>356.14033000000001</v>
      </c>
      <c r="N188" s="171">
        <v>1844.7319600000001</v>
      </c>
      <c r="O188" s="166">
        <v>612.42960403934899</v>
      </c>
      <c r="P188" s="172">
        <v>262.53800000000001</v>
      </c>
      <c r="Q188" s="178">
        <v>2.3327274681735601</v>
      </c>
      <c r="R188" s="179">
        <v>914.74557515300899</v>
      </c>
      <c r="S188" s="168">
        <v>0.01</v>
      </c>
      <c r="T188" s="168">
        <v>0.01</v>
      </c>
      <c r="U188" s="175">
        <v>0</v>
      </c>
      <c r="V188" s="176">
        <v>0</v>
      </c>
      <c r="W188" s="167"/>
      <c r="X188" s="175">
        <v>1973.7178449999999</v>
      </c>
      <c r="Y188" s="166">
        <v>655.25142107840304</v>
      </c>
      <c r="Z188" s="177">
        <v>573</v>
      </c>
      <c r="AA188" s="182">
        <v>1.14354523748412</v>
      </c>
      <c r="AB188" s="183">
        <v>-56.015749821800199</v>
      </c>
      <c r="AC188" s="168">
        <v>1.7000000000000001E-2</v>
      </c>
      <c r="AD188" s="168">
        <v>1.4E-2</v>
      </c>
      <c r="AE188" s="176">
        <v>0</v>
      </c>
      <c r="AF188" s="176">
        <v>98</v>
      </c>
      <c r="AG188" s="167"/>
      <c r="AH188" s="180">
        <v>156.69999999999999</v>
      </c>
      <c r="AI188" s="166">
        <v>52.022581618288903</v>
      </c>
      <c r="AJ188" s="181" t="s">
        <v>53</v>
      </c>
      <c r="AK188" s="188">
        <v>0.82575526378236297</v>
      </c>
      <c r="AL188" s="171">
        <v>-66.464426655799997</v>
      </c>
      <c r="AM188" s="168"/>
      <c r="AN188" s="168"/>
      <c r="AO188" s="176">
        <v>34</v>
      </c>
      <c r="AP188" s="176">
        <v>72</v>
      </c>
      <c r="AQ188" s="167"/>
      <c r="AR188" s="180">
        <v>18</v>
      </c>
      <c r="AS188" s="166">
        <v>5.9757911239897901</v>
      </c>
      <c r="AT188" s="181" t="s">
        <v>54</v>
      </c>
      <c r="AU188" s="173">
        <v>0.37348694524936199</v>
      </c>
      <c r="AV188" s="174">
        <v>-38.676679785600001</v>
      </c>
      <c r="AW188" s="168"/>
      <c r="AX188" s="168"/>
      <c r="AY188" s="176">
        <v>31</v>
      </c>
      <c r="AZ188" s="176">
        <v>40</v>
      </c>
      <c r="BA188" s="167"/>
      <c r="BB188" s="184">
        <v>103</v>
      </c>
      <c r="BC188" s="180">
        <v>34.194804765052702</v>
      </c>
      <c r="BD188" s="181" t="s">
        <v>55</v>
      </c>
      <c r="BE188" s="182">
        <v>1.0685876489079</v>
      </c>
      <c r="BF188" s="183">
        <v>-10.3533595712</v>
      </c>
      <c r="BG188" s="168">
        <v>8.9999999999999993E-3</v>
      </c>
      <c r="BH188" s="168">
        <v>7.0000000000000001E-3</v>
      </c>
      <c r="BI188" s="176">
        <v>0</v>
      </c>
      <c r="BJ188" s="176">
        <v>13</v>
      </c>
      <c r="BK188" s="169"/>
      <c r="BL188" s="185">
        <v>0.8</v>
      </c>
      <c r="BM188" s="188">
        <v>0.74</v>
      </c>
      <c r="BN188" s="186"/>
      <c r="BO188" s="187">
        <v>0.95</v>
      </c>
      <c r="BP188" s="178">
        <v>1</v>
      </c>
      <c r="BQ188" s="186">
        <v>2.5000000000000001E-3</v>
      </c>
    </row>
    <row r="189" spans="1:69" s="156" customFormat="1" ht="22.35" customHeight="1" x14ac:dyDescent="0.2">
      <c r="A189" s="165" t="s">
        <v>220</v>
      </c>
      <c r="B189" s="165" t="s">
        <v>240</v>
      </c>
      <c r="C189" s="165" t="s">
        <v>253</v>
      </c>
      <c r="D189" s="166">
        <v>2.69738168433333</v>
      </c>
      <c r="E189" s="167"/>
      <c r="F189" s="168">
        <v>3.1E-2</v>
      </c>
      <c r="G189" s="168">
        <v>2.7E-2</v>
      </c>
      <c r="H189" s="169"/>
      <c r="I189" s="170">
        <v>5</v>
      </c>
      <c r="J189" s="170">
        <v>5</v>
      </c>
      <c r="K189" s="167"/>
      <c r="L189" s="171">
        <v>2385.9627300000002</v>
      </c>
      <c r="M189" s="171">
        <v>1938.8085000000001</v>
      </c>
      <c r="N189" s="171">
        <v>4324.7712300000003</v>
      </c>
      <c r="O189" s="166">
        <v>1603.32193812938</v>
      </c>
      <c r="P189" s="172">
        <v>243.27799999999999</v>
      </c>
      <c r="Q189" s="178">
        <v>6.5904929263204197</v>
      </c>
      <c r="R189" s="179">
        <v>3553.0640112321398</v>
      </c>
      <c r="S189" s="168">
        <v>0.01</v>
      </c>
      <c r="T189" s="168">
        <v>0.01</v>
      </c>
      <c r="U189" s="175">
        <v>0</v>
      </c>
      <c r="V189" s="176">
        <v>0</v>
      </c>
      <c r="W189" s="167"/>
      <c r="X189" s="175">
        <v>1628.2635</v>
      </c>
      <c r="Y189" s="166">
        <v>603.64593911833799</v>
      </c>
      <c r="Z189" s="177">
        <v>573</v>
      </c>
      <c r="AA189" s="182">
        <v>1.0534833143426501</v>
      </c>
      <c r="AB189" s="183">
        <v>-189.36175322464601</v>
      </c>
      <c r="AC189" s="168">
        <v>7.0000000000000001E-3</v>
      </c>
      <c r="AD189" s="168">
        <v>5.0000000000000001E-3</v>
      </c>
      <c r="AE189" s="176">
        <v>0</v>
      </c>
      <c r="AF189" s="176">
        <v>227</v>
      </c>
      <c r="AG189" s="167"/>
      <c r="AH189" s="180">
        <v>166.35</v>
      </c>
      <c r="AI189" s="166">
        <v>61.670916268979497</v>
      </c>
      <c r="AJ189" s="181" t="s">
        <v>53</v>
      </c>
      <c r="AK189" s="188">
        <v>0.97890343284094505</v>
      </c>
      <c r="AL189" s="171">
        <v>-33.493614228887701</v>
      </c>
      <c r="AM189" s="168">
        <v>0</v>
      </c>
      <c r="AN189" s="168"/>
      <c r="AO189" s="176">
        <v>4</v>
      </c>
      <c r="AP189" s="176">
        <v>38</v>
      </c>
      <c r="AQ189" s="167"/>
      <c r="AR189" s="180">
        <v>27.5</v>
      </c>
      <c r="AS189" s="166">
        <v>10.1950718208412</v>
      </c>
      <c r="AT189" s="181" t="s">
        <v>54</v>
      </c>
      <c r="AU189" s="173">
        <v>0.63719198880257599</v>
      </c>
      <c r="AV189" s="174">
        <v>-23.253933772415898</v>
      </c>
      <c r="AW189" s="168"/>
      <c r="AX189" s="168"/>
      <c r="AY189" s="176">
        <v>16</v>
      </c>
      <c r="AZ189" s="176">
        <v>25</v>
      </c>
      <c r="BA189" s="167"/>
      <c r="BB189" s="184">
        <v>96.4</v>
      </c>
      <c r="BC189" s="180">
        <v>35.738360855603403</v>
      </c>
      <c r="BD189" s="181" t="s">
        <v>55</v>
      </c>
      <c r="BE189" s="182">
        <v>1.1168237767376099</v>
      </c>
      <c r="BF189" s="183">
        <v>-5.1078675448318602</v>
      </c>
      <c r="BG189" s="168">
        <v>1.4E-2</v>
      </c>
      <c r="BH189" s="168">
        <v>1.2E-2</v>
      </c>
      <c r="BI189" s="176">
        <v>0</v>
      </c>
      <c r="BJ189" s="176">
        <v>8</v>
      </c>
      <c r="BK189" s="169"/>
      <c r="BL189" s="185">
        <v>0.8</v>
      </c>
      <c r="BM189" s="182">
        <v>0.86</v>
      </c>
      <c r="BN189" s="186">
        <v>2.2499999999999998E-3</v>
      </c>
      <c r="BO189" s="187">
        <v>0.95</v>
      </c>
      <c r="BP189" s="178">
        <v>1</v>
      </c>
      <c r="BQ189" s="186">
        <v>2.5000000000000001E-3</v>
      </c>
    </row>
    <row r="190" spans="1:69" s="156" customFormat="1" ht="22.35" customHeight="1" x14ac:dyDescent="0.2">
      <c r="A190" s="165" t="s">
        <v>220</v>
      </c>
      <c r="B190" s="165" t="s">
        <v>240</v>
      </c>
      <c r="C190" s="165" t="s">
        <v>254</v>
      </c>
      <c r="D190" s="166">
        <v>2.5112282917777802</v>
      </c>
      <c r="E190" s="167"/>
      <c r="F190" s="168">
        <v>7.0000000000000007E-2</v>
      </c>
      <c r="G190" s="168">
        <v>7.0000000000000007E-2</v>
      </c>
      <c r="H190" s="169"/>
      <c r="I190" s="170">
        <v>5</v>
      </c>
      <c r="J190" s="170">
        <v>5</v>
      </c>
      <c r="K190" s="167"/>
      <c r="L190" s="171">
        <v>284.16314999999997</v>
      </c>
      <c r="M190" s="171">
        <v>1.0633699999999999</v>
      </c>
      <c r="N190" s="171">
        <v>285.22651999999999</v>
      </c>
      <c r="O190" s="166">
        <v>113.580482082766</v>
      </c>
      <c r="P190" s="172">
        <v>233.029</v>
      </c>
      <c r="Q190" s="173">
        <v>0.48740921551723398</v>
      </c>
      <c r="R190" s="174">
        <v>-402.95576470310903</v>
      </c>
      <c r="S190" s="168"/>
      <c r="T190" s="168"/>
      <c r="U190" s="175">
        <v>300</v>
      </c>
      <c r="V190" s="176">
        <v>418</v>
      </c>
      <c r="W190" s="167"/>
      <c r="X190" s="175">
        <v>2094.7393900000002</v>
      </c>
      <c r="Y190" s="166">
        <v>834.14932718724197</v>
      </c>
      <c r="Z190" s="177">
        <v>573</v>
      </c>
      <c r="AA190" s="178">
        <v>1.4557579881103699</v>
      </c>
      <c r="AB190" s="179">
        <v>402.55322804212602</v>
      </c>
      <c r="AC190" s="168">
        <v>0.02</v>
      </c>
      <c r="AD190" s="168">
        <v>0.02</v>
      </c>
      <c r="AE190" s="176">
        <v>0</v>
      </c>
      <c r="AF190" s="176">
        <v>0</v>
      </c>
      <c r="AG190" s="167"/>
      <c r="AH190" s="180">
        <v>210.3</v>
      </c>
      <c r="AI190" s="166">
        <v>83.743879713589095</v>
      </c>
      <c r="AJ190" s="181" t="s">
        <v>53</v>
      </c>
      <c r="AK190" s="178">
        <v>1.32926793196173</v>
      </c>
      <c r="AL190" s="179">
        <v>24.248118318767801</v>
      </c>
      <c r="AM190" s="168">
        <v>0.02</v>
      </c>
      <c r="AN190" s="168">
        <v>0.02</v>
      </c>
      <c r="AO190" s="176">
        <v>0</v>
      </c>
      <c r="AP190" s="176">
        <v>0</v>
      </c>
      <c r="AQ190" s="167"/>
      <c r="AR190" s="180">
        <v>53.4</v>
      </c>
      <c r="AS190" s="166">
        <v>21.264494420854302</v>
      </c>
      <c r="AT190" s="181" t="s">
        <v>54</v>
      </c>
      <c r="AU190" s="178">
        <v>1.3290309013033901</v>
      </c>
      <c r="AV190" s="179">
        <v>6.1487284619092897</v>
      </c>
      <c r="AW190" s="168">
        <v>0.01</v>
      </c>
      <c r="AX190" s="168">
        <v>0.01</v>
      </c>
      <c r="AY190" s="176">
        <v>0</v>
      </c>
      <c r="AZ190" s="176">
        <v>0</v>
      </c>
      <c r="BA190" s="167"/>
      <c r="BB190" s="184">
        <v>149.19999999999999</v>
      </c>
      <c r="BC190" s="180">
        <v>59.413156696469301</v>
      </c>
      <c r="BD190" s="181" t="s">
        <v>55</v>
      </c>
      <c r="BE190" s="178">
        <v>1.8566611467646601</v>
      </c>
      <c r="BF190" s="179">
        <v>54.697456923818599</v>
      </c>
      <c r="BG190" s="168">
        <v>0.02</v>
      </c>
      <c r="BH190" s="168">
        <v>0.02</v>
      </c>
      <c r="BI190" s="176">
        <v>0</v>
      </c>
      <c r="BJ190" s="176">
        <v>0</v>
      </c>
      <c r="BK190" s="169"/>
      <c r="BL190" s="185">
        <v>0.8</v>
      </c>
      <c r="BM190" s="188">
        <v>0.79</v>
      </c>
      <c r="BN190" s="186"/>
      <c r="BO190" s="187">
        <v>0.95</v>
      </c>
      <c r="BP190" s="178">
        <v>1</v>
      </c>
      <c r="BQ190" s="186">
        <v>2.5000000000000001E-3</v>
      </c>
    </row>
    <row r="191" spans="1:69" s="156" customFormat="1" ht="22.35" customHeight="1" x14ac:dyDescent="0.2">
      <c r="A191" s="165" t="s">
        <v>220</v>
      </c>
      <c r="B191" s="165" t="s">
        <v>240</v>
      </c>
      <c r="C191" s="165" t="s">
        <v>255</v>
      </c>
      <c r="D191" s="166">
        <v>3.5167137564444402</v>
      </c>
      <c r="E191" s="167"/>
      <c r="F191" s="168">
        <v>1.2E-2</v>
      </c>
      <c r="G191" s="168">
        <v>0.01</v>
      </c>
      <c r="H191" s="169"/>
      <c r="I191" s="170">
        <v>4</v>
      </c>
      <c r="J191" s="170">
        <v>3</v>
      </c>
      <c r="K191" s="167"/>
      <c r="L191" s="171">
        <v>1714.44687</v>
      </c>
      <c r="M191" s="171">
        <v>505.81619000000001</v>
      </c>
      <c r="N191" s="171">
        <v>2220.2630600000002</v>
      </c>
      <c r="O191" s="166">
        <v>631.34597063276101</v>
      </c>
      <c r="P191" s="172">
        <v>232.833</v>
      </c>
      <c r="Q191" s="178">
        <v>2.71158285394579</v>
      </c>
      <c r="R191" s="179">
        <v>1257.34601147223</v>
      </c>
      <c r="S191" s="168">
        <v>0.01</v>
      </c>
      <c r="T191" s="168">
        <v>0.01</v>
      </c>
      <c r="U191" s="175">
        <v>0</v>
      </c>
      <c r="V191" s="176">
        <v>0</v>
      </c>
      <c r="W191" s="167"/>
      <c r="X191" s="175">
        <v>1478.9396400000001</v>
      </c>
      <c r="Y191" s="166">
        <v>420.54592509550002</v>
      </c>
      <c r="Z191" s="177">
        <v>573</v>
      </c>
      <c r="AA191" s="173">
        <v>0.73393704205148302</v>
      </c>
      <c r="AB191" s="174">
        <v>-890.790891352573</v>
      </c>
      <c r="AC191" s="168"/>
      <c r="AD191" s="168"/>
      <c r="AE191" s="176">
        <v>537</v>
      </c>
      <c r="AF191" s="176">
        <v>940</v>
      </c>
      <c r="AG191" s="167"/>
      <c r="AH191" s="180">
        <v>139.30000000000001</v>
      </c>
      <c r="AI191" s="166">
        <v>39.6108440002346</v>
      </c>
      <c r="AJ191" s="181" t="s">
        <v>53</v>
      </c>
      <c r="AK191" s="173">
        <v>0.62874355555927997</v>
      </c>
      <c r="AL191" s="174">
        <v>-121.246288787456</v>
      </c>
      <c r="AM191" s="168"/>
      <c r="AN191" s="168"/>
      <c r="AO191" s="176">
        <v>83</v>
      </c>
      <c r="AP191" s="176">
        <v>127</v>
      </c>
      <c r="AQ191" s="167"/>
      <c r="AR191" s="180">
        <v>33.4</v>
      </c>
      <c r="AS191" s="166">
        <v>9.4975031558351493</v>
      </c>
      <c r="AT191" s="181" t="s">
        <v>54</v>
      </c>
      <c r="AU191" s="173">
        <v>0.59359394723969705</v>
      </c>
      <c r="AV191" s="174">
        <v>-32.7704860412586</v>
      </c>
      <c r="AW191" s="168"/>
      <c r="AX191" s="168"/>
      <c r="AY191" s="176">
        <v>23</v>
      </c>
      <c r="AZ191" s="176">
        <v>35</v>
      </c>
      <c r="BA191" s="167"/>
      <c r="BB191" s="184">
        <v>112.4</v>
      </c>
      <c r="BC191" s="180">
        <v>31.9616573268225</v>
      </c>
      <c r="BD191" s="181" t="s">
        <v>55</v>
      </c>
      <c r="BE191" s="182">
        <v>0.99880179146320203</v>
      </c>
      <c r="BF191" s="183">
        <v>-19.940972082517099</v>
      </c>
      <c r="BG191" s="168">
        <v>2E-3</v>
      </c>
      <c r="BH191" s="168">
        <v>0</v>
      </c>
      <c r="BI191" s="176">
        <v>1</v>
      </c>
      <c r="BJ191" s="176">
        <v>23</v>
      </c>
      <c r="BK191" s="169"/>
      <c r="BL191" s="185">
        <v>0.8</v>
      </c>
      <c r="BM191" s="182">
        <v>0.85</v>
      </c>
      <c r="BN191" s="186">
        <v>1.8749999999999999E-3</v>
      </c>
      <c r="BO191" s="187">
        <v>0.95</v>
      </c>
      <c r="BP191" s="178">
        <v>1</v>
      </c>
      <c r="BQ191" s="186">
        <v>2.5000000000000001E-3</v>
      </c>
    </row>
    <row r="192" spans="1:69" s="156" customFormat="1" ht="22.35" customHeight="1" x14ac:dyDescent="0.2">
      <c r="A192" s="165" t="s">
        <v>220</v>
      </c>
      <c r="B192" s="165" t="s">
        <v>240</v>
      </c>
      <c r="C192" s="165" t="s">
        <v>256</v>
      </c>
      <c r="D192" s="166">
        <v>7.4460326411111097</v>
      </c>
      <c r="E192" s="167"/>
      <c r="F192" s="168">
        <v>3.4000000000000002E-2</v>
      </c>
      <c r="G192" s="168">
        <v>2.9000000000000001E-2</v>
      </c>
      <c r="H192" s="169"/>
      <c r="I192" s="170">
        <v>5</v>
      </c>
      <c r="J192" s="170">
        <v>4</v>
      </c>
      <c r="K192" s="167"/>
      <c r="L192" s="171">
        <v>5951.7796500000004</v>
      </c>
      <c r="M192" s="171">
        <v>3950.03521</v>
      </c>
      <c r="N192" s="171">
        <v>9901.8148600000004</v>
      </c>
      <c r="O192" s="166">
        <v>1329.8108317884601</v>
      </c>
      <c r="P192" s="172">
        <v>247.167</v>
      </c>
      <c r="Q192" s="178">
        <v>5.3802118882717398</v>
      </c>
      <c r="R192" s="179">
        <v>7737.4885254287201</v>
      </c>
      <c r="S192" s="168">
        <v>0.01</v>
      </c>
      <c r="T192" s="168">
        <v>0.01</v>
      </c>
      <c r="U192" s="175">
        <v>0</v>
      </c>
      <c r="V192" s="176">
        <v>0</v>
      </c>
      <c r="W192" s="167"/>
      <c r="X192" s="175">
        <v>4442.0393700000004</v>
      </c>
      <c r="Y192" s="166">
        <v>596.56458467218704</v>
      </c>
      <c r="Z192" s="177">
        <v>573</v>
      </c>
      <c r="AA192" s="182">
        <v>1.0411249296198699</v>
      </c>
      <c r="AB192" s="183">
        <v>-575.45483314743797</v>
      </c>
      <c r="AC192" s="168">
        <v>6.0000000000000001E-3</v>
      </c>
      <c r="AD192" s="168">
        <v>4.0000000000000001E-3</v>
      </c>
      <c r="AE192" s="176">
        <v>0</v>
      </c>
      <c r="AF192" s="176">
        <v>678</v>
      </c>
      <c r="AG192" s="167"/>
      <c r="AH192" s="180">
        <v>429.7</v>
      </c>
      <c r="AI192" s="166">
        <v>57.708583981694602</v>
      </c>
      <c r="AJ192" s="181" t="s">
        <v>53</v>
      </c>
      <c r="AK192" s="188">
        <v>0.91600926955070805</v>
      </c>
      <c r="AL192" s="171">
        <v>-121.96166631464</v>
      </c>
      <c r="AM192" s="168"/>
      <c r="AN192" s="168"/>
      <c r="AO192" s="176">
        <v>40</v>
      </c>
      <c r="AP192" s="176">
        <v>134</v>
      </c>
      <c r="AQ192" s="167"/>
      <c r="AR192" s="180">
        <v>118.8</v>
      </c>
      <c r="AS192" s="166">
        <v>15.9548051594725</v>
      </c>
      <c r="AT192" s="181" t="s">
        <v>54</v>
      </c>
      <c r="AU192" s="182">
        <v>0.997175322467029</v>
      </c>
      <c r="AV192" s="183">
        <v>-21.304550175146598</v>
      </c>
      <c r="AW192" s="168">
        <v>1E-3</v>
      </c>
      <c r="AX192" s="168">
        <v>0</v>
      </c>
      <c r="AY192" s="176">
        <v>1</v>
      </c>
      <c r="AZ192" s="176">
        <v>25</v>
      </c>
      <c r="BA192" s="167"/>
      <c r="BB192" s="184">
        <v>273.39999999999998</v>
      </c>
      <c r="BC192" s="180">
        <v>36.717539819863397</v>
      </c>
      <c r="BD192" s="181" t="s">
        <v>55</v>
      </c>
      <c r="BE192" s="182">
        <v>1.14742311937073</v>
      </c>
      <c r="BF192" s="183">
        <v>-6.8091003502932503</v>
      </c>
      <c r="BG192" s="168">
        <v>1.7000000000000001E-2</v>
      </c>
      <c r="BH192" s="168">
        <v>1.4999999999999999E-2</v>
      </c>
      <c r="BI192" s="176">
        <v>0</v>
      </c>
      <c r="BJ192" s="176">
        <v>13</v>
      </c>
      <c r="BK192" s="169"/>
      <c r="BL192" s="185">
        <v>0.8</v>
      </c>
      <c r="BM192" s="188">
        <v>0.79</v>
      </c>
      <c r="BN192" s="186"/>
      <c r="BO192" s="187">
        <v>0.95</v>
      </c>
      <c r="BP192" s="178">
        <v>1</v>
      </c>
      <c r="BQ192" s="186">
        <v>2.5000000000000001E-3</v>
      </c>
    </row>
    <row r="193" spans="1:69" s="156" customFormat="1" ht="22.35" customHeight="1" x14ac:dyDescent="0.2">
      <c r="A193" s="165" t="s">
        <v>220</v>
      </c>
      <c r="B193" s="165" t="s">
        <v>240</v>
      </c>
      <c r="C193" s="165" t="s">
        <v>257</v>
      </c>
      <c r="D193" s="166">
        <v>10.895669111222199</v>
      </c>
      <c r="E193" s="167"/>
      <c r="F193" s="168">
        <v>0.08</v>
      </c>
      <c r="G193" s="168">
        <v>0.08</v>
      </c>
      <c r="H193" s="169"/>
      <c r="I193" s="170">
        <v>6</v>
      </c>
      <c r="J193" s="170">
        <v>6</v>
      </c>
      <c r="K193" s="167"/>
      <c r="L193" s="171">
        <v>11033.85007</v>
      </c>
      <c r="M193" s="171">
        <v>8187.72714</v>
      </c>
      <c r="N193" s="171">
        <v>19221.577209999999</v>
      </c>
      <c r="O193" s="166">
        <v>1764.1483982110201</v>
      </c>
      <c r="P193" s="172">
        <v>236.7</v>
      </c>
      <c r="Q193" s="178">
        <v>7.45309842928188</v>
      </c>
      <c r="R193" s="179">
        <v>16188.6674727355</v>
      </c>
      <c r="S193" s="168">
        <v>0.01</v>
      </c>
      <c r="T193" s="168">
        <v>0.01</v>
      </c>
      <c r="U193" s="175">
        <v>0</v>
      </c>
      <c r="V193" s="176">
        <v>0</v>
      </c>
      <c r="W193" s="167"/>
      <c r="X193" s="175">
        <v>16871.430535</v>
      </c>
      <c r="Y193" s="166">
        <v>1548.45290938791</v>
      </c>
      <c r="Z193" s="177">
        <v>573</v>
      </c>
      <c r="AA193" s="178">
        <v>2.70236109840822</v>
      </c>
      <c r="AB193" s="179">
        <v>9529.4056957411303</v>
      </c>
      <c r="AC193" s="168">
        <v>0.02</v>
      </c>
      <c r="AD193" s="168">
        <v>0.02</v>
      </c>
      <c r="AE193" s="176">
        <v>0</v>
      </c>
      <c r="AF193" s="176">
        <v>0</v>
      </c>
      <c r="AG193" s="167"/>
      <c r="AH193" s="180">
        <v>2175.4</v>
      </c>
      <c r="AI193" s="166">
        <v>199.657311340283</v>
      </c>
      <c r="AJ193" s="181" t="s">
        <v>53</v>
      </c>
      <c r="AK193" s="178">
        <v>3.1691636720679801</v>
      </c>
      <c r="AL193" s="179">
        <v>1368.16166688777</v>
      </c>
      <c r="AM193" s="168">
        <v>0.02</v>
      </c>
      <c r="AN193" s="168">
        <v>0.02</v>
      </c>
      <c r="AO193" s="176">
        <v>0</v>
      </c>
      <c r="AP193" s="176">
        <v>0</v>
      </c>
      <c r="AQ193" s="167"/>
      <c r="AR193" s="180">
        <v>755.7</v>
      </c>
      <c r="AS193" s="166">
        <v>69.357833124874404</v>
      </c>
      <c r="AT193" s="181" t="s">
        <v>54</v>
      </c>
      <c r="AU193" s="178">
        <v>4.3348645703046502</v>
      </c>
      <c r="AV193" s="179">
        <v>550.68709000324304</v>
      </c>
      <c r="AW193" s="168">
        <v>0.01</v>
      </c>
      <c r="AX193" s="168">
        <v>0.01</v>
      </c>
      <c r="AY193" s="176">
        <v>0</v>
      </c>
      <c r="AZ193" s="176">
        <v>0</v>
      </c>
      <c r="BA193" s="167"/>
      <c r="BB193" s="184">
        <v>1346.4</v>
      </c>
      <c r="BC193" s="180">
        <v>123.572034563095</v>
      </c>
      <c r="BD193" s="181" t="s">
        <v>55</v>
      </c>
      <c r="BE193" s="178">
        <v>3.8616260800967201</v>
      </c>
      <c r="BF193" s="179">
        <v>936.37418000648495</v>
      </c>
      <c r="BG193" s="168">
        <v>0.02</v>
      </c>
      <c r="BH193" s="168">
        <v>0.02</v>
      </c>
      <c r="BI193" s="176">
        <v>0</v>
      </c>
      <c r="BJ193" s="176">
        <v>0</v>
      </c>
      <c r="BK193" s="169"/>
      <c r="BL193" s="185">
        <v>0.8</v>
      </c>
      <c r="BM193" s="188">
        <v>0.77</v>
      </c>
      <c r="BN193" s="186"/>
      <c r="BO193" s="187">
        <v>0.95</v>
      </c>
      <c r="BP193" s="178">
        <v>1</v>
      </c>
      <c r="BQ193" s="186">
        <v>2.5000000000000001E-3</v>
      </c>
    </row>
    <row r="194" spans="1:69" s="156" customFormat="1" ht="22.35" customHeight="1" x14ac:dyDescent="0.2">
      <c r="A194" s="165" t="s">
        <v>220</v>
      </c>
      <c r="B194" s="165" t="s">
        <v>240</v>
      </c>
      <c r="C194" s="165" t="s">
        <v>258</v>
      </c>
      <c r="D194" s="166">
        <v>1.7385762385555601</v>
      </c>
      <c r="E194" s="167"/>
      <c r="F194" s="168">
        <v>2.1000000000000001E-2</v>
      </c>
      <c r="G194" s="168">
        <v>1.6E-2</v>
      </c>
      <c r="H194" s="169"/>
      <c r="I194" s="170">
        <v>4</v>
      </c>
      <c r="J194" s="170">
        <v>3</v>
      </c>
      <c r="K194" s="167"/>
      <c r="L194" s="171">
        <v>650.51280999999994</v>
      </c>
      <c r="M194" s="171">
        <v>-154.53426999999999</v>
      </c>
      <c r="N194" s="171">
        <v>495.97854000000001</v>
      </c>
      <c r="O194" s="166">
        <v>285.27856817603202</v>
      </c>
      <c r="P194" s="172">
        <v>236.7</v>
      </c>
      <c r="Q194" s="178">
        <v>1.2052326496663801</v>
      </c>
      <c r="R194" s="179">
        <v>12.029849096665201</v>
      </c>
      <c r="S194" s="168">
        <v>0.01</v>
      </c>
      <c r="T194" s="168">
        <v>0.01</v>
      </c>
      <c r="U194" s="175">
        <v>0</v>
      </c>
      <c r="V194" s="176">
        <v>0</v>
      </c>
      <c r="W194" s="167"/>
      <c r="X194" s="175">
        <v>1059.877295</v>
      </c>
      <c r="Y194" s="166">
        <v>609.623709041697</v>
      </c>
      <c r="Z194" s="177">
        <v>573</v>
      </c>
      <c r="AA194" s="182">
        <v>1.06391572258586</v>
      </c>
      <c r="AB194" s="183">
        <v>-111.658826198187</v>
      </c>
      <c r="AC194" s="168">
        <v>8.9999999999999993E-3</v>
      </c>
      <c r="AD194" s="168">
        <v>6.0000000000000001E-3</v>
      </c>
      <c r="AE194" s="176">
        <v>0</v>
      </c>
      <c r="AF194" s="176">
        <v>136</v>
      </c>
      <c r="AG194" s="167"/>
      <c r="AH194" s="180">
        <v>81.650000000000006</v>
      </c>
      <c r="AI194" s="166">
        <v>46.963715590543501</v>
      </c>
      <c r="AJ194" s="181" t="s">
        <v>53</v>
      </c>
      <c r="AK194" s="173">
        <v>0.74545580302449999</v>
      </c>
      <c r="AL194" s="174">
        <v>-47.157636362104299</v>
      </c>
      <c r="AM194" s="168"/>
      <c r="AN194" s="168"/>
      <c r="AO194" s="176">
        <v>28</v>
      </c>
      <c r="AP194" s="176">
        <v>50</v>
      </c>
      <c r="AQ194" s="167"/>
      <c r="AR194" s="180">
        <v>8</v>
      </c>
      <c r="AS194" s="166">
        <v>4.6014663162810496</v>
      </c>
      <c r="AT194" s="181" t="s">
        <v>54</v>
      </c>
      <c r="AU194" s="173">
        <v>0.28759164476756599</v>
      </c>
      <c r="AV194" s="174">
        <v>-24.7130505046614</v>
      </c>
      <c r="AW194" s="168"/>
      <c r="AX194" s="168"/>
      <c r="AY194" s="176">
        <v>20</v>
      </c>
      <c r="AZ194" s="176">
        <v>26</v>
      </c>
      <c r="BA194" s="167"/>
      <c r="BB194" s="184">
        <v>55.6</v>
      </c>
      <c r="BC194" s="180">
        <v>31.9801908981533</v>
      </c>
      <c r="BD194" s="181" t="s">
        <v>55</v>
      </c>
      <c r="BE194" s="182">
        <v>0.99938096556729095</v>
      </c>
      <c r="BF194" s="183">
        <v>-9.8261010093228194</v>
      </c>
      <c r="BG194" s="168">
        <v>2E-3</v>
      </c>
      <c r="BH194" s="168">
        <v>0</v>
      </c>
      <c r="BI194" s="176">
        <v>1</v>
      </c>
      <c r="BJ194" s="176">
        <v>12</v>
      </c>
      <c r="BK194" s="169"/>
      <c r="BL194" s="185">
        <v>0.8</v>
      </c>
      <c r="BM194" s="188">
        <v>0.75</v>
      </c>
      <c r="BN194" s="186"/>
      <c r="BO194" s="187">
        <v>0.95</v>
      </c>
      <c r="BP194" s="178">
        <v>1</v>
      </c>
      <c r="BQ194" s="186">
        <v>2.5000000000000001E-3</v>
      </c>
    </row>
    <row r="195" spans="1:69" s="156" customFormat="1" ht="22.35" customHeight="1" x14ac:dyDescent="0.2">
      <c r="A195" s="165" t="s">
        <v>220</v>
      </c>
      <c r="B195" s="165" t="s">
        <v>240</v>
      </c>
      <c r="C195" s="165" t="s">
        <v>259</v>
      </c>
      <c r="D195" s="166">
        <v>4.5380946794444403</v>
      </c>
      <c r="E195" s="167"/>
      <c r="F195" s="168">
        <v>5.6000000000000001E-2</v>
      </c>
      <c r="G195" s="168">
        <v>5.0999999999999997E-2</v>
      </c>
      <c r="H195" s="169"/>
      <c r="I195" s="170">
        <v>5</v>
      </c>
      <c r="J195" s="170">
        <v>5</v>
      </c>
      <c r="K195" s="167"/>
      <c r="L195" s="171">
        <v>3025.4398900000001</v>
      </c>
      <c r="M195" s="171">
        <v>1589.39887</v>
      </c>
      <c r="N195" s="171">
        <v>4614.8387599999996</v>
      </c>
      <c r="O195" s="166">
        <v>1016.91107964388</v>
      </c>
      <c r="P195" s="172">
        <v>287.5</v>
      </c>
      <c r="Q195" s="178">
        <v>3.5370820161526302</v>
      </c>
      <c r="R195" s="179">
        <v>3080.5089488798299</v>
      </c>
      <c r="S195" s="168">
        <v>0.01</v>
      </c>
      <c r="T195" s="168">
        <v>0.01</v>
      </c>
      <c r="U195" s="175">
        <v>0</v>
      </c>
      <c r="V195" s="176">
        <v>0</v>
      </c>
      <c r="W195" s="167"/>
      <c r="X195" s="175">
        <v>2715.4578750000001</v>
      </c>
      <c r="Y195" s="166">
        <v>598.36959490947095</v>
      </c>
      <c r="Z195" s="177">
        <v>573</v>
      </c>
      <c r="AA195" s="182">
        <v>1.0442750347460199</v>
      </c>
      <c r="AB195" s="183">
        <v>-342.52814855427698</v>
      </c>
      <c r="AC195" s="168">
        <v>7.0000000000000001E-3</v>
      </c>
      <c r="AD195" s="168">
        <v>4.0000000000000001E-3</v>
      </c>
      <c r="AE195" s="176">
        <v>0</v>
      </c>
      <c r="AF195" s="176">
        <v>405</v>
      </c>
      <c r="AG195" s="167"/>
      <c r="AH195" s="180">
        <v>334.05</v>
      </c>
      <c r="AI195" s="166">
        <v>73.610187445647199</v>
      </c>
      <c r="AJ195" s="181" t="s">
        <v>53</v>
      </c>
      <c r="AK195" s="182">
        <v>1.1684156737404301</v>
      </c>
      <c r="AL195" s="183">
        <v>-2.1683586106796602</v>
      </c>
      <c r="AM195" s="168">
        <v>1.9E-2</v>
      </c>
      <c r="AN195" s="168">
        <v>1.7000000000000001E-2</v>
      </c>
      <c r="AO195" s="176">
        <v>0</v>
      </c>
      <c r="AP195" s="176">
        <v>10</v>
      </c>
      <c r="AQ195" s="167"/>
      <c r="AR195" s="180">
        <v>64.400000000000006</v>
      </c>
      <c r="AS195" s="166">
        <v>14.190977612631899</v>
      </c>
      <c r="AT195" s="181" t="s">
        <v>54</v>
      </c>
      <c r="AU195" s="188">
        <v>0.88693610078949203</v>
      </c>
      <c r="AV195" s="171">
        <v>-20.988789488426601</v>
      </c>
      <c r="AW195" s="168"/>
      <c r="AX195" s="168"/>
      <c r="AY195" s="176">
        <v>9</v>
      </c>
      <c r="AZ195" s="176">
        <v>23</v>
      </c>
      <c r="BA195" s="167"/>
      <c r="BB195" s="184">
        <v>197.8</v>
      </c>
      <c r="BC195" s="180">
        <v>43.586574095940797</v>
      </c>
      <c r="BD195" s="181" t="s">
        <v>55</v>
      </c>
      <c r="BE195" s="178">
        <v>1.3620804404981499</v>
      </c>
      <c r="BF195" s="179">
        <v>27.022421023146801</v>
      </c>
      <c r="BG195" s="168">
        <v>0.02</v>
      </c>
      <c r="BH195" s="168">
        <v>0.02</v>
      </c>
      <c r="BI195" s="176">
        <v>0</v>
      </c>
      <c r="BJ195" s="176">
        <v>0</v>
      </c>
      <c r="BK195" s="169"/>
      <c r="BL195" s="185">
        <v>0.8</v>
      </c>
      <c r="BM195" s="188">
        <v>0.74</v>
      </c>
      <c r="BN195" s="186"/>
      <c r="BO195" s="187">
        <v>0.95</v>
      </c>
      <c r="BP195" s="178">
        <v>1</v>
      </c>
      <c r="BQ195" s="186">
        <v>2.5000000000000001E-3</v>
      </c>
    </row>
    <row r="196" spans="1:69" s="156" customFormat="1" ht="22.35" customHeight="1" x14ac:dyDescent="0.2">
      <c r="A196" s="165" t="s">
        <v>220</v>
      </c>
      <c r="B196" s="165" t="s">
        <v>260</v>
      </c>
      <c r="C196" s="165" t="s">
        <v>261</v>
      </c>
      <c r="D196" s="166">
        <v>9.6008684323333302</v>
      </c>
      <c r="E196" s="167"/>
      <c r="F196" s="168">
        <v>2.1000000000000001E-2</v>
      </c>
      <c r="G196" s="168">
        <v>1.9E-2</v>
      </c>
      <c r="H196" s="169"/>
      <c r="I196" s="170">
        <v>3</v>
      </c>
      <c r="J196" s="170">
        <v>3</v>
      </c>
      <c r="K196" s="167"/>
      <c r="L196" s="171">
        <v>4700.5009899999995</v>
      </c>
      <c r="M196" s="171">
        <v>2234.4796799999999</v>
      </c>
      <c r="N196" s="171">
        <v>6934.9806699999999</v>
      </c>
      <c r="O196" s="166">
        <v>722.32847672870002</v>
      </c>
      <c r="P196" s="172">
        <v>270.3</v>
      </c>
      <c r="Q196" s="178">
        <v>2.6723214085412499</v>
      </c>
      <c r="R196" s="179">
        <v>3883.1257389825901</v>
      </c>
      <c r="S196" s="168">
        <v>0.01</v>
      </c>
      <c r="T196" s="168">
        <v>0.01</v>
      </c>
      <c r="U196" s="175">
        <v>0</v>
      </c>
      <c r="V196" s="176">
        <v>0</v>
      </c>
      <c r="W196" s="167"/>
      <c r="X196" s="175">
        <v>5156.6391149999999</v>
      </c>
      <c r="Y196" s="166">
        <v>537.10132071321004</v>
      </c>
      <c r="Z196" s="177">
        <v>573</v>
      </c>
      <c r="AA196" s="188">
        <v>0.93734959984853405</v>
      </c>
      <c r="AB196" s="171">
        <v>-1312.88687639095</v>
      </c>
      <c r="AC196" s="168"/>
      <c r="AD196" s="168"/>
      <c r="AE196" s="176">
        <v>345</v>
      </c>
      <c r="AF196" s="176">
        <v>1445</v>
      </c>
      <c r="AG196" s="167"/>
      <c r="AH196" s="180">
        <v>482.2</v>
      </c>
      <c r="AI196" s="166">
        <v>50.224623261794797</v>
      </c>
      <c r="AJ196" s="181" t="s">
        <v>53</v>
      </c>
      <c r="AK196" s="188">
        <v>0.79721624225071097</v>
      </c>
      <c r="AL196" s="171">
        <v>-229.10914041471199</v>
      </c>
      <c r="AM196" s="168"/>
      <c r="AN196" s="168"/>
      <c r="AO196" s="176">
        <v>123</v>
      </c>
      <c r="AP196" s="176">
        <v>244</v>
      </c>
      <c r="AQ196" s="167"/>
      <c r="AR196" s="180">
        <v>91.8</v>
      </c>
      <c r="AS196" s="166">
        <v>9.5616350382263793</v>
      </c>
      <c r="AT196" s="181" t="s">
        <v>54</v>
      </c>
      <c r="AU196" s="173">
        <v>0.59760218988914904</v>
      </c>
      <c r="AV196" s="174">
        <v>-88.849940422783902</v>
      </c>
      <c r="AW196" s="168"/>
      <c r="AX196" s="168"/>
      <c r="AY196" s="176">
        <v>62</v>
      </c>
      <c r="AZ196" s="176">
        <v>93</v>
      </c>
      <c r="BA196" s="167"/>
      <c r="BB196" s="184">
        <v>335.6</v>
      </c>
      <c r="BC196" s="180">
        <v>34.955171229071603</v>
      </c>
      <c r="BD196" s="181" t="s">
        <v>55</v>
      </c>
      <c r="BE196" s="182">
        <v>1.09234910090849</v>
      </c>
      <c r="BF196" s="183">
        <v>-25.6998808455679</v>
      </c>
      <c r="BG196" s="168">
        <v>1.0999999999999999E-2</v>
      </c>
      <c r="BH196" s="168">
        <v>8.9999999999999993E-3</v>
      </c>
      <c r="BI196" s="176">
        <v>0</v>
      </c>
      <c r="BJ196" s="176">
        <v>34</v>
      </c>
      <c r="BK196" s="169"/>
      <c r="BL196" s="185">
        <v>0.8</v>
      </c>
      <c r="BM196" s="188">
        <v>0.72</v>
      </c>
      <c r="BN196" s="186"/>
      <c r="BO196" s="187">
        <v>0.95</v>
      </c>
      <c r="BP196" s="178">
        <v>1</v>
      </c>
      <c r="BQ196" s="186">
        <v>2.5000000000000001E-3</v>
      </c>
    </row>
    <row r="197" spans="1:69" s="156" customFormat="1" ht="22.35" customHeight="1" x14ac:dyDescent="0.2">
      <c r="A197" s="165" t="s">
        <v>220</v>
      </c>
      <c r="B197" s="165" t="s">
        <v>260</v>
      </c>
      <c r="C197" s="165" t="s">
        <v>262</v>
      </c>
      <c r="D197" s="166">
        <v>4.5932318577777798</v>
      </c>
      <c r="E197" s="167"/>
      <c r="F197" s="168">
        <v>1.7000000000000001E-2</v>
      </c>
      <c r="G197" s="168">
        <v>1.2999999999999999E-2</v>
      </c>
      <c r="H197" s="169"/>
      <c r="I197" s="170">
        <v>5</v>
      </c>
      <c r="J197" s="170">
        <v>5</v>
      </c>
      <c r="K197" s="167"/>
      <c r="L197" s="171">
        <v>1843.14509</v>
      </c>
      <c r="M197" s="171">
        <v>2623.2079100000001</v>
      </c>
      <c r="N197" s="171">
        <v>4466.3530000000001</v>
      </c>
      <c r="O197" s="166">
        <v>972.37699691494299</v>
      </c>
      <c r="P197" s="172">
        <v>214.857</v>
      </c>
      <c r="Q197" s="178">
        <v>4.5256938192143696</v>
      </c>
      <c r="R197" s="179">
        <v>3305.7726916945298</v>
      </c>
      <c r="S197" s="168">
        <v>0.01</v>
      </c>
      <c r="T197" s="168">
        <v>0.01</v>
      </c>
      <c r="U197" s="175">
        <v>0</v>
      </c>
      <c r="V197" s="176">
        <v>0</v>
      </c>
      <c r="W197" s="167"/>
      <c r="X197" s="175">
        <v>2689.9545050000002</v>
      </c>
      <c r="Y197" s="166">
        <v>585.63438299877396</v>
      </c>
      <c r="Z197" s="177">
        <v>573</v>
      </c>
      <c r="AA197" s="182">
        <v>1.0220495340292699</v>
      </c>
      <c r="AB197" s="183">
        <v>-405.18559589984102</v>
      </c>
      <c r="AC197" s="168">
        <v>4.0000000000000001E-3</v>
      </c>
      <c r="AD197" s="168">
        <v>2E-3</v>
      </c>
      <c r="AE197" s="176">
        <v>0</v>
      </c>
      <c r="AF197" s="176">
        <v>469</v>
      </c>
      <c r="AG197" s="167"/>
      <c r="AH197" s="180">
        <v>243.15</v>
      </c>
      <c r="AI197" s="166">
        <v>52.936583113754899</v>
      </c>
      <c r="AJ197" s="181" t="s">
        <v>53</v>
      </c>
      <c r="AK197" s="188">
        <v>0.84026322402785503</v>
      </c>
      <c r="AL197" s="171">
        <v>-97.153361879040006</v>
      </c>
      <c r="AM197" s="168"/>
      <c r="AN197" s="168"/>
      <c r="AO197" s="176">
        <v>47</v>
      </c>
      <c r="AP197" s="176">
        <v>105</v>
      </c>
      <c r="AQ197" s="167"/>
      <c r="AR197" s="180">
        <v>30.6</v>
      </c>
      <c r="AS197" s="166">
        <v>6.6619759131437304</v>
      </c>
      <c r="AT197" s="181" t="s">
        <v>54</v>
      </c>
      <c r="AU197" s="173">
        <v>0.41637349457148298</v>
      </c>
      <c r="AV197" s="174">
        <v>-55.8262506359467</v>
      </c>
      <c r="AW197" s="168"/>
      <c r="AX197" s="168"/>
      <c r="AY197" s="176">
        <v>43</v>
      </c>
      <c r="AZ197" s="176">
        <v>58</v>
      </c>
      <c r="BA197" s="167"/>
      <c r="BB197" s="184">
        <v>148</v>
      </c>
      <c r="BC197" s="180">
        <v>32.221321409976198</v>
      </c>
      <c r="BD197" s="181" t="s">
        <v>55</v>
      </c>
      <c r="BE197" s="182">
        <v>1.00691629406176</v>
      </c>
      <c r="BF197" s="183">
        <v>-24.852501271893399</v>
      </c>
      <c r="BG197" s="168">
        <v>3.0000000000000001E-3</v>
      </c>
      <c r="BH197" s="168">
        <v>1E-3</v>
      </c>
      <c r="BI197" s="176">
        <v>0</v>
      </c>
      <c r="BJ197" s="176">
        <v>29</v>
      </c>
      <c r="BK197" s="169"/>
      <c r="BL197" s="185">
        <v>0.8</v>
      </c>
      <c r="BM197" s="182">
        <v>0.81</v>
      </c>
      <c r="BN197" s="186">
        <v>3.7500000000000001E-4</v>
      </c>
      <c r="BO197" s="187">
        <v>0.95</v>
      </c>
      <c r="BP197" s="178">
        <v>1</v>
      </c>
      <c r="BQ197" s="186">
        <v>2.5000000000000001E-3</v>
      </c>
    </row>
    <row r="198" spans="1:69" s="156" customFormat="1" ht="22.35" customHeight="1" x14ac:dyDescent="0.2">
      <c r="A198" s="165" t="s">
        <v>220</v>
      </c>
      <c r="B198" s="165" t="s">
        <v>260</v>
      </c>
      <c r="C198" s="165" t="s">
        <v>263</v>
      </c>
      <c r="D198" s="166">
        <v>1.9563433723333301</v>
      </c>
      <c r="E198" s="167"/>
      <c r="F198" s="168">
        <v>3.9E-2</v>
      </c>
      <c r="G198" s="168">
        <v>3.6999999999999998E-2</v>
      </c>
      <c r="H198" s="169"/>
      <c r="I198" s="170">
        <v>5</v>
      </c>
      <c r="J198" s="170">
        <v>5</v>
      </c>
      <c r="K198" s="167"/>
      <c r="L198" s="171">
        <v>568.91088000000002</v>
      </c>
      <c r="M198" s="171">
        <v>1782.58195</v>
      </c>
      <c r="N198" s="171">
        <v>2351.4928300000001</v>
      </c>
      <c r="O198" s="166">
        <v>1201.9836922571401</v>
      </c>
      <c r="P198" s="172">
        <v>241.29400000000001</v>
      </c>
      <c r="Q198" s="178">
        <v>4.9814072967298797</v>
      </c>
      <c r="R198" s="179">
        <v>1796.3574228038501</v>
      </c>
      <c r="S198" s="168">
        <v>0.01</v>
      </c>
      <c r="T198" s="168">
        <v>0.01</v>
      </c>
      <c r="U198" s="175">
        <v>0</v>
      </c>
      <c r="V198" s="176">
        <v>0</v>
      </c>
      <c r="W198" s="167"/>
      <c r="X198" s="175">
        <v>1465.756185</v>
      </c>
      <c r="Y198" s="166">
        <v>749.23257630984801</v>
      </c>
      <c r="Z198" s="177">
        <v>573</v>
      </c>
      <c r="AA198" s="178">
        <v>1.3075612152004299</v>
      </c>
      <c r="AB198" s="179">
        <v>147.47811623992999</v>
      </c>
      <c r="AC198" s="168">
        <v>0.02</v>
      </c>
      <c r="AD198" s="168">
        <v>0.02</v>
      </c>
      <c r="AE198" s="176">
        <v>0</v>
      </c>
      <c r="AF198" s="176">
        <v>0</v>
      </c>
      <c r="AG198" s="167"/>
      <c r="AH198" s="180">
        <v>111.3</v>
      </c>
      <c r="AI198" s="166">
        <v>56.891853226794403</v>
      </c>
      <c r="AJ198" s="181" t="s">
        <v>53</v>
      </c>
      <c r="AK198" s="188">
        <v>0.90304528931419703</v>
      </c>
      <c r="AL198" s="171">
        <v>-33.641567769431703</v>
      </c>
      <c r="AM198" s="168"/>
      <c r="AN198" s="168"/>
      <c r="AO198" s="176">
        <v>12</v>
      </c>
      <c r="AP198" s="176">
        <v>37</v>
      </c>
      <c r="AQ198" s="167"/>
      <c r="AR198" s="180">
        <v>3.8</v>
      </c>
      <c r="AS198" s="166">
        <v>1.94239930154374</v>
      </c>
      <c r="AT198" s="181" t="s">
        <v>54</v>
      </c>
      <c r="AU198" s="173">
        <v>0.121399956346484</v>
      </c>
      <c r="AV198" s="174">
        <v>-33.010556893823903</v>
      </c>
      <c r="AW198" s="168"/>
      <c r="AX198" s="168"/>
      <c r="AY198" s="176">
        <v>28</v>
      </c>
      <c r="AZ198" s="176">
        <v>34</v>
      </c>
      <c r="BA198" s="167"/>
      <c r="BB198" s="184">
        <v>66.8</v>
      </c>
      <c r="BC198" s="180">
        <v>34.145335090295298</v>
      </c>
      <c r="BD198" s="181" t="s">
        <v>55</v>
      </c>
      <c r="BE198" s="182">
        <v>1.0670417215717301</v>
      </c>
      <c r="BF198" s="183">
        <v>-6.82111378764787</v>
      </c>
      <c r="BG198" s="168">
        <v>8.9999999999999993E-3</v>
      </c>
      <c r="BH198" s="168">
        <v>7.0000000000000001E-3</v>
      </c>
      <c r="BI198" s="176">
        <v>0</v>
      </c>
      <c r="BJ198" s="176">
        <v>9</v>
      </c>
      <c r="BK198" s="169"/>
      <c r="BL198" s="185">
        <v>0.8</v>
      </c>
      <c r="BM198" s="182">
        <v>0.84</v>
      </c>
      <c r="BN198" s="186">
        <v>1.5E-3</v>
      </c>
      <c r="BO198" s="187">
        <v>0.95</v>
      </c>
      <c r="BP198" s="178">
        <v>1</v>
      </c>
      <c r="BQ198" s="186">
        <v>2.5000000000000001E-3</v>
      </c>
    </row>
    <row r="199" spans="1:69" s="156" customFormat="1" ht="22.35" customHeight="1" x14ac:dyDescent="0.2">
      <c r="A199" s="165" t="s">
        <v>220</v>
      </c>
      <c r="B199" s="165" t="s">
        <v>260</v>
      </c>
      <c r="C199" s="165" t="s">
        <v>264</v>
      </c>
      <c r="D199" s="166">
        <v>2.6404956531111101</v>
      </c>
      <c r="E199" s="167"/>
      <c r="F199" s="168">
        <v>0.01</v>
      </c>
      <c r="G199" s="168">
        <v>0.01</v>
      </c>
      <c r="H199" s="169"/>
      <c r="I199" s="170">
        <v>2</v>
      </c>
      <c r="J199" s="170">
        <v>2</v>
      </c>
      <c r="K199" s="167"/>
      <c r="L199" s="171">
        <v>-180.83824999999999</v>
      </c>
      <c r="M199" s="171">
        <v>1698.15833</v>
      </c>
      <c r="N199" s="171">
        <v>1517.32008</v>
      </c>
      <c r="O199" s="166">
        <v>574.63456840470405</v>
      </c>
      <c r="P199" s="172">
        <v>244.16499999999999</v>
      </c>
      <c r="Q199" s="178">
        <v>2.3534682219183898</v>
      </c>
      <c r="R199" s="179">
        <v>759.13333353715598</v>
      </c>
      <c r="S199" s="168">
        <v>0.01</v>
      </c>
      <c r="T199" s="168">
        <v>0.01</v>
      </c>
      <c r="U199" s="175">
        <v>0</v>
      </c>
      <c r="V199" s="176">
        <v>0</v>
      </c>
      <c r="W199" s="167"/>
      <c r="X199" s="175">
        <v>1282.067395</v>
      </c>
      <c r="Y199" s="166">
        <v>485.54043006638898</v>
      </c>
      <c r="Z199" s="177">
        <v>573</v>
      </c>
      <c r="AA199" s="188">
        <v>0.847365497498061</v>
      </c>
      <c r="AB199" s="171">
        <v>-497.22531985761498</v>
      </c>
      <c r="AC199" s="168"/>
      <c r="AD199" s="168"/>
      <c r="AE199" s="176">
        <v>231</v>
      </c>
      <c r="AF199" s="176">
        <v>534</v>
      </c>
      <c r="AG199" s="167"/>
      <c r="AH199" s="180">
        <v>105.2</v>
      </c>
      <c r="AI199" s="166">
        <v>39.841004803795201</v>
      </c>
      <c r="AJ199" s="181" t="s">
        <v>53</v>
      </c>
      <c r="AK199" s="173">
        <v>0.63239690164754203</v>
      </c>
      <c r="AL199" s="174">
        <v>-90.429041947695893</v>
      </c>
      <c r="AM199" s="168"/>
      <c r="AN199" s="168"/>
      <c r="AO199" s="176">
        <v>62</v>
      </c>
      <c r="AP199" s="176">
        <v>95</v>
      </c>
      <c r="AQ199" s="167"/>
      <c r="AR199" s="180">
        <v>11.8</v>
      </c>
      <c r="AS199" s="166">
        <v>4.4688579532774</v>
      </c>
      <c r="AT199" s="181" t="s">
        <v>54</v>
      </c>
      <c r="AU199" s="173">
        <v>0.279303622079837</v>
      </c>
      <c r="AV199" s="174">
        <v>-37.883566208938603</v>
      </c>
      <c r="AW199" s="168"/>
      <c r="AX199" s="168"/>
      <c r="AY199" s="176">
        <v>31</v>
      </c>
      <c r="AZ199" s="176">
        <v>39</v>
      </c>
      <c r="BA199" s="167"/>
      <c r="BB199" s="184">
        <v>76.2</v>
      </c>
      <c r="BC199" s="180">
        <v>28.8582183084524</v>
      </c>
      <c r="BD199" s="181" t="s">
        <v>55</v>
      </c>
      <c r="BE199" s="188">
        <v>0.90181932213913696</v>
      </c>
      <c r="BF199" s="171">
        <v>-23.167132417877301</v>
      </c>
      <c r="BG199" s="168"/>
      <c r="BH199" s="168"/>
      <c r="BI199" s="176">
        <v>9</v>
      </c>
      <c r="BJ199" s="176">
        <v>26</v>
      </c>
      <c r="BK199" s="169"/>
      <c r="BL199" s="185">
        <v>0.8</v>
      </c>
      <c r="BM199" s="188">
        <v>0.75</v>
      </c>
      <c r="BN199" s="186"/>
      <c r="BO199" s="187">
        <v>0.95</v>
      </c>
      <c r="BP199" s="178">
        <v>1</v>
      </c>
      <c r="BQ199" s="186">
        <v>2.5000000000000001E-3</v>
      </c>
    </row>
    <row r="200" spans="1:69" s="156" customFormat="1" ht="22.35" customHeight="1" x14ac:dyDescent="0.2">
      <c r="A200" s="165" t="s">
        <v>220</v>
      </c>
      <c r="B200" s="165" t="s">
        <v>260</v>
      </c>
      <c r="C200" s="165" t="s">
        <v>265</v>
      </c>
      <c r="D200" s="166">
        <v>2.692140728</v>
      </c>
      <c r="E200" s="167"/>
      <c r="F200" s="168">
        <v>4.8000000000000001E-2</v>
      </c>
      <c r="G200" s="168">
        <v>4.2999999999999997E-2</v>
      </c>
      <c r="H200" s="169"/>
      <c r="I200" s="170">
        <v>6</v>
      </c>
      <c r="J200" s="170">
        <v>5</v>
      </c>
      <c r="K200" s="167"/>
      <c r="L200" s="171">
        <v>930.80709999999999</v>
      </c>
      <c r="M200" s="171">
        <v>169.11922999999999</v>
      </c>
      <c r="N200" s="171">
        <v>1099.92633</v>
      </c>
      <c r="O200" s="166">
        <v>408.56940298850498</v>
      </c>
      <c r="P200" s="172">
        <v>217.55099999999999</v>
      </c>
      <c r="Q200" s="178">
        <v>1.8780396458233</v>
      </c>
      <c r="R200" s="179">
        <v>411.16911075985797</v>
      </c>
      <c r="S200" s="168">
        <v>0.01</v>
      </c>
      <c r="T200" s="168">
        <v>0.01</v>
      </c>
      <c r="U200" s="175">
        <v>0</v>
      </c>
      <c r="V200" s="176">
        <v>0</v>
      </c>
      <c r="W200" s="167"/>
      <c r="X200" s="175">
        <v>1770.9614799999999</v>
      </c>
      <c r="Y200" s="166">
        <v>657.82648788782001</v>
      </c>
      <c r="Z200" s="177">
        <v>573</v>
      </c>
      <c r="AA200" s="182">
        <v>1.1480392458775199</v>
      </c>
      <c r="AB200" s="183">
        <v>-43.132165281344001</v>
      </c>
      <c r="AC200" s="168">
        <v>1.7000000000000001E-2</v>
      </c>
      <c r="AD200" s="168">
        <v>1.4999999999999999E-2</v>
      </c>
      <c r="AE200" s="176">
        <v>0</v>
      </c>
      <c r="AF200" s="176">
        <v>81</v>
      </c>
      <c r="AG200" s="167"/>
      <c r="AH200" s="180">
        <v>166.8</v>
      </c>
      <c r="AI200" s="166">
        <v>61.958128067070298</v>
      </c>
      <c r="AJ200" s="181" t="s">
        <v>53</v>
      </c>
      <c r="AK200" s="182">
        <v>0.98346235027095796</v>
      </c>
      <c r="AL200" s="183">
        <v>-32.655322256063997</v>
      </c>
      <c r="AM200" s="168">
        <v>1E-3</v>
      </c>
      <c r="AN200" s="168"/>
      <c r="AO200" s="176">
        <v>3</v>
      </c>
      <c r="AP200" s="176">
        <v>37</v>
      </c>
      <c r="AQ200" s="167"/>
      <c r="AR200" s="180">
        <v>24.8</v>
      </c>
      <c r="AS200" s="166">
        <v>9.2119998564948702</v>
      </c>
      <c r="AT200" s="181" t="s">
        <v>54</v>
      </c>
      <c r="AU200" s="173">
        <v>0.57574999103092905</v>
      </c>
      <c r="AV200" s="174">
        <v>-25.855319938048002</v>
      </c>
      <c r="AW200" s="168"/>
      <c r="AX200" s="168"/>
      <c r="AY200" s="176">
        <v>19</v>
      </c>
      <c r="AZ200" s="176">
        <v>27</v>
      </c>
      <c r="BA200" s="167"/>
      <c r="BB200" s="184">
        <v>101.4</v>
      </c>
      <c r="BC200" s="180">
        <v>37.665192961636301</v>
      </c>
      <c r="BD200" s="181" t="s">
        <v>55</v>
      </c>
      <c r="BE200" s="178">
        <v>1.17703728005113</v>
      </c>
      <c r="BF200" s="179">
        <v>8.9360123904015196E-2</v>
      </c>
      <c r="BG200" s="168">
        <v>0.02</v>
      </c>
      <c r="BH200" s="168">
        <v>1.7999999999999999E-2</v>
      </c>
      <c r="BI200" s="176">
        <v>0</v>
      </c>
      <c r="BJ200" s="176">
        <v>2</v>
      </c>
      <c r="BK200" s="169"/>
      <c r="BL200" s="185">
        <v>0.8</v>
      </c>
      <c r="BM200" s="182">
        <v>0.81</v>
      </c>
      <c r="BN200" s="186">
        <v>3.7500000000000001E-4</v>
      </c>
      <c r="BO200" s="187">
        <v>0.95</v>
      </c>
      <c r="BP200" s="178">
        <v>1</v>
      </c>
      <c r="BQ200" s="186">
        <v>2.5000000000000001E-3</v>
      </c>
    </row>
    <row r="201" spans="1:69" s="156" customFormat="1" ht="22.35" customHeight="1" x14ac:dyDescent="0.2">
      <c r="A201" s="165" t="s">
        <v>220</v>
      </c>
      <c r="B201" s="165" t="s">
        <v>260</v>
      </c>
      <c r="C201" s="165" t="s">
        <v>266</v>
      </c>
      <c r="D201" s="166">
        <v>3.8745519713333301</v>
      </c>
      <c r="E201" s="167"/>
      <c r="F201" s="168">
        <v>0.03</v>
      </c>
      <c r="G201" s="168">
        <v>0.03</v>
      </c>
      <c r="H201" s="169"/>
      <c r="I201" s="170">
        <v>3</v>
      </c>
      <c r="J201" s="170">
        <v>3</v>
      </c>
      <c r="K201" s="167"/>
      <c r="L201" s="171">
        <v>2511.70298</v>
      </c>
      <c r="M201" s="171">
        <v>2572.2669900000001</v>
      </c>
      <c r="N201" s="171">
        <v>5083.9699700000001</v>
      </c>
      <c r="O201" s="166">
        <v>1312.14396080238</v>
      </c>
      <c r="P201" s="172">
        <v>234.35599999999999</v>
      </c>
      <c r="Q201" s="178">
        <v>5.5989347864035102</v>
      </c>
      <c r="R201" s="179">
        <v>4016.1331558904999</v>
      </c>
      <c r="S201" s="168">
        <v>0.01</v>
      </c>
      <c r="T201" s="168">
        <v>0.01</v>
      </c>
      <c r="U201" s="175">
        <v>0</v>
      </c>
      <c r="V201" s="176">
        <v>0</v>
      </c>
      <c r="W201" s="167"/>
      <c r="X201" s="175">
        <v>2106.6466999999998</v>
      </c>
      <c r="Y201" s="166">
        <v>543.71362562341596</v>
      </c>
      <c r="Z201" s="177">
        <v>573</v>
      </c>
      <c r="AA201" s="188">
        <v>0.94888939899374503</v>
      </c>
      <c r="AB201" s="171">
        <v>-504.21239677902099</v>
      </c>
      <c r="AC201" s="168"/>
      <c r="AD201" s="168"/>
      <c r="AE201" s="176">
        <v>114</v>
      </c>
      <c r="AF201" s="176">
        <v>558</v>
      </c>
      <c r="AG201" s="167"/>
      <c r="AH201" s="180">
        <v>225.5</v>
      </c>
      <c r="AI201" s="166">
        <v>58.2002775207064</v>
      </c>
      <c r="AJ201" s="181" t="s">
        <v>53</v>
      </c>
      <c r="AK201" s="188">
        <v>0.92381392890010094</v>
      </c>
      <c r="AL201" s="171">
        <v>-61.557806452143701</v>
      </c>
      <c r="AM201" s="168"/>
      <c r="AN201" s="168"/>
      <c r="AO201" s="176">
        <v>19</v>
      </c>
      <c r="AP201" s="176">
        <v>68</v>
      </c>
      <c r="AQ201" s="167"/>
      <c r="AR201" s="180">
        <v>31.6</v>
      </c>
      <c r="AS201" s="166">
        <v>8.1557816836111794</v>
      </c>
      <c r="AT201" s="181" t="s">
        <v>54</v>
      </c>
      <c r="AU201" s="173">
        <v>0.50973635522569904</v>
      </c>
      <c r="AV201" s="174">
        <v>-41.303569892607896</v>
      </c>
      <c r="AW201" s="168"/>
      <c r="AX201" s="168"/>
      <c r="AY201" s="176">
        <v>31</v>
      </c>
      <c r="AZ201" s="176">
        <v>43</v>
      </c>
      <c r="BA201" s="167"/>
      <c r="BB201" s="184">
        <v>148.19999999999999</v>
      </c>
      <c r="BC201" s="180">
        <v>38.249583718708102</v>
      </c>
      <c r="BD201" s="181" t="s">
        <v>55</v>
      </c>
      <c r="BE201" s="178">
        <v>1.19529949120963</v>
      </c>
      <c r="BF201" s="179">
        <v>2.3928602147841498</v>
      </c>
      <c r="BG201" s="168">
        <v>0.02</v>
      </c>
      <c r="BH201" s="168">
        <v>0.02</v>
      </c>
      <c r="BI201" s="176">
        <v>0</v>
      </c>
      <c r="BJ201" s="176">
        <v>1</v>
      </c>
      <c r="BK201" s="169"/>
      <c r="BL201" s="185">
        <v>0.8</v>
      </c>
      <c r="BM201" s="188">
        <v>0.74</v>
      </c>
      <c r="BN201" s="186"/>
      <c r="BO201" s="187">
        <v>0.95</v>
      </c>
      <c r="BP201" s="178">
        <v>1</v>
      </c>
      <c r="BQ201" s="186">
        <v>2.5000000000000001E-3</v>
      </c>
    </row>
    <row r="202" spans="1:69" s="156" customFormat="1" ht="22.35" customHeight="1" x14ac:dyDescent="0.2">
      <c r="A202" s="165" t="s">
        <v>220</v>
      </c>
      <c r="B202" s="165" t="s">
        <v>260</v>
      </c>
      <c r="C202" s="165" t="s">
        <v>267</v>
      </c>
      <c r="D202" s="166">
        <v>3.2393056717777799</v>
      </c>
      <c r="E202" s="167"/>
      <c r="F202" s="168">
        <v>4.2999999999999997E-2</v>
      </c>
      <c r="G202" s="168">
        <v>0.04</v>
      </c>
      <c r="H202" s="169"/>
      <c r="I202" s="170">
        <v>5</v>
      </c>
      <c r="J202" s="170">
        <v>4</v>
      </c>
      <c r="K202" s="167"/>
      <c r="L202" s="171">
        <v>2856.1044900000002</v>
      </c>
      <c r="M202" s="171">
        <v>249.30832000000001</v>
      </c>
      <c r="N202" s="171">
        <v>3105.4128099999998</v>
      </c>
      <c r="O202" s="166">
        <v>958.66618487279197</v>
      </c>
      <c r="P202" s="172">
        <v>251.035</v>
      </c>
      <c r="Q202" s="178">
        <v>3.8188546811113699</v>
      </c>
      <c r="R202" s="179">
        <v>2149.1141892058699</v>
      </c>
      <c r="S202" s="168">
        <v>0.01</v>
      </c>
      <c r="T202" s="168">
        <v>0.01</v>
      </c>
      <c r="U202" s="175">
        <v>0</v>
      </c>
      <c r="V202" s="176">
        <v>0</v>
      </c>
      <c r="W202" s="167"/>
      <c r="X202" s="175">
        <v>2040.360985</v>
      </c>
      <c r="Y202" s="166">
        <v>629.87602645113202</v>
      </c>
      <c r="Z202" s="177">
        <v>573</v>
      </c>
      <c r="AA202" s="182">
        <v>1.09926008106655</v>
      </c>
      <c r="AB202" s="183">
        <v>-142.43866331611301</v>
      </c>
      <c r="AC202" s="168">
        <v>1.2E-2</v>
      </c>
      <c r="AD202" s="168">
        <v>0.01</v>
      </c>
      <c r="AE202" s="176">
        <v>0</v>
      </c>
      <c r="AF202" s="176">
        <v>187</v>
      </c>
      <c r="AG202" s="167"/>
      <c r="AH202" s="180">
        <v>201.65</v>
      </c>
      <c r="AI202" s="166">
        <v>62.2509946365548</v>
      </c>
      <c r="AJ202" s="181" t="s">
        <v>53</v>
      </c>
      <c r="AK202" s="182">
        <v>0.98811102597706002</v>
      </c>
      <c r="AL202" s="183">
        <v>-38.3436786106721</v>
      </c>
      <c r="AM202" s="168">
        <v>1E-3</v>
      </c>
      <c r="AN202" s="168"/>
      <c r="AO202" s="176">
        <v>3</v>
      </c>
      <c r="AP202" s="176">
        <v>44</v>
      </c>
      <c r="AQ202" s="167"/>
      <c r="AR202" s="180">
        <v>33.1</v>
      </c>
      <c r="AS202" s="166">
        <v>10.2182391394494</v>
      </c>
      <c r="AT202" s="181" t="s">
        <v>54</v>
      </c>
      <c r="AU202" s="173">
        <v>0.63863994621558495</v>
      </c>
      <c r="AV202" s="174">
        <v>-27.8507755201707</v>
      </c>
      <c r="AW202" s="168"/>
      <c r="AX202" s="168"/>
      <c r="AY202" s="176">
        <v>19</v>
      </c>
      <c r="AZ202" s="176">
        <v>30</v>
      </c>
      <c r="BA202" s="167"/>
      <c r="BB202" s="184">
        <v>126.8</v>
      </c>
      <c r="BC202" s="180">
        <v>39.144191023630803</v>
      </c>
      <c r="BD202" s="181" t="s">
        <v>55</v>
      </c>
      <c r="BE202" s="178">
        <v>1.2232559694884599</v>
      </c>
      <c r="BF202" s="179">
        <v>4.8984489596585901</v>
      </c>
      <c r="BG202" s="168">
        <v>0.02</v>
      </c>
      <c r="BH202" s="168">
        <v>0.02</v>
      </c>
      <c r="BI202" s="176">
        <v>0</v>
      </c>
      <c r="BJ202" s="176">
        <v>0</v>
      </c>
      <c r="BK202" s="169"/>
      <c r="BL202" s="185">
        <v>0.8</v>
      </c>
      <c r="BM202" s="188">
        <v>0.75</v>
      </c>
      <c r="BN202" s="186"/>
      <c r="BO202" s="187">
        <v>0.95</v>
      </c>
      <c r="BP202" s="178">
        <v>1</v>
      </c>
      <c r="BQ202" s="186">
        <v>2.5000000000000001E-3</v>
      </c>
    </row>
    <row r="203" spans="1:69" s="156" customFormat="1" ht="22.35" customHeight="1" x14ac:dyDescent="0.2">
      <c r="A203" s="165" t="s">
        <v>220</v>
      </c>
      <c r="B203" s="165" t="s">
        <v>260</v>
      </c>
      <c r="C203" s="165" t="s">
        <v>268</v>
      </c>
      <c r="D203" s="166">
        <v>1.60228521777778</v>
      </c>
      <c r="E203" s="167"/>
      <c r="F203" s="168">
        <v>0.05</v>
      </c>
      <c r="G203" s="168">
        <v>0.05</v>
      </c>
      <c r="H203" s="169"/>
      <c r="I203" s="170">
        <v>4</v>
      </c>
      <c r="J203" s="170">
        <v>4</v>
      </c>
      <c r="K203" s="167"/>
      <c r="L203" s="171">
        <v>1549.00557</v>
      </c>
      <c r="M203" s="171">
        <v>542.31268999999998</v>
      </c>
      <c r="N203" s="171">
        <v>2091.31826</v>
      </c>
      <c r="O203" s="166">
        <v>1305.2097321976601</v>
      </c>
      <c r="P203" s="172">
        <v>221.102</v>
      </c>
      <c r="Q203" s="178">
        <v>5.9032018353414299</v>
      </c>
      <c r="R203" s="179">
        <v>1674.69854372398</v>
      </c>
      <c r="S203" s="168">
        <v>0.01</v>
      </c>
      <c r="T203" s="168">
        <v>0.01</v>
      </c>
      <c r="U203" s="175">
        <v>0</v>
      </c>
      <c r="V203" s="176">
        <v>0</v>
      </c>
      <c r="W203" s="167"/>
      <c r="X203" s="175">
        <v>1587.25524</v>
      </c>
      <c r="Y203" s="166">
        <v>990.61966146163195</v>
      </c>
      <c r="Z203" s="177">
        <v>573</v>
      </c>
      <c r="AA203" s="178">
        <v>1.7288301247148901</v>
      </c>
      <c r="AB203" s="179">
        <v>507.55855057087803</v>
      </c>
      <c r="AC203" s="168">
        <v>0.02</v>
      </c>
      <c r="AD203" s="168">
        <v>0.02</v>
      </c>
      <c r="AE203" s="176">
        <v>0</v>
      </c>
      <c r="AF203" s="176">
        <v>0</v>
      </c>
      <c r="AG203" s="167"/>
      <c r="AH203" s="180">
        <v>98.2</v>
      </c>
      <c r="AI203" s="166">
        <v>61.287465496432901</v>
      </c>
      <c r="AJ203" s="181" t="s">
        <v>53</v>
      </c>
      <c r="AK203" s="188">
        <v>0.97281691264179204</v>
      </c>
      <c r="AL203" s="171">
        <v>-20.510107214720101</v>
      </c>
      <c r="AM203" s="168"/>
      <c r="AN203" s="168"/>
      <c r="AO203" s="176">
        <v>3</v>
      </c>
      <c r="AP203" s="176">
        <v>23</v>
      </c>
      <c r="AQ203" s="167"/>
      <c r="AR203" s="180">
        <v>8</v>
      </c>
      <c r="AS203" s="166">
        <v>4.99286887954647</v>
      </c>
      <c r="AT203" s="181" t="s">
        <v>54</v>
      </c>
      <c r="AU203" s="173">
        <v>0.31205430497165398</v>
      </c>
      <c r="AV203" s="174">
        <v>-22.1485986577067</v>
      </c>
      <c r="AW203" s="168"/>
      <c r="AX203" s="168"/>
      <c r="AY203" s="176">
        <v>18</v>
      </c>
      <c r="AZ203" s="176">
        <v>23</v>
      </c>
      <c r="BA203" s="167"/>
      <c r="BB203" s="184">
        <v>66.599999999999994</v>
      </c>
      <c r="BC203" s="180">
        <v>41.565633422224302</v>
      </c>
      <c r="BD203" s="181" t="s">
        <v>55</v>
      </c>
      <c r="BE203" s="178">
        <v>1.2989260444445101</v>
      </c>
      <c r="BF203" s="179">
        <v>6.3028026845865801</v>
      </c>
      <c r="BG203" s="168">
        <v>0.02</v>
      </c>
      <c r="BH203" s="168">
        <v>0.02</v>
      </c>
      <c r="BI203" s="176">
        <v>0</v>
      </c>
      <c r="BJ203" s="176">
        <v>0</v>
      </c>
      <c r="BK203" s="169"/>
      <c r="BL203" s="185">
        <v>0.8</v>
      </c>
      <c r="BM203" s="188">
        <v>0.79</v>
      </c>
      <c r="BN203" s="186"/>
      <c r="BO203" s="187">
        <v>0.95</v>
      </c>
      <c r="BP203" s="178">
        <v>1</v>
      </c>
      <c r="BQ203" s="186">
        <v>2.5000000000000001E-3</v>
      </c>
    </row>
    <row r="204" spans="1:69" s="156" customFormat="1" ht="22.35" customHeight="1" x14ac:dyDescent="0.2">
      <c r="A204" s="165" t="s">
        <v>220</v>
      </c>
      <c r="B204" s="165" t="s">
        <v>260</v>
      </c>
      <c r="C204" s="165" t="s">
        <v>269</v>
      </c>
      <c r="D204" s="166">
        <v>2.8902111342222199</v>
      </c>
      <c r="E204" s="167"/>
      <c r="F204" s="168">
        <v>2.7E-2</v>
      </c>
      <c r="G204" s="168">
        <v>2.4E-2</v>
      </c>
      <c r="H204" s="169"/>
      <c r="I204" s="170">
        <v>4</v>
      </c>
      <c r="J204" s="170">
        <v>4</v>
      </c>
      <c r="K204" s="167"/>
      <c r="L204" s="171">
        <v>1476.6558500000001</v>
      </c>
      <c r="M204" s="171">
        <v>933.60288000000003</v>
      </c>
      <c r="N204" s="171">
        <v>2410.25873</v>
      </c>
      <c r="O204" s="166">
        <v>833.93863564525304</v>
      </c>
      <c r="P204" s="172">
        <v>220.88900000000001</v>
      </c>
      <c r="Q204" s="178">
        <v>3.7753742180246799</v>
      </c>
      <c r="R204" s="179">
        <v>1659.4816936607999</v>
      </c>
      <c r="S204" s="168">
        <v>0.01</v>
      </c>
      <c r="T204" s="168">
        <v>0.01</v>
      </c>
      <c r="U204" s="175">
        <v>0</v>
      </c>
      <c r="V204" s="176">
        <v>0</v>
      </c>
      <c r="W204" s="167"/>
      <c r="X204" s="175">
        <v>1891.0561250000001</v>
      </c>
      <c r="Y204" s="166">
        <v>654.29687907866196</v>
      </c>
      <c r="Z204" s="177">
        <v>573</v>
      </c>
      <c r="AA204" s="182">
        <v>1.14187937011983</v>
      </c>
      <c r="AB204" s="183">
        <v>-56.506867373374199</v>
      </c>
      <c r="AC204" s="168">
        <v>1.7000000000000001E-2</v>
      </c>
      <c r="AD204" s="168">
        <v>1.4E-2</v>
      </c>
      <c r="AE204" s="176">
        <v>0</v>
      </c>
      <c r="AF204" s="176">
        <v>97</v>
      </c>
      <c r="AG204" s="167"/>
      <c r="AH204" s="180">
        <v>115.65</v>
      </c>
      <c r="AI204" s="166">
        <v>40.014377714700203</v>
      </c>
      <c r="AJ204" s="181" t="s">
        <v>53</v>
      </c>
      <c r="AK204" s="173">
        <v>0.635148852614288</v>
      </c>
      <c r="AL204" s="174">
        <v>-98.479962512255796</v>
      </c>
      <c r="AM204" s="168"/>
      <c r="AN204" s="168"/>
      <c r="AO204" s="176">
        <v>67</v>
      </c>
      <c r="AP204" s="176">
        <v>103</v>
      </c>
      <c r="AQ204" s="167"/>
      <c r="AR204" s="180">
        <v>13.5</v>
      </c>
      <c r="AS204" s="166">
        <v>4.6709390328443803</v>
      </c>
      <c r="AT204" s="181" t="s">
        <v>54</v>
      </c>
      <c r="AU204" s="173">
        <v>0.29193368955277399</v>
      </c>
      <c r="AV204" s="174">
        <v>-40.882212701525297</v>
      </c>
      <c r="AW204" s="168"/>
      <c r="AX204" s="168"/>
      <c r="AY204" s="176">
        <v>33</v>
      </c>
      <c r="AZ204" s="176">
        <v>42</v>
      </c>
      <c r="BA204" s="167"/>
      <c r="BB204" s="184">
        <v>74.8</v>
      </c>
      <c r="BC204" s="180">
        <v>25.880462196797001</v>
      </c>
      <c r="BD204" s="181" t="s">
        <v>55</v>
      </c>
      <c r="BE204" s="188">
        <v>0.80876444364990596</v>
      </c>
      <c r="BF204" s="171">
        <v>-33.964425403050598</v>
      </c>
      <c r="BG204" s="168"/>
      <c r="BH204" s="168"/>
      <c r="BI204" s="176">
        <v>18</v>
      </c>
      <c r="BJ204" s="176">
        <v>37</v>
      </c>
      <c r="BK204" s="169"/>
      <c r="BL204" s="185">
        <v>0.8</v>
      </c>
      <c r="BM204" s="182">
        <v>0.82</v>
      </c>
      <c r="BN204" s="186">
        <v>7.5000000000000002E-4</v>
      </c>
      <c r="BO204" s="187">
        <v>0.95</v>
      </c>
      <c r="BP204" s="178">
        <v>1</v>
      </c>
      <c r="BQ204" s="186">
        <v>2.5000000000000001E-3</v>
      </c>
    </row>
    <row r="205" spans="1:69" s="156" customFormat="1" ht="22.35" customHeight="1" x14ac:dyDescent="0.2">
      <c r="A205" s="165" t="s">
        <v>220</v>
      </c>
      <c r="B205" s="165" t="s">
        <v>260</v>
      </c>
      <c r="C205" s="165" t="s">
        <v>270</v>
      </c>
      <c r="D205" s="166">
        <v>2.6579356497777802</v>
      </c>
      <c r="E205" s="167"/>
      <c r="F205" s="168">
        <v>5.5E-2</v>
      </c>
      <c r="G205" s="168">
        <v>5.2999999999999999E-2</v>
      </c>
      <c r="H205" s="169"/>
      <c r="I205" s="170">
        <v>5</v>
      </c>
      <c r="J205" s="170">
        <v>5</v>
      </c>
      <c r="K205" s="167"/>
      <c r="L205" s="171">
        <v>552.70009000000005</v>
      </c>
      <c r="M205" s="171">
        <v>901.92066</v>
      </c>
      <c r="N205" s="171">
        <v>1454.62075</v>
      </c>
      <c r="O205" s="166">
        <v>547.27463026488897</v>
      </c>
      <c r="P205" s="172">
        <v>221.102</v>
      </c>
      <c r="Q205" s="178">
        <v>2.47521338687524</v>
      </c>
      <c r="R205" s="179">
        <v>763.51508166829205</v>
      </c>
      <c r="S205" s="168">
        <v>0.01</v>
      </c>
      <c r="T205" s="168">
        <v>0.01</v>
      </c>
      <c r="U205" s="175">
        <v>0</v>
      </c>
      <c r="V205" s="176">
        <v>0</v>
      </c>
      <c r="W205" s="167"/>
      <c r="X205" s="175">
        <v>2046.827405</v>
      </c>
      <c r="Y205" s="166">
        <v>770.08162525346597</v>
      </c>
      <c r="Z205" s="177">
        <v>573</v>
      </c>
      <c r="AA205" s="178">
        <v>1.34394698997115</v>
      </c>
      <c r="AB205" s="179">
        <v>255.782783268543</v>
      </c>
      <c r="AC205" s="168">
        <v>0.02</v>
      </c>
      <c r="AD205" s="168">
        <v>0.02</v>
      </c>
      <c r="AE205" s="176">
        <v>0</v>
      </c>
      <c r="AF205" s="176">
        <v>0</v>
      </c>
      <c r="AG205" s="167"/>
      <c r="AH205" s="180">
        <v>172.1</v>
      </c>
      <c r="AI205" s="166">
        <v>64.749498361402701</v>
      </c>
      <c r="AJ205" s="181" t="s">
        <v>53</v>
      </c>
      <c r="AK205" s="182">
        <v>1.02776981526036</v>
      </c>
      <c r="AL205" s="183">
        <v>-24.821136420736099</v>
      </c>
      <c r="AM205" s="168">
        <v>5.0000000000000001E-3</v>
      </c>
      <c r="AN205" s="168">
        <v>3.0000000000000001E-3</v>
      </c>
      <c r="AO205" s="176">
        <v>0</v>
      </c>
      <c r="AP205" s="176">
        <v>29</v>
      </c>
      <c r="AQ205" s="167"/>
      <c r="AR205" s="180">
        <v>19</v>
      </c>
      <c r="AS205" s="166">
        <v>7.1484048161920501</v>
      </c>
      <c r="AT205" s="181" t="s">
        <v>54</v>
      </c>
      <c r="AU205" s="173">
        <v>0.44677530101200302</v>
      </c>
      <c r="AV205" s="174">
        <v>-31.0117171862187</v>
      </c>
      <c r="AW205" s="168"/>
      <c r="AX205" s="168"/>
      <c r="AY205" s="176">
        <v>24</v>
      </c>
      <c r="AZ205" s="176">
        <v>33</v>
      </c>
      <c r="BA205" s="167"/>
      <c r="BB205" s="184">
        <v>131.4</v>
      </c>
      <c r="BC205" s="180">
        <v>49.436862781454501</v>
      </c>
      <c r="BD205" s="181" t="s">
        <v>55</v>
      </c>
      <c r="BE205" s="178">
        <v>1.54490196192045</v>
      </c>
      <c r="BF205" s="179">
        <v>31.376565627562599</v>
      </c>
      <c r="BG205" s="168">
        <v>0.02</v>
      </c>
      <c r="BH205" s="168">
        <v>0.02</v>
      </c>
      <c r="BI205" s="176">
        <v>0</v>
      </c>
      <c r="BJ205" s="176">
        <v>0</v>
      </c>
      <c r="BK205" s="169"/>
      <c r="BL205" s="185">
        <v>0.8</v>
      </c>
      <c r="BM205" s="188">
        <v>0.79</v>
      </c>
      <c r="BN205" s="186"/>
      <c r="BO205" s="187">
        <v>0.95</v>
      </c>
      <c r="BP205" s="178">
        <v>1</v>
      </c>
      <c r="BQ205" s="186">
        <v>2.5000000000000001E-3</v>
      </c>
    </row>
    <row r="206" spans="1:69" s="156" customFormat="1" ht="22.35" customHeight="1" x14ac:dyDescent="0.2">
      <c r="A206" s="165" t="s">
        <v>220</v>
      </c>
      <c r="B206" s="165" t="s">
        <v>260</v>
      </c>
      <c r="C206" s="165" t="s">
        <v>271</v>
      </c>
      <c r="D206" s="166">
        <v>1.9523576782222201</v>
      </c>
      <c r="E206" s="167"/>
      <c r="F206" s="168">
        <v>0.01</v>
      </c>
      <c r="G206" s="168">
        <v>0.01</v>
      </c>
      <c r="H206" s="169"/>
      <c r="I206" s="170">
        <v>3</v>
      </c>
      <c r="J206" s="170">
        <v>3</v>
      </c>
      <c r="K206" s="167"/>
      <c r="L206" s="171">
        <v>852.99564999999996</v>
      </c>
      <c r="M206" s="171">
        <v>934.59672</v>
      </c>
      <c r="N206" s="171">
        <v>1787.5923700000001</v>
      </c>
      <c r="O206" s="166">
        <v>915.60700682046399</v>
      </c>
      <c r="P206" s="172">
        <v>214.857</v>
      </c>
      <c r="Q206" s="178">
        <v>4.2614716151694596</v>
      </c>
      <c r="R206" s="179">
        <v>1294.28657872433</v>
      </c>
      <c r="S206" s="168">
        <v>0.01</v>
      </c>
      <c r="T206" s="168">
        <v>0.01</v>
      </c>
      <c r="U206" s="175">
        <v>0</v>
      </c>
      <c r="V206" s="176">
        <v>0</v>
      </c>
      <c r="W206" s="167"/>
      <c r="X206" s="175">
        <v>660.15421500000002</v>
      </c>
      <c r="Y206" s="166">
        <v>338.13179949747899</v>
      </c>
      <c r="Z206" s="177">
        <v>573</v>
      </c>
      <c r="AA206" s="173">
        <v>0.59010785252614095</v>
      </c>
      <c r="AB206" s="174">
        <v>-655.43810175468604</v>
      </c>
      <c r="AC206" s="168"/>
      <c r="AD206" s="168"/>
      <c r="AE206" s="176">
        <v>459</v>
      </c>
      <c r="AF206" s="176">
        <v>683</v>
      </c>
      <c r="AG206" s="167"/>
      <c r="AH206" s="180">
        <v>61</v>
      </c>
      <c r="AI206" s="166">
        <v>31.2442748992313</v>
      </c>
      <c r="AJ206" s="181" t="s">
        <v>53</v>
      </c>
      <c r="AK206" s="173">
        <v>0.495940871416369</v>
      </c>
      <c r="AL206" s="174">
        <v>-83.646275664127799</v>
      </c>
      <c r="AM206" s="168"/>
      <c r="AN206" s="168"/>
      <c r="AO206" s="176">
        <v>62</v>
      </c>
      <c r="AP206" s="176">
        <v>87</v>
      </c>
      <c r="AQ206" s="167"/>
      <c r="AR206" s="180">
        <v>8.6</v>
      </c>
      <c r="AS206" s="166">
        <v>4.4049305595637502</v>
      </c>
      <c r="AT206" s="181" t="s">
        <v>54</v>
      </c>
      <c r="AU206" s="173">
        <v>0.275308159972734</v>
      </c>
      <c r="AV206" s="174">
        <v>-28.135562073429298</v>
      </c>
      <c r="AW206" s="168"/>
      <c r="AX206" s="168"/>
      <c r="AY206" s="176">
        <v>23</v>
      </c>
      <c r="AZ206" s="176">
        <v>29</v>
      </c>
      <c r="BA206" s="167"/>
      <c r="BB206" s="184">
        <v>37.6</v>
      </c>
      <c r="BC206" s="180">
        <v>19.258766167394999</v>
      </c>
      <c r="BD206" s="181" t="s">
        <v>55</v>
      </c>
      <c r="BE206" s="173">
        <v>0.60183644273109405</v>
      </c>
      <c r="BF206" s="174">
        <v>-35.871124146858598</v>
      </c>
      <c r="BG206" s="168"/>
      <c r="BH206" s="168"/>
      <c r="BI206" s="176">
        <v>25</v>
      </c>
      <c r="BJ206" s="176">
        <v>38</v>
      </c>
      <c r="BK206" s="169"/>
      <c r="BL206" s="185">
        <v>0.8</v>
      </c>
      <c r="BM206" s="182">
        <v>0.83</v>
      </c>
      <c r="BN206" s="186">
        <v>1.1249999999999999E-3</v>
      </c>
      <c r="BO206" s="187">
        <v>0.95</v>
      </c>
      <c r="BP206" s="178">
        <v>1</v>
      </c>
      <c r="BQ206" s="186">
        <v>2.5000000000000001E-3</v>
      </c>
    </row>
    <row r="207" spans="1:69" s="156" customFormat="1" ht="22.35" customHeight="1" x14ac:dyDescent="0.2">
      <c r="A207" s="165" t="s">
        <v>220</v>
      </c>
      <c r="B207" s="165" t="s">
        <v>260</v>
      </c>
      <c r="C207" s="165" t="s">
        <v>272</v>
      </c>
      <c r="D207" s="166">
        <v>9.0627591208888898</v>
      </c>
      <c r="E207" s="167"/>
      <c r="F207" s="168">
        <v>0.05</v>
      </c>
      <c r="G207" s="168">
        <v>4.7E-2</v>
      </c>
      <c r="H207" s="169"/>
      <c r="I207" s="170">
        <v>5</v>
      </c>
      <c r="J207" s="170">
        <v>4</v>
      </c>
      <c r="K207" s="167"/>
      <c r="L207" s="171">
        <v>5901.4167600000001</v>
      </c>
      <c r="M207" s="171">
        <v>2365.5086000000001</v>
      </c>
      <c r="N207" s="171">
        <v>8266.9253599999993</v>
      </c>
      <c r="O207" s="166">
        <v>912.18637169175599</v>
      </c>
      <c r="P207" s="172">
        <v>241.29400000000001</v>
      </c>
      <c r="Q207" s="178">
        <v>3.7803939248044101</v>
      </c>
      <c r="R207" s="179">
        <v>5695.2610264046598</v>
      </c>
      <c r="S207" s="168">
        <v>0.01</v>
      </c>
      <c r="T207" s="168">
        <v>0.01</v>
      </c>
      <c r="U207" s="175">
        <v>0</v>
      </c>
      <c r="V207" s="176">
        <v>0</v>
      </c>
      <c r="W207" s="167"/>
      <c r="X207" s="175">
        <v>6067.0697250000003</v>
      </c>
      <c r="Y207" s="166">
        <v>669.45062139143897</v>
      </c>
      <c r="Z207" s="177">
        <v>573</v>
      </c>
      <c r="AA207" s="182">
        <v>1.1683256917826199</v>
      </c>
      <c r="AB207" s="183">
        <v>-39.852383092737</v>
      </c>
      <c r="AC207" s="168">
        <v>1.9E-2</v>
      </c>
      <c r="AD207" s="168">
        <v>1.7000000000000001E-2</v>
      </c>
      <c r="AE207" s="176">
        <v>0</v>
      </c>
      <c r="AF207" s="176">
        <v>165</v>
      </c>
      <c r="AG207" s="167"/>
      <c r="AH207" s="180">
        <v>566</v>
      </c>
      <c r="AI207" s="166">
        <v>62.453386705977699</v>
      </c>
      <c r="AJ207" s="181" t="s">
        <v>53</v>
      </c>
      <c r="AK207" s="182">
        <v>0.991323598507582</v>
      </c>
      <c r="AL207" s="183">
        <v>-105.441697748416</v>
      </c>
      <c r="AM207" s="168">
        <v>1E-3</v>
      </c>
      <c r="AN207" s="168"/>
      <c r="AO207" s="176">
        <v>5</v>
      </c>
      <c r="AP207" s="176">
        <v>120</v>
      </c>
      <c r="AQ207" s="167"/>
      <c r="AR207" s="180">
        <v>133.4</v>
      </c>
      <c r="AS207" s="166">
        <v>14.7195791282287</v>
      </c>
      <c r="AT207" s="181" t="s">
        <v>54</v>
      </c>
      <c r="AU207" s="188">
        <v>0.91997369551429098</v>
      </c>
      <c r="AV207" s="171">
        <v>-37.124875618645298</v>
      </c>
      <c r="AW207" s="168"/>
      <c r="AX207" s="168"/>
      <c r="AY207" s="176">
        <v>12</v>
      </c>
      <c r="AZ207" s="176">
        <v>41</v>
      </c>
      <c r="BA207" s="167"/>
      <c r="BB207" s="184">
        <v>402.8</v>
      </c>
      <c r="BC207" s="180">
        <v>44.445625733512003</v>
      </c>
      <c r="BD207" s="181" t="s">
        <v>55</v>
      </c>
      <c r="BE207" s="178">
        <v>1.3889258041722501</v>
      </c>
      <c r="BF207" s="179">
        <v>61.750248762709298</v>
      </c>
      <c r="BG207" s="168">
        <v>0.02</v>
      </c>
      <c r="BH207" s="168">
        <v>0.02</v>
      </c>
      <c r="BI207" s="176">
        <v>0</v>
      </c>
      <c r="BJ207" s="176">
        <v>0</v>
      </c>
      <c r="BK207" s="169"/>
      <c r="BL207" s="185">
        <v>0.8</v>
      </c>
      <c r="BM207" s="188">
        <v>0.78</v>
      </c>
      <c r="BN207" s="186"/>
      <c r="BO207" s="187">
        <v>0.95</v>
      </c>
      <c r="BP207" s="178">
        <v>1</v>
      </c>
      <c r="BQ207" s="186">
        <v>2.5000000000000001E-3</v>
      </c>
    </row>
    <row r="208" spans="1:69" s="156" customFormat="1" ht="22.35" customHeight="1" x14ac:dyDescent="0.2">
      <c r="A208" s="165" t="s">
        <v>220</v>
      </c>
      <c r="B208" s="165" t="s">
        <v>260</v>
      </c>
      <c r="C208" s="165" t="s">
        <v>273</v>
      </c>
      <c r="D208" s="166">
        <v>3.7574485252222201</v>
      </c>
      <c r="E208" s="167"/>
      <c r="F208" s="168">
        <v>3.9E-2</v>
      </c>
      <c r="G208" s="168">
        <v>3.6999999999999998E-2</v>
      </c>
      <c r="H208" s="169"/>
      <c r="I208" s="170">
        <v>5</v>
      </c>
      <c r="J208" s="170">
        <v>5</v>
      </c>
      <c r="K208" s="167"/>
      <c r="L208" s="171">
        <v>1626.9907499999999</v>
      </c>
      <c r="M208" s="171">
        <v>1818.5700300000001</v>
      </c>
      <c r="N208" s="171">
        <v>3445.5607799999998</v>
      </c>
      <c r="O208" s="166">
        <v>916.99480561645805</v>
      </c>
      <c r="P208" s="172">
        <v>224.04499999999999</v>
      </c>
      <c r="Q208" s="178">
        <v>4.0929045754935798</v>
      </c>
      <c r="R208" s="179">
        <v>2455.55981551591</v>
      </c>
      <c r="S208" s="168">
        <v>0.01</v>
      </c>
      <c r="T208" s="168">
        <v>0.01</v>
      </c>
      <c r="U208" s="175">
        <v>0</v>
      </c>
      <c r="V208" s="176">
        <v>0</v>
      </c>
      <c r="W208" s="167"/>
      <c r="X208" s="175">
        <v>3030.0403550000001</v>
      </c>
      <c r="Y208" s="166">
        <v>806.40901256812197</v>
      </c>
      <c r="Z208" s="177">
        <v>573</v>
      </c>
      <c r="AA208" s="178">
        <v>1.4073455716721199</v>
      </c>
      <c r="AB208" s="179">
        <v>498.091181176058</v>
      </c>
      <c r="AC208" s="168">
        <v>0.02</v>
      </c>
      <c r="AD208" s="168">
        <v>0.02</v>
      </c>
      <c r="AE208" s="176">
        <v>0</v>
      </c>
      <c r="AF208" s="176">
        <v>0</v>
      </c>
      <c r="AG208" s="167"/>
      <c r="AH208" s="180">
        <v>196.9</v>
      </c>
      <c r="AI208" s="166">
        <v>52.402580814691298</v>
      </c>
      <c r="AJ208" s="181" t="s">
        <v>53</v>
      </c>
      <c r="AK208" s="188">
        <v>0.83178699705859205</v>
      </c>
      <c r="AL208" s="171">
        <v>-81.481846336663807</v>
      </c>
      <c r="AM208" s="168"/>
      <c r="AN208" s="168"/>
      <c r="AO208" s="176">
        <v>40</v>
      </c>
      <c r="AP208" s="176">
        <v>88</v>
      </c>
      <c r="AQ208" s="167"/>
      <c r="AR208" s="180">
        <v>35.4</v>
      </c>
      <c r="AS208" s="166">
        <v>9.4212867488068603</v>
      </c>
      <c r="AT208" s="181" t="s">
        <v>54</v>
      </c>
      <c r="AU208" s="173">
        <v>0.58883042180042899</v>
      </c>
      <c r="AV208" s="174">
        <v>-35.300151450581303</v>
      </c>
      <c r="AW208" s="168"/>
      <c r="AX208" s="168"/>
      <c r="AY208" s="176">
        <v>25</v>
      </c>
      <c r="AZ208" s="176">
        <v>37</v>
      </c>
      <c r="BA208" s="167"/>
      <c r="BB208" s="184">
        <v>128.4</v>
      </c>
      <c r="BC208" s="180">
        <v>34.172124817706198</v>
      </c>
      <c r="BD208" s="181" t="s">
        <v>55</v>
      </c>
      <c r="BE208" s="182">
        <v>1.06787890055332</v>
      </c>
      <c r="BF208" s="183">
        <v>-13.000302901162501</v>
      </c>
      <c r="BG208" s="168">
        <v>8.9999999999999993E-3</v>
      </c>
      <c r="BH208" s="168">
        <v>7.0000000000000001E-3</v>
      </c>
      <c r="BI208" s="176">
        <v>0</v>
      </c>
      <c r="BJ208" s="176">
        <v>16</v>
      </c>
      <c r="BK208" s="169"/>
      <c r="BL208" s="185">
        <v>0.8</v>
      </c>
      <c r="BM208" s="182">
        <v>0.81</v>
      </c>
      <c r="BN208" s="186">
        <v>3.7500000000000001E-4</v>
      </c>
      <c r="BO208" s="187">
        <v>0.95</v>
      </c>
      <c r="BP208" s="178">
        <v>1</v>
      </c>
      <c r="BQ208" s="186">
        <v>2.5000000000000001E-3</v>
      </c>
    </row>
    <row r="209" spans="1:69" s="156" customFormat="1" ht="22.35" customHeight="1" x14ac:dyDescent="0.2">
      <c r="A209" s="165" t="s">
        <v>220</v>
      </c>
      <c r="B209" s="165" t="s">
        <v>260</v>
      </c>
      <c r="C209" s="165" t="s">
        <v>274</v>
      </c>
      <c r="D209" s="166">
        <v>2.624758167</v>
      </c>
      <c r="E209" s="167"/>
      <c r="F209" s="168">
        <v>4.8000000000000001E-2</v>
      </c>
      <c r="G209" s="168">
        <v>4.3999999999999997E-2</v>
      </c>
      <c r="H209" s="169"/>
      <c r="I209" s="170">
        <v>5</v>
      </c>
      <c r="J209" s="170">
        <v>5</v>
      </c>
      <c r="K209" s="167"/>
      <c r="L209" s="171">
        <v>1672.1296600000001</v>
      </c>
      <c r="M209" s="171">
        <v>323.84611000000001</v>
      </c>
      <c r="N209" s="171">
        <v>1995.97577</v>
      </c>
      <c r="O209" s="166">
        <v>760.44177901590297</v>
      </c>
      <c r="P209" s="172">
        <v>262.75900000000001</v>
      </c>
      <c r="Q209" s="178">
        <v>2.8940655848739798</v>
      </c>
      <c r="R209" s="179">
        <v>1184.9134645055599</v>
      </c>
      <c r="S209" s="168">
        <v>0.01</v>
      </c>
      <c r="T209" s="168">
        <v>0.01</v>
      </c>
      <c r="U209" s="175">
        <v>0</v>
      </c>
      <c r="V209" s="176">
        <v>0</v>
      </c>
      <c r="W209" s="167"/>
      <c r="X209" s="175">
        <v>1543.70109</v>
      </c>
      <c r="Y209" s="166">
        <v>588.13078835540603</v>
      </c>
      <c r="Z209" s="177">
        <v>573</v>
      </c>
      <c r="AA209" s="182">
        <v>1.02640626240036</v>
      </c>
      <c r="AB209" s="183">
        <v>-224.986951316616</v>
      </c>
      <c r="AC209" s="168">
        <v>5.0000000000000001E-3</v>
      </c>
      <c r="AD209" s="168">
        <v>3.0000000000000001E-3</v>
      </c>
      <c r="AE209" s="176">
        <v>0</v>
      </c>
      <c r="AF209" s="176">
        <v>262</v>
      </c>
      <c r="AG209" s="167"/>
      <c r="AH209" s="180">
        <v>183.85</v>
      </c>
      <c r="AI209" s="166">
        <v>70.044548222182897</v>
      </c>
      <c r="AJ209" s="181" t="s">
        <v>53</v>
      </c>
      <c r="AK209" s="182">
        <v>1.11181822574894</v>
      </c>
      <c r="AL209" s="183">
        <v>-10.613083076696</v>
      </c>
      <c r="AM209" s="168">
        <v>1.2999999999999999E-2</v>
      </c>
      <c r="AN209" s="168">
        <v>1.0999999999999999E-2</v>
      </c>
      <c r="AO209" s="176">
        <v>0</v>
      </c>
      <c r="AP209" s="176">
        <v>15</v>
      </c>
      <c r="AQ209" s="167"/>
      <c r="AR209" s="180">
        <v>7.6</v>
      </c>
      <c r="AS209" s="166">
        <v>2.8955048489996802</v>
      </c>
      <c r="AT209" s="181" t="s">
        <v>54</v>
      </c>
      <c r="AU209" s="173">
        <v>0.18096905306248001</v>
      </c>
      <c r="AV209" s="174">
        <v>-41.787449670271997</v>
      </c>
      <c r="AW209" s="168"/>
      <c r="AX209" s="168"/>
      <c r="AY209" s="176">
        <v>35</v>
      </c>
      <c r="AZ209" s="176">
        <v>43</v>
      </c>
      <c r="BA209" s="167"/>
      <c r="BB209" s="184">
        <v>112</v>
      </c>
      <c r="BC209" s="180">
        <v>42.670597774732101</v>
      </c>
      <c r="BD209" s="181" t="s">
        <v>55</v>
      </c>
      <c r="BE209" s="178">
        <v>1.3334561804603799</v>
      </c>
      <c r="BF209" s="179">
        <v>13.225100659456</v>
      </c>
      <c r="BG209" s="168">
        <v>0.02</v>
      </c>
      <c r="BH209" s="168">
        <v>0.02</v>
      </c>
      <c r="BI209" s="176">
        <v>0</v>
      </c>
      <c r="BJ209" s="176">
        <v>0</v>
      </c>
      <c r="BK209" s="169"/>
      <c r="BL209" s="185">
        <v>0.8</v>
      </c>
      <c r="BM209" s="188">
        <v>0.76</v>
      </c>
      <c r="BN209" s="186"/>
      <c r="BO209" s="187">
        <v>0.95</v>
      </c>
      <c r="BP209" s="178">
        <v>1</v>
      </c>
      <c r="BQ209" s="186">
        <v>2.5000000000000001E-3</v>
      </c>
    </row>
    <row r="210" spans="1:69" s="156" customFormat="1" ht="22.35" customHeight="1" x14ac:dyDescent="0.2">
      <c r="A210" s="165" t="s">
        <v>275</v>
      </c>
      <c r="B210" s="165" t="s">
        <v>276</v>
      </c>
      <c r="C210" s="165" t="s">
        <v>277</v>
      </c>
      <c r="D210" s="166">
        <v>3.8480691394444402</v>
      </c>
      <c r="E210" s="167"/>
      <c r="F210" s="168">
        <v>5.1999999999999998E-2</v>
      </c>
      <c r="G210" s="168">
        <v>5.0999999999999997E-2</v>
      </c>
      <c r="H210" s="169"/>
      <c r="I210" s="170">
        <v>5</v>
      </c>
      <c r="J210" s="170">
        <v>5</v>
      </c>
      <c r="K210" s="167"/>
      <c r="L210" s="171">
        <v>3957.7535800000001</v>
      </c>
      <c r="M210" s="171">
        <v>1156.75251</v>
      </c>
      <c r="N210" s="171">
        <v>5114.5060899999999</v>
      </c>
      <c r="O210" s="166">
        <v>1329.1097183192501</v>
      </c>
      <c r="P210" s="172">
        <v>287.5</v>
      </c>
      <c r="Q210" s="178">
        <v>4.6229903245886996</v>
      </c>
      <c r="R210" s="179">
        <v>3813.4739139538401</v>
      </c>
      <c r="S210" s="168">
        <v>0.01</v>
      </c>
      <c r="T210" s="168">
        <v>0.01</v>
      </c>
      <c r="U210" s="175">
        <v>0</v>
      </c>
      <c r="V210" s="176">
        <v>0</v>
      </c>
      <c r="W210" s="167"/>
      <c r="X210" s="175">
        <v>3627.99127</v>
      </c>
      <c r="Y210" s="166">
        <v>942.80823408588299</v>
      </c>
      <c r="Z210" s="177">
        <v>573</v>
      </c>
      <c r="AA210" s="178">
        <v>1.64538958828252</v>
      </c>
      <c r="AB210" s="179">
        <v>1034.97757652364</v>
      </c>
      <c r="AC210" s="168">
        <v>0.02</v>
      </c>
      <c r="AD210" s="168">
        <v>0.02</v>
      </c>
      <c r="AE210" s="176">
        <v>0</v>
      </c>
      <c r="AF210" s="176">
        <v>0</v>
      </c>
      <c r="AG210" s="167"/>
      <c r="AH210" s="180">
        <v>242.75</v>
      </c>
      <c r="AI210" s="166">
        <v>63.083585872120402</v>
      </c>
      <c r="AJ210" s="181" t="s">
        <v>53</v>
      </c>
      <c r="AK210" s="182">
        <v>1.00132675987493</v>
      </c>
      <c r="AL210" s="183">
        <v>-42.345746403159602</v>
      </c>
      <c r="AM210" s="168">
        <v>2E-3</v>
      </c>
      <c r="AN210" s="168">
        <v>1E-3</v>
      </c>
      <c r="AO210" s="176">
        <v>0</v>
      </c>
      <c r="AP210" s="176">
        <v>49</v>
      </c>
      <c r="AQ210" s="167"/>
      <c r="AR210" s="180">
        <v>42.7</v>
      </c>
      <c r="AS210" s="166">
        <v>11.096474219318401</v>
      </c>
      <c r="AT210" s="181" t="s">
        <v>54</v>
      </c>
      <c r="AU210" s="173">
        <v>0.69352963870739903</v>
      </c>
      <c r="AV210" s="174">
        <v>-29.705268927786602</v>
      </c>
      <c r="AW210" s="168"/>
      <c r="AX210" s="168"/>
      <c r="AY210" s="176">
        <v>19</v>
      </c>
      <c r="AZ210" s="176">
        <v>32</v>
      </c>
      <c r="BA210" s="167"/>
      <c r="BB210" s="184">
        <v>190.6</v>
      </c>
      <c r="BC210" s="180">
        <v>49.531334571477402</v>
      </c>
      <c r="BD210" s="181" t="s">
        <v>55</v>
      </c>
      <c r="BE210" s="178">
        <v>1.5478542053586699</v>
      </c>
      <c r="BF210" s="179">
        <v>45.7894621444268</v>
      </c>
      <c r="BG210" s="168">
        <v>0.02</v>
      </c>
      <c r="BH210" s="168">
        <v>0.02</v>
      </c>
      <c r="BI210" s="176">
        <v>0</v>
      </c>
      <c r="BJ210" s="176">
        <v>0</v>
      </c>
      <c r="BK210" s="169"/>
      <c r="BL210" s="185">
        <v>0.8</v>
      </c>
      <c r="BM210" s="188">
        <v>0.79</v>
      </c>
      <c r="BN210" s="186"/>
      <c r="BO210" s="187">
        <v>0.95</v>
      </c>
      <c r="BP210" s="178">
        <v>1</v>
      </c>
      <c r="BQ210" s="186">
        <v>2.5000000000000001E-3</v>
      </c>
    </row>
    <row r="211" spans="1:69" s="156" customFormat="1" ht="22.35" customHeight="1" x14ac:dyDescent="0.2">
      <c r="A211" s="165" t="s">
        <v>275</v>
      </c>
      <c r="B211" s="165" t="s">
        <v>276</v>
      </c>
      <c r="C211" s="165" t="s">
        <v>278</v>
      </c>
      <c r="D211" s="166">
        <v>2.98956710155556</v>
      </c>
      <c r="E211" s="167"/>
      <c r="F211" s="168">
        <v>1.4999999999999999E-2</v>
      </c>
      <c r="G211" s="168">
        <v>1.2E-2</v>
      </c>
      <c r="H211" s="169"/>
      <c r="I211" s="170">
        <v>5</v>
      </c>
      <c r="J211" s="170">
        <v>4</v>
      </c>
      <c r="K211" s="167"/>
      <c r="L211" s="171">
        <v>1169.6177299999999</v>
      </c>
      <c r="M211" s="171">
        <v>1044.3912</v>
      </c>
      <c r="N211" s="171">
        <v>2214.00893</v>
      </c>
      <c r="O211" s="166">
        <v>740.57843653952102</v>
      </c>
      <c r="P211" s="172">
        <v>222.37200000000001</v>
      </c>
      <c r="Q211" s="178">
        <v>3.3303583029316699</v>
      </c>
      <c r="R211" s="179">
        <v>1432.2088157636299</v>
      </c>
      <c r="S211" s="168">
        <v>0.01</v>
      </c>
      <c r="T211" s="168">
        <v>0.01</v>
      </c>
      <c r="U211" s="175">
        <v>0</v>
      </c>
      <c r="V211" s="176">
        <v>0</v>
      </c>
      <c r="W211" s="167"/>
      <c r="X211" s="175">
        <v>1751.101085</v>
      </c>
      <c r="Y211" s="166">
        <v>585.73734106481595</v>
      </c>
      <c r="Z211" s="177">
        <v>573</v>
      </c>
      <c r="AA211" s="182">
        <v>1.022229216518</v>
      </c>
      <c r="AB211" s="183">
        <v>-263.41272724901103</v>
      </c>
      <c r="AC211" s="168">
        <v>4.0000000000000001E-3</v>
      </c>
      <c r="AD211" s="168">
        <v>2E-3</v>
      </c>
      <c r="AE211" s="176">
        <v>0</v>
      </c>
      <c r="AF211" s="176">
        <v>305</v>
      </c>
      <c r="AG211" s="167"/>
      <c r="AH211" s="180">
        <v>130.05000000000001</v>
      </c>
      <c r="AI211" s="166">
        <v>43.501281483975198</v>
      </c>
      <c r="AJ211" s="181" t="s">
        <v>53</v>
      </c>
      <c r="AK211" s="173">
        <v>0.69049653149166901</v>
      </c>
      <c r="AL211" s="174">
        <v>-91.441047420048307</v>
      </c>
      <c r="AM211" s="168"/>
      <c r="AN211" s="168"/>
      <c r="AO211" s="176">
        <v>59</v>
      </c>
      <c r="AP211" s="176">
        <v>96</v>
      </c>
      <c r="AQ211" s="167"/>
      <c r="AR211" s="180">
        <v>7</v>
      </c>
      <c r="AS211" s="166">
        <v>2.3414761275496101</v>
      </c>
      <c r="AT211" s="181" t="s">
        <v>54</v>
      </c>
      <c r="AU211" s="173">
        <v>0.14634225797185099</v>
      </c>
      <c r="AV211" s="174">
        <v>-49.251694582869398</v>
      </c>
      <c r="AW211" s="168"/>
      <c r="AX211" s="168"/>
      <c r="AY211" s="176">
        <v>41</v>
      </c>
      <c r="AZ211" s="176">
        <v>51</v>
      </c>
      <c r="BA211" s="167"/>
      <c r="BB211" s="184">
        <v>94.8</v>
      </c>
      <c r="BC211" s="180">
        <v>31.710276698814599</v>
      </c>
      <c r="BD211" s="181" t="s">
        <v>55</v>
      </c>
      <c r="BE211" s="182">
        <v>0.99094614683795801</v>
      </c>
      <c r="BF211" s="183">
        <v>-17.703389165738901</v>
      </c>
      <c r="BG211" s="168">
        <v>1E-3</v>
      </c>
      <c r="BH211" s="168"/>
      <c r="BI211" s="176">
        <v>1</v>
      </c>
      <c r="BJ211" s="176">
        <v>20</v>
      </c>
      <c r="BK211" s="169"/>
      <c r="BL211" s="185">
        <v>0.8</v>
      </c>
      <c r="BM211" s="182">
        <v>0.81</v>
      </c>
      <c r="BN211" s="186">
        <v>3.7500000000000001E-4</v>
      </c>
      <c r="BO211" s="187">
        <v>0.95</v>
      </c>
      <c r="BP211" s="178">
        <v>1</v>
      </c>
      <c r="BQ211" s="186">
        <v>2.5000000000000001E-3</v>
      </c>
    </row>
    <row r="212" spans="1:69" s="156" customFormat="1" ht="22.35" customHeight="1" x14ac:dyDescent="0.2">
      <c r="A212" s="165" t="s">
        <v>275</v>
      </c>
      <c r="B212" s="165" t="s">
        <v>276</v>
      </c>
      <c r="C212" s="165" t="s">
        <v>279</v>
      </c>
      <c r="D212" s="166">
        <v>3.33559711066667</v>
      </c>
      <c r="E212" s="167"/>
      <c r="F212" s="168">
        <v>0.03</v>
      </c>
      <c r="G212" s="168">
        <v>0.03</v>
      </c>
      <c r="H212" s="169"/>
      <c r="I212" s="170">
        <v>3</v>
      </c>
      <c r="J212" s="170">
        <v>3</v>
      </c>
      <c r="K212" s="167"/>
      <c r="L212" s="171">
        <v>1686.6592800000001</v>
      </c>
      <c r="M212" s="171">
        <v>-257.79073</v>
      </c>
      <c r="N212" s="171">
        <v>1428.8685499999999</v>
      </c>
      <c r="O212" s="166">
        <v>428.369644952241</v>
      </c>
      <c r="P212" s="172">
        <v>230.685</v>
      </c>
      <c r="Q212" s="178">
        <v>1.8569462468398099</v>
      </c>
      <c r="R212" s="179">
        <v>523.96921989841098</v>
      </c>
      <c r="S212" s="168">
        <v>0.01</v>
      </c>
      <c r="T212" s="168">
        <v>0.01</v>
      </c>
      <c r="U212" s="175">
        <v>0</v>
      </c>
      <c r="V212" s="176">
        <v>0</v>
      </c>
      <c r="W212" s="167"/>
      <c r="X212" s="175">
        <v>2773.2529300000001</v>
      </c>
      <c r="Y212" s="166">
        <v>831.41124002404604</v>
      </c>
      <c r="Z212" s="177">
        <v>573</v>
      </c>
      <c r="AA212" s="178">
        <v>1.4509794764817601</v>
      </c>
      <c r="AB212" s="179">
        <v>525.56748817148605</v>
      </c>
      <c r="AC212" s="168">
        <v>0.02</v>
      </c>
      <c r="AD212" s="168">
        <v>0.02</v>
      </c>
      <c r="AE212" s="176">
        <v>0</v>
      </c>
      <c r="AF212" s="176">
        <v>0</v>
      </c>
      <c r="AG212" s="167"/>
      <c r="AH212" s="180">
        <v>137.5</v>
      </c>
      <c r="AI212" s="166">
        <v>41.2220047679915</v>
      </c>
      <c r="AJ212" s="181" t="s">
        <v>53</v>
      </c>
      <c r="AK212" s="173">
        <v>0.65431753599986497</v>
      </c>
      <c r="AL212" s="174">
        <v>-109.62771873507199</v>
      </c>
      <c r="AM212" s="168"/>
      <c r="AN212" s="168"/>
      <c r="AO212" s="176">
        <v>73</v>
      </c>
      <c r="AP212" s="176">
        <v>115</v>
      </c>
      <c r="AQ212" s="167"/>
      <c r="AR212" s="180">
        <v>13</v>
      </c>
      <c r="AS212" s="166">
        <v>3.89735317806465</v>
      </c>
      <c r="AT212" s="181" t="s">
        <v>54</v>
      </c>
      <c r="AU212" s="173">
        <v>0.24358457362904101</v>
      </c>
      <c r="AV212" s="174">
        <v>-49.762595234304101</v>
      </c>
      <c r="AW212" s="168"/>
      <c r="AX212" s="168"/>
      <c r="AY212" s="176">
        <v>41</v>
      </c>
      <c r="AZ212" s="176">
        <v>52</v>
      </c>
      <c r="BA212" s="167"/>
      <c r="BB212" s="184">
        <v>96.2</v>
      </c>
      <c r="BC212" s="180">
        <v>28.8404135176784</v>
      </c>
      <c r="BD212" s="181" t="s">
        <v>55</v>
      </c>
      <c r="BE212" s="188">
        <v>0.90126292242744999</v>
      </c>
      <c r="BF212" s="171">
        <v>-29.325190468608099</v>
      </c>
      <c r="BG212" s="168"/>
      <c r="BH212" s="168"/>
      <c r="BI212" s="176">
        <v>11</v>
      </c>
      <c r="BJ212" s="176">
        <v>32</v>
      </c>
      <c r="BK212" s="169"/>
      <c r="BL212" s="185">
        <v>0.8</v>
      </c>
      <c r="BM212" s="188">
        <v>0.75</v>
      </c>
      <c r="BN212" s="186"/>
      <c r="BO212" s="187">
        <v>0.95</v>
      </c>
      <c r="BP212" s="178">
        <v>1</v>
      </c>
      <c r="BQ212" s="186">
        <v>2.5000000000000001E-3</v>
      </c>
    </row>
    <row r="213" spans="1:69" s="156" customFormat="1" ht="22.35" customHeight="1" x14ac:dyDescent="0.2">
      <c r="A213" s="165" t="s">
        <v>275</v>
      </c>
      <c r="B213" s="165" t="s">
        <v>276</v>
      </c>
      <c r="C213" s="165" t="s">
        <v>280</v>
      </c>
      <c r="D213" s="166">
        <v>3.7485562538888901</v>
      </c>
      <c r="E213" s="167"/>
      <c r="F213" s="168">
        <v>2.7E-2</v>
      </c>
      <c r="G213" s="168">
        <v>2.3E-2</v>
      </c>
      <c r="H213" s="169"/>
      <c r="I213" s="170">
        <v>4</v>
      </c>
      <c r="J213" s="170">
        <v>3</v>
      </c>
      <c r="K213" s="167"/>
      <c r="L213" s="171">
        <v>1771.6225300000001</v>
      </c>
      <c r="M213" s="171">
        <v>1705.6973</v>
      </c>
      <c r="N213" s="171">
        <v>3477.3198299999999</v>
      </c>
      <c r="O213" s="166">
        <v>927.64242937330903</v>
      </c>
      <c r="P213" s="172">
        <v>260.827</v>
      </c>
      <c r="Q213" s="178">
        <v>3.5565429551898702</v>
      </c>
      <c r="R213" s="179">
        <v>2327.5156039291001</v>
      </c>
      <c r="S213" s="168">
        <v>0.01</v>
      </c>
      <c r="T213" s="168">
        <v>0.01</v>
      </c>
      <c r="U213" s="175">
        <v>0</v>
      </c>
      <c r="V213" s="176">
        <v>0</v>
      </c>
      <c r="W213" s="167"/>
      <c r="X213" s="175">
        <v>1979.9536949999999</v>
      </c>
      <c r="Y213" s="166">
        <v>528.19100498916703</v>
      </c>
      <c r="Z213" s="177">
        <v>573</v>
      </c>
      <c r="AA213" s="188">
        <v>0.92179931062681897</v>
      </c>
      <c r="AB213" s="171">
        <v>-546.00343957052098</v>
      </c>
      <c r="AC213" s="168"/>
      <c r="AD213" s="168"/>
      <c r="AE213" s="176">
        <v>168</v>
      </c>
      <c r="AF213" s="176">
        <v>598</v>
      </c>
      <c r="AG213" s="167"/>
      <c r="AH213" s="180">
        <v>234.2</v>
      </c>
      <c r="AI213" s="166">
        <v>62.477387062561</v>
      </c>
      <c r="AJ213" s="181" t="s">
        <v>53</v>
      </c>
      <c r="AK213" s="182">
        <v>0.99170455654858802</v>
      </c>
      <c r="AL213" s="183">
        <v>-43.5230357381201</v>
      </c>
      <c r="AM213" s="168">
        <v>1E-3</v>
      </c>
      <c r="AN213" s="168"/>
      <c r="AO213" s="176">
        <v>2</v>
      </c>
      <c r="AP213" s="176">
        <v>50</v>
      </c>
      <c r="AQ213" s="167"/>
      <c r="AR213" s="180">
        <v>26</v>
      </c>
      <c r="AS213" s="166">
        <v>6.9360036875601496</v>
      </c>
      <c r="AT213" s="181" t="s">
        <v>54</v>
      </c>
      <c r="AU213" s="173">
        <v>0.43350023047250902</v>
      </c>
      <c r="AV213" s="174">
        <v>-44.532834473173402</v>
      </c>
      <c r="AW213" s="168"/>
      <c r="AX213" s="168"/>
      <c r="AY213" s="176">
        <v>34</v>
      </c>
      <c r="AZ213" s="176">
        <v>46</v>
      </c>
      <c r="BA213" s="167"/>
      <c r="BB213" s="184">
        <v>136</v>
      </c>
      <c r="BC213" s="180">
        <v>36.280634673391603</v>
      </c>
      <c r="BD213" s="181" t="s">
        <v>55</v>
      </c>
      <c r="BE213" s="182">
        <v>1.13376983354349</v>
      </c>
      <c r="BF213" s="183">
        <v>-5.0656689463467002</v>
      </c>
      <c r="BG213" s="168">
        <v>1.6E-2</v>
      </c>
      <c r="BH213" s="168">
        <v>1.2999999999999999E-2</v>
      </c>
      <c r="BI213" s="176">
        <v>0</v>
      </c>
      <c r="BJ213" s="176">
        <v>8</v>
      </c>
      <c r="BK213" s="169"/>
      <c r="BL213" s="185">
        <v>0.8</v>
      </c>
      <c r="BM213" s="188">
        <v>0.79</v>
      </c>
      <c r="BN213" s="186"/>
      <c r="BO213" s="187">
        <v>0.95</v>
      </c>
      <c r="BP213" s="178">
        <v>1</v>
      </c>
      <c r="BQ213" s="186">
        <v>2.5000000000000001E-3</v>
      </c>
    </row>
    <row r="214" spans="1:69" s="156" customFormat="1" ht="22.35" customHeight="1" x14ac:dyDescent="0.2">
      <c r="A214" s="165" t="s">
        <v>275</v>
      </c>
      <c r="B214" s="165" t="s">
        <v>276</v>
      </c>
      <c r="C214" s="165" t="s">
        <v>281</v>
      </c>
      <c r="D214" s="166">
        <v>3.10896044855556</v>
      </c>
      <c r="E214" s="167"/>
      <c r="F214" s="168">
        <v>2.4E-2</v>
      </c>
      <c r="G214" s="168">
        <v>2.1000000000000001E-2</v>
      </c>
      <c r="H214" s="169"/>
      <c r="I214" s="170">
        <v>4</v>
      </c>
      <c r="J214" s="170">
        <v>4</v>
      </c>
      <c r="K214" s="167"/>
      <c r="L214" s="171">
        <v>1539.0305000000001</v>
      </c>
      <c r="M214" s="171">
        <v>2350.5475799999999</v>
      </c>
      <c r="N214" s="171">
        <v>3889.5780800000002</v>
      </c>
      <c r="O214" s="166">
        <v>1251.08638220442</v>
      </c>
      <c r="P214" s="172">
        <v>237.98699999999999</v>
      </c>
      <c r="Q214" s="178">
        <v>5.2569526159177604</v>
      </c>
      <c r="R214" s="179">
        <v>3019.4648877620202</v>
      </c>
      <c r="S214" s="168">
        <v>0.01</v>
      </c>
      <c r="T214" s="168">
        <v>0.01</v>
      </c>
      <c r="U214" s="175">
        <v>0</v>
      </c>
      <c r="V214" s="176">
        <v>0</v>
      </c>
      <c r="W214" s="167"/>
      <c r="X214" s="175">
        <v>1984.3392550000001</v>
      </c>
      <c r="Y214" s="166">
        <v>638.26455428917996</v>
      </c>
      <c r="Z214" s="177">
        <v>573</v>
      </c>
      <c r="AA214" s="182">
        <v>1.1138997457053701</v>
      </c>
      <c r="AB214" s="183">
        <v>-110.62752533826701</v>
      </c>
      <c r="AC214" s="168">
        <v>1.4E-2</v>
      </c>
      <c r="AD214" s="168">
        <v>1.0999999999999999E-2</v>
      </c>
      <c r="AE214" s="176">
        <v>0</v>
      </c>
      <c r="AF214" s="176">
        <v>154</v>
      </c>
      <c r="AG214" s="167"/>
      <c r="AH214" s="180">
        <v>89</v>
      </c>
      <c r="AI214" s="166">
        <v>28.626932208593999</v>
      </c>
      <c r="AJ214" s="181" t="s">
        <v>53</v>
      </c>
      <c r="AK214" s="173">
        <v>0.454395749342762</v>
      </c>
      <c r="AL214" s="174">
        <v>-141.336661712584</v>
      </c>
      <c r="AM214" s="168"/>
      <c r="AN214" s="168"/>
      <c r="AO214" s="176">
        <v>107</v>
      </c>
      <c r="AP214" s="176">
        <v>147</v>
      </c>
      <c r="AQ214" s="167"/>
      <c r="AR214" s="180">
        <v>6.8</v>
      </c>
      <c r="AS214" s="166">
        <v>2.1872262811060601</v>
      </c>
      <c r="AT214" s="181" t="s">
        <v>54</v>
      </c>
      <c r="AU214" s="173">
        <v>0.13670164256912901</v>
      </c>
      <c r="AV214" s="174">
        <v>-51.698199800021399</v>
      </c>
      <c r="AW214" s="168"/>
      <c r="AX214" s="168"/>
      <c r="AY214" s="176">
        <v>43</v>
      </c>
      <c r="AZ214" s="176">
        <v>53</v>
      </c>
      <c r="BA214" s="167"/>
      <c r="BB214" s="184">
        <v>63.6</v>
      </c>
      <c r="BC214" s="180">
        <v>20.456998746815501</v>
      </c>
      <c r="BD214" s="181" t="s">
        <v>55</v>
      </c>
      <c r="BE214" s="173">
        <v>0.63928121083798495</v>
      </c>
      <c r="BF214" s="174">
        <v>-53.396399600042798</v>
      </c>
      <c r="BG214" s="168"/>
      <c r="BH214" s="168"/>
      <c r="BI214" s="176">
        <v>36</v>
      </c>
      <c r="BJ214" s="176">
        <v>56</v>
      </c>
      <c r="BK214" s="169"/>
      <c r="BL214" s="185">
        <v>0.8</v>
      </c>
      <c r="BM214" s="182">
        <v>0.88</v>
      </c>
      <c r="BN214" s="186">
        <v>3.0000000000000001E-3</v>
      </c>
      <c r="BO214" s="187">
        <v>0.95</v>
      </c>
      <c r="BP214" s="178">
        <v>1</v>
      </c>
      <c r="BQ214" s="186">
        <v>2.5000000000000001E-3</v>
      </c>
    </row>
    <row r="215" spans="1:69" s="156" customFormat="1" ht="22.35" customHeight="1" x14ac:dyDescent="0.2">
      <c r="A215" s="165" t="s">
        <v>275</v>
      </c>
      <c r="B215" s="165" t="s">
        <v>276</v>
      </c>
      <c r="C215" s="165" t="s">
        <v>282</v>
      </c>
      <c r="D215" s="166">
        <v>3.74723678633333</v>
      </c>
      <c r="E215" s="167"/>
      <c r="F215" s="168">
        <v>0.03</v>
      </c>
      <c r="G215" s="168">
        <v>0.03</v>
      </c>
      <c r="H215" s="169"/>
      <c r="I215" s="170">
        <v>4</v>
      </c>
      <c r="J215" s="170">
        <v>4</v>
      </c>
      <c r="K215" s="167"/>
      <c r="L215" s="171">
        <v>1384.8727699999999</v>
      </c>
      <c r="M215" s="171">
        <v>5116.8930600000003</v>
      </c>
      <c r="N215" s="171">
        <v>6501.7658300000003</v>
      </c>
      <c r="O215" s="166">
        <v>1735.0827291493299</v>
      </c>
      <c r="P215" s="172">
        <v>287.5</v>
      </c>
      <c r="Q215" s="178">
        <v>6.0350703622585398</v>
      </c>
      <c r="R215" s="179">
        <v>5234.8250725406997</v>
      </c>
      <c r="S215" s="168">
        <v>0.01</v>
      </c>
      <c r="T215" s="168">
        <v>0.01</v>
      </c>
      <c r="U215" s="175">
        <v>0</v>
      </c>
      <c r="V215" s="176">
        <v>0</v>
      </c>
      <c r="W215" s="167"/>
      <c r="X215" s="175">
        <v>2086.8885799999998</v>
      </c>
      <c r="Y215" s="166">
        <v>556.91398729089099</v>
      </c>
      <c r="Z215" s="177">
        <v>573</v>
      </c>
      <c r="AA215" s="188">
        <v>0.97192667939073396</v>
      </c>
      <c r="AB215" s="171">
        <v>-438.17943399714102</v>
      </c>
      <c r="AC215" s="168"/>
      <c r="AD215" s="168"/>
      <c r="AE215" s="176">
        <v>61</v>
      </c>
      <c r="AF215" s="176">
        <v>490</v>
      </c>
      <c r="AG215" s="167"/>
      <c r="AH215" s="180">
        <v>134.44999999999999</v>
      </c>
      <c r="AI215" s="166">
        <v>35.879771593393002</v>
      </c>
      <c r="AJ215" s="181" t="s">
        <v>53</v>
      </c>
      <c r="AK215" s="173">
        <v>0.56952018402211102</v>
      </c>
      <c r="AL215" s="174">
        <v>-143.175279025864</v>
      </c>
      <c r="AM215" s="168"/>
      <c r="AN215" s="168"/>
      <c r="AO215" s="176">
        <v>102</v>
      </c>
      <c r="AP215" s="176">
        <v>149</v>
      </c>
      <c r="AQ215" s="167"/>
      <c r="AR215" s="180">
        <v>39.200000000000003</v>
      </c>
      <c r="AS215" s="166">
        <v>10.4610416248494</v>
      </c>
      <c r="AT215" s="181" t="s">
        <v>54</v>
      </c>
      <c r="AU215" s="173">
        <v>0.65381510155308897</v>
      </c>
      <c r="AV215" s="174">
        <v>-31.3080073716479</v>
      </c>
      <c r="AW215" s="168"/>
      <c r="AX215" s="168"/>
      <c r="AY215" s="176">
        <v>21</v>
      </c>
      <c r="AZ215" s="176">
        <v>33</v>
      </c>
      <c r="BA215" s="167"/>
      <c r="BB215" s="184">
        <v>158</v>
      </c>
      <c r="BC215" s="180">
        <v>42.164402467505298</v>
      </c>
      <c r="BD215" s="181" t="s">
        <v>55</v>
      </c>
      <c r="BE215" s="178">
        <v>1.3176375771095401</v>
      </c>
      <c r="BF215" s="179">
        <v>16.983985256704099</v>
      </c>
      <c r="BG215" s="168">
        <v>0.02</v>
      </c>
      <c r="BH215" s="168">
        <v>0.02</v>
      </c>
      <c r="BI215" s="176">
        <v>0</v>
      </c>
      <c r="BJ215" s="176">
        <v>0</v>
      </c>
      <c r="BK215" s="169"/>
      <c r="BL215" s="185">
        <v>0.8</v>
      </c>
      <c r="BM215" s="182">
        <v>0.85</v>
      </c>
      <c r="BN215" s="186">
        <v>1.8749999999999999E-3</v>
      </c>
      <c r="BO215" s="187">
        <v>0.95</v>
      </c>
      <c r="BP215" s="178">
        <v>1</v>
      </c>
      <c r="BQ215" s="186">
        <v>2.5000000000000001E-3</v>
      </c>
    </row>
    <row r="216" spans="1:69" s="156" customFormat="1" ht="22.35" customHeight="1" x14ac:dyDescent="0.2">
      <c r="A216" s="165" t="s">
        <v>275</v>
      </c>
      <c r="B216" s="165" t="s">
        <v>276</v>
      </c>
      <c r="C216" s="165" t="s">
        <v>283</v>
      </c>
      <c r="D216" s="166">
        <v>4.8968438782222199</v>
      </c>
      <c r="E216" s="167"/>
      <c r="F216" s="168">
        <v>4.4999999999999998E-2</v>
      </c>
      <c r="G216" s="168">
        <v>4.2000000000000003E-2</v>
      </c>
      <c r="H216" s="169"/>
      <c r="I216" s="170">
        <v>4</v>
      </c>
      <c r="J216" s="170">
        <v>4</v>
      </c>
      <c r="K216" s="167"/>
      <c r="L216" s="171">
        <v>3967.29547</v>
      </c>
      <c r="M216" s="171">
        <v>4440.5732900000003</v>
      </c>
      <c r="N216" s="171">
        <v>8407.8687599999994</v>
      </c>
      <c r="O216" s="166">
        <v>1716.99751290671</v>
      </c>
      <c r="P216" s="172">
        <v>287.5</v>
      </c>
      <c r="Q216" s="178">
        <v>5.9721652622842099</v>
      </c>
      <c r="R216" s="179">
        <v>6752.2458447730696</v>
      </c>
      <c r="S216" s="168">
        <v>0.01</v>
      </c>
      <c r="T216" s="168">
        <v>0.01</v>
      </c>
      <c r="U216" s="175">
        <v>0</v>
      </c>
      <c r="V216" s="176">
        <v>0</v>
      </c>
      <c r="W216" s="167"/>
      <c r="X216" s="175">
        <v>3151.4695999999999</v>
      </c>
      <c r="Y216" s="166">
        <v>643.57158985924798</v>
      </c>
      <c r="Z216" s="177">
        <v>573</v>
      </c>
      <c r="AA216" s="182">
        <v>1.1231615878869901</v>
      </c>
      <c r="AB216" s="183">
        <v>-148.25885365228601</v>
      </c>
      <c r="AC216" s="168">
        <v>1.4999999999999999E-2</v>
      </c>
      <c r="AD216" s="168">
        <v>1.2E-2</v>
      </c>
      <c r="AE216" s="176">
        <v>0</v>
      </c>
      <c r="AF216" s="176">
        <v>216</v>
      </c>
      <c r="AG216" s="167"/>
      <c r="AH216" s="180">
        <v>226.6</v>
      </c>
      <c r="AI216" s="166">
        <v>46.2747037960022</v>
      </c>
      <c r="AJ216" s="181" t="s">
        <v>53</v>
      </c>
      <c r="AK216" s="173">
        <v>0.73451910787304997</v>
      </c>
      <c r="AL216" s="174">
        <v>-136.19736924972801</v>
      </c>
      <c r="AM216" s="168"/>
      <c r="AN216" s="168"/>
      <c r="AO216" s="176">
        <v>82</v>
      </c>
      <c r="AP216" s="176">
        <v>144</v>
      </c>
      <c r="AQ216" s="167"/>
      <c r="AR216" s="180">
        <v>58.3</v>
      </c>
      <c r="AS216" s="166">
        <v>11.9056276756705</v>
      </c>
      <c r="AT216" s="181" t="s">
        <v>54</v>
      </c>
      <c r="AU216" s="173">
        <v>0.74410172972940403</v>
      </c>
      <c r="AV216" s="174">
        <v>-33.839014412629297</v>
      </c>
      <c r="AW216" s="168"/>
      <c r="AX216" s="168"/>
      <c r="AY216" s="176">
        <v>21</v>
      </c>
      <c r="AZ216" s="176">
        <v>36</v>
      </c>
      <c r="BA216" s="167"/>
      <c r="BB216" s="184">
        <v>197.2</v>
      </c>
      <c r="BC216" s="180">
        <v>40.270836666247298</v>
      </c>
      <c r="BD216" s="181" t="s">
        <v>55</v>
      </c>
      <c r="BE216" s="178">
        <v>1.2584636458202301</v>
      </c>
      <c r="BF216" s="179">
        <v>12.9219711747415</v>
      </c>
      <c r="BG216" s="168">
        <v>0.02</v>
      </c>
      <c r="BH216" s="168">
        <v>0.02</v>
      </c>
      <c r="BI216" s="176">
        <v>0</v>
      </c>
      <c r="BJ216" s="176">
        <v>0</v>
      </c>
      <c r="BK216" s="169"/>
      <c r="BL216" s="185">
        <v>0.8</v>
      </c>
      <c r="BM216" s="188">
        <v>0.75</v>
      </c>
      <c r="BN216" s="186"/>
      <c r="BO216" s="187">
        <v>0.95</v>
      </c>
      <c r="BP216" s="178">
        <v>1</v>
      </c>
      <c r="BQ216" s="186">
        <v>2.5000000000000001E-3</v>
      </c>
    </row>
    <row r="217" spans="1:69" s="156" customFormat="1" ht="22.35" customHeight="1" x14ac:dyDescent="0.2">
      <c r="A217" s="165" t="s">
        <v>275</v>
      </c>
      <c r="B217" s="165" t="s">
        <v>276</v>
      </c>
      <c r="C217" s="165" t="s">
        <v>284</v>
      </c>
      <c r="D217" s="166">
        <v>2.87505723911111</v>
      </c>
      <c r="E217" s="167"/>
      <c r="F217" s="168">
        <v>2.3E-2</v>
      </c>
      <c r="G217" s="168">
        <v>0.02</v>
      </c>
      <c r="H217" s="169"/>
      <c r="I217" s="170">
        <v>3</v>
      </c>
      <c r="J217" s="170">
        <v>3</v>
      </c>
      <c r="K217" s="167"/>
      <c r="L217" s="171">
        <v>836.24391000000003</v>
      </c>
      <c r="M217" s="171">
        <v>2107.43606</v>
      </c>
      <c r="N217" s="171">
        <v>2943.6799700000001</v>
      </c>
      <c r="O217" s="166">
        <v>1023.86830076124</v>
      </c>
      <c r="P217" s="172">
        <v>287.5</v>
      </c>
      <c r="Q217" s="178">
        <v>3.5612810461260498</v>
      </c>
      <c r="R217" s="179">
        <v>1971.6231174565301</v>
      </c>
      <c r="S217" s="168">
        <v>0.01</v>
      </c>
      <c r="T217" s="168">
        <v>0.01</v>
      </c>
      <c r="U217" s="175">
        <v>0</v>
      </c>
      <c r="V217" s="176">
        <v>0</v>
      </c>
      <c r="W217" s="167"/>
      <c r="X217" s="175">
        <v>1817.3734649999999</v>
      </c>
      <c r="Y217" s="166">
        <v>632.11731588407702</v>
      </c>
      <c r="Z217" s="177">
        <v>573</v>
      </c>
      <c r="AA217" s="182">
        <v>1.1031715809495199</v>
      </c>
      <c r="AB217" s="183">
        <v>-119.97810546054301</v>
      </c>
      <c r="AC217" s="168">
        <v>1.2999999999999999E-2</v>
      </c>
      <c r="AD217" s="168">
        <v>0.01</v>
      </c>
      <c r="AE217" s="176">
        <v>0</v>
      </c>
      <c r="AF217" s="176">
        <v>160</v>
      </c>
      <c r="AG217" s="167"/>
      <c r="AH217" s="180">
        <v>111.25</v>
      </c>
      <c r="AI217" s="166">
        <v>38.694881787604103</v>
      </c>
      <c r="AJ217" s="181" t="s">
        <v>53</v>
      </c>
      <c r="AK217" s="173">
        <v>0.61420447281911295</v>
      </c>
      <c r="AL217" s="174">
        <v>-101.75724073126401</v>
      </c>
      <c r="AM217" s="168"/>
      <c r="AN217" s="168"/>
      <c r="AO217" s="176">
        <v>70</v>
      </c>
      <c r="AP217" s="176">
        <v>107</v>
      </c>
      <c r="AQ217" s="167"/>
      <c r="AR217" s="180">
        <v>22.6</v>
      </c>
      <c r="AS217" s="166">
        <v>7.8607130642683503</v>
      </c>
      <c r="AT217" s="181" t="s">
        <v>54</v>
      </c>
      <c r="AU217" s="173">
        <v>0.491294566516772</v>
      </c>
      <c r="AV217" s="174">
        <v>-31.497077011114602</v>
      </c>
      <c r="AW217" s="168"/>
      <c r="AX217" s="168"/>
      <c r="AY217" s="176">
        <v>24</v>
      </c>
      <c r="AZ217" s="176">
        <v>33</v>
      </c>
      <c r="BA217" s="167"/>
      <c r="BB217" s="184">
        <v>75</v>
      </c>
      <c r="BC217" s="180">
        <v>26.086437160182602</v>
      </c>
      <c r="BD217" s="181" t="s">
        <v>55</v>
      </c>
      <c r="BE217" s="188">
        <v>0.81520116125570496</v>
      </c>
      <c r="BF217" s="171">
        <v>-33.194154022229299</v>
      </c>
      <c r="BG217" s="168"/>
      <c r="BH217" s="168"/>
      <c r="BI217" s="176">
        <v>18</v>
      </c>
      <c r="BJ217" s="176">
        <v>36</v>
      </c>
      <c r="BK217" s="169"/>
      <c r="BL217" s="185">
        <v>0.8</v>
      </c>
      <c r="BM217" s="188">
        <v>0.73</v>
      </c>
      <c r="BN217" s="186"/>
      <c r="BO217" s="187">
        <v>0.95</v>
      </c>
      <c r="BP217" s="178">
        <v>1</v>
      </c>
      <c r="BQ217" s="186">
        <v>2.5000000000000001E-3</v>
      </c>
    </row>
    <row r="218" spans="1:69" s="156" customFormat="1" ht="22.35" customHeight="1" x14ac:dyDescent="0.2">
      <c r="A218" s="165" t="s">
        <v>275</v>
      </c>
      <c r="B218" s="165" t="s">
        <v>276</v>
      </c>
      <c r="C218" s="165" t="s">
        <v>285</v>
      </c>
      <c r="D218" s="166">
        <v>2.5461804328888902</v>
      </c>
      <c r="E218" s="167"/>
      <c r="F218" s="168">
        <v>3.3000000000000002E-2</v>
      </c>
      <c r="G218" s="168">
        <v>3.1E-2</v>
      </c>
      <c r="H218" s="169"/>
      <c r="I218" s="170">
        <v>5</v>
      </c>
      <c r="J218" s="170">
        <v>5</v>
      </c>
      <c r="K218" s="167"/>
      <c r="L218" s="171">
        <v>2781.8018000000002</v>
      </c>
      <c r="M218" s="171">
        <v>2224.1671700000002</v>
      </c>
      <c r="N218" s="171">
        <v>5005.9689699999999</v>
      </c>
      <c r="O218" s="166">
        <v>1966.07000247828</v>
      </c>
      <c r="P218" s="172">
        <v>271.947</v>
      </c>
      <c r="Q218" s="178">
        <v>7.2296072487590601</v>
      </c>
      <c r="R218" s="179">
        <v>4191.6758409049899</v>
      </c>
      <c r="S218" s="168">
        <v>0.01</v>
      </c>
      <c r="T218" s="168">
        <v>0.01</v>
      </c>
      <c r="U218" s="175">
        <v>0</v>
      </c>
      <c r="V218" s="176">
        <v>0</v>
      </c>
      <c r="W218" s="167"/>
      <c r="X218" s="175">
        <v>2434.1344749999998</v>
      </c>
      <c r="Y218" s="166">
        <v>955.99449416797097</v>
      </c>
      <c r="Z218" s="177">
        <v>573</v>
      </c>
      <c r="AA218" s="178">
        <v>1.66840225858285</v>
      </c>
      <c r="AB218" s="179">
        <v>718.39588265868804</v>
      </c>
      <c r="AC218" s="168">
        <v>0.02</v>
      </c>
      <c r="AD218" s="168">
        <v>0.02</v>
      </c>
      <c r="AE218" s="176">
        <v>0</v>
      </c>
      <c r="AF218" s="176">
        <v>0</v>
      </c>
      <c r="AG218" s="167"/>
      <c r="AH218" s="180">
        <v>138.85</v>
      </c>
      <c r="AI218" s="166">
        <v>54.5326632026864</v>
      </c>
      <c r="AJ218" s="181" t="s">
        <v>53</v>
      </c>
      <c r="AK218" s="188">
        <v>0.86559782861406998</v>
      </c>
      <c r="AL218" s="171">
        <v>-49.7914159118721</v>
      </c>
      <c r="AM218" s="168"/>
      <c r="AN218" s="168"/>
      <c r="AO218" s="176">
        <v>22</v>
      </c>
      <c r="AP218" s="176">
        <v>54</v>
      </c>
      <c r="AQ218" s="167"/>
      <c r="AR218" s="180">
        <v>17.8</v>
      </c>
      <c r="AS218" s="166">
        <v>6.9908635578524896</v>
      </c>
      <c r="AT218" s="181" t="s">
        <v>54</v>
      </c>
      <c r="AU218" s="173">
        <v>0.43692897236578099</v>
      </c>
      <c r="AV218" s="174">
        <v>-30.1089310252373</v>
      </c>
      <c r="AW218" s="168"/>
      <c r="AX218" s="168"/>
      <c r="AY218" s="176">
        <v>23</v>
      </c>
      <c r="AZ218" s="176">
        <v>32</v>
      </c>
      <c r="BA218" s="167"/>
      <c r="BB218" s="184">
        <v>82.6</v>
      </c>
      <c r="BC218" s="180">
        <v>32.4407488695851</v>
      </c>
      <c r="BD218" s="181" t="s">
        <v>55</v>
      </c>
      <c r="BE218" s="182">
        <v>1.0137734021745399</v>
      </c>
      <c r="BF218" s="183">
        <v>-13.2178620504747</v>
      </c>
      <c r="BG218" s="168">
        <v>3.0000000000000001E-3</v>
      </c>
      <c r="BH218" s="168">
        <v>1E-3</v>
      </c>
      <c r="BI218" s="176">
        <v>0</v>
      </c>
      <c r="BJ218" s="176">
        <v>16</v>
      </c>
      <c r="BK218" s="169"/>
      <c r="BL218" s="185">
        <v>0.8</v>
      </c>
      <c r="BM218" s="182">
        <v>0.82</v>
      </c>
      <c r="BN218" s="186">
        <v>7.5000000000000002E-4</v>
      </c>
      <c r="BO218" s="187">
        <v>0.95</v>
      </c>
      <c r="BP218" s="178">
        <v>1</v>
      </c>
      <c r="BQ218" s="186">
        <v>2.5000000000000001E-3</v>
      </c>
    </row>
    <row r="219" spans="1:69" s="156" customFormat="1" ht="22.35" customHeight="1" x14ac:dyDescent="0.2">
      <c r="A219" s="165" t="s">
        <v>275</v>
      </c>
      <c r="B219" s="165" t="s">
        <v>276</v>
      </c>
      <c r="C219" s="165" t="s">
        <v>286</v>
      </c>
      <c r="D219" s="166">
        <v>3.79118941177778</v>
      </c>
      <c r="E219" s="167"/>
      <c r="F219" s="168">
        <v>0.03</v>
      </c>
      <c r="G219" s="168">
        <v>0.03</v>
      </c>
      <c r="H219" s="169"/>
      <c r="I219" s="170">
        <v>3</v>
      </c>
      <c r="J219" s="170">
        <v>3</v>
      </c>
      <c r="K219" s="167"/>
      <c r="L219" s="171">
        <v>2348.2290200000002</v>
      </c>
      <c r="M219" s="171">
        <v>2389.9216200000001</v>
      </c>
      <c r="N219" s="171">
        <v>4738.1506399999998</v>
      </c>
      <c r="O219" s="166">
        <v>1249.77945582998</v>
      </c>
      <c r="P219" s="172">
        <v>272.346</v>
      </c>
      <c r="Q219" s="178">
        <v>4.5889400095098898</v>
      </c>
      <c r="R219" s="179">
        <v>3523.9126806689201</v>
      </c>
      <c r="S219" s="168">
        <v>0.01</v>
      </c>
      <c r="T219" s="168">
        <v>0.01</v>
      </c>
      <c r="U219" s="175">
        <v>0</v>
      </c>
      <c r="V219" s="176">
        <v>0</v>
      </c>
      <c r="W219" s="167"/>
      <c r="X219" s="175">
        <v>1633.338665</v>
      </c>
      <c r="Y219" s="166">
        <v>430.82486459944198</v>
      </c>
      <c r="Z219" s="177">
        <v>573</v>
      </c>
      <c r="AA219" s="173">
        <v>0.75187585444928795</v>
      </c>
      <c r="AB219" s="174">
        <v>-921.34673774763303</v>
      </c>
      <c r="AC219" s="168"/>
      <c r="AD219" s="168"/>
      <c r="AE219" s="176">
        <v>540</v>
      </c>
      <c r="AF219" s="176">
        <v>974</v>
      </c>
      <c r="AG219" s="167"/>
      <c r="AH219" s="180">
        <v>93.9</v>
      </c>
      <c r="AI219" s="166">
        <v>24.767952692706</v>
      </c>
      <c r="AJ219" s="181" t="s">
        <v>53</v>
      </c>
      <c r="AK219" s="173">
        <v>0.39314210623342899</v>
      </c>
      <c r="AL219" s="174">
        <v>-186.981641139792</v>
      </c>
      <c r="AM219" s="168"/>
      <c r="AN219" s="168"/>
      <c r="AO219" s="176">
        <v>145</v>
      </c>
      <c r="AP219" s="176">
        <v>193</v>
      </c>
      <c r="AQ219" s="167"/>
      <c r="AR219" s="180">
        <v>33</v>
      </c>
      <c r="AS219" s="166">
        <v>8.7043923201203306</v>
      </c>
      <c r="AT219" s="181" t="s">
        <v>54</v>
      </c>
      <c r="AU219" s="173">
        <v>0.544024520007521</v>
      </c>
      <c r="AV219" s="174">
        <v>-38.335019972010699</v>
      </c>
      <c r="AW219" s="168"/>
      <c r="AX219" s="168"/>
      <c r="AY219" s="176">
        <v>28</v>
      </c>
      <c r="AZ219" s="176">
        <v>40</v>
      </c>
      <c r="BA219" s="167"/>
      <c r="BB219" s="184">
        <v>204.4</v>
      </c>
      <c r="BC219" s="180">
        <v>53.914478491896801</v>
      </c>
      <c r="BD219" s="181" t="s">
        <v>55</v>
      </c>
      <c r="BE219" s="178">
        <v>1.6848274528717799</v>
      </c>
      <c r="BF219" s="179">
        <v>61.729960055978601</v>
      </c>
      <c r="BG219" s="168">
        <v>0.02</v>
      </c>
      <c r="BH219" s="168">
        <v>0.02</v>
      </c>
      <c r="BI219" s="176">
        <v>0</v>
      </c>
      <c r="BJ219" s="176">
        <v>0</v>
      </c>
      <c r="BK219" s="169"/>
      <c r="BL219" s="185">
        <v>0.8</v>
      </c>
      <c r="BM219" s="188">
        <v>0.75</v>
      </c>
      <c r="BN219" s="186"/>
      <c r="BO219" s="187">
        <v>0.95</v>
      </c>
      <c r="BP219" s="178">
        <v>1</v>
      </c>
      <c r="BQ219" s="186">
        <v>2.5000000000000001E-3</v>
      </c>
    </row>
    <row r="220" spans="1:69" s="156" customFormat="1" ht="22.35" customHeight="1" x14ac:dyDescent="0.2">
      <c r="A220" s="165" t="s">
        <v>275</v>
      </c>
      <c r="B220" s="165" t="s">
        <v>276</v>
      </c>
      <c r="C220" s="165" t="s">
        <v>287</v>
      </c>
      <c r="D220" s="166">
        <v>4.0983728111111102</v>
      </c>
      <c r="E220" s="167"/>
      <c r="F220" s="168">
        <v>2.5999999999999999E-2</v>
      </c>
      <c r="G220" s="168">
        <v>2.3E-2</v>
      </c>
      <c r="H220" s="169"/>
      <c r="I220" s="170">
        <v>3</v>
      </c>
      <c r="J220" s="170">
        <v>3</v>
      </c>
      <c r="K220" s="167"/>
      <c r="L220" s="171">
        <v>2801.6782199999998</v>
      </c>
      <c r="M220" s="171">
        <v>2541.6904100000002</v>
      </c>
      <c r="N220" s="171">
        <v>5343.3686299999999</v>
      </c>
      <c r="O220" s="166">
        <v>1303.77807883011</v>
      </c>
      <c r="P220" s="172">
        <v>276.21300000000002</v>
      </c>
      <c r="Q220" s="178">
        <v>4.7201908629576099</v>
      </c>
      <c r="R220" s="179">
        <v>4012.1085832520898</v>
      </c>
      <c r="S220" s="168">
        <v>0.01</v>
      </c>
      <c r="T220" s="168">
        <v>0.01</v>
      </c>
      <c r="U220" s="175">
        <v>0</v>
      </c>
      <c r="V220" s="176">
        <v>0</v>
      </c>
      <c r="W220" s="167"/>
      <c r="X220" s="175">
        <v>1930.296335</v>
      </c>
      <c r="Y220" s="166">
        <v>470.99090882283002</v>
      </c>
      <c r="Z220" s="177">
        <v>573</v>
      </c>
      <c r="AA220" s="188">
        <v>0.82197366286706897</v>
      </c>
      <c r="AB220" s="171">
        <v>-831.38398702159805</v>
      </c>
      <c r="AC220" s="168"/>
      <c r="AD220" s="168"/>
      <c r="AE220" s="176">
        <v>419</v>
      </c>
      <c r="AF220" s="176">
        <v>888</v>
      </c>
      <c r="AG220" s="167"/>
      <c r="AH220" s="180">
        <v>160.94999999999999</v>
      </c>
      <c r="AI220" s="166">
        <v>39.271683523677503</v>
      </c>
      <c r="AJ220" s="181" t="s">
        <v>53</v>
      </c>
      <c r="AK220" s="173">
        <v>0.62336005593138799</v>
      </c>
      <c r="AL220" s="174">
        <v>-142.6902448296</v>
      </c>
      <c r="AM220" s="168"/>
      <c r="AN220" s="168"/>
      <c r="AO220" s="176">
        <v>98</v>
      </c>
      <c r="AP220" s="176">
        <v>149</v>
      </c>
      <c r="AQ220" s="167"/>
      <c r="AR220" s="180">
        <v>28.8</v>
      </c>
      <c r="AS220" s="166">
        <v>7.0271791580112604</v>
      </c>
      <c r="AT220" s="181" t="s">
        <v>54</v>
      </c>
      <c r="AU220" s="173">
        <v>0.43919869737570399</v>
      </c>
      <c r="AV220" s="174">
        <v>-48.3149828138666</v>
      </c>
      <c r="AW220" s="168"/>
      <c r="AX220" s="168"/>
      <c r="AY220" s="176">
        <v>37</v>
      </c>
      <c r="AZ220" s="176">
        <v>50</v>
      </c>
      <c r="BA220" s="167"/>
      <c r="BB220" s="184">
        <v>148.80000000000001</v>
      </c>
      <c r="BC220" s="180">
        <v>36.307092316391497</v>
      </c>
      <c r="BD220" s="181" t="s">
        <v>55</v>
      </c>
      <c r="BE220" s="182">
        <v>1.1345966348872301</v>
      </c>
      <c r="BF220" s="183">
        <v>-5.4299656277332504</v>
      </c>
      <c r="BG220" s="168">
        <v>1.6E-2</v>
      </c>
      <c r="BH220" s="168">
        <v>1.2999999999999999E-2</v>
      </c>
      <c r="BI220" s="176">
        <v>0</v>
      </c>
      <c r="BJ220" s="176">
        <v>9</v>
      </c>
      <c r="BK220" s="169"/>
      <c r="BL220" s="185">
        <v>0.8</v>
      </c>
      <c r="BM220" s="188">
        <v>0.78</v>
      </c>
      <c r="BN220" s="186"/>
      <c r="BO220" s="187">
        <v>0.95</v>
      </c>
      <c r="BP220" s="178">
        <v>1</v>
      </c>
      <c r="BQ220" s="186">
        <v>2.5000000000000001E-3</v>
      </c>
    </row>
    <row r="221" spans="1:69" s="156" customFormat="1" ht="22.35" customHeight="1" x14ac:dyDescent="0.2">
      <c r="A221" s="165" t="s">
        <v>275</v>
      </c>
      <c r="B221" s="165" t="s">
        <v>276</v>
      </c>
      <c r="C221" s="165" t="s">
        <v>288</v>
      </c>
      <c r="D221" s="166">
        <v>3.0671238162222201</v>
      </c>
      <c r="E221" s="167"/>
      <c r="F221" s="168">
        <v>1.2999999999999999E-2</v>
      </c>
      <c r="G221" s="168">
        <v>1.0999999999999999E-2</v>
      </c>
      <c r="H221" s="169"/>
      <c r="I221" s="170">
        <v>4</v>
      </c>
      <c r="J221" s="170">
        <v>4</v>
      </c>
      <c r="K221" s="167"/>
      <c r="L221" s="171">
        <v>726.80858999999998</v>
      </c>
      <c r="M221" s="171">
        <v>1249.59978</v>
      </c>
      <c r="N221" s="171">
        <v>1976.4083700000001</v>
      </c>
      <c r="O221" s="166">
        <v>644.384931428801</v>
      </c>
      <c r="P221" s="172">
        <v>259.01299999999998</v>
      </c>
      <c r="Q221" s="178">
        <v>2.4878478355480298</v>
      </c>
      <c r="R221" s="179">
        <v>1042.16463937087</v>
      </c>
      <c r="S221" s="168">
        <v>0.01</v>
      </c>
      <c r="T221" s="168">
        <v>0.01</v>
      </c>
      <c r="U221" s="175">
        <v>0</v>
      </c>
      <c r="V221" s="176">
        <v>0</v>
      </c>
      <c r="W221" s="167"/>
      <c r="X221" s="175">
        <v>1146.0728200000001</v>
      </c>
      <c r="Y221" s="166">
        <v>373.66369558944598</v>
      </c>
      <c r="Z221" s="177">
        <v>573</v>
      </c>
      <c r="AA221" s="173">
        <v>0.65211814238995802</v>
      </c>
      <c r="AB221" s="174">
        <v>-920.70242931371001</v>
      </c>
      <c r="AC221" s="168"/>
      <c r="AD221" s="168"/>
      <c r="AE221" s="176">
        <v>612</v>
      </c>
      <c r="AF221" s="176">
        <v>963</v>
      </c>
      <c r="AG221" s="167"/>
      <c r="AH221" s="180">
        <v>106.25</v>
      </c>
      <c r="AI221" s="166">
        <v>34.641575093263803</v>
      </c>
      <c r="AJ221" s="181" t="s">
        <v>53</v>
      </c>
      <c r="AK221" s="173">
        <v>0.549866271321648</v>
      </c>
      <c r="AL221" s="174">
        <v>-120.987069296272</v>
      </c>
      <c r="AM221" s="168"/>
      <c r="AN221" s="168"/>
      <c r="AO221" s="176">
        <v>87</v>
      </c>
      <c r="AP221" s="176">
        <v>126</v>
      </c>
      <c r="AQ221" s="167"/>
      <c r="AR221" s="180">
        <v>17.600000000000001</v>
      </c>
      <c r="AS221" s="166">
        <v>5.7382750272135796</v>
      </c>
      <c r="AT221" s="181" t="s">
        <v>54</v>
      </c>
      <c r="AU221" s="173">
        <v>0.358642189200849</v>
      </c>
      <c r="AV221" s="174">
        <v>-40.111001726037301</v>
      </c>
      <c r="AW221" s="168"/>
      <c r="AX221" s="168"/>
      <c r="AY221" s="176">
        <v>32</v>
      </c>
      <c r="AZ221" s="176">
        <v>42</v>
      </c>
      <c r="BA221" s="167"/>
      <c r="BB221" s="184">
        <v>98.8</v>
      </c>
      <c r="BC221" s="180">
        <v>32.212589357312602</v>
      </c>
      <c r="BD221" s="181" t="s">
        <v>55</v>
      </c>
      <c r="BE221" s="182">
        <v>1.0066434174160199</v>
      </c>
      <c r="BF221" s="183">
        <v>-16.622003452074601</v>
      </c>
      <c r="BG221" s="168">
        <v>3.0000000000000001E-3</v>
      </c>
      <c r="BH221" s="168">
        <v>1E-3</v>
      </c>
      <c r="BI221" s="176">
        <v>0</v>
      </c>
      <c r="BJ221" s="176">
        <v>19</v>
      </c>
      <c r="BK221" s="169"/>
      <c r="BL221" s="185">
        <v>0.8</v>
      </c>
      <c r="BM221" s="182">
        <v>0.82</v>
      </c>
      <c r="BN221" s="186">
        <v>7.5000000000000002E-4</v>
      </c>
      <c r="BO221" s="187">
        <v>0.95</v>
      </c>
      <c r="BP221" s="178">
        <v>1</v>
      </c>
      <c r="BQ221" s="186">
        <v>2.5000000000000001E-3</v>
      </c>
    </row>
    <row r="222" spans="1:69" s="156" customFormat="1" ht="22.35" customHeight="1" x14ac:dyDescent="0.2">
      <c r="A222" s="165" t="s">
        <v>275</v>
      </c>
      <c r="B222" s="165" t="s">
        <v>276</v>
      </c>
      <c r="C222" s="165" t="s">
        <v>289</v>
      </c>
      <c r="D222" s="166">
        <v>7.3002462538888899</v>
      </c>
      <c r="E222" s="167"/>
      <c r="F222" s="168">
        <v>2.1999999999999999E-2</v>
      </c>
      <c r="G222" s="168">
        <v>0.02</v>
      </c>
      <c r="H222" s="169"/>
      <c r="I222" s="170">
        <v>3</v>
      </c>
      <c r="J222" s="170">
        <v>3</v>
      </c>
      <c r="K222" s="167"/>
      <c r="L222" s="171">
        <v>3938.4114199999999</v>
      </c>
      <c r="M222" s="171">
        <v>2872.3741500000001</v>
      </c>
      <c r="N222" s="171">
        <v>6810.78557</v>
      </c>
      <c r="O222" s="166">
        <v>932.95285297695898</v>
      </c>
      <c r="P222" s="172">
        <v>287.5</v>
      </c>
      <c r="Q222" s="178">
        <v>3.24505340165899</v>
      </c>
      <c r="R222" s="179">
        <v>4342.5723115601704</v>
      </c>
      <c r="S222" s="168">
        <v>0.01</v>
      </c>
      <c r="T222" s="168">
        <v>0.01</v>
      </c>
      <c r="U222" s="175">
        <v>0</v>
      </c>
      <c r="V222" s="176">
        <v>0</v>
      </c>
      <c r="W222" s="167"/>
      <c r="X222" s="175">
        <v>3201.8572450000001</v>
      </c>
      <c r="Y222" s="166">
        <v>438.59578617561698</v>
      </c>
      <c r="Z222" s="177">
        <v>573</v>
      </c>
      <c r="AA222" s="173">
        <v>0.76543767220875603</v>
      </c>
      <c r="AB222" s="174">
        <v>-1717.3990926905201</v>
      </c>
      <c r="AC222" s="168"/>
      <c r="AD222" s="168"/>
      <c r="AE222" s="176">
        <v>982</v>
      </c>
      <c r="AF222" s="176">
        <v>1818</v>
      </c>
      <c r="AG222" s="167"/>
      <c r="AH222" s="180">
        <v>261.89999999999998</v>
      </c>
      <c r="AI222" s="166">
        <v>35.875502125765202</v>
      </c>
      <c r="AJ222" s="181" t="s">
        <v>53</v>
      </c>
      <c r="AK222" s="173">
        <v>0.56945241469468499</v>
      </c>
      <c r="AL222" s="174">
        <v>-278.96064445811999</v>
      </c>
      <c r="AM222" s="168"/>
      <c r="AN222" s="168"/>
      <c r="AO222" s="176">
        <v>199</v>
      </c>
      <c r="AP222" s="176">
        <v>290</v>
      </c>
      <c r="AQ222" s="167"/>
      <c r="AR222" s="180">
        <v>67.8</v>
      </c>
      <c r="AS222" s="166">
        <v>9.2873579386287801</v>
      </c>
      <c r="AT222" s="181" t="s">
        <v>54</v>
      </c>
      <c r="AU222" s="173">
        <v>0.58045987116429898</v>
      </c>
      <c r="AV222" s="174">
        <v>-69.561433513173299</v>
      </c>
      <c r="AW222" s="168"/>
      <c r="AX222" s="168"/>
      <c r="AY222" s="176">
        <v>50</v>
      </c>
      <c r="AZ222" s="176">
        <v>73</v>
      </c>
      <c r="BA222" s="167"/>
      <c r="BB222" s="184">
        <v>257.39999999999998</v>
      </c>
      <c r="BC222" s="180">
        <v>35.2590845634668</v>
      </c>
      <c r="BD222" s="181" t="s">
        <v>55</v>
      </c>
      <c r="BE222" s="182">
        <v>1.1018463926083399</v>
      </c>
      <c r="BF222" s="183">
        <v>-17.3228670263467</v>
      </c>
      <c r="BG222" s="168">
        <v>1.2E-2</v>
      </c>
      <c r="BH222" s="168">
        <v>0.01</v>
      </c>
      <c r="BI222" s="176">
        <v>0</v>
      </c>
      <c r="BJ222" s="176">
        <v>23</v>
      </c>
      <c r="BK222" s="169"/>
      <c r="BL222" s="185">
        <v>0.8</v>
      </c>
      <c r="BM222" s="173">
        <v>0.66</v>
      </c>
      <c r="BN222" s="186"/>
      <c r="BO222" s="187">
        <v>0.95</v>
      </c>
      <c r="BP222" s="178">
        <v>1</v>
      </c>
      <c r="BQ222" s="186">
        <v>2.5000000000000001E-3</v>
      </c>
    </row>
    <row r="223" spans="1:69" s="156" customFormat="1" ht="22.35" customHeight="1" x14ac:dyDescent="0.2">
      <c r="A223" s="165" t="s">
        <v>275</v>
      </c>
      <c r="B223" s="165" t="s">
        <v>276</v>
      </c>
      <c r="C223" s="165" t="s">
        <v>290</v>
      </c>
      <c r="D223" s="166">
        <v>2.9612506945555599</v>
      </c>
      <c r="E223" s="167"/>
      <c r="F223" s="168">
        <v>0.06</v>
      </c>
      <c r="G223" s="168">
        <v>0.06</v>
      </c>
      <c r="H223" s="169"/>
      <c r="I223" s="170">
        <v>6</v>
      </c>
      <c r="J223" s="170">
        <v>6</v>
      </c>
      <c r="K223" s="167"/>
      <c r="L223" s="171">
        <v>1491.6829600000001</v>
      </c>
      <c r="M223" s="171">
        <v>1478.2061000000001</v>
      </c>
      <c r="N223" s="171">
        <v>2969.88906</v>
      </c>
      <c r="O223" s="166">
        <v>1002.91713412185</v>
      </c>
      <c r="P223" s="172">
        <v>273.31099999999998</v>
      </c>
      <c r="Q223" s="178">
        <v>3.6695088529984199</v>
      </c>
      <c r="R223" s="179">
        <v>2018.1024110302999</v>
      </c>
      <c r="S223" s="168">
        <v>0.01</v>
      </c>
      <c r="T223" s="168">
        <v>0.01</v>
      </c>
      <c r="U223" s="175">
        <v>0</v>
      </c>
      <c r="V223" s="176">
        <v>0</v>
      </c>
      <c r="W223" s="167"/>
      <c r="X223" s="175">
        <v>2048.5781099999999</v>
      </c>
      <c r="Y223" s="166">
        <v>691.79489388265495</v>
      </c>
      <c r="Z223" s="177">
        <v>573</v>
      </c>
      <c r="AA223" s="178">
        <v>1.2073209317323801</v>
      </c>
      <c r="AB223" s="179">
        <v>53.145251975125099</v>
      </c>
      <c r="AC223" s="168">
        <v>0.02</v>
      </c>
      <c r="AD223" s="168">
        <v>0.02</v>
      </c>
      <c r="AE223" s="176">
        <v>0</v>
      </c>
      <c r="AF223" s="176">
        <v>0</v>
      </c>
      <c r="AG223" s="167"/>
      <c r="AH223" s="180">
        <v>151.65</v>
      </c>
      <c r="AI223" s="166">
        <v>51.2114696262691</v>
      </c>
      <c r="AJ223" s="181" t="s">
        <v>53</v>
      </c>
      <c r="AK223" s="188">
        <v>0.81288047025823895</v>
      </c>
      <c r="AL223" s="171">
        <v>-67.743141458232301</v>
      </c>
      <c r="AM223" s="168"/>
      <c r="AN223" s="168"/>
      <c r="AO223" s="176">
        <v>35</v>
      </c>
      <c r="AP223" s="176">
        <v>73</v>
      </c>
      <c r="AQ223" s="167"/>
      <c r="AR223" s="180">
        <v>71</v>
      </c>
      <c r="AS223" s="166">
        <v>23.9763557102875</v>
      </c>
      <c r="AT223" s="181" t="s">
        <v>54</v>
      </c>
      <c r="AU223" s="178">
        <v>1.4985222318929701</v>
      </c>
      <c r="AV223" s="179">
        <v>15.281106931242601</v>
      </c>
      <c r="AW223" s="168">
        <v>0.01</v>
      </c>
      <c r="AX223" s="168">
        <v>0.01</v>
      </c>
      <c r="AY223" s="176">
        <v>0</v>
      </c>
      <c r="AZ223" s="176">
        <v>0</v>
      </c>
      <c r="BA223" s="167"/>
      <c r="BB223" s="184">
        <v>240.4</v>
      </c>
      <c r="BC223" s="180">
        <v>81.181914264128494</v>
      </c>
      <c r="BD223" s="181" t="s">
        <v>55</v>
      </c>
      <c r="BE223" s="178">
        <v>2.5369348207540101</v>
      </c>
      <c r="BF223" s="179">
        <v>128.96221386248499</v>
      </c>
      <c r="BG223" s="168">
        <v>0.02</v>
      </c>
      <c r="BH223" s="168">
        <v>0.02</v>
      </c>
      <c r="BI223" s="176">
        <v>0</v>
      </c>
      <c r="BJ223" s="176">
        <v>0</v>
      </c>
      <c r="BK223" s="169"/>
      <c r="BL223" s="185">
        <v>0.8</v>
      </c>
      <c r="BM223" s="182">
        <v>0.82</v>
      </c>
      <c r="BN223" s="186">
        <v>7.5000000000000002E-4</v>
      </c>
      <c r="BO223" s="187">
        <v>0.95</v>
      </c>
      <c r="BP223" s="178">
        <v>1</v>
      </c>
      <c r="BQ223" s="186">
        <v>2.5000000000000001E-3</v>
      </c>
    </row>
    <row r="224" spans="1:69" s="156" customFormat="1" ht="22.35" customHeight="1" x14ac:dyDescent="0.2">
      <c r="A224" s="165" t="s">
        <v>275</v>
      </c>
      <c r="B224" s="165" t="s">
        <v>276</v>
      </c>
      <c r="C224" s="165" t="s">
        <v>291</v>
      </c>
      <c r="D224" s="166">
        <v>3.1521611030000001</v>
      </c>
      <c r="E224" s="167"/>
      <c r="F224" s="168">
        <v>3.3000000000000002E-2</v>
      </c>
      <c r="G224" s="168">
        <v>3.1E-2</v>
      </c>
      <c r="H224" s="169"/>
      <c r="I224" s="170">
        <v>4</v>
      </c>
      <c r="J224" s="170">
        <v>4</v>
      </c>
      <c r="K224" s="167"/>
      <c r="L224" s="171">
        <v>1335.1375700000001</v>
      </c>
      <c r="M224" s="171">
        <v>1062.2058500000001</v>
      </c>
      <c r="N224" s="171">
        <v>2397.3434200000002</v>
      </c>
      <c r="O224" s="166">
        <v>760.53962397999896</v>
      </c>
      <c r="P224" s="172">
        <v>216.041</v>
      </c>
      <c r="Q224" s="178">
        <v>3.5203485633745402</v>
      </c>
      <c r="R224" s="179">
        <v>1596.4920806606101</v>
      </c>
      <c r="S224" s="168">
        <v>0.01</v>
      </c>
      <c r="T224" s="168">
        <v>0.01</v>
      </c>
      <c r="U224" s="175">
        <v>0</v>
      </c>
      <c r="V224" s="176">
        <v>0</v>
      </c>
      <c r="W224" s="167"/>
      <c r="X224" s="175">
        <v>1684.2708150000001</v>
      </c>
      <c r="Y224" s="166">
        <v>534.32256790334498</v>
      </c>
      <c r="Z224" s="177">
        <v>573</v>
      </c>
      <c r="AA224" s="188">
        <v>0.93250011850496495</v>
      </c>
      <c r="AB224" s="171">
        <v>-439.80663993434399</v>
      </c>
      <c r="AC224" s="168"/>
      <c r="AD224" s="168"/>
      <c r="AE224" s="176">
        <v>122</v>
      </c>
      <c r="AF224" s="176">
        <v>484</v>
      </c>
      <c r="AG224" s="167"/>
      <c r="AH224" s="180">
        <v>200.55</v>
      </c>
      <c r="AI224" s="166">
        <v>63.623017176733399</v>
      </c>
      <c r="AJ224" s="181" t="s">
        <v>53</v>
      </c>
      <c r="AK224" s="182">
        <v>1.0098891615354499</v>
      </c>
      <c r="AL224" s="183">
        <v>-32.987311799064003</v>
      </c>
      <c r="AM224" s="168">
        <v>3.0000000000000001E-3</v>
      </c>
      <c r="AN224" s="168">
        <v>1E-3</v>
      </c>
      <c r="AO224" s="176">
        <v>0</v>
      </c>
      <c r="AP224" s="176">
        <v>38</v>
      </c>
      <c r="AQ224" s="167"/>
      <c r="AR224" s="180">
        <v>9</v>
      </c>
      <c r="AS224" s="166">
        <v>2.8551840169065099</v>
      </c>
      <c r="AT224" s="181" t="s">
        <v>54</v>
      </c>
      <c r="AU224" s="173">
        <v>0.17844900105665701</v>
      </c>
      <c r="AV224" s="174">
        <v>-50.311063314047999</v>
      </c>
      <c r="AW224" s="168"/>
      <c r="AX224" s="168"/>
      <c r="AY224" s="176">
        <v>42</v>
      </c>
      <c r="AZ224" s="176">
        <v>52</v>
      </c>
      <c r="BA224" s="167"/>
      <c r="BB224" s="184">
        <v>136.6</v>
      </c>
      <c r="BC224" s="180">
        <v>43.3353485232699</v>
      </c>
      <c r="BD224" s="181" t="s">
        <v>55</v>
      </c>
      <c r="BE224" s="178">
        <v>1.3542296413521899</v>
      </c>
      <c r="BF224" s="179">
        <v>17.977873371904</v>
      </c>
      <c r="BG224" s="168">
        <v>0.02</v>
      </c>
      <c r="BH224" s="168">
        <v>0.02</v>
      </c>
      <c r="BI224" s="176">
        <v>0</v>
      </c>
      <c r="BJ224" s="176">
        <v>0</v>
      </c>
      <c r="BK224" s="169"/>
      <c r="BL224" s="185">
        <v>0.8</v>
      </c>
      <c r="BM224" s="188">
        <v>0.72</v>
      </c>
      <c r="BN224" s="186"/>
      <c r="BO224" s="187">
        <v>0.95</v>
      </c>
      <c r="BP224" s="178">
        <v>1</v>
      </c>
      <c r="BQ224" s="186">
        <v>2.5000000000000001E-3</v>
      </c>
    </row>
    <row r="225" spans="1:69" s="156" customFormat="1" ht="22.35" customHeight="1" x14ac:dyDescent="0.2">
      <c r="A225" s="165" t="s">
        <v>275</v>
      </c>
      <c r="B225" s="165" t="s">
        <v>276</v>
      </c>
      <c r="C225" s="165" t="s">
        <v>292</v>
      </c>
      <c r="D225" s="166">
        <v>7.7095109328888896</v>
      </c>
      <c r="E225" s="167"/>
      <c r="F225" s="168">
        <v>5.1999999999999998E-2</v>
      </c>
      <c r="G225" s="168">
        <v>4.9000000000000002E-2</v>
      </c>
      <c r="H225" s="169"/>
      <c r="I225" s="170">
        <v>5</v>
      </c>
      <c r="J225" s="170">
        <v>5</v>
      </c>
      <c r="K225" s="167"/>
      <c r="L225" s="171">
        <v>3303.6810300000002</v>
      </c>
      <c r="M225" s="171">
        <v>1044.5414800000001</v>
      </c>
      <c r="N225" s="171">
        <v>4348.2225099999996</v>
      </c>
      <c r="O225" s="166">
        <v>564.00756777585195</v>
      </c>
      <c r="P225" s="172">
        <v>287.5</v>
      </c>
      <c r="Q225" s="178">
        <v>1.9617654531333999</v>
      </c>
      <c r="R225" s="179">
        <v>1741.63686359027</v>
      </c>
      <c r="S225" s="168">
        <v>0.01</v>
      </c>
      <c r="T225" s="168">
        <v>0.01</v>
      </c>
      <c r="U225" s="175">
        <v>0</v>
      </c>
      <c r="V225" s="176">
        <v>0</v>
      </c>
      <c r="W225" s="167"/>
      <c r="X225" s="175">
        <v>5019.7256699999998</v>
      </c>
      <c r="Y225" s="166">
        <v>651.10818490259499</v>
      </c>
      <c r="Z225" s="177">
        <v>573</v>
      </c>
      <c r="AA225" s="182">
        <v>1.13631445881779</v>
      </c>
      <c r="AB225" s="183">
        <v>-175.312853105313</v>
      </c>
      <c r="AC225" s="168">
        <v>1.6E-2</v>
      </c>
      <c r="AD225" s="168">
        <v>1.4E-2</v>
      </c>
      <c r="AE225" s="176">
        <v>0</v>
      </c>
      <c r="AF225" s="176">
        <v>282</v>
      </c>
      <c r="AG225" s="167"/>
      <c r="AH225" s="180">
        <v>261.10000000000002</v>
      </c>
      <c r="AI225" s="166">
        <v>33.867258542450898</v>
      </c>
      <c r="AJ225" s="181" t="s">
        <v>53</v>
      </c>
      <c r="AK225" s="173">
        <v>0.53757553241985601</v>
      </c>
      <c r="AL225" s="174">
        <v>-310.08224599587197</v>
      </c>
      <c r="AM225" s="168"/>
      <c r="AN225" s="168"/>
      <c r="AO225" s="176">
        <v>225</v>
      </c>
      <c r="AP225" s="176">
        <v>322</v>
      </c>
      <c r="AQ225" s="167"/>
      <c r="AR225" s="180">
        <v>135.5</v>
      </c>
      <c r="AS225" s="166">
        <v>17.575693345469499</v>
      </c>
      <c r="AT225" s="181" t="s">
        <v>54</v>
      </c>
      <c r="AU225" s="182">
        <v>1.0984808340918499</v>
      </c>
      <c r="AV225" s="183">
        <v>-9.5621577132373297</v>
      </c>
      <c r="AW225" s="168">
        <v>6.0000000000000001E-3</v>
      </c>
      <c r="AX225" s="168">
        <v>5.0000000000000001E-3</v>
      </c>
      <c r="AY225" s="176">
        <v>0</v>
      </c>
      <c r="AZ225" s="176">
        <v>13</v>
      </c>
      <c r="BA225" s="167"/>
      <c r="BB225" s="184">
        <v>310.39999999999998</v>
      </c>
      <c r="BC225" s="180">
        <v>40.261957302094103</v>
      </c>
      <c r="BD225" s="181" t="s">
        <v>55</v>
      </c>
      <c r="BE225" s="178">
        <v>1.2581861656904401</v>
      </c>
      <c r="BF225" s="179">
        <v>20.2756845735254</v>
      </c>
      <c r="BG225" s="168">
        <v>0.02</v>
      </c>
      <c r="BH225" s="168">
        <v>0.02</v>
      </c>
      <c r="BI225" s="176">
        <v>0</v>
      </c>
      <c r="BJ225" s="176">
        <v>0</v>
      </c>
      <c r="BK225" s="169"/>
      <c r="BL225" s="185">
        <v>0.8</v>
      </c>
      <c r="BM225" s="188">
        <v>0.78</v>
      </c>
      <c r="BN225" s="186"/>
      <c r="BO225" s="187">
        <v>0.95</v>
      </c>
      <c r="BP225" s="178">
        <v>1</v>
      </c>
      <c r="BQ225" s="186">
        <v>2.5000000000000001E-3</v>
      </c>
    </row>
    <row r="226" spans="1:69" s="156" customFormat="1" ht="22.35" customHeight="1" x14ac:dyDescent="0.2">
      <c r="A226" s="165" t="s">
        <v>275</v>
      </c>
      <c r="B226" s="165" t="s">
        <v>276</v>
      </c>
      <c r="C226" s="165" t="s">
        <v>293</v>
      </c>
      <c r="D226" s="166">
        <v>2.83696294222222</v>
      </c>
      <c r="E226" s="167"/>
      <c r="F226" s="168">
        <v>0.02</v>
      </c>
      <c r="G226" s="168">
        <v>1.7000000000000001E-2</v>
      </c>
      <c r="H226" s="169"/>
      <c r="I226" s="170">
        <v>4</v>
      </c>
      <c r="J226" s="170">
        <v>4</v>
      </c>
      <c r="K226" s="167"/>
      <c r="L226" s="171">
        <v>800.65576999999996</v>
      </c>
      <c r="M226" s="171">
        <v>1584.0816199999999</v>
      </c>
      <c r="N226" s="171">
        <v>2384.7373899999998</v>
      </c>
      <c r="O226" s="166">
        <v>840.59518526245199</v>
      </c>
      <c r="P226" s="172">
        <v>287.5</v>
      </c>
      <c r="Q226" s="178">
        <v>2.9238093400433098</v>
      </c>
      <c r="R226" s="179">
        <v>1425.5602192346701</v>
      </c>
      <c r="S226" s="168">
        <v>0.01</v>
      </c>
      <c r="T226" s="168">
        <v>0.01</v>
      </c>
      <c r="U226" s="175">
        <v>0</v>
      </c>
      <c r="V226" s="176">
        <v>0</v>
      </c>
      <c r="W226" s="167"/>
      <c r="X226" s="175">
        <v>1744.8327850000001</v>
      </c>
      <c r="Y226" s="166">
        <v>615.03545183189999</v>
      </c>
      <c r="Z226" s="177">
        <v>573</v>
      </c>
      <c r="AA226" s="182">
        <v>1.07336029988115</v>
      </c>
      <c r="AB226" s="183">
        <v>-166.84901969055801</v>
      </c>
      <c r="AC226" s="168">
        <v>0.01</v>
      </c>
      <c r="AD226" s="168">
        <v>7.0000000000000001E-3</v>
      </c>
      <c r="AE226" s="176">
        <v>0</v>
      </c>
      <c r="AF226" s="176">
        <v>206</v>
      </c>
      <c r="AG226" s="167"/>
      <c r="AH226" s="180">
        <v>128</v>
      </c>
      <c r="AI226" s="166">
        <v>45.118671835641301</v>
      </c>
      <c r="AJ226" s="181" t="s">
        <v>53</v>
      </c>
      <c r="AK226" s="173">
        <v>0.71616939421652903</v>
      </c>
      <c r="AL226" s="174">
        <v>-82.184910463359799</v>
      </c>
      <c r="AM226" s="168"/>
      <c r="AN226" s="168"/>
      <c r="AO226" s="176">
        <v>51</v>
      </c>
      <c r="AP226" s="176">
        <v>87</v>
      </c>
      <c r="AQ226" s="167"/>
      <c r="AR226" s="180">
        <v>8.6</v>
      </c>
      <c r="AS226" s="166">
        <v>3.0314107639571501</v>
      </c>
      <c r="AT226" s="181" t="s">
        <v>54</v>
      </c>
      <c r="AU226" s="173">
        <v>0.189463172747322</v>
      </c>
      <c r="AV226" s="174">
        <v>-44.780294720853298</v>
      </c>
      <c r="AW226" s="168"/>
      <c r="AX226" s="168"/>
      <c r="AY226" s="176">
        <v>37</v>
      </c>
      <c r="AZ226" s="176">
        <v>46</v>
      </c>
      <c r="BA226" s="167"/>
      <c r="BB226" s="184">
        <v>76.400000000000006</v>
      </c>
      <c r="BC226" s="180">
        <v>26.930207251898398</v>
      </c>
      <c r="BD226" s="181" t="s">
        <v>55</v>
      </c>
      <c r="BE226" s="188">
        <v>0.84156897662182595</v>
      </c>
      <c r="BF226" s="171">
        <v>-30.360589441706601</v>
      </c>
      <c r="BG226" s="168"/>
      <c r="BH226" s="168"/>
      <c r="BI226" s="176">
        <v>15</v>
      </c>
      <c r="BJ226" s="176">
        <v>33</v>
      </c>
      <c r="BK226" s="169"/>
      <c r="BL226" s="185">
        <v>0.8</v>
      </c>
      <c r="BM226" s="182">
        <v>0.87</v>
      </c>
      <c r="BN226" s="186">
        <v>2.6250000000000002E-3</v>
      </c>
      <c r="BO226" s="187">
        <v>0.95</v>
      </c>
      <c r="BP226" s="178">
        <v>1</v>
      </c>
      <c r="BQ226" s="186">
        <v>2.5000000000000001E-3</v>
      </c>
    </row>
    <row r="227" spans="1:69" s="156" customFormat="1" ht="22.35" customHeight="1" x14ac:dyDescent="0.2">
      <c r="A227" s="165" t="s">
        <v>275</v>
      </c>
      <c r="B227" s="165" t="s">
        <v>276</v>
      </c>
      <c r="C227" s="165" t="s">
        <v>294</v>
      </c>
      <c r="D227" s="166">
        <v>2.9777762321111099</v>
      </c>
      <c r="E227" s="167"/>
      <c r="F227" s="168">
        <v>0.05</v>
      </c>
      <c r="G227" s="168">
        <v>4.8000000000000001E-2</v>
      </c>
      <c r="H227" s="169"/>
      <c r="I227" s="170">
        <v>5</v>
      </c>
      <c r="J227" s="170">
        <v>5</v>
      </c>
      <c r="K227" s="167"/>
      <c r="L227" s="171">
        <v>2867.4492300000002</v>
      </c>
      <c r="M227" s="171">
        <v>1197.97119</v>
      </c>
      <c r="N227" s="171">
        <v>4065.4204199999999</v>
      </c>
      <c r="O227" s="166">
        <v>1365.25383477784</v>
      </c>
      <c r="P227" s="172">
        <v>252.76900000000001</v>
      </c>
      <c r="Q227" s="178">
        <v>5.4011917394057001</v>
      </c>
      <c r="R227" s="179">
        <v>3180.2575439925599</v>
      </c>
      <c r="S227" s="168">
        <v>0.01</v>
      </c>
      <c r="T227" s="168">
        <v>0.01</v>
      </c>
      <c r="U227" s="175">
        <v>0</v>
      </c>
      <c r="V227" s="176">
        <v>0</v>
      </c>
      <c r="W227" s="167"/>
      <c r="X227" s="175">
        <v>2472.7702300000001</v>
      </c>
      <c r="Y227" s="166">
        <v>830.40834409740603</v>
      </c>
      <c r="Z227" s="177">
        <v>573</v>
      </c>
      <c r="AA227" s="178">
        <v>1.4492292218104801</v>
      </c>
      <c r="AB227" s="179">
        <v>466.20167154439298</v>
      </c>
      <c r="AC227" s="168">
        <v>0.02</v>
      </c>
      <c r="AD227" s="168">
        <v>0.02</v>
      </c>
      <c r="AE227" s="176">
        <v>0</v>
      </c>
      <c r="AF227" s="176">
        <v>0</v>
      </c>
      <c r="AG227" s="167"/>
      <c r="AH227" s="180">
        <v>144.65</v>
      </c>
      <c r="AI227" s="166">
        <v>48.5765177517887</v>
      </c>
      <c r="AJ227" s="181" t="s">
        <v>53</v>
      </c>
      <c r="AK227" s="173">
        <v>0.77105583732997995</v>
      </c>
      <c r="AL227" s="174">
        <v>-75.967485484647895</v>
      </c>
      <c r="AM227" s="168"/>
      <c r="AN227" s="168"/>
      <c r="AO227" s="176">
        <v>43</v>
      </c>
      <c r="AP227" s="176">
        <v>81</v>
      </c>
      <c r="AQ227" s="167"/>
      <c r="AR227" s="180">
        <v>13.3</v>
      </c>
      <c r="AS227" s="166">
        <v>4.4664202288198398</v>
      </c>
      <c r="AT227" s="181" t="s">
        <v>54</v>
      </c>
      <c r="AU227" s="173">
        <v>0.27915126430123999</v>
      </c>
      <c r="AV227" s="174">
        <v>-42.729837583402599</v>
      </c>
      <c r="AW227" s="168"/>
      <c r="AX227" s="168"/>
      <c r="AY227" s="176">
        <v>35</v>
      </c>
      <c r="AZ227" s="176">
        <v>44</v>
      </c>
      <c r="BA227" s="167"/>
      <c r="BB227" s="184">
        <v>112.4</v>
      </c>
      <c r="BC227" s="180">
        <v>37.746288249575201</v>
      </c>
      <c r="BD227" s="181" t="s">
        <v>55</v>
      </c>
      <c r="BE227" s="178">
        <v>1.1795715077992299</v>
      </c>
      <c r="BF227" s="179">
        <v>0.340324833194728</v>
      </c>
      <c r="BG227" s="168">
        <v>0.02</v>
      </c>
      <c r="BH227" s="168">
        <v>1.7999999999999999E-2</v>
      </c>
      <c r="BI227" s="176">
        <v>0</v>
      </c>
      <c r="BJ227" s="176">
        <v>2</v>
      </c>
      <c r="BK227" s="169"/>
      <c r="BL227" s="185">
        <v>0.8</v>
      </c>
      <c r="BM227" s="182">
        <v>0.81</v>
      </c>
      <c r="BN227" s="186">
        <v>3.7500000000000001E-4</v>
      </c>
      <c r="BO227" s="187">
        <v>0.95</v>
      </c>
      <c r="BP227" s="178">
        <v>1</v>
      </c>
      <c r="BQ227" s="186">
        <v>2.5000000000000001E-3</v>
      </c>
    </row>
    <row r="228" spans="1:69" s="156" customFormat="1" ht="22.35" customHeight="1" x14ac:dyDescent="0.2">
      <c r="A228" s="165" t="s">
        <v>275</v>
      </c>
      <c r="B228" s="165" t="s">
        <v>276</v>
      </c>
      <c r="C228" s="165" t="s">
        <v>295</v>
      </c>
      <c r="D228" s="166">
        <v>3.3124110478888902</v>
      </c>
      <c r="E228" s="167"/>
      <c r="F228" s="168">
        <v>1.7000000000000001E-2</v>
      </c>
      <c r="G228" s="168">
        <v>1.4999999999999999E-2</v>
      </c>
      <c r="H228" s="169"/>
      <c r="I228" s="170">
        <v>4</v>
      </c>
      <c r="J228" s="170">
        <v>4</v>
      </c>
      <c r="K228" s="167"/>
      <c r="L228" s="171">
        <v>1722.8988899999999</v>
      </c>
      <c r="M228" s="171">
        <v>449.52262000000002</v>
      </c>
      <c r="N228" s="171">
        <v>2172.4215100000001</v>
      </c>
      <c r="O228" s="166">
        <v>655.84297316740196</v>
      </c>
      <c r="P228" s="172">
        <v>266.572</v>
      </c>
      <c r="Q228" s="178">
        <v>2.4602845503931499</v>
      </c>
      <c r="R228" s="179">
        <v>1134.01816947918</v>
      </c>
      <c r="S228" s="168">
        <v>0.01</v>
      </c>
      <c r="T228" s="168">
        <v>0.01</v>
      </c>
      <c r="U228" s="175">
        <v>0</v>
      </c>
      <c r="V228" s="176">
        <v>0</v>
      </c>
      <c r="W228" s="167"/>
      <c r="X228" s="175">
        <v>1627.174665</v>
      </c>
      <c r="Y228" s="166">
        <v>491.23573176011899</v>
      </c>
      <c r="Z228" s="177">
        <v>573</v>
      </c>
      <c r="AA228" s="188">
        <v>0.85730494198973595</v>
      </c>
      <c r="AB228" s="171">
        <v>-604.88689479783295</v>
      </c>
      <c r="AC228" s="168"/>
      <c r="AD228" s="168"/>
      <c r="AE228" s="176">
        <v>271</v>
      </c>
      <c r="AF228" s="176">
        <v>651</v>
      </c>
      <c r="AG228" s="167"/>
      <c r="AH228" s="180">
        <v>167.35</v>
      </c>
      <c r="AI228" s="166">
        <v>50.522111410858201</v>
      </c>
      <c r="AJ228" s="181" t="s">
        <v>53</v>
      </c>
      <c r="AK228" s="188">
        <v>0.801938276362828</v>
      </c>
      <c r="AL228" s="171">
        <v>-78.059909715992106</v>
      </c>
      <c r="AM228" s="168"/>
      <c r="AN228" s="168"/>
      <c r="AO228" s="176">
        <v>42</v>
      </c>
      <c r="AP228" s="176">
        <v>84</v>
      </c>
      <c r="AQ228" s="167"/>
      <c r="AR228" s="180">
        <v>30.8</v>
      </c>
      <c r="AS228" s="166">
        <v>9.2983629008331796</v>
      </c>
      <c r="AT228" s="181" t="s">
        <v>54</v>
      </c>
      <c r="AU228" s="173">
        <v>0.58114768130207395</v>
      </c>
      <c r="AV228" s="174">
        <v>-31.526326277077398</v>
      </c>
      <c r="AW228" s="168"/>
      <c r="AX228" s="168"/>
      <c r="AY228" s="176">
        <v>23</v>
      </c>
      <c r="AZ228" s="176">
        <v>33</v>
      </c>
      <c r="BA228" s="167"/>
      <c r="BB228" s="184">
        <v>110.8</v>
      </c>
      <c r="BC228" s="180">
        <v>33.449954851049199</v>
      </c>
      <c r="BD228" s="181" t="s">
        <v>55</v>
      </c>
      <c r="BE228" s="182">
        <v>1.0453110890952899</v>
      </c>
      <c r="BF228" s="183">
        <v>-13.8526525541547</v>
      </c>
      <c r="BG228" s="168">
        <v>7.0000000000000001E-3</v>
      </c>
      <c r="BH228" s="168">
        <v>5.0000000000000001E-3</v>
      </c>
      <c r="BI228" s="176">
        <v>0</v>
      </c>
      <c r="BJ228" s="176">
        <v>17</v>
      </c>
      <c r="BK228" s="169"/>
      <c r="BL228" s="185">
        <v>0.8</v>
      </c>
      <c r="BM228" s="182">
        <v>0.83</v>
      </c>
      <c r="BN228" s="186">
        <v>1.1249999999999999E-3</v>
      </c>
      <c r="BO228" s="187">
        <v>0.95</v>
      </c>
      <c r="BP228" s="178">
        <v>1</v>
      </c>
      <c r="BQ228" s="186">
        <v>2.5000000000000001E-3</v>
      </c>
    </row>
    <row r="229" spans="1:69" s="156" customFormat="1" ht="22.35" customHeight="1" x14ac:dyDescent="0.2">
      <c r="A229" s="165" t="s">
        <v>275</v>
      </c>
      <c r="B229" s="165" t="s">
        <v>276</v>
      </c>
      <c r="C229" s="165" t="s">
        <v>296</v>
      </c>
      <c r="D229" s="166">
        <v>3.82718426455556</v>
      </c>
      <c r="E229" s="167"/>
      <c r="F229" s="168">
        <v>0.01</v>
      </c>
      <c r="G229" s="168">
        <v>0.01</v>
      </c>
      <c r="H229" s="169"/>
      <c r="I229" s="170">
        <v>2</v>
      </c>
      <c r="J229" s="170">
        <v>2</v>
      </c>
      <c r="K229" s="167"/>
      <c r="L229" s="171">
        <v>1200.98542</v>
      </c>
      <c r="M229" s="171">
        <v>2252.6071099999999</v>
      </c>
      <c r="N229" s="171">
        <v>3453.5925299999999</v>
      </c>
      <c r="O229" s="166">
        <v>902.38470145911799</v>
      </c>
      <c r="P229" s="172">
        <v>255.06700000000001</v>
      </c>
      <c r="Q229" s="178">
        <v>3.5378339865961399</v>
      </c>
      <c r="R229" s="179">
        <v>2305.5949612425102</v>
      </c>
      <c r="S229" s="168">
        <v>0.01</v>
      </c>
      <c r="T229" s="168">
        <v>0.01</v>
      </c>
      <c r="U229" s="175">
        <v>0</v>
      </c>
      <c r="V229" s="176">
        <v>0</v>
      </c>
      <c r="W229" s="167"/>
      <c r="X229" s="175">
        <v>1830.30639</v>
      </c>
      <c r="Y229" s="166">
        <v>478.23837669664698</v>
      </c>
      <c r="Z229" s="177">
        <v>573</v>
      </c>
      <c r="AA229" s="188">
        <v>0.83462194885976804</v>
      </c>
      <c r="AB229" s="171">
        <v>-748.63407230223402</v>
      </c>
      <c r="AC229" s="168"/>
      <c r="AD229" s="168"/>
      <c r="AE229" s="176">
        <v>363</v>
      </c>
      <c r="AF229" s="176">
        <v>802</v>
      </c>
      <c r="AG229" s="167"/>
      <c r="AH229" s="180">
        <v>112.9</v>
      </c>
      <c r="AI229" s="166">
        <v>29.499494196188301</v>
      </c>
      <c r="AJ229" s="181" t="s">
        <v>53</v>
      </c>
      <c r="AK229" s="173">
        <v>0.46824593962203698</v>
      </c>
      <c r="AL229" s="174">
        <v>-170.648427792392</v>
      </c>
      <c r="AM229" s="168"/>
      <c r="AN229" s="168"/>
      <c r="AO229" s="176">
        <v>129</v>
      </c>
      <c r="AP229" s="176">
        <v>177</v>
      </c>
      <c r="AQ229" s="167"/>
      <c r="AR229" s="180">
        <v>10</v>
      </c>
      <c r="AS229" s="166">
        <v>2.61288699700517</v>
      </c>
      <c r="AT229" s="181" t="s">
        <v>54</v>
      </c>
      <c r="AU229" s="173">
        <v>0.16330543731282299</v>
      </c>
      <c r="AV229" s="174">
        <v>-62.012299121877398</v>
      </c>
      <c r="AW229" s="168"/>
      <c r="AX229" s="168"/>
      <c r="AY229" s="176">
        <v>52</v>
      </c>
      <c r="AZ229" s="176">
        <v>64</v>
      </c>
      <c r="BA229" s="167"/>
      <c r="BB229" s="184">
        <v>107.6</v>
      </c>
      <c r="BC229" s="180">
        <v>28.114664087775601</v>
      </c>
      <c r="BD229" s="181" t="s">
        <v>55</v>
      </c>
      <c r="BE229" s="188">
        <v>0.87858325274298799</v>
      </c>
      <c r="BF229" s="171">
        <v>-36.424598243754801</v>
      </c>
      <c r="BG229" s="168"/>
      <c r="BH229" s="168"/>
      <c r="BI229" s="176">
        <v>15</v>
      </c>
      <c r="BJ229" s="176">
        <v>40</v>
      </c>
      <c r="BK229" s="169"/>
      <c r="BL229" s="185">
        <v>0.8</v>
      </c>
      <c r="BM229" s="188">
        <v>0.79</v>
      </c>
      <c r="BN229" s="186"/>
      <c r="BO229" s="187">
        <v>0.95</v>
      </c>
      <c r="BP229" s="178">
        <v>1</v>
      </c>
      <c r="BQ229" s="186">
        <v>2.5000000000000001E-3</v>
      </c>
    </row>
    <row r="230" spans="1:69" s="156" customFormat="1" ht="22.35" customHeight="1" x14ac:dyDescent="0.2">
      <c r="A230" s="165" t="s">
        <v>275</v>
      </c>
      <c r="B230" s="165" t="s">
        <v>276</v>
      </c>
      <c r="C230" s="165" t="s">
        <v>297</v>
      </c>
      <c r="D230" s="166">
        <v>6.0225891787777801</v>
      </c>
      <c r="E230" s="167"/>
      <c r="F230" s="168">
        <v>3.5999999999999997E-2</v>
      </c>
      <c r="G230" s="168">
        <v>3.4000000000000002E-2</v>
      </c>
      <c r="H230" s="169"/>
      <c r="I230" s="170">
        <v>5</v>
      </c>
      <c r="J230" s="170">
        <v>5</v>
      </c>
      <c r="K230" s="167"/>
      <c r="L230" s="171">
        <v>4027.0110100000002</v>
      </c>
      <c r="M230" s="171">
        <v>4068.4396400000001</v>
      </c>
      <c r="N230" s="171">
        <v>8095.4506499999998</v>
      </c>
      <c r="O230" s="166">
        <v>1344.1811170727899</v>
      </c>
      <c r="P230" s="172">
        <v>287.5</v>
      </c>
      <c r="Q230" s="178">
        <v>4.6754125811227496</v>
      </c>
      <c r="R230" s="179">
        <v>6059.21324865523</v>
      </c>
      <c r="S230" s="168">
        <v>0.01</v>
      </c>
      <c r="T230" s="168">
        <v>0.01</v>
      </c>
      <c r="U230" s="175">
        <v>0</v>
      </c>
      <c r="V230" s="176">
        <v>0</v>
      </c>
      <c r="W230" s="167"/>
      <c r="X230" s="175">
        <v>3573.5986849999999</v>
      </c>
      <c r="Y230" s="166">
        <v>593.365839661211</v>
      </c>
      <c r="Z230" s="177">
        <v>573</v>
      </c>
      <c r="AA230" s="182">
        <v>1.0355424775937401</v>
      </c>
      <c r="AB230" s="183">
        <v>-484.71098794105001</v>
      </c>
      <c r="AC230" s="168">
        <v>6.0000000000000001E-3</v>
      </c>
      <c r="AD230" s="168">
        <v>4.0000000000000001E-3</v>
      </c>
      <c r="AE230" s="176">
        <v>0</v>
      </c>
      <c r="AF230" s="176">
        <v>568</v>
      </c>
      <c r="AG230" s="167"/>
      <c r="AH230" s="180">
        <v>343.85</v>
      </c>
      <c r="AI230" s="166">
        <v>57.093384554876899</v>
      </c>
      <c r="AJ230" s="181" t="s">
        <v>53</v>
      </c>
      <c r="AK230" s="188">
        <v>0.90624419928376099</v>
      </c>
      <c r="AL230" s="171">
        <v>-102.351587077288</v>
      </c>
      <c r="AM230" s="168"/>
      <c r="AN230" s="168"/>
      <c r="AO230" s="176">
        <v>36</v>
      </c>
      <c r="AP230" s="176">
        <v>112</v>
      </c>
      <c r="AQ230" s="167"/>
      <c r="AR230" s="180">
        <v>51.7</v>
      </c>
      <c r="AS230" s="166">
        <v>8.5843477722470194</v>
      </c>
      <c r="AT230" s="181" t="s">
        <v>54</v>
      </c>
      <c r="AU230" s="173">
        <v>0.53652173576543905</v>
      </c>
      <c r="AV230" s="174">
        <v>-61.621037987882701</v>
      </c>
      <c r="AW230" s="168"/>
      <c r="AX230" s="168"/>
      <c r="AY230" s="176">
        <v>45</v>
      </c>
      <c r="AZ230" s="176">
        <v>64</v>
      </c>
      <c r="BA230" s="167"/>
      <c r="BB230" s="184">
        <v>246.2</v>
      </c>
      <c r="BC230" s="180">
        <v>40.879427882538003</v>
      </c>
      <c r="BD230" s="181" t="s">
        <v>55</v>
      </c>
      <c r="BE230" s="178">
        <v>1.2774821213293099</v>
      </c>
      <c r="BF230" s="179">
        <v>19.557924024234602</v>
      </c>
      <c r="BG230" s="168">
        <v>0.02</v>
      </c>
      <c r="BH230" s="168">
        <v>0.02</v>
      </c>
      <c r="BI230" s="176">
        <v>0</v>
      </c>
      <c r="BJ230" s="176">
        <v>0</v>
      </c>
      <c r="BK230" s="169"/>
      <c r="BL230" s="185">
        <v>0.8</v>
      </c>
      <c r="BM230" s="182">
        <v>0.83</v>
      </c>
      <c r="BN230" s="186">
        <v>1.1249999999999999E-3</v>
      </c>
      <c r="BO230" s="187">
        <v>0.95</v>
      </c>
      <c r="BP230" s="178">
        <v>1</v>
      </c>
      <c r="BQ230" s="186">
        <v>2.5000000000000001E-3</v>
      </c>
    </row>
    <row r="231" spans="1:69" s="156" customFormat="1" ht="22.35" customHeight="1" x14ac:dyDescent="0.2">
      <c r="A231" s="165" t="s">
        <v>275</v>
      </c>
      <c r="B231" s="165" t="s">
        <v>276</v>
      </c>
      <c r="C231" s="165" t="s">
        <v>298</v>
      </c>
      <c r="D231" s="166">
        <v>5.7046753833333304</v>
      </c>
      <c r="E231" s="167"/>
      <c r="F231" s="168">
        <v>0.03</v>
      </c>
      <c r="G231" s="168">
        <v>0.03</v>
      </c>
      <c r="H231" s="169"/>
      <c r="I231" s="170">
        <v>3</v>
      </c>
      <c r="J231" s="170">
        <v>3</v>
      </c>
      <c r="K231" s="167"/>
      <c r="L231" s="171">
        <v>3269.0573199999999</v>
      </c>
      <c r="M231" s="171">
        <v>2035.55105</v>
      </c>
      <c r="N231" s="171">
        <v>5304.6083699999999</v>
      </c>
      <c r="O231" s="166">
        <v>929.87032802915303</v>
      </c>
      <c r="P231" s="172">
        <v>221.803</v>
      </c>
      <c r="Q231" s="178">
        <v>4.1923252978054997</v>
      </c>
      <c r="R231" s="179">
        <v>3816.5989718778101</v>
      </c>
      <c r="S231" s="168">
        <v>0.01</v>
      </c>
      <c r="T231" s="168">
        <v>0.01</v>
      </c>
      <c r="U231" s="175">
        <v>0</v>
      </c>
      <c r="V231" s="176">
        <v>0</v>
      </c>
      <c r="W231" s="167"/>
      <c r="X231" s="175">
        <v>3008.8086050000002</v>
      </c>
      <c r="Y231" s="166">
        <v>527.42853936798497</v>
      </c>
      <c r="Z231" s="177">
        <v>573</v>
      </c>
      <c r="AA231" s="188">
        <v>0.920468655092469</v>
      </c>
      <c r="AB231" s="171">
        <v>-835.275492708397</v>
      </c>
      <c r="AC231" s="168"/>
      <c r="AD231" s="168"/>
      <c r="AE231" s="176">
        <v>260</v>
      </c>
      <c r="AF231" s="176">
        <v>914</v>
      </c>
      <c r="AG231" s="167"/>
      <c r="AH231" s="180">
        <v>278.14999999999998</v>
      </c>
      <c r="AI231" s="166">
        <v>48.758252014240398</v>
      </c>
      <c r="AJ231" s="181" t="s">
        <v>53</v>
      </c>
      <c r="AK231" s="173">
        <v>0.773940508162546</v>
      </c>
      <c r="AL231" s="174">
        <v>-144.49798980040001</v>
      </c>
      <c r="AM231" s="168"/>
      <c r="AN231" s="168"/>
      <c r="AO231" s="176">
        <v>82</v>
      </c>
      <c r="AP231" s="176">
        <v>154</v>
      </c>
      <c r="AQ231" s="167"/>
      <c r="AR231" s="180">
        <v>25.6</v>
      </c>
      <c r="AS231" s="166">
        <v>4.4875471923945804</v>
      </c>
      <c r="AT231" s="181" t="s">
        <v>54</v>
      </c>
      <c r="AU231" s="173">
        <v>0.280471699524661</v>
      </c>
      <c r="AV231" s="174">
        <v>-81.739172012799898</v>
      </c>
      <c r="AW231" s="168"/>
      <c r="AX231" s="168"/>
      <c r="AY231" s="176">
        <v>66</v>
      </c>
      <c r="AZ231" s="176">
        <v>84</v>
      </c>
      <c r="BA231" s="167"/>
      <c r="BB231" s="184">
        <v>259.60000000000002</v>
      </c>
      <c r="BC231" s="180">
        <v>45.506533247876298</v>
      </c>
      <c r="BD231" s="181" t="s">
        <v>55</v>
      </c>
      <c r="BE231" s="178">
        <v>1.4220791639961401</v>
      </c>
      <c r="BF231" s="179">
        <v>44.921655974400203</v>
      </c>
      <c r="BG231" s="168">
        <v>0.02</v>
      </c>
      <c r="BH231" s="168">
        <v>0.02</v>
      </c>
      <c r="BI231" s="176">
        <v>0</v>
      </c>
      <c r="BJ231" s="176">
        <v>0</v>
      </c>
      <c r="BK231" s="169"/>
      <c r="BL231" s="185">
        <v>0.8</v>
      </c>
      <c r="BM231" s="188">
        <v>0.77</v>
      </c>
      <c r="BN231" s="186"/>
      <c r="BO231" s="187">
        <v>0.95</v>
      </c>
      <c r="BP231" s="178">
        <v>1</v>
      </c>
      <c r="BQ231" s="186">
        <v>2.5000000000000001E-3</v>
      </c>
    </row>
    <row r="232" spans="1:69" s="156" customFormat="1" ht="22.35" customHeight="1" x14ac:dyDescent="0.2">
      <c r="A232" s="165" t="s">
        <v>275</v>
      </c>
      <c r="B232" s="165" t="s">
        <v>299</v>
      </c>
      <c r="C232" s="165" t="s">
        <v>300</v>
      </c>
      <c r="D232" s="166">
        <v>2.4562906796666701</v>
      </c>
      <c r="E232" s="167"/>
      <c r="F232" s="168">
        <v>5.6000000000000001E-2</v>
      </c>
      <c r="G232" s="168">
        <v>5.3999999999999999E-2</v>
      </c>
      <c r="H232" s="169"/>
      <c r="I232" s="170">
        <v>6</v>
      </c>
      <c r="J232" s="170">
        <v>6</v>
      </c>
      <c r="K232" s="167"/>
      <c r="L232" s="171">
        <v>663.61536000000001</v>
      </c>
      <c r="M232" s="171">
        <v>589.73445000000004</v>
      </c>
      <c r="N232" s="171">
        <v>1253.3498099999999</v>
      </c>
      <c r="O232" s="166">
        <v>510.26119195717001</v>
      </c>
      <c r="P232" s="172">
        <v>232.92099999999999</v>
      </c>
      <c r="Q232" s="178">
        <v>2.19070496845355</v>
      </c>
      <c r="R232" s="179">
        <v>580.53471267519899</v>
      </c>
      <c r="S232" s="168">
        <v>0.01</v>
      </c>
      <c r="T232" s="168">
        <v>0.01</v>
      </c>
      <c r="U232" s="175">
        <v>0</v>
      </c>
      <c r="V232" s="176">
        <v>0</v>
      </c>
      <c r="W232" s="167"/>
      <c r="X232" s="175">
        <v>2066.6131500000001</v>
      </c>
      <c r="Y232" s="166">
        <v>841.35528710325605</v>
      </c>
      <c r="Z232" s="177">
        <v>573</v>
      </c>
      <c r="AA232" s="178">
        <v>1.4683338343861401</v>
      </c>
      <c r="AB232" s="179">
        <v>411.44658808797402</v>
      </c>
      <c r="AC232" s="168">
        <v>0.02</v>
      </c>
      <c r="AD232" s="168">
        <v>0.02</v>
      </c>
      <c r="AE232" s="176">
        <v>0</v>
      </c>
      <c r="AF232" s="176">
        <v>0</v>
      </c>
      <c r="AG232" s="167"/>
      <c r="AH232" s="180">
        <v>161.19999999999999</v>
      </c>
      <c r="AI232" s="166">
        <v>65.627411826468304</v>
      </c>
      <c r="AJ232" s="181" t="s">
        <v>53</v>
      </c>
      <c r="AK232" s="182">
        <v>1.0417049496264801</v>
      </c>
      <c r="AL232" s="183">
        <v>-20.781663875144201</v>
      </c>
      <c r="AM232" s="168">
        <v>6.0000000000000001E-3</v>
      </c>
      <c r="AN232" s="168">
        <v>4.0000000000000001E-3</v>
      </c>
      <c r="AO232" s="176">
        <v>0</v>
      </c>
      <c r="AP232" s="176">
        <v>25</v>
      </c>
      <c r="AQ232" s="167"/>
      <c r="AR232" s="180">
        <v>11</v>
      </c>
      <c r="AS232" s="166">
        <v>4.4782973330716596</v>
      </c>
      <c r="AT232" s="181" t="s">
        <v>54</v>
      </c>
      <c r="AU232" s="173">
        <v>0.279893583316979</v>
      </c>
      <c r="AV232" s="174">
        <v>-35.217565428608097</v>
      </c>
      <c r="AW232" s="168"/>
      <c r="AX232" s="168"/>
      <c r="AY232" s="176">
        <v>29</v>
      </c>
      <c r="AZ232" s="176">
        <v>37</v>
      </c>
      <c r="BA232" s="167"/>
      <c r="BB232" s="184">
        <v>99.6</v>
      </c>
      <c r="BC232" s="180">
        <v>40.548946761266997</v>
      </c>
      <c r="BD232" s="181" t="s">
        <v>55</v>
      </c>
      <c r="BE232" s="178">
        <v>1.2671545862895901</v>
      </c>
      <c r="BF232" s="179">
        <v>7.16486914278389</v>
      </c>
      <c r="BG232" s="168">
        <v>0.02</v>
      </c>
      <c r="BH232" s="168">
        <v>0.02</v>
      </c>
      <c r="BI232" s="176">
        <v>0</v>
      </c>
      <c r="BJ232" s="176">
        <v>0</v>
      </c>
      <c r="BK232" s="169"/>
      <c r="BL232" s="185">
        <v>0.8</v>
      </c>
      <c r="BM232" s="182">
        <v>0.86</v>
      </c>
      <c r="BN232" s="186">
        <v>2.2499999999999998E-3</v>
      </c>
      <c r="BO232" s="187">
        <v>0.95</v>
      </c>
      <c r="BP232" s="178">
        <v>1</v>
      </c>
      <c r="BQ232" s="186">
        <v>2.5000000000000001E-3</v>
      </c>
    </row>
    <row r="233" spans="1:69" s="156" customFormat="1" ht="22.35" customHeight="1" x14ac:dyDescent="0.2">
      <c r="A233" s="165" t="s">
        <v>275</v>
      </c>
      <c r="B233" s="165" t="s">
        <v>299</v>
      </c>
      <c r="C233" s="165" t="s">
        <v>301</v>
      </c>
      <c r="D233" s="166">
        <v>3.3263409928888898</v>
      </c>
      <c r="E233" s="167"/>
      <c r="F233" s="168">
        <v>4.7E-2</v>
      </c>
      <c r="G233" s="168">
        <v>4.2999999999999997E-2</v>
      </c>
      <c r="H233" s="169"/>
      <c r="I233" s="170">
        <v>5</v>
      </c>
      <c r="J233" s="170">
        <v>5</v>
      </c>
      <c r="K233" s="167"/>
      <c r="L233" s="171">
        <v>857.91168000000005</v>
      </c>
      <c r="M233" s="171">
        <v>1939.9345699999999</v>
      </c>
      <c r="N233" s="171">
        <v>2797.8462500000001</v>
      </c>
      <c r="O233" s="166">
        <v>841.11829063264599</v>
      </c>
      <c r="P233" s="172">
        <v>222.845</v>
      </c>
      <c r="Q233" s="178">
        <v>3.7744543993926101</v>
      </c>
      <c r="R233" s="179">
        <v>1926.1263027330599</v>
      </c>
      <c r="S233" s="168">
        <v>0.01</v>
      </c>
      <c r="T233" s="168">
        <v>0.01</v>
      </c>
      <c r="U233" s="175">
        <v>0</v>
      </c>
      <c r="V233" s="176">
        <v>0</v>
      </c>
      <c r="W233" s="167"/>
      <c r="X233" s="175">
        <v>2089.13184</v>
      </c>
      <c r="Y233" s="166">
        <v>628.05702856868402</v>
      </c>
      <c r="Z233" s="177">
        <v>573</v>
      </c>
      <c r="AA233" s="182">
        <v>1.09608556469229</v>
      </c>
      <c r="AB233" s="183">
        <v>-152.31638537619301</v>
      </c>
      <c r="AC233" s="168">
        <v>1.2E-2</v>
      </c>
      <c r="AD233" s="168">
        <v>0.01</v>
      </c>
      <c r="AE233" s="176">
        <v>0</v>
      </c>
      <c r="AF233" s="176">
        <v>199</v>
      </c>
      <c r="AG233" s="167"/>
      <c r="AH233" s="180">
        <v>215.65</v>
      </c>
      <c r="AI233" s="166">
        <v>64.830996118864704</v>
      </c>
      <c r="AJ233" s="181" t="s">
        <v>53</v>
      </c>
      <c r="AK233" s="182">
        <v>1.0290634304581701</v>
      </c>
      <c r="AL233" s="183">
        <v>-30.791951481152001</v>
      </c>
      <c r="AM233" s="168">
        <v>5.0000000000000001E-3</v>
      </c>
      <c r="AN233" s="168">
        <v>3.0000000000000001E-3</v>
      </c>
      <c r="AO233" s="176">
        <v>0</v>
      </c>
      <c r="AP233" s="176">
        <v>36</v>
      </c>
      <c r="AQ233" s="167"/>
      <c r="AR233" s="180">
        <v>29.2</v>
      </c>
      <c r="AS233" s="166">
        <v>8.7784144988214603</v>
      </c>
      <c r="AT233" s="181" t="s">
        <v>54</v>
      </c>
      <c r="AU233" s="173">
        <v>0.54865090617634105</v>
      </c>
      <c r="AV233" s="174">
        <v>-33.388432122197301</v>
      </c>
      <c r="AW233" s="168"/>
      <c r="AX233" s="168"/>
      <c r="AY233" s="176">
        <v>25</v>
      </c>
      <c r="AZ233" s="176">
        <v>35</v>
      </c>
      <c r="BA233" s="167"/>
      <c r="BB233" s="184">
        <v>167.6</v>
      </c>
      <c r="BC233" s="180">
        <v>50.385694178167</v>
      </c>
      <c r="BD233" s="181" t="s">
        <v>55</v>
      </c>
      <c r="BE233" s="178">
        <v>1.5745529430677201</v>
      </c>
      <c r="BF233" s="179">
        <v>42.423135755605301</v>
      </c>
      <c r="BG233" s="168">
        <v>0.02</v>
      </c>
      <c r="BH233" s="168">
        <v>0.02</v>
      </c>
      <c r="BI233" s="176">
        <v>0</v>
      </c>
      <c r="BJ233" s="176">
        <v>0</v>
      </c>
      <c r="BK233" s="169"/>
      <c r="BL233" s="185">
        <v>0.8</v>
      </c>
      <c r="BM233" s="188">
        <v>0.72</v>
      </c>
      <c r="BN233" s="186"/>
      <c r="BO233" s="187">
        <v>0.95</v>
      </c>
      <c r="BP233" s="178">
        <v>1</v>
      </c>
      <c r="BQ233" s="186">
        <v>2.5000000000000001E-3</v>
      </c>
    </row>
    <row r="234" spans="1:69" s="156" customFormat="1" ht="22.35" customHeight="1" x14ac:dyDescent="0.2">
      <c r="A234" s="165" t="s">
        <v>275</v>
      </c>
      <c r="B234" s="165" t="s">
        <v>299</v>
      </c>
      <c r="C234" s="165" t="s">
        <v>302</v>
      </c>
      <c r="D234" s="166">
        <v>2.2747145523333301</v>
      </c>
      <c r="E234" s="167"/>
      <c r="F234" s="168">
        <v>3.6999999999999998E-2</v>
      </c>
      <c r="G234" s="168">
        <v>3.5000000000000003E-2</v>
      </c>
      <c r="H234" s="169"/>
      <c r="I234" s="170">
        <v>5</v>
      </c>
      <c r="J234" s="170">
        <v>5</v>
      </c>
      <c r="K234" s="167"/>
      <c r="L234" s="171">
        <v>1182.6841899999999</v>
      </c>
      <c r="M234" s="171">
        <v>732.51864</v>
      </c>
      <c r="N234" s="171">
        <v>1915.2028299999999</v>
      </c>
      <c r="O234" s="166">
        <v>841.95303891446201</v>
      </c>
      <c r="P234" s="172">
        <v>212.5</v>
      </c>
      <c r="Q234" s="178">
        <v>3.9621319478327601</v>
      </c>
      <c r="R234" s="179">
        <v>1346.7516633718999</v>
      </c>
      <c r="S234" s="168">
        <v>0.01</v>
      </c>
      <c r="T234" s="168">
        <v>0.01</v>
      </c>
      <c r="U234" s="175">
        <v>0</v>
      </c>
      <c r="V234" s="176">
        <v>0</v>
      </c>
      <c r="W234" s="167"/>
      <c r="X234" s="175">
        <v>1767.1626650000001</v>
      </c>
      <c r="Y234" s="166">
        <v>776.87227313303902</v>
      </c>
      <c r="Z234" s="177">
        <v>573</v>
      </c>
      <c r="AA234" s="178">
        <v>1.35579803339099</v>
      </c>
      <c r="AB234" s="179">
        <v>234.35081333929</v>
      </c>
      <c r="AC234" s="168">
        <v>0.02</v>
      </c>
      <c r="AD234" s="168">
        <v>0.02</v>
      </c>
      <c r="AE234" s="176">
        <v>0</v>
      </c>
      <c r="AF234" s="176">
        <v>0</v>
      </c>
      <c r="AG234" s="167"/>
      <c r="AH234" s="180">
        <v>125.8</v>
      </c>
      <c r="AI234" s="166">
        <v>55.303642327762901</v>
      </c>
      <c r="AJ234" s="181" t="s">
        <v>53</v>
      </c>
      <c r="AK234" s="188">
        <v>0.87783559250417298</v>
      </c>
      <c r="AL234" s="171">
        <v>-42.729051753271698</v>
      </c>
      <c r="AM234" s="168"/>
      <c r="AN234" s="168"/>
      <c r="AO234" s="176">
        <v>18</v>
      </c>
      <c r="AP234" s="176">
        <v>47</v>
      </c>
      <c r="AQ234" s="167"/>
      <c r="AR234" s="180">
        <v>19.600000000000001</v>
      </c>
      <c r="AS234" s="166">
        <v>8.6164657362810306</v>
      </c>
      <c r="AT234" s="181" t="s">
        <v>54</v>
      </c>
      <c r="AU234" s="173">
        <v>0.53852910851756397</v>
      </c>
      <c r="AV234" s="174">
        <v>-23.201029016703899</v>
      </c>
      <c r="AW234" s="168"/>
      <c r="AX234" s="168"/>
      <c r="AY234" s="176">
        <v>17</v>
      </c>
      <c r="AZ234" s="176">
        <v>25</v>
      </c>
      <c r="BA234" s="167"/>
      <c r="BB234" s="184">
        <v>76.599999999999994</v>
      </c>
      <c r="BC234" s="180">
        <v>33.674554867302398</v>
      </c>
      <c r="BD234" s="181" t="s">
        <v>55</v>
      </c>
      <c r="BE234" s="182">
        <v>1.0523298396031999</v>
      </c>
      <c r="BF234" s="183">
        <v>-9.0020580334078595</v>
      </c>
      <c r="BG234" s="168">
        <v>7.0000000000000001E-3</v>
      </c>
      <c r="BH234" s="168">
        <v>5.0000000000000001E-3</v>
      </c>
      <c r="BI234" s="176">
        <v>0</v>
      </c>
      <c r="BJ234" s="176">
        <v>11</v>
      </c>
      <c r="BK234" s="169"/>
      <c r="BL234" s="185">
        <v>0.8</v>
      </c>
      <c r="BM234" s="182">
        <v>0.83</v>
      </c>
      <c r="BN234" s="186">
        <v>1.1249999999999999E-3</v>
      </c>
      <c r="BO234" s="187">
        <v>0.95</v>
      </c>
      <c r="BP234" s="178">
        <v>1</v>
      </c>
      <c r="BQ234" s="186">
        <v>2.5000000000000001E-3</v>
      </c>
    </row>
    <row r="235" spans="1:69" s="156" customFormat="1" ht="22.35" customHeight="1" x14ac:dyDescent="0.2">
      <c r="A235" s="165" t="s">
        <v>275</v>
      </c>
      <c r="B235" s="165" t="s">
        <v>299</v>
      </c>
      <c r="C235" s="165" t="s">
        <v>303</v>
      </c>
      <c r="D235" s="166">
        <v>2.9376340330000001</v>
      </c>
      <c r="E235" s="167"/>
      <c r="F235" s="168">
        <v>7.0000000000000007E-2</v>
      </c>
      <c r="G235" s="168">
        <v>6.8000000000000005E-2</v>
      </c>
      <c r="H235" s="169"/>
      <c r="I235" s="170">
        <v>5</v>
      </c>
      <c r="J235" s="170">
        <v>5</v>
      </c>
      <c r="K235" s="167"/>
      <c r="L235" s="171">
        <v>966.06984</v>
      </c>
      <c r="M235" s="171">
        <v>2167.4885599999998</v>
      </c>
      <c r="N235" s="171">
        <v>3133.5583999999999</v>
      </c>
      <c r="O235" s="166">
        <v>1066.6946136921999</v>
      </c>
      <c r="P235" s="172">
        <v>229.05500000000001</v>
      </c>
      <c r="Q235" s="178">
        <v>4.6569366034017996</v>
      </c>
      <c r="R235" s="179">
        <v>2342.2517982077102</v>
      </c>
      <c r="S235" s="168">
        <v>0.01</v>
      </c>
      <c r="T235" s="168">
        <v>0.01</v>
      </c>
      <c r="U235" s="175">
        <v>0</v>
      </c>
      <c r="V235" s="176">
        <v>0</v>
      </c>
      <c r="W235" s="167"/>
      <c r="X235" s="175">
        <v>1983.8688400000001</v>
      </c>
      <c r="Y235" s="166">
        <v>675.328791031881</v>
      </c>
      <c r="Z235" s="177">
        <v>573</v>
      </c>
      <c r="AA235" s="178">
        <v>1.1785842775425499</v>
      </c>
      <c r="AB235" s="179">
        <v>4.3500221310161997</v>
      </c>
      <c r="AC235" s="168">
        <v>0.02</v>
      </c>
      <c r="AD235" s="168">
        <v>1.7999999999999999E-2</v>
      </c>
      <c r="AE235" s="176">
        <v>0</v>
      </c>
      <c r="AF235" s="176">
        <v>37</v>
      </c>
      <c r="AG235" s="167"/>
      <c r="AH235" s="180">
        <v>228</v>
      </c>
      <c r="AI235" s="166">
        <v>77.613479908918194</v>
      </c>
      <c r="AJ235" s="181" t="s">
        <v>53</v>
      </c>
      <c r="AK235" s="178">
        <v>1.23195999855426</v>
      </c>
      <c r="AL235" s="179">
        <v>10.356569763095999</v>
      </c>
      <c r="AM235" s="168">
        <v>0.02</v>
      </c>
      <c r="AN235" s="168">
        <v>0.02</v>
      </c>
      <c r="AO235" s="176">
        <v>0</v>
      </c>
      <c r="AP235" s="176">
        <v>0</v>
      </c>
      <c r="AQ235" s="167"/>
      <c r="AR235" s="180">
        <v>27.1</v>
      </c>
      <c r="AS235" s="166">
        <v>9.2251109891740608</v>
      </c>
      <c r="AT235" s="181" t="s">
        <v>54</v>
      </c>
      <c r="AU235" s="173">
        <v>0.57656943682337902</v>
      </c>
      <c r="AV235" s="174">
        <v>-28.174521964928001</v>
      </c>
      <c r="AW235" s="168"/>
      <c r="AX235" s="168"/>
      <c r="AY235" s="176">
        <v>20</v>
      </c>
      <c r="AZ235" s="176">
        <v>30</v>
      </c>
      <c r="BA235" s="167"/>
      <c r="BB235" s="184">
        <v>129.6</v>
      </c>
      <c r="BC235" s="180">
        <v>44.117135948227201</v>
      </c>
      <c r="BD235" s="181" t="s">
        <v>55</v>
      </c>
      <c r="BE235" s="178">
        <v>1.3786604983821</v>
      </c>
      <c r="BF235" s="179">
        <v>19.050956070144</v>
      </c>
      <c r="BG235" s="168">
        <v>0.02</v>
      </c>
      <c r="BH235" s="168">
        <v>0.02</v>
      </c>
      <c r="BI235" s="176">
        <v>0</v>
      </c>
      <c r="BJ235" s="176">
        <v>0</v>
      </c>
      <c r="BK235" s="169"/>
      <c r="BL235" s="185">
        <v>0.8</v>
      </c>
      <c r="BM235" s="188">
        <v>0.77</v>
      </c>
      <c r="BN235" s="186"/>
      <c r="BO235" s="187">
        <v>0.95</v>
      </c>
      <c r="BP235" s="178">
        <v>1</v>
      </c>
      <c r="BQ235" s="186">
        <v>2.5000000000000001E-3</v>
      </c>
    </row>
    <row r="236" spans="1:69" s="156" customFormat="1" ht="22.35" customHeight="1" x14ac:dyDescent="0.2">
      <c r="A236" s="165" t="s">
        <v>275</v>
      </c>
      <c r="B236" s="165" t="s">
        <v>299</v>
      </c>
      <c r="C236" s="165" t="s">
        <v>304</v>
      </c>
      <c r="D236" s="166">
        <v>3.2454949072222199</v>
      </c>
      <c r="E236" s="167"/>
      <c r="F236" s="168">
        <v>0.01</v>
      </c>
      <c r="G236" s="168">
        <v>0.01</v>
      </c>
      <c r="H236" s="169"/>
      <c r="I236" s="170">
        <v>2</v>
      </c>
      <c r="J236" s="170">
        <v>2</v>
      </c>
      <c r="K236" s="167"/>
      <c r="L236" s="171">
        <v>1451.7116100000001</v>
      </c>
      <c r="M236" s="171">
        <v>70.955330000000004</v>
      </c>
      <c r="N236" s="171">
        <v>1522.6669400000001</v>
      </c>
      <c r="O236" s="166">
        <v>469.16325045268098</v>
      </c>
      <c r="P236" s="172">
        <v>242.61199999999999</v>
      </c>
      <c r="Q236" s="178">
        <v>1.9338006794910401</v>
      </c>
      <c r="R236" s="179">
        <v>596.68923173314704</v>
      </c>
      <c r="S236" s="168">
        <v>0.01</v>
      </c>
      <c r="T236" s="168">
        <v>0.01</v>
      </c>
      <c r="U236" s="175">
        <v>0</v>
      </c>
      <c r="V236" s="176">
        <v>0</v>
      </c>
      <c r="W236" s="167"/>
      <c r="X236" s="175">
        <v>1318.7503850000001</v>
      </c>
      <c r="Y236" s="166">
        <v>406.33260032711098</v>
      </c>
      <c r="Z236" s="177">
        <v>573</v>
      </c>
      <c r="AA236" s="173">
        <v>0.70913193774364802</v>
      </c>
      <c r="AB236" s="174">
        <v>-868.21986724187798</v>
      </c>
      <c r="AC236" s="168"/>
      <c r="AD236" s="168"/>
      <c r="AE236" s="176">
        <v>541</v>
      </c>
      <c r="AF236" s="176">
        <v>913</v>
      </c>
      <c r="AG236" s="167"/>
      <c r="AH236" s="180">
        <v>153.30000000000001</v>
      </c>
      <c r="AI236" s="166">
        <v>47.234706687987803</v>
      </c>
      <c r="AJ236" s="181" t="s">
        <v>53</v>
      </c>
      <c r="AK236" s="173">
        <v>0.74975724901567997</v>
      </c>
      <c r="AL236" s="174">
        <v>-87.152226686279803</v>
      </c>
      <c r="AM236" s="168"/>
      <c r="AN236" s="168"/>
      <c r="AO236" s="176">
        <v>52</v>
      </c>
      <c r="AP236" s="176">
        <v>93</v>
      </c>
      <c r="AQ236" s="167"/>
      <c r="AR236" s="180">
        <v>12.8</v>
      </c>
      <c r="AS236" s="166">
        <v>3.9439285427674098</v>
      </c>
      <c r="AT236" s="181" t="s">
        <v>54</v>
      </c>
      <c r="AU236" s="173">
        <v>0.246495533922963</v>
      </c>
      <c r="AV236" s="174">
        <v>-48.267232174293298</v>
      </c>
      <c r="AW236" s="168"/>
      <c r="AX236" s="168"/>
      <c r="AY236" s="176">
        <v>40</v>
      </c>
      <c r="AZ236" s="176">
        <v>50</v>
      </c>
      <c r="BA236" s="167"/>
      <c r="BB236" s="184">
        <v>86</v>
      </c>
      <c r="BC236" s="180">
        <v>26.498269896718501</v>
      </c>
      <c r="BD236" s="181" t="s">
        <v>55</v>
      </c>
      <c r="BE236" s="188">
        <v>0.82807093427245504</v>
      </c>
      <c r="BF236" s="171">
        <v>-36.134464348586597</v>
      </c>
      <c r="BG236" s="168"/>
      <c r="BH236" s="168"/>
      <c r="BI236" s="176">
        <v>18</v>
      </c>
      <c r="BJ236" s="176">
        <v>39</v>
      </c>
      <c r="BK236" s="169"/>
      <c r="BL236" s="185">
        <v>0.8</v>
      </c>
      <c r="BM236" s="188">
        <v>0.75</v>
      </c>
      <c r="BN236" s="186"/>
      <c r="BO236" s="187">
        <v>0.95</v>
      </c>
      <c r="BP236" s="178">
        <v>1</v>
      </c>
      <c r="BQ236" s="186">
        <v>2.5000000000000001E-3</v>
      </c>
    </row>
    <row r="237" spans="1:69" s="156" customFormat="1" ht="22.35" customHeight="1" x14ac:dyDescent="0.2">
      <c r="A237" s="165" t="s">
        <v>275</v>
      </c>
      <c r="B237" s="165" t="s">
        <v>299</v>
      </c>
      <c r="C237" s="165" t="s">
        <v>305</v>
      </c>
      <c r="D237" s="166">
        <v>2.8560806016666702</v>
      </c>
      <c r="E237" s="167"/>
      <c r="F237" s="168">
        <v>5.0999999999999997E-2</v>
      </c>
      <c r="G237" s="168">
        <v>4.5999999999999999E-2</v>
      </c>
      <c r="H237" s="169"/>
      <c r="I237" s="170">
        <v>7</v>
      </c>
      <c r="J237" s="170">
        <v>7</v>
      </c>
      <c r="K237" s="167"/>
      <c r="L237" s="171">
        <v>973.97928000000002</v>
      </c>
      <c r="M237" s="171">
        <v>1921.0648000000001</v>
      </c>
      <c r="N237" s="171">
        <v>2895.0440800000001</v>
      </c>
      <c r="O237" s="166">
        <v>1013.64228947551</v>
      </c>
      <c r="P237" s="172">
        <v>215.88200000000001</v>
      </c>
      <c r="Q237" s="178">
        <v>4.6953534313908101</v>
      </c>
      <c r="R237" s="179">
        <v>2169.9502424799698</v>
      </c>
      <c r="S237" s="168">
        <v>0.01</v>
      </c>
      <c r="T237" s="168">
        <v>0.01</v>
      </c>
      <c r="U237" s="175">
        <v>0</v>
      </c>
      <c r="V237" s="176">
        <v>0</v>
      </c>
      <c r="W237" s="167"/>
      <c r="X237" s="175">
        <v>1698.5821100000001</v>
      </c>
      <c r="Y237" s="166">
        <v>594.72485090539499</v>
      </c>
      <c r="Z237" s="177">
        <v>573</v>
      </c>
      <c r="AA237" s="182">
        <v>1.03791422496579</v>
      </c>
      <c r="AB237" s="183">
        <v>-225.98209127188201</v>
      </c>
      <c r="AC237" s="168">
        <v>6.0000000000000001E-3</v>
      </c>
      <c r="AD237" s="168">
        <v>4.0000000000000001E-3</v>
      </c>
      <c r="AE237" s="176">
        <v>0</v>
      </c>
      <c r="AF237" s="176">
        <v>266</v>
      </c>
      <c r="AG237" s="167"/>
      <c r="AH237" s="180">
        <v>187</v>
      </c>
      <c r="AI237" s="166">
        <v>65.474342667667003</v>
      </c>
      <c r="AJ237" s="181" t="s">
        <v>53</v>
      </c>
      <c r="AK237" s="182">
        <v>1.0392752804391601</v>
      </c>
      <c r="AL237" s="183">
        <v>-24.601299616280201</v>
      </c>
      <c r="AM237" s="168">
        <v>6.0000000000000001E-3</v>
      </c>
      <c r="AN237" s="168">
        <v>4.0000000000000001E-3</v>
      </c>
      <c r="AO237" s="176">
        <v>0</v>
      </c>
      <c r="AP237" s="176">
        <v>29</v>
      </c>
      <c r="AQ237" s="167"/>
      <c r="AR237" s="180">
        <v>52.8</v>
      </c>
      <c r="AS237" s="166">
        <v>18.486873223811902</v>
      </c>
      <c r="AT237" s="181" t="s">
        <v>54</v>
      </c>
      <c r="AU237" s="182">
        <v>1.1554295764882401</v>
      </c>
      <c r="AV237" s="183">
        <v>-0.94001260096006001</v>
      </c>
      <c r="AW237" s="168">
        <v>8.9999999999999993E-3</v>
      </c>
      <c r="AX237" s="168">
        <v>8.0000000000000002E-3</v>
      </c>
      <c r="AY237" s="176">
        <v>0</v>
      </c>
      <c r="AZ237" s="176">
        <v>3</v>
      </c>
      <c r="BA237" s="167"/>
      <c r="BB237" s="184">
        <v>132.6</v>
      </c>
      <c r="BC237" s="180">
        <v>46.427261164345701</v>
      </c>
      <c r="BD237" s="181" t="s">
        <v>55</v>
      </c>
      <c r="BE237" s="178">
        <v>1.4508519113858001</v>
      </c>
      <c r="BF237" s="179">
        <v>25.119974798079902</v>
      </c>
      <c r="BG237" s="168">
        <v>0.02</v>
      </c>
      <c r="BH237" s="168">
        <v>0.02</v>
      </c>
      <c r="BI237" s="176">
        <v>0</v>
      </c>
      <c r="BJ237" s="176">
        <v>0</v>
      </c>
      <c r="BK237" s="169"/>
      <c r="BL237" s="185">
        <v>0.8</v>
      </c>
      <c r="BM237" s="182">
        <v>0.81</v>
      </c>
      <c r="BN237" s="186">
        <v>3.7500000000000001E-4</v>
      </c>
      <c r="BO237" s="187">
        <v>0.95</v>
      </c>
      <c r="BP237" s="178">
        <v>1</v>
      </c>
      <c r="BQ237" s="186">
        <v>2.5000000000000001E-3</v>
      </c>
    </row>
    <row r="238" spans="1:69" s="156" customFormat="1" ht="22.35" customHeight="1" x14ac:dyDescent="0.2">
      <c r="A238" s="165" t="s">
        <v>275</v>
      </c>
      <c r="B238" s="165" t="s">
        <v>299</v>
      </c>
      <c r="C238" s="165" t="s">
        <v>306</v>
      </c>
      <c r="D238" s="166">
        <v>9.2014397199999998</v>
      </c>
      <c r="E238" s="167"/>
      <c r="F238" s="168">
        <v>3.6999999999999998E-2</v>
      </c>
      <c r="G238" s="168">
        <v>3.4000000000000002E-2</v>
      </c>
      <c r="H238" s="169"/>
      <c r="I238" s="170">
        <v>5</v>
      </c>
      <c r="J238" s="170">
        <v>4</v>
      </c>
      <c r="K238" s="167"/>
      <c r="L238" s="171">
        <v>6164.6352299999999</v>
      </c>
      <c r="M238" s="171">
        <v>-1504.7200800000001</v>
      </c>
      <c r="N238" s="171">
        <v>4659.9151499999998</v>
      </c>
      <c r="O238" s="166">
        <v>506.43326390231499</v>
      </c>
      <c r="P238" s="172">
        <v>232.92099999999999</v>
      </c>
      <c r="Q238" s="178">
        <v>2.1742705204868402</v>
      </c>
      <c r="R238" s="179">
        <v>2139.5019057579898</v>
      </c>
      <c r="S238" s="168">
        <v>0.01</v>
      </c>
      <c r="T238" s="168">
        <v>0.01</v>
      </c>
      <c r="U238" s="175">
        <v>0</v>
      </c>
      <c r="V238" s="176">
        <v>0</v>
      </c>
      <c r="W238" s="167"/>
      <c r="X238" s="175">
        <v>5463.8707850000001</v>
      </c>
      <c r="Y238" s="166">
        <v>593.80607288269005</v>
      </c>
      <c r="Z238" s="177">
        <v>573</v>
      </c>
      <c r="AA238" s="182">
        <v>1.0363107729191801</v>
      </c>
      <c r="AB238" s="183">
        <v>-736.50096744255904</v>
      </c>
      <c r="AC238" s="168">
        <v>6.0000000000000001E-3</v>
      </c>
      <c r="AD238" s="168">
        <v>4.0000000000000001E-3</v>
      </c>
      <c r="AE238" s="176">
        <v>0</v>
      </c>
      <c r="AF238" s="176">
        <v>864</v>
      </c>
      <c r="AG238" s="167"/>
      <c r="AH238" s="180">
        <v>575.29999999999995</v>
      </c>
      <c r="AI238" s="166">
        <v>62.522824417307604</v>
      </c>
      <c r="AJ238" s="181" t="s">
        <v>53</v>
      </c>
      <c r="AK238" s="182">
        <v>0.99242578440170803</v>
      </c>
      <c r="AL238" s="183">
        <v>-106.41626597536001</v>
      </c>
      <c r="AM238" s="168">
        <v>1E-3</v>
      </c>
      <c r="AN238" s="168"/>
      <c r="AO238" s="176">
        <v>5</v>
      </c>
      <c r="AP238" s="176">
        <v>121</v>
      </c>
      <c r="AQ238" s="167"/>
      <c r="AR238" s="180">
        <v>50.8</v>
      </c>
      <c r="AS238" s="166">
        <v>5.5208751614796201</v>
      </c>
      <c r="AT238" s="181" t="s">
        <v>54</v>
      </c>
      <c r="AU238" s="173">
        <v>0.34505469759247598</v>
      </c>
      <c r="AV238" s="174">
        <v>-122.33428977152001</v>
      </c>
      <c r="AW238" s="168"/>
      <c r="AX238" s="168"/>
      <c r="AY238" s="176">
        <v>97</v>
      </c>
      <c r="AZ238" s="176">
        <v>126</v>
      </c>
      <c r="BA238" s="167"/>
      <c r="BB238" s="184">
        <v>373</v>
      </c>
      <c r="BC238" s="180">
        <v>40.537134551808997</v>
      </c>
      <c r="BD238" s="181" t="s">
        <v>55</v>
      </c>
      <c r="BE238" s="178">
        <v>1.26678545474403</v>
      </c>
      <c r="BF238" s="179">
        <v>26.731420456960102</v>
      </c>
      <c r="BG238" s="168">
        <v>0.02</v>
      </c>
      <c r="BH238" s="168">
        <v>0.02</v>
      </c>
      <c r="BI238" s="176">
        <v>0</v>
      </c>
      <c r="BJ238" s="176">
        <v>0</v>
      </c>
      <c r="BK238" s="169"/>
      <c r="BL238" s="185">
        <v>0.8</v>
      </c>
      <c r="BM238" s="188">
        <v>0.78</v>
      </c>
      <c r="BN238" s="186"/>
      <c r="BO238" s="187">
        <v>0.95</v>
      </c>
      <c r="BP238" s="178">
        <v>1</v>
      </c>
      <c r="BQ238" s="186">
        <v>2.5000000000000001E-3</v>
      </c>
    </row>
    <row r="239" spans="1:69" s="156" customFormat="1" ht="22.35" customHeight="1" x14ac:dyDescent="0.2">
      <c r="A239" s="165" t="s">
        <v>275</v>
      </c>
      <c r="B239" s="165" t="s">
        <v>299</v>
      </c>
      <c r="C239" s="165" t="s">
        <v>307</v>
      </c>
      <c r="D239" s="166">
        <v>2.4944492774444398</v>
      </c>
      <c r="E239" s="167"/>
      <c r="F239" s="168">
        <v>4.2000000000000003E-2</v>
      </c>
      <c r="G239" s="168">
        <v>3.7999999999999999E-2</v>
      </c>
      <c r="H239" s="169"/>
      <c r="I239" s="170">
        <v>5</v>
      </c>
      <c r="J239" s="170">
        <v>5</v>
      </c>
      <c r="K239" s="167"/>
      <c r="L239" s="171">
        <v>2035.1780699999999</v>
      </c>
      <c r="M239" s="171">
        <v>-271.19610999999998</v>
      </c>
      <c r="N239" s="171">
        <v>1763.9819600000001</v>
      </c>
      <c r="O239" s="166">
        <v>707.16289000159304</v>
      </c>
      <c r="P239" s="172">
        <v>245.339</v>
      </c>
      <c r="Q239" s="178">
        <v>2.8823908551090298</v>
      </c>
      <c r="R239" s="179">
        <v>1044.2867870559701</v>
      </c>
      <c r="S239" s="168">
        <v>0.01</v>
      </c>
      <c r="T239" s="168">
        <v>0.01</v>
      </c>
      <c r="U239" s="175">
        <v>0</v>
      </c>
      <c r="V239" s="176">
        <v>0</v>
      </c>
      <c r="W239" s="167"/>
      <c r="X239" s="175">
        <v>1684.6525349999999</v>
      </c>
      <c r="Y239" s="166">
        <v>675.36050952534094</v>
      </c>
      <c r="Z239" s="177">
        <v>573</v>
      </c>
      <c r="AA239" s="178">
        <v>1.1786396326794799</v>
      </c>
      <c r="AB239" s="179">
        <v>3.7728782926192301</v>
      </c>
      <c r="AC239" s="168">
        <v>0.02</v>
      </c>
      <c r="AD239" s="168">
        <v>1.7999999999999999E-2</v>
      </c>
      <c r="AE239" s="176">
        <v>0</v>
      </c>
      <c r="AF239" s="176">
        <v>31</v>
      </c>
      <c r="AG239" s="167"/>
      <c r="AH239" s="180">
        <v>89.7</v>
      </c>
      <c r="AI239" s="166">
        <v>35.9598412407477</v>
      </c>
      <c r="AJ239" s="181" t="s">
        <v>53</v>
      </c>
      <c r="AK239" s="173">
        <v>0.57079113080551902</v>
      </c>
      <c r="AL239" s="174">
        <v>-95.108758067303597</v>
      </c>
      <c r="AM239" s="168"/>
      <c r="AN239" s="168"/>
      <c r="AO239" s="176">
        <v>68</v>
      </c>
      <c r="AP239" s="176">
        <v>99</v>
      </c>
      <c r="AQ239" s="167"/>
      <c r="AR239" s="180">
        <v>11</v>
      </c>
      <c r="AS239" s="166">
        <v>4.4097910105710696</v>
      </c>
      <c r="AT239" s="181" t="s">
        <v>54</v>
      </c>
      <c r="AU239" s="173">
        <v>0.27561193816069202</v>
      </c>
      <c r="AV239" s="174">
        <v>-35.935557604394603</v>
      </c>
      <c r="AW239" s="168"/>
      <c r="AX239" s="168"/>
      <c r="AY239" s="176">
        <v>29</v>
      </c>
      <c r="AZ239" s="176">
        <v>37</v>
      </c>
      <c r="BA239" s="167"/>
      <c r="BB239" s="184">
        <v>88</v>
      </c>
      <c r="BC239" s="180">
        <v>35.2783280845685</v>
      </c>
      <c r="BD239" s="181" t="s">
        <v>55</v>
      </c>
      <c r="BE239" s="182">
        <v>1.1024477526427701</v>
      </c>
      <c r="BF239" s="183">
        <v>-5.8711152087891501</v>
      </c>
      <c r="BG239" s="168">
        <v>1.2E-2</v>
      </c>
      <c r="BH239" s="168">
        <v>0.01</v>
      </c>
      <c r="BI239" s="176">
        <v>0</v>
      </c>
      <c r="BJ239" s="176">
        <v>8</v>
      </c>
      <c r="BK239" s="169"/>
      <c r="BL239" s="185">
        <v>0.8</v>
      </c>
      <c r="BM239" s="182">
        <v>0.81</v>
      </c>
      <c r="BN239" s="186">
        <v>3.7500000000000001E-4</v>
      </c>
      <c r="BO239" s="187">
        <v>0.95</v>
      </c>
      <c r="BP239" s="178">
        <v>1</v>
      </c>
      <c r="BQ239" s="186">
        <v>2.5000000000000001E-3</v>
      </c>
    </row>
    <row r="240" spans="1:69" s="156" customFormat="1" ht="22.35" customHeight="1" x14ac:dyDescent="0.2">
      <c r="A240" s="165" t="s">
        <v>275</v>
      </c>
      <c r="B240" s="165" t="s">
        <v>299</v>
      </c>
      <c r="C240" s="165" t="s">
        <v>308</v>
      </c>
      <c r="D240" s="166">
        <v>2.6001805638888902</v>
      </c>
      <c r="E240" s="167"/>
      <c r="F240" s="168"/>
      <c r="G240" s="168"/>
      <c r="H240" s="169"/>
      <c r="I240" s="170">
        <v>1</v>
      </c>
      <c r="J240" s="170">
        <v>1</v>
      </c>
      <c r="K240" s="167"/>
      <c r="L240" s="171"/>
      <c r="M240" s="171">
        <v>72.353960000000001</v>
      </c>
      <c r="N240" s="171">
        <v>72.353960000000001</v>
      </c>
      <c r="O240" s="166">
        <v>27.8265136678761</v>
      </c>
      <c r="P240" s="172">
        <v>217.09100000000001</v>
      </c>
      <c r="Q240" s="173">
        <v>0.12817902938341999</v>
      </c>
      <c r="R240" s="174">
        <v>-591.46957938315904</v>
      </c>
      <c r="S240" s="168"/>
      <c r="T240" s="168"/>
      <c r="U240" s="175">
        <v>493</v>
      </c>
      <c r="V240" s="176">
        <v>606</v>
      </c>
      <c r="W240" s="167"/>
      <c r="X240" s="175">
        <v>1076.60023</v>
      </c>
      <c r="Y240" s="166">
        <v>414.04825686021297</v>
      </c>
      <c r="Z240" s="177">
        <v>573</v>
      </c>
      <c r="AA240" s="173">
        <v>0.72259730691136603</v>
      </c>
      <c r="AB240" s="174">
        <v>-675.52624261540097</v>
      </c>
      <c r="AC240" s="168"/>
      <c r="AD240" s="168"/>
      <c r="AE240" s="176">
        <v>414</v>
      </c>
      <c r="AF240" s="176">
        <v>712</v>
      </c>
      <c r="AG240" s="167"/>
      <c r="AH240" s="180">
        <v>96.2</v>
      </c>
      <c r="AI240" s="166">
        <v>36.997430615403502</v>
      </c>
      <c r="AJ240" s="181" t="s">
        <v>53</v>
      </c>
      <c r="AK240" s="173">
        <v>0.58726080341910403</v>
      </c>
      <c r="AL240" s="174">
        <v>-96.442177617400105</v>
      </c>
      <c r="AM240" s="168"/>
      <c r="AN240" s="168"/>
      <c r="AO240" s="176">
        <v>68</v>
      </c>
      <c r="AP240" s="176">
        <v>101</v>
      </c>
      <c r="AQ240" s="167"/>
      <c r="AR240" s="180">
        <v>18.399999999999999</v>
      </c>
      <c r="AS240" s="166">
        <v>7.0764316353786398</v>
      </c>
      <c r="AT240" s="181" t="s">
        <v>54</v>
      </c>
      <c r="AU240" s="173">
        <v>0.44227697721116499</v>
      </c>
      <c r="AV240" s="174">
        <v>-30.524997490133401</v>
      </c>
      <c r="AW240" s="168"/>
      <c r="AX240" s="168"/>
      <c r="AY240" s="176">
        <v>24</v>
      </c>
      <c r="AZ240" s="176">
        <v>32</v>
      </c>
      <c r="BA240" s="167"/>
      <c r="BB240" s="184">
        <v>72.400000000000006</v>
      </c>
      <c r="BC240" s="180">
        <v>27.844220130511601</v>
      </c>
      <c r="BD240" s="181" t="s">
        <v>55</v>
      </c>
      <c r="BE240" s="188">
        <v>0.87013187907848699</v>
      </c>
      <c r="BF240" s="171">
        <v>-25.449994980266698</v>
      </c>
      <c r="BG240" s="168"/>
      <c r="BH240" s="168"/>
      <c r="BI240" s="176">
        <v>11</v>
      </c>
      <c r="BJ240" s="176">
        <v>28</v>
      </c>
      <c r="BK240" s="169"/>
      <c r="BL240" s="185">
        <v>0.8</v>
      </c>
      <c r="BM240" s="173"/>
      <c r="BN240" s="186"/>
      <c r="BO240" s="187">
        <v>0.95</v>
      </c>
      <c r="BP240" s="178">
        <v>1</v>
      </c>
      <c r="BQ240" s="186">
        <v>2.5000000000000001E-3</v>
      </c>
    </row>
    <row r="241" spans="1:69" s="156" customFormat="1" ht="22.35" customHeight="1" x14ac:dyDescent="0.2">
      <c r="A241" s="165" t="s">
        <v>275</v>
      </c>
      <c r="B241" s="165" t="s">
        <v>299</v>
      </c>
      <c r="C241" s="165" t="s">
        <v>309</v>
      </c>
      <c r="D241" s="166">
        <v>3.3634437715555601</v>
      </c>
      <c r="E241" s="167"/>
      <c r="F241" s="168">
        <v>3.3000000000000002E-2</v>
      </c>
      <c r="G241" s="168">
        <v>3.1E-2</v>
      </c>
      <c r="H241" s="169"/>
      <c r="I241" s="170">
        <v>4</v>
      </c>
      <c r="J241" s="170">
        <v>4</v>
      </c>
      <c r="K241" s="167"/>
      <c r="L241" s="171">
        <v>6714.7305999999999</v>
      </c>
      <c r="M241" s="171">
        <v>-2272.4840199999999</v>
      </c>
      <c r="N241" s="171">
        <v>4442.24658</v>
      </c>
      <c r="O241" s="166">
        <v>1320.7435241129399</v>
      </c>
      <c r="P241" s="172">
        <v>217.09100000000001</v>
      </c>
      <c r="Q241" s="178">
        <v>6.0838244059539104</v>
      </c>
      <c r="R241" s="179">
        <v>3583.5626947505398</v>
      </c>
      <c r="S241" s="168">
        <v>0.01</v>
      </c>
      <c r="T241" s="168">
        <v>0.01</v>
      </c>
      <c r="U241" s="175">
        <v>0</v>
      </c>
      <c r="V241" s="176">
        <v>0</v>
      </c>
      <c r="W241" s="167"/>
      <c r="X241" s="175">
        <v>1797.674655</v>
      </c>
      <c r="Y241" s="166">
        <v>534.47441880932502</v>
      </c>
      <c r="Z241" s="177">
        <v>573</v>
      </c>
      <c r="AA241" s="188">
        <v>0.93276512881208595</v>
      </c>
      <c r="AB241" s="171">
        <v>-468.77520357517102</v>
      </c>
      <c r="AC241" s="168"/>
      <c r="AD241" s="168"/>
      <c r="AE241" s="176">
        <v>130</v>
      </c>
      <c r="AF241" s="176">
        <v>516</v>
      </c>
      <c r="AG241" s="167"/>
      <c r="AH241" s="180">
        <v>214.2</v>
      </c>
      <c r="AI241" s="166">
        <v>63.684727484216197</v>
      </c>
      <c r="AJ241" s="181" t="s">
        <v>53</v>
      </c>
      <c r="AK241" s="182">
        <v>1.0108686902256501</v>
      </c>
      <c r="AL241" s="183">
        <v>-34.990822147008302</v>
      </c>
      <c r="AM241" s="168">
        <v>3.0000000000000001E-3</v>
      </c>
      <c r="AN241" s="168">
        <v>1E-3</v>
      </c>
      <c r="AO241" s="176">
        <v>0</v>
      </c>
      <c r="AP241" s="176">
        <v>41</v>
      </c>
      <c r="AQ241" s="167"/>
      <c r="AR241" s="180">
        <v>21.5</v>
      </c>
      <c r="AS241" s="166">
        <v>6.3922578940739898</v>
      </c>
      <c r="AT241" s="181" t="s">
        <v>54</v>
      </c>
      <c r="AU241" s="173">
        <v>0.39951611837962397</v>
      </c>
      <c r="AV241" s="174">
        <v>-41.786558005589399</v>
      </c>
      <c r="AW241" s="168"/>
      <c r="AX241" s="168"/>
      <c r="AY241" s="176">
        <v>33</v>
      </c>
      <c r="AZ241" s="176">
        <v>44</v>
      </c>
      <c r="BA241" s="167"/>
      <c r="BB241" s="184">
        <v>141</v>
      </c>
      <c r="BC241" s="180">
        <v>41.921319212299203</v>
      </c>
      <c r="BD241" s="181" t="s">
        <v>55</v>
      </c>
      <c r="BE241" s="178">
        <v>1.3100412253843501</v>
      </c>
      <c r="BF241" s="179">
        <v>14.426883988821199</v>
      </c>
      <c r="BG241" s="168">
        <v>0.02</v>
      </c>
      <c r="BH241" s="168">
        <v>0.02</v>
      </c>
      <c r="BI241" s="176">
        <v>0</v>
      </c>
      <c r="BJ241" s="176">
        <v>0</v>
      </c>
      <c r="BK241" s="169"/>
      <c r="BL241" s="185">
        <v>0.8</v>
      </c>
      <c r="BM241" s="188">
        <v>0.8</v>
      </c>
      <c r="BN241" s="186">
        <v>0</v>
      </c>
      <c r="BO241" s="187">
        <v>0.95</v>
      </c>
      <c r="BP241" s="178">
        <v>1</v>
      </c>
      <c r="BQ241" s="186">
        <v>2.5000000000000001E-3</v>
      </c>
    </row>
    <row r="242" spans="1:69" s="156" customFormat="1" ht="22.35" customHeight="1" x14ac:dyDescent="0.2">
      <c r="A242" s="165" t="s">
        <v>275</v>
      </c>
      <c r="B242" s="165" t="s">
        <v>299</v>
      </c>
      <c r="C242" s="165" t="s">
        <v>310</v>
      </c>
      <c r="D242" s="166">
        <v>2.3177117403333298</v>
      </c>
      <c r="E242" s="167"/>
      <c r="F242" s="168">
        <v>4.2000000000000003E-2</v>
      </c>
      <c r="G242" s="168">
        <v>3.7999999999999999E-2</v>
      </c>
      <c r="H242" s="169"/>
      <c r="I242" s="170">
        <v>5</v>
      </c>
      <c r="J242" s="170">
        <v>4</v>
      </c>
      <c r="K242" s="167"/>
      <c r="L242" s="171">
        <v>200.47361000000001</v>
      </c>
      <c r="M242" s="171">
        <v>834.28456000000006</v>
      </c>
      <c r="N242" s="171">
        <v>1034.7581700000001</v>
      </c>
      <c r="O242" s="166">
        <v>446.45680133249903</v>
      </c>
      <c r="P242" s="172">
        <v>215.88200000000001</v>
      </c>
      <c r="Q242" s="178">
        <v>2.0680594089942601</v>
      </c>
      <c r="R242" s="179">
        <v>446.34392879027098</v>
      </c>
      <c r="S242" s="168">
        <v>0.01</v>
      </c>
      <c r="T242" s="168">
        <v>0.01</v>
      </c>
      <c r="U242" s="175">
        <v>0</v>
      </c>
      <c r="V242" s="176">
        <v>0</v>
      </c>
      <c r="W242" s="167"/>
      <c r="X242" s="175">
        <v>1314.251565</v>
      </c>
      <c r="Y242" s="166">
        <v>567.04703269569904</v>
      </c>
      <c r="Z242" s="177">
        <v>573</v>
      </c>
      <c r="AA242" s="182">
        <v>0.98961087730488395</v>
      </c>
      <c r="AB242" s="183">
        <v>-247.53385580013401</v>
      </c>
      <c r="AC242" s="168">
        <v>1E-3</v>
      </c>
      <c r="AD242" s="168"/>
      <c r="AE242" s="176">
        <v>14</v>
      </c>
      <c r="AF242" s="176">
        <v>280</v>
      </c>
      <c r="AG242" s="167"/>
      <c r="AH242" s="180">
        <v>158.30000000000001</v>
      </c>
      <c r="AI242" s="166">
        <v>68.300124318839295</v>
      </c>
      <c r="AJ242" s="181" t="s">
        <v>53</v>
      </c>
      <c r="AK242" s="182">
        <v>1.08412895744189</v>
      </c>
      <c r="AL242" s="183">
        <v>-13.414627417815799</v>
      </c>
      <c r="AM242" s="168">
        <v>1.0999999999999999E-2</v>
      </c>
      <c r="AN242" s="168">
        <v>8.0000000000000002E-3</v>
      </c>
      <c r="AO242" s="176">
        <v>0</v>
      </c>
      <c r="AP242" s="176">
        <v>17</v>
      </c>
      <c r="AQ242" s="167"/>
      <c r="AR242" s="180">
        <v>27.8</v>
      </c>
      <c r="AS242" s="166">
        <v>11.9945891096888</v>
      </c>
      <c r="AT242" s="181" t="s">
        <v>54</v>
      </c>
      <c r="AU242" s="173">
        <v>0.74966181935554699</v>
      </c>
      <c r="AV242" s="174">
        <v>-15.8100641061119</v>
      </c>
      <c r="AW242" s="168"/>
      <c r="AX242" s="168"/>
      <c r="AY242" s="176">
        <v>10</v>
      </c>
      <c r="AZ242" s="176">
        <v>17</v>
      </c>
      <c r="BA242" s="167"/>
      <c r="BB242" s="184">
        <v>111.2</v>
      </c>
      <c r="BC242" s="180">
        <v>47.9783564387551</v>
      </c>
      <c r="BD242" s="181" t="s">
        <v>55</v>
      </c>
      <c r="BE242" s="178">
        <v>1.4993236387111</v>
      </c>
      <c r="BF242" s="179">
        <v>23.979871787776101</v>
      </c>
      <c r="BG242" s="168">
        <v>0.02</v>
      </c>
      <c r="BH242" s="168">
        <v>0.02</v>
      </c>
      <c r="BI242" s="176">
        <v>0</v>
      </c>
      <c r="BJ242" s="176">
        <v>0</v>
      </c>
      <c r="BK242" s="169"/>
      <c r="BL242" s="185">
        <v>0.8</v>
      </c>
      <c r="BM242" s="188">
        <v>0.79</v>
      </c>
      <c r="BN242" s="186"/>
      <c r="BO242" s="187">
        <v>0.95</v>
      </c>
      <c r="BP242" s="178">
        <v>1</v>
      </c>
      <c r="BQ242" s="186">
        <v>2.5000000000000001E-3</v>
      </c>
    </row>
    <row r="243" spans="1:69" s="156" customFormat="1" ht="22.35" customHeight="1" x14ac:dyDescent="0.2">
      <c r="A243" s="165" t="s">
        <v>275</v>
      </c>
      <c r="B243" s="165" t="s">
        <v>299</v>
      </c>
      <c r="C243" s="165" t="s">
        <v>311</v>
      </c>
      <c r="D243" s="166">
        <v>2.7902735091111102</v>
      </c>
      <c r="E243" s="167"/>
      <c r="F243" s="168">
        <v>4.5999999999999999E-2</v>
      </c>
      <c r="G243" s="168">
        <v>4.2999999999999997E-2</v>
      </c>
      <c r="H243" s="169"/>
      <c r="I243" s="170">
        <v>5</v>
      </c>
      <c r="J243" s="170">
        <v>5</v>
      </c>
      <c r="K243" s="167"/>
      <c r="L243" s="171">
        <v>1101.8741500000001</v>
      </c>
      <c r="M243" s="171">
        <v>1562.48822</v>
      </c>
      <c r="N243" s="171">
        <v>2664.3623699999998</v>
      </c>
      <c r="O243" s="166">
        <v>954.87498315130301</v>
      </c>
      <c r="P243" s="172">
        <v>245.339</v>
      </c>
      <c r="Q243" s="178">
        <v>3.8920635657245799</v>
      </c>
      <c r="R243" s="179">
        <v>1859.3163849566699</v>
      </c>
      <c r="S243" s="168">
        <v>0.01</v>
      </c>
      <c r="T243" s="168">
        <v>0.01</v>
      </c>
      <c r="U243" s="175">
        <v>0</v>
      </c>
      <c r="V243" s="176">
        <v>0</v>
      </c>
      <c r="W243" s="167"/>
      <c r="X243" s="175">
        <v>2051.7895400000002</v>
      </c>
      <c r="Y243" s="166">
        <v>735.33635082735395</v>
      </c>
      <c r="Z243" s="177">
        <v>573</v>
      </c>
      <c r="AA243" s="178">
        <v>1.2833095127876999</v>
      </c>
      <c r="AB243" s="179">
        <v>171.569316432497</v>
      </c>
      <c r="AC243" s="168">
        <v>0.02</v>
      </c>
      <c r="AD243" s="168">
        <v>0.02</v>
      </c>
      <c r="AE243" s="176">
        <v>0</v>
      </c>
      <c r="AF243" s="176">
        <v>0</v>
      </c>
      <c r="AG243" s="167"/>
      <c r="AH243" s="180">
        <v>120.05</v>
      </c>
      <c r="AI243" s="166">
        <v>43.024456064253002</v>
      </c>
      <c r="AJ243" s="181" t="s">
        <v>53</v>
      </c>
      <c r="AK243" s="173">
        <v>0.68292787403576205</v>
      </c>
      <c r="AL243" s="174">
        <v>-86.675783743023899</v>
      </c>
      <c r="AM243" s="168"/>
      <c r="AN243" s="168"/>
      <c r="AO243" s="176">
        <v>56</v>
      </c>
      <c r="AP243" s="176">
        <v>91</v>
      </c>
      <c r="AQ243" s="167"/>
      <c r="AR243" s="180">
        <v>12.8</v>
      </c>
      <c r="AS243" s="166">
        <v>4.5873639118903604</v>
      </c>
      <c r="AT243" s="181" t="s">
        <v>54</v>
      </c>
      <c r="AU243" s="173">
        <v>0.28671024449314703</v>
      </c>
      <c r="AV243" s="174">
        <v>-39.701786347434599</v>
      </c>
      <c r="AW243" s="168"/>
      <c r="AX243" s="168"/>
      <c r="AY243" s="176">
        <v>32</v>
      </c>
      <c r="AZ243" s="176">
        <v>41</v>
      </c>
      <c r="BA243" s="167"/>
      <c r="BB243" s="184">
        <v>101.2</v>
      </c>
      <c r="BC243" s="180">
        <v>36.2688459283832</v>
      </c>
      <c r="BD243" s="181" t="s">
        <v>55</v>
      </c>
      <c r="BE243" s="182">
        <v>1.1334014352619699</v>
      </c>
      <c r="BF243" s="183">
        <v>-3.8035726948692901</v>
      </c>
      <c r="BG243" s="168">
        <v>1.6E-2</v>
      </c>
      <c r="BH243" s="168">
        <v>1.2999999999999999E-2</v>
      </c>
      <c r="BI243" s="176">
        <v>0</v>
      </c>
      <c r="BJ243" s="176">
        <v>6</v>
      </c>
      <c r="BK243" s="169"/>
      <c r="BL243" s="185">
        <v>0.8</v>
      </c>
      <c r="BM243" s="182">
        <v>0.88</v>
      </c>
      <c r="BN243" s="186">
        <v>3.0000000000000001E-3</v>
      </c>
      <c r="BO243" s="187">
        <v>0.95</v>
      </c>
      <c r="BP243" s="178">
        <v>1</v>
      </c>
      <c r="BQ243" s="186">
        <v>2.5000000000000001E-3</v>
      </c>
    </row>
    <row r="244" spans="1:69" s="156" customFormat="1" ht="22.35" customHeight="1" x14ac:dyDescent="0.2">
      <c r="A244" s="165" t="s">
        <v>275</v>
      </c>
      <c r="B244" s="165" t="s">
        <v>299</v>
      </c>
      <c r="C244" s="165" t="s">
        <v>312</v>
      </c>
      <c r="D244" s="166">
        <v>3.578419974</v>
      </c>
      <c r="E244" s="167"/>
      <c r="F244" s="168">
        <v>2.3E-2</v>
      </c>
      <c r="G244" s="168">
        <v>1.9E-2</v>
      </c>
      <c r="H244" s="169"/>
      <c r="I244" s="170">
        <v>5</v>
      </c>
      <c r="J244" s="170">
        <v>5</v>
      </c>
      <c r="K244" s="167"/>
      <c r="L244" s="171">
        <v>1773.9681</v>
      </c>
      <c r="M244" s="171">
        <v>1675.6718599999999</v>
      </c>
      <c r="N244" s="171">
        <v>3449.63996</v>
      </c>
      <c r="O244" s="166">
        <v>964.01204583707704</v>
      </c>
      <c r="P244" s="172">
        <v>213.536</v>
      </c>
      <c r="Q244" s="178">
        <v>4.5145176730718797</v>
      </c>
      <c r="R244" s="179">
        <v>2551.0330906199601</v>
      </c>
      <c r="S244" s="168">
        <v>0.01</v>
      </c>
      <c r="T244" s="168">
        <v>0.01</v>
      </c>
      <c r="U244" s="175">
        <v>0</v>
      </c>
      <c r="V244" s="176">
        <v>0</v>
      </c>
      <c r="W244" s="167"/>
      <c r="X244" s="175">
        <v>2133.9818300000002</v>
      </c>
      <c r="Y244" s="166">
        <v>596.34750686197697</v>
      </c>
      <c r="Z244" s="177">
        <v>573</v>
      </c>
      <c r="AA244" s="182">
        <v>1.0407460852739601</v>
      </c>
      <c r="AB244" s="183">
        <v>-277.32931263995198</v>
      </c>
      <c r="AC244" s="168">
        <v>6.0000000000000001E-3</v>
      </c>
      <c r="AD244" s="168">
        <v>4.0000000000000001E-3</v>
      </c>
      <c r="AE244" s="176">
        <v>0</v>
      </c>
      <c r="AF244" s="176">
        <v>327</v>
      </c>
      <c r="AG244" s="167"/>
      <c r="AH244" s="180">
        <v>176.55</v>
      </c>
      <c r="AI244" s="166">
        <v>49.337417430813801</v>
      </c>
      <c r="AJ244" s="181" t="s">
        <v>53</v>
      </c>
      <c r="AK244" s="188">
        <v>0.78313361001291804</v>
      </c>
      <c r="AL244" s="171">
        <v>-88.567979033712007</v>
      </c>
      <c r="AM244" s="168"/>
      <c r="AN244" s="168"/>
      <c r="AO244" s="176">
        <v>49</v>
      </c>
      <c r="AP244" s="176">
        <v>94</v>
      </c>
      <c r="AQ244" s="167"/>
      <c r="AR244" s="180">
        <v>42.8</v>
      </c>
      <c r="AS244" s="166">
        <v>11.960586043833599</v>
      </c>
      <c r="AT244" s="181" t="s">
        <v>54</v>
      </c>
      <c r="AU244" s="173">
        <v>0.74753662773960305</v>
      </c>
      <c r="AV244" s="174">
        <v>-24.531550230783999</v>
      </c>
      <c r="AW244" s="168"/>
      <c r="AX244" s="168"/>
      <c r="AY244" s="176">
        <v>15</v>
      </c>
      <c r="AZ244" s="176">
        <v>26</v>
      </c>
      <c r="BA244" s="167"/>
      <c r="BB244" s="184">
        <v>119.8</v>
      </c>
      <c r="BC244" s="180">
        <v>33.478462804936299</v>
      </c>
      <c r="BD244" s="181" t="s">
        <v>55</v>
      </c>
      <c r="BE244" s="182">
        <v>1.04620196265426</v>
      </c>
      <c r="BF244" s="183">
        <v>-14.863100461567999</v>
      </c>
      <c r="BG244" s="168">
        <v>7.0000000000000001E-3</v>
      </c>
      <c r="BH244" s="168">
        <v>5.0000000000000001E-3</v>
      </c>
      <c r="BI244" s="176">
        <v>0</v>
      </c>
      <c r="BJ244" s="176">
        <v>18</v>
      </c>
      <c r="BK244" s="169"/>
      <c r="BL244" s="185">
        <v>0.8</v>
      </c>
      <c r="BM244" s="182">
        <v>0.81</v>
      </c>
      <c r="BN244" s="186">
        <v>3.7500000000000001E-4</v>
      </c>
      <c r="BO244" s="187">
        <v>0.95</v>
      </c>
      <c r="BP244" s="178">
        <v>1</v>
      </c>
      <c r="BQ244" s="186">
        <v>2.5000000000000001E-3</v>
      </c>
    </row>
    <row r="245" spans="1:69" s="156" customFormat="1" ht="22.35" customHeight="1" x14ac:dyDescent="0.2">
      <c r="A245" s="165" t="s">
        <v>275</v>
      </c>
      <c r="B245" s="165" t="s">
        <v>299</v>
      </c>
      <c r="C245" s="165" t="s">
        <v>313</v>
      </c>
      <c r="D245" s="166">
        <v>3.0802030008888899</v>
      </c>
      <c r="E245" s="167"/>
      <c r="F245" s="168"/>
      <c r="G245" s="168"/>
      <c r="H245" s="169"/>
      <c r="I245" s="170">
        <v>2</v>
      </c>
      <c r="J245" s="170">
        <v>2</v>
      </c>
      <c r="K245" s="167"/>
      <c r="L245" s="171">
        <v>1055.4539299999999</v>
      </c>
      <c r="M245" s="171">
        <v>-605.01516000000004</v>
      </c>
      <c r="N245" s="171">
        <v>450.43876999999998</v>
      </c>
      <c r="O245" s="166">
        <v>146.236715524922</v>
      </c>
      <c r="P245" s="172">
        <v>252.38499999999999</v>
      </c>
      <c r="Q245" s="173">
        <v>0.57941920290398397</v>
      </c>
      <c r="R245" s="174">
        <v>-463.78014243010699</v>
      </c>
      <c r="S245" s="168"/>
      <c r="T245" s="168"/>
      <c r="U245" s="175">
        <v>327</v>
      </c>
      <c r="V245" s="176">
        <v>483</v>
      </c>
      <c r="W245" s="167"/>
      <c r="X245" s="175">
        <v>1118.6918700000001</v>
      </c>
      <c r="Y245" s="166">
        <v>363.187708627375</v>
      </c>
      <c r="Z245" s="177">
        <v>573</v>
      </c>
      <c r="AA245" s="173">
        <v>0.63383544263067204</v>
      </c>
      <c r="AB245" s="174">
        <v>-956.89676174297699</v>
      </c>
      <c r="AC245" s="168"/>
      <c r="AD245" s="168"/>
      <c r="AE245" s="176">
        <v>647</v>
      </c>
      <c r="AF245" s="176">
        <v>1000</v>
      </c>
      <c r="AG245" s="167"/>
      <c r="AH245" s="180">
        <v>84.1</v>
      </c>
      <c r="AI245" s="166">
        <v>27.303395255354999</v>
      </c>
      <c r="AJ245" s="181" t="s">
        <v>53</v>
      </c>
      <c r="AK245" s="173">
        <v>0.43338722627547599</v>
      </c>
      <c r="AL245" s="174">
        <v>-144.10607992985601</v>
      </c>
      <c r="AM245" s="168"/>
      <c r="AN245" s="168"/>
      <c r="AO245" s="176">
        <v>110</v>
      </c>
      <c r="AP245" s="176">
        <v>149</v>
      </c>
      <c r="AQ245" s="167"/>
      <c r="AR245" s="180">
        <v>15.3</v>
      </c>
      <c r="AS245" s="166">
        <v>4.9672050821276104</v>
      </c>
      <c r="AT245" s="181" t="s">
        <v>54</v>
      </c>
      <c r="AU245" s="173">
        <v>0.31045031763297598</v>
      </c>
      <c r="AV245" s="174">
        <v>-42.657099664725301</v>
      </c>
      <c r="AW245" s="168"/>
      <c r="AX245" s="168"/>
      <c r="AY245" s="176">
        <v>34</v>
      </c>
      <c r="AZ245" s="176">
        <v>44</v>
      </c>
      <c r="BA245" s="167"/>
      <c r="BB245" s="184">
        <v>95.4</v>
      </c>
      <c r="BC245" s="180">
        <v>30.971984629736799</v>
      </c>
      <c r="BD245" s="181" t="s">
        <v>55</v>
      </c>
      <c r="BE245" s="188">
        <v>0.96787451967927696</v>
      </c>
      <c r="BF245" s="171">
        <v>-20.514199329450701</v>
      </c>
      <c r="BG245" s="168"/>
      <c r="BH245" s="168"/>
      <c r="BI245" s="176">
        <v>4</v>
      </c>
      <c r="BJ245" s="176">
        <v>23</v>
      </c>
      <c r="BK245" s="169"/>
      <c r="BL245" s="185">
        <v>0.8</v>
      </c>
      <c r="BM245" s="182">
        <v>0.81</v>
      </c>
      <c r="BN245" s="186">
        <v>3.7500000000000001E-4</v>
      </c>
      <c r="BO245" s="187">
        <v>0.95</v>
      </c>
      <c r="BP245" s="178">
        <v>1</v>
      </c>
      <c r="BQ245" s="186">
        <v>2.5000000000000001E-3</v>
      </c>
    </row>
    <row r="246" spans="1:69" s="156" customFormat="1" ht="22.35" customHeight="1" x14ac:dyDescent="0.2">
      <c r="A246" s="165" t="s">
        <v>275</v>
      </c>
      <c r="B246" s="165" t="s">
        <v>299</v>
      </c>
      <c r="C246" s="165" t="s">
        <v>314</v>
      </c>
      <c r="D246" s="166">
        <v>6.0121721623333304</v>
      </c>
      <c r="E246" s="167"/>
      <c r="F246" s="168">
        <v>3.9E-2</v>
      </c>
      <c r="G246" s="168">
        <v>3.5000000000000003E-2</v>
      </c>
      <c r="H246" s="169"/>
      <c r="I246" s="170">
        <v>5</v>
      </c>
      <c r="J246" s="170">
        <v>5</v>
      </c>
      <c r="K246" s="167"/>
      <c r="L246" s="171">
        <v>5328.52934</v>
      </c>
      <c r="M246" s="171">
        <v>472.67518000000001</v>
      </c>
      <c r="N246" s="171">
        <v>5801.2045200000002</v>
      </c>
      <c r="O246" s="166">
        <v>964.90991331634496</v>
      </c>
      <c r="P246" s="172">
        <v>220.02799999999999</v>
      </c>
      <c r="Q246" s="178">
        <v>4.3853960101275504</v>
      </c>
      <c r="R246" s="179">
        <v>4245.5373693561596</v>
      </c>
      <c r="S246" s="168">
        <v>0.01</v>
      </c>
      <c r="T246" s="168">
        <v>0.01</v>
      </c>
      <c r="U246" s="175">
        <v>0</v>
      </c>
      <c r="V246" s="176">
        <v>0</v>
      </c>
      <c r="W246" s="167"/>
      <c r="X246" s="175">
        <v>3667.6442950000001</v>
      </c>
      <c r="Y246" s="166">
        <v>610.03647200558203</v>
      </c>
      <c r="Z246" s="177">
        <v>573</v>
      </c>
      <c r="AA246" s="182">
        <v>1.0646360767985701</v>
      </c>
      <c r="AB246" s="183">
        <v>-383.64589224398901</v>
      </c>
      <c r="AC246" s="168">
        <v>8.9999999999999993E-3</v>
      </c>
      <c r="AD246" s="168">
        <v>6.0000000000000001E-3</v>
      </c>
      <c r="AE246" s="176">
        <v>0</v>
      </c>
      <c r="AF246" s="176">
        <v>467</v>
      </c>
      <c r="AG246" s="167"/>
      <c r="AH246" s="180">
        <v>340.25</v>
      </c>
      <c r="AI246" s="166">
        <v>56.593522409702302</v>
      </c>
      <c r="AJ246" s="181" t="s">
        <v>53</v>
      </c>
      <c r="AK246" s="188">
        <v>0.89830987951908403</v>
      </c>
      <c r="AL246" s="171">
        <v>-105.17981116295201</v>
      </c>
      <c r="AM246" s="168"/>
      <c r="AN246" s="168"/>
      <c r="AO246" s="176">
        <v>39</v>
      </c>
      <c r="AP246" s="176">
        <v>115</v>
      </c>
      <c r="AQ246" s="167"/>
      <c r="AR246" s="180">
        <v>33.799999999999997</v>
      </c>
      <c r="AS246" s="166">
        <v>5.6219281629623499</v>
      </c>
      <c r="AT246" s="181" t="s">
        <v>54</v>
      </c>
      <c r="AU246" s="173">
        <v>0.35137051018514698</v>
      </c>
      <c r="AV246" s="174">
        <v>-79.325031406463907</v>
      </c>
      <c r="AW246" s="168"/>
      <c r="AX246" s="168"/>
      <c r="AY246" s="176">
        <v>63</v>
      </c>
      <c r="AZ246" s="176">
        <v>82</v>
      </c>
      <c r="BA246" s="167"/>
      <c r="BB246" s="184">
        <v>228.2</v>
      </c>
      <c r="BC246" s="180">
        <v>37.9563315617754</v>
      </c>
      <c r="BD246" s="181" t="s">
        <v>55</v>
      </c>
      <c r="BE246" s="178">
        <v>1.1861353613054799</v>
      </c>
      <c r="BF246" s="179">
        <v>1.94993718707218</v>
      </c>
      <c r="BG246" s="168">
        <v>0.02</v>
      </c>
      <c r="BH246" s="168">
        <v>1.9E-2</v>
      </c>
      <c r="BI246" s="176">
        <v>0</v>
      </c>
      <c r="BJ246" s="176">
        <v>3</v>
      </c>
      <c r="BK246" s="169"/>
      <c r="BL246" s="185">
        <v>0.8</v>
      </c>
      <c r="BM246" s="182">
        <v>0.81</v>
      </c>
      <c r="BN246" s="186">
        <v>3.7500000000000001E-4</v>
      </c>
      <c r="BO246" s="187">
        <v>0.95</v>
      </c>
      <c r="BP246" s="178">
        <v>1</v>
      </c>
      <c r="BQ246" s="186">
        <v>2.5000000000000001E-3</v>
      </c>
    </row>
    <row r="247" spans="1:69" s="156" customFormat="1" ht="22.35" customHeight="1" x14ac:dyDescent="0.2">
      <c r="A247" s="165" t="s">
        <v>275</v>
      </c>
      <c r="B247" s="165" t="s">
        <v>299</v>
      </c>
      <c r="C247" s="165" t="s">
        <v>315</v>
      </c>
      <c r="D247" s="166">
        <v>8.5561773496666707</v>
      </c>
      <c r="E247" s="167"/>
      <c r="F247" s="168">
        <v>0.01</v>
      </c>
      <c r="G247" s="168">
        <v>0.01</v>
      </c>
      <c r="H247" s="169"/>
      <c r="I247" s="170">
        <v>2</v>
      </c>
      <c r="J247" s="170">
        <v>2</v>
      </c>
      <c r="K247" s="167"/>
      <c r="L247" s="171">
        <v>3658.4410800000001</v>
      </c>
      <c r="M247" s="171">
        <v>3306.5454300000001</v>
      </c>
      <c r="N247" s="171">
        <v>6964.9865099999997</v>
      </c>
      <c r="O247" s="166">
        <v>814.03017087664102</v>
      </c>
      <c r="P247" s="172">
        <v>215.38300000000001</v>
      </c>
      <c r="Q247" s="178">
        <v>3.7794541392618801</v>
      </c>
      <c r="R247" s="179">
        <v>4797.78885818257</v>
      </c>
      <c r="S247" s="168">
        <v>0.01</v>
      </c>
      <c r="T247" s="168">
        <v>0.01</v>
      </c>
      <c r="U247" s="175">
        <v>0</v>
      </c>
      <c r="V247" s="176">
        <v>0</v>
      </c>
      <c r="W247" s="167"/>
      <c r="X247" s="175">
        <v>4798.9388049999998</v>
      </c>
      <c r="Y247" s="166">
        <v>560.87416247711997</v>
      </c>
      <c r="Z247" s="177">
        <v>573</v>
      </c>
      <c r="AA247" s="188">
        <v>0.978837979890262</v>
      </c>
      <c r="AB247" s="171">
        <v>-966.62418971818602</v>
      </c>
      <c r="AC247" s="168">
        <v>0</v>
      </c>
      <c r="AD247" s="168"/>
      <c r="AE247" s="176">
        <v>104</v>
      </c>
      <c r="AF247" s="176">
        <v>1085</v>
      </c>
      <c r="AG247" s="167"/>
      <c r="AH247" s="180">
        <v>287.89999999999998</v>
      </c>
      <c r="AI247" s="166">
        <v>33.648203892269201</v>
      </c>
      <c r="AJ247" s="181" t="s">
        <v>53</v>
      </c>
      <c r="AK247" s="173">
        <v>0.53409847448046399</v>
      </c>
      <c r="AL247" s="174">
        <v>-346.01006748210398</v>
      </c>
      <c r="AM247" s="168"/>
      <c r="AN247" s="168"/>
      <c r="AO247" s="176">
        <v>252</v>
      </c>
      <c r="AP247" s="176">
        <v>359</v>
      </c>
      <c r="AQ247" s="167"/>
      <c r="AR247" s="180">
        <v>73.5</v>
      </c>
      <c r="AS247" s="166">
        <v>8.5902847727745399</v>
      </c>
      <c r="AT247" s="181" t="s">
        <v>54</v>
      </c>
      <c r="AU247" s="173">
        <v>0.53689279829840897</v>
      </c>
      <c r="AV247" s="174">
        <v>-87.493033011328095</v>
      </c>
      <c r="AW247" s="168"/>
      <c r="AX247" s="168"/>
      <c r="AY247" s="176">
        <v>64</v>
      </c>
      <c r="AZ247" s="176">
        <v>91</v>
      </c>
      <c r="BA247" s="167"/>
      <c r="BB247" s="184">
        <v>259.60000000000002</v>
      </c>
      <c r="BC247" s="180">
        <v>30.340652068194199</v>
      </c>
      <c r="BD247" s="181" t="s">
        <v>55</v>
      </c>
      <c r="BE247" s="188">
        <v>0.94814537713106695</v>
      </c>
      <c r="BF247" s="171">
        <v>-62.386066022656102</v>
      </c>
      <c r="BG247" s="168"/>
      <c r="BH247" s="168"/>
      <c r="BI247" s="176">
        <v>15</v>
      </c>
      <c r="BJ247" s="176">
        <v>69</v>
      </c>
      <c r="BK247" s="169"/>
      <c r="BL247" s="185">
        <v>0.8</v>
      </c>
      <c r="BM247" s="188">
        <v>0.79</v>
      </c>
      <c r="BN247" s="186"/>
      <c r="BO247" s="187">
        <v>0.95</v>
      </c>
      <c r="BP247" s="178">
        <v>1</v>
      </c>
      <c r="BQ247" s="186">
        <v>2.5000000000000001E-3</v>
      </c>
    </row>
    <row r="248" spans="1:69" s="156" customFormat="1" ht="22.35" customHeight="1" x14ac:dyDescent="0.2">
      <c r="A248" s="165" t="s">
        <v>275</v>
      </c>
      <c r="B248" s="165" t="s">
        <v>299</v>
      </c>
      <c r="C248" s="165" t="s">
        <v>316</v>
      </c>
      <c r="D248" s="166">
        <v>7.66372503566667</v>
      </c>
      <c r="E248" s="167"/>
      <c r="F248" s="168">
        <v>0.01</v>
      </c>
      <c r="G248" s="168">
        <v>0.01</v>
      </c>
      <c r="H248" s="169"/>
      <c r="I248" s="170">
        <v>2</v>
      </c>
      <c r="J248" s="170">
        <v>2</v>
      </c>
      <c r="K248" s="167"/>
      <c r="L248" s="171">
        <v>4709.9885000000004</v>
      </c>
      <c r="M248" s="171">
        <v>1759.88977</v>
      </c>
      <c r="N248" s="171">
        <v>6469.8782700000002</v>
      </c>
      <c r="O248" s="166">
        <v>844.22108568476096</v>
      </c>
      <c r="P248" s="172">
        <v>245.339</v>
      </c>
      <c r="Q248" s="178">
        <v>3.4410390752581601</v>
      </c>
      <c r="R248" s="179">
        <v>4258.7505614460997</v>
      </c>
      <c r="S248" s="168">
        <v>0.01</v>
      </c>
      <c r="T248" s="168">
        <v>0.01</v>
      </c>
      <c r="U248" s="175">
        <v>0</v>
      </c>
      <c r="V248" s="176">
        <v>0</v>
      </c>
      <c r="W248" s="167"/>
      <c r="X248" s="175">
        <v>3499.0842699999998</v>
      </c>
      <c r="Y248" s="166">
        <v>456.57748075712601</v>
      </c>
      <c r="Z248" s="177">
        <v>573</v>
      </c>
      <c r="AA248" s="188">
        <v>0.796819338145071</v>
      </c>
      <c r="AB248" s="171">
        <v>-1665.1015178339101</v>
      </c>
      <c r="AC248" s="168"/>
      <c r="AD248" s="168"/>
      <c r="AE248" s="176">
        <v>893</v>
      </c>
      <c r="AF248" s="176">
        <v>1771</v>
      </c>
      <c r="AG248" s="167"/>
      <c r="AH248" s="180">
        <v>322.3</v>
      </c>
      <c r="AI248" s="166">
        <v>42.055266662103399</v>
      </c>
      <c r="AJ248" s="181" t="s">
        <v>53</v>
      </c>
      <c r="AK248" s="173">
        <v>0.66754391527148305</v>
      </c>
      <c r="AL248" s="174">
        <v>-245.49006044247199</v>
      </c>
      <c r="AM248" s="168"/>
      <c r="AN248" s="168"/>
      <c r="AO248" s="176">
        <v>161</v>
      </c>
      <c r="AP248" s="176">
        <v>258</v>
      </c>
      <c r="AQ248" s="167"/>
      <c r="AR248" s="180">
        <v>37.4</v>
      </c>
      <c r="AS248" s="166">
        <v>4.8801333328038101</v>
      </c>
      <c r="AT248" s="181" t="s">
        <v>54</v>
      </c>
      <c r="AU248" s="173">
        <v>0.30500833330023802</v>
      </c>
      <c r="AV248" s="174">
        <v>-106.800650271104</v>
      </c>
      <c r="AW248" s="168"/>
      <c r="AX248" s="168"/>
      <c r="AY248" s="176">
        <v>86</v>
      </c>
      <c r="AZ248" s="176">
        <v>110</v>
      </c>
      <c r="BA248" s="167"/>
      <c r="BB248" s="184">
        <v>190.2</v>
      </c>
      <c r="BC248" s="180">
        <v>24.818218179125299</v>
      </c>
      <c r="BD248" s="181" t="s">
        <v>55</v>
      </c>
      <c r="BE248" s="173">
        <v>0.77556931809766505</v>
      </c>
      <c r="BF248" s="174">
        <v>-98.201300542208003</v>
      </c>
      <c r="BG248" s="168"/>
      <c r="BH248" s="168"/>
      <c r="BI248" s="176">
        <v>56</v>
      </c>
      <c r="BJ248" s="176">
        <v>105</v>
      </c>
      <c r="BK248" s="169"/>
      <c r="BL248" s="185">
        <v>0.8</v>
      </c>
      <c r="BM248" s="188">
        <v>0.77</v>
      </c>
      <c r="BN248" s="186"/>
      <c r="BO248" s="187">
        <v>0.95</v>
      </c>
      <c r="BP248" s="178">
        <v>1</v>
      </c>
      <c r="BQ248" s="186">
        <v>2.5000000000000001E-3</v>
      </c>
    </row>
    <row r="249" spans="1:69" s="156" customFormat="1" ht="22.35" customHeight="1" x14ac:dyDescent="0.2">
      <c r="A249" s="165" t="s">
        <v>275</v>
      </c>
      <c r="B249" s="165" t="s">
        <v>299</v>
      </c>
      <c r="C249" s="165" t="s">
        <v>317</v>
      </c>
      <c r="D249" s="166">
        <v>4.1744710626666697</v>
      </c>
      <c r="E249" s="167"/>
      <c r="F249" s="168">
        <v>1.0999999999999999E-2</v>
      </c>
      <c r="G249" s="168">
        <v>0.01</v>
      </c>
      <c r="H249" s="169"/>
      <c r="I249" s="170">
        <v>4</v>
      </c>
      <c r="J249" s="170">
        <v>3</v>
      </c>
      <c r="K249" s="167"/>
      <c r="L249" s="171">
        <v>1576.8494000000001</v>
      </c>
      <c r="M249" s="171">
        <v>1100.4701399999999</v>
      </c>
      <c r="N249" s="171">
        <v>2677.31954</v>
      </c>
      <c r="O249" s="166">
        <v>641.35539564375802</v>
      </c>
      <c r="P249" s="172">
        <v>233.489</v>
      </c>
      <c r="Q249" s="178">
        <v>2.74683345101379</v>
      </c>
      <c r="R249" s="179">
        <v>1531.0804850336499</v>
      </c>
      <c r="S249" s="168">
        <v>0.01</v>
      </c>
      <c r="T249" s="168">
        <v>0.01</v>
      </c>
      <c r="U249" s="175">
        <v>0</v>
      </c>
      <c r="V249" s="176">
        <v>0</v>
      </c>
      <c r="W249" s="167"/>
      <c r="X249" s="175">
        <v>2316.8428450000001</v>
      </c>
      <c r="Y249" s="166">
        <v>555.00273213536002</v>
      </c>
      <c r="Z249" s="177">
        <v>573</v>
      </c>
      <c r="AA249" s="188">
        <v>0.96859115555909203</v>
      </c>
      <c r="AB249" s="171">
        <v>-496.11613163581001</v>
      </c>
      <c r="AC249" s="168"/>
      <c r="AD249" s="168"/>
      <c r="AE249" s="176">
        <v>76</v>
      </c>
      <c r="AF249" s="176">
        <v>554</v>
      </c>
      <c r="AG249" s="167"/>
      <c r="AH249" s="180">
        <v>154.19999999999999</v>
      </c>
      <c r="AI249" s="166">
        <v>36.9388115728119</v>
      </c>
      <c r="AJ249" s="181" t="s">
        <v>53</v>
      </c>
      <c r="AK249" s="173">
        <v>0.58633034242558602</v>
      </c>
      <c r="AL249" s="174">
        <v>-155.07821209084801</v>
      </c>
      <c r="AM249" s="168"/>
      <c r="AN249" s="168"/>
      <c r="AO249" s="176">
        <v>109</v>
      </c>
      <c r="AP249" s="176">
        <v>162</v>
      </c>
      <c r="AQ249" s="167"/>
      <c r="AR249" s="180">
        <v>30.6</v>
      </c>
      <c r="AS249" s="166">
        <v>7.3302700008303798</v>
      </c>
      <c r="AT249" s="181" t="s">
        <v>54</v>
      </c>
      <c r="AU249" s="173">
        <v>0.45814187505189902</v>
      </c>
      <c r="AV249" s="174">
        <v>-47.946847515136</v>
      </c>
      <c r="AW249" s="168"/>
      <c r="AX249" s="168"/>
      <c r="AY249" s="176">
        <v>37</v>
      </c>
      <c r="AZ249" s="176">
        <v>50</v>
      </c>
      <c r="BA249" s="167"/>
      <c r="BB249" s="184">
        <v>132.4</v>
      </c>
      <c r="BC249" s="180">
        <v>31.716593075488301</v>
      </c>
      <c r="BD249" s="181" t="s">
        <v>55</v>
      </c>
      <c r="BE249" s="182">
        <v>0.99114353360900997</v>
      </c>
      <c r="BF249" s="183">
        <v>-24.693695030272099</v>
      </c>
      <c r="BG249" s="168">
        <v>1E-3</v>
      </c>
      <c r="BH249" s="168"/>
      <c r="BI249" s="176">
        <v>2</v>
      </c>
      <c r="BJ249" s="176">
        <v>28</v>
      </c>
      <c r="BK249" s="169"/>
      <c r="BL249" s="185">
        <v>0.8</v>
      </c>
      <c r="BM249" s="182">
        <v>0.82</v>
      </c>
      <c r="BN249" s="186">
        <v>7.5000000000000002E-4</v>
      </c>
      <c r="BO249" s="187">
        <v>0.95</v>
      </c>
      <c r="BP249" s="178">
        <v>1</v>
      </c>
      <c r="BQ249" s="186">
        <v>2.5000000000000001E-3</v>
      </c>
    </row>
    <row r="250" spans="1:69" s="156" customFormat="1" ht="22.35" customHeight="1" x14ac:dyDescent="0.2">
      <c r="A250" s="165" t="s">
        <v>275</v>
      </c>
      <c r="B250" s="165" t="s">
        <v>318</v>
      </c>
      <c r="C250" s="165" t="s">
        <v>319</v>
      </c>
      <c r="D250" s="166">
        <v>2.5533062174444399</v>
      </c>
      <c r="E250" s="167"/>
      <c r="F250" s="168">
        <v>7.0000000000000007E-2</v>
      </c>
      <c r="G250" s="168">
        <v>6.9000000000000006E-2</v>
      </c>
      <c r="H250" s="169"/>
      <c r="I250" s="170">
        <v>5</v>
      </c>
      <c r="J250" s="170">
        <v>5</v>
      </c>
      <c r="K250" s="167"/>
      <c r="L250" s="171">
        <v>865.56267000000003</v>
      </c>
      <c r="M250" s="171">
        <v>-17.210799999999999</v>
      </c>
      <c r="N250" s="171">
        <v>848.35186999999996</v>
      </c>
      <c r="O250" s="166">
        <v>332.25621909505998</v>
      </c>
      <c r="P250" s="172">
        <v>240.12899999999999</v>
      </c>
      <c r="Q250" s="178">
        <v>1.3836571971526099</v>
      </c>
      <c r="R250" s="179">
        <v>127.31937642206999</v>
      </c>
      <c r="S250" s="168">
        <v>0.01</v>
      </c>
      <c r="T250" s="168">
        <v>0.01</v>
      </c>
      <c r="U250" s="175">
        <v>0</v>
      </c>
      <c r="V250" s="176">
        <v>0</v>
      </c>
      <c r="W250" s="167"/>
      <c r="X250" s="175">
        <v>1735.8881449999999</v>
      </c>
      <c r="Y250" s="166">
        <v>679.85897388266096</v>
      </c>
      <c r="Z250" s="177">
        <v>573</v>
      </c>
      <c r="AA250" s="178">
        <v>1.1864903558161599</v>
      </c>
      <c r="AB250" s="179">
        <v>15.3478569874994</v>
      </c>
      <c r="AC250" s="168">
        <v>0.02</v>
      </c>
      <c r="AD250" s="168">
        <v>1.9E-2</v>
      </c>
      <c r="AE250" s="176">
        <v>0</v>
      </c>
      <c r="AF250" s="176">
        <v>20</v>
      </c>
      <c r="AG250" s="167"/>
      <c r="AH250" s="180">
        <v>232.55</v>
      </c>
      <c r="AI250" s="166">
        <v>91.0779907287246</v>
      </c>
      <c r="AJ250" s="181" t="s">
        <v>53</v>
      </c>
      <c r="AK250" s="178">
        <v>1.44568239251944</v>
      </c>
      <c r="AL250" s="179">
        <v>43.380648961976398</v>
      </c>
      <c r="AM250" s="168">
        <v>0.02</v>
      </c>
      <c r="AN250" s="168">
        <v>0.02</v>
      </c>
      <c r="AO250" s="176">
        <v>0</v>
      </c>
      <c r="AP250" s="176">
        <v>0</v>
      </c>
      <c r="AQ250" s="167"/>
      <c r="AR250" s="180">
        <v>11.8</v>
      </c>
      <c r="AS250" s="166">
        <v>4.6214590006405096</v>
      </c>
      <c r="AT250" s="181" t="s">
        <v>54</v>
      </c>
      <c r="AU250" s="173">
        <v>0.28884118754003202</v>
      </c>
      <c r="AV250" s="174">
        <v>-36.243009787434602</v>
      </c>
      <c r="AW250" s="168"/>
      <c r="AX250" s="168"/>
      <c r="AY250" s="176">
        <v>30</v>
      </c>
      <c r="AZ250" s="176">
        <v>38</v>
      </c>
      <c r="BA250" s="167"/>
      <c r="BB250" s="184">
        <v>102.6</v>
      </c>
      <c r="BC250" s="180">
        <v>40.1831943615014</v>
      </c>
      <c r="BD250" s="181" t="s">
        <v>55</v>
      </c>
      <c r="BE250" s="178">
        <v>1.2557248237969201</v>
      </c>
      <c r="BF250" s="179">
        <v>6.5139804251308497</v>
      </c>
      <c r="BG250" s="168">
        <v>0.02</v>
      </c>
      <c r="BH250" s="168">
        <v>0.02</v>
      </c>
      <c r="BI250" s="176">
        <v>0</v>
      </c>
      <c r="BJ250" s="176">
        <v>0</v>
      </c>
      <c r="BK250" s="169"/>
      <c r="BL250" s="185">
        <v>0.8</v>
      </c>
      <c r="BM250" s="188">
        <v>0.77</v>
      </c>
      <c r="BN250" s="186"/>
      <c r="BO250" s="187">
        <v>0.95</v>
      </c>
      <c r="BP250" s="178">
        <v>1</v>
      </c>
      <c r="BQ250" s="186">
        <v>2.5000000000000001E-3</v>
      </c>
    </row>
    <row r="251" spans="1:69" s="156" customFormat="1" ht="22.35" customHeight="1" x14ac:dyDescent="0.2">
      <c r="A251" s="165" t="s">
        <v>275</v>
      </c>
      <c r="B251" s="165" t="s">
        <v>318</v>
      </c>
      <c r="C251" s="165" t="s">
        <v>320</v>
      </c>
      <c r="D251" s="166">
        <v>2.2514665105555598</v>
      </c>
      <c r="E251" s="167"/>
      <c r="F251" s="168">
        <v>0.01</v>
      </c>
      <c r="G251" s="168">
        <v>0.01</v>
      </c>
      <c r="H251" s="169"/>
      <c r="I251" s="170">
        <v>3</v>
      </c>
      <c r="J251" s="170">
        <v>3</v>
      </c>
      <c r="K251" s="167"/>
      <c r="L251" s="171">
        <v>928.72492</v>
      </c>
      <c r="M251" s="171">
        <v>716.49708999999996</v>
      </c>
      <c r="N251" s="171">
        <v>1645.22201</v>
      </c>
      <c r="O251" s="166">
        <v>730.73350293539897</v>
      </c>
      <c r="P251" s="172">
        <v>255.477</v>
      </c>
      <c r="Q251" s="178">
        <v>2.8602711905001201</v>
      </c>
      <c r="R251" s="179">
        <v>968.789268172569</v>
      </c>
      <c r="S251" s="168">
        <v>0.01</v>
      </c>
      <c r="T251" s="168">
        <v>0.01</v>
      </c>
      <c r="U251" s="175">
        <v>0</v>
      </c>
      <c r="V251" s="176">
        <v>0</v>
      </c>
      <c r="W251" s="167"/>
      <c r="X251" s="175">
        <v>1261.6990000000001</v>
      </c>
      <c r="Y251" s="166">
        <v>560.38985882524696</v>
      </c>
      <c r="Z251" s="177">
        <v>573</v>
      </c>
      <c r="AA251" s="188">
        <v>0.97799277281893104</v>
      </c>
      <c r="AB251" s="171">
        <v>-255.44720520484299</v>
      </c>
      <c r="AC251" s="168">
        <v>0</v>
      </c>
      <c r="AD251" s="168"/>
      <c r="AE251" s="176">
        <v>29</v>
      </c>
      <c r="AF251" s="176">
        <v>287</v>
      </c>
      <c r="AG251" s="167"/>
      <c r="AH251" s="180">
        <v>65.8</v>
      </c>
      <c r="AI251" s="166">
        <v>29.2253958437799</v>
      </c>
      <c r="AJ251" s="181" t="s">
        <v>53</v>
      </c>
      <c r="AK251" s="173">
        <v>0.46389517212349102</v>
      </c>
      <c r="AL251" s="174">
        <v>-101.00665083404</v>
      </c>
      <c r="AM251" s="168"/>
      <c r="AN251" s="168"/>
      <c r="AO251" s="176">
        <v>77</v>
      </c>
      <c r="AP251" s="176">
        <v>105</v>
      </c>
      <c r="AQ251" s="167"/>
      <c r="AR251" s="180">
        <v>7.8</v>
      </c>
      <c r="AS251" s="166">
        <v>3.4644086258584101</v>
      </c>
      <c r="AT251" s="181" t="s">
        <v>54</v>
      </c>
      <c r="AU251" s="173">
        <v>0.21652553911615099</v>
      </c>
      <c r="AV251" s="174">
        <v>-34.563593862613402</v>
      </c>
      <c r="AW251" s="168"/>
      <c r="AX251" s="168"/>
      <c r="AY251" s="176">
        <v>29</v>
      </c>
      <c r="AZ251" s="176">
        <v>36</v>
      </c>
      <c r="BA251" s="167"/>
      <c r="BB251" s="184">
        <v>63.6</v>
      </c>
      <c r="BC251" s="180">
        <v>28.248254949307</v>
      </c>
      <c r="BD251" s="181" t="s">
        <v>55</v>
      </c>
      <c r="BE251" s="188">
        <v>0.88275796716584398</v>
      </c>
      <c r="BF251" s="171">
        <v>-21.127187725226801</v>
      </c>
      <c r="BG251" s="168"/>
      <c r="BH251" s="168"/>
      <c r="BI251" s="176">
        <v>9</v>
      </c>
      <c r="BJ251" s="176">
        <v>23</v>
      </c>
      <c r="BK251" s="169"/>
      <c r="BL251" s="185">
        <v>0.8</v>
      </c>
      <c r="BM251" s="182">
        <v>0.91</v>
      </c>
      <c r="BN251" s="186">
        <v>4.1250000000000002E-3</v>
      </c>
      <c r="BO251" s="187">
        <v>0.95</v>
      </c>
      <c r="BP251" s="178">
        <v>1</v>
      </c>
      <c r="BQ251" s="186">
        <v>2.5000000000000001E-3</v>
      </c>
    </row>
    <row r="252" spans="1:69" s="156" customFormat="1" ht="22.35" customHeight="1" x14ac:dyDescent="0.2">
      <c r="A252" s="165" t="s">
        <v>275</v>
      </c>
      <c r="B252" s="165" t="s">
        <v>318</v>
      </c>
      <c r="C252" s="165" t="s">
        <v>321</v>
      </c>
      <c r="D252" s="166">
        <v>2.8395425426666701</v>
      </c>
      <c r="E252" s="167"/>
      <c r="F252" s="168">
        <v>0.01</v>
      </c>
      <c r="G252" s="168">
        <v>0.01</v>
      </c>
      <c r="H252" s="169"/>
      <c r="I252" s="170">
        <v>3</v>
      </c>
      <c r="J252" s="170">
        <v>3</v>
      </c>
      <c r="K252" s="167"/>
      <c r="L252" s="171">
        <v>249.59396000000001</v>
      </c>
      <c r="M252" s="171">
        <v>1922.73227</v>
      </c>
      <c r="N252" s="171">
        <v>2172.3262300000001</v>
      </c>
      <c r="O252" s="166">
        <v>765.02682997660895</v>
      </c>
      <c r="P252" s="172">
        <v>222.37200000000001</v>
      </c>
      <c r="Q252" s="178">
        <v>3.4403019713660399</v>
      </c>
      <c r="R252" s="179">
        <v>1429.7589589457</v>
      </c>
      <c r="S252" s="168">
        <v>0.01</v>
      </c>
      <c r="T252" s="168">
        <v>0.01</v>
      </c>
      <c r="U252" s="175">
        <v>0</v>
      </c>
      <c r="V252" s="176">
        <v>0</v>
      </c>
      <c r="W252" s="167"/>
      <c r="X252" s="175">
        <v>910.53312000000005</v>
      </c>
      <c r="Y252" s="166">
        <v>320.66190462668698</v>
      </c>
      <c r="Z252" s="177">
        <v>573</v>
      </c>
      <c r="AA252" s="173">
        <v>0.55961937980224696</v>
      </c>
      <c r="AB252" s="174">
        <v>-1002.88694329085</v>
      </c>
      <c r="AC252" s="168"/>
      <c r="AD252" s="168"/>
      <c r="AE252" s="176">
        <v>717</v>
      </c>
      <c r="AF252" s="176">
        <v>1042</v>
      </c>
      <c r="AG252" s="167"/>
      <c r="AH252" s="180">
        <v>116.8</v>
      </c>
      <c r="AI252" s="166">
        <v>41.133386186322497</v>
      </c>
      <c r="AJ252" s="181" t="s">
        <v>53</v>
      </c>
      <c r="AK252" s="173">
        <v>0.65291089184638795</v>
      </c>
      <c r="AL252" s="174">
        <v>-93.576027901088196</v>
      </c>
      <c r="AM252" s="168"/>
      <c r="AN252" s="168"/>
      <c r="AO252" s="176">
        <v>63</v>
      </c>
      <c r="AP252" s="176">
        <v>98</v>
      </c>
      <c r="AQ252" s="167"/>
      <c r="AR252" s="180">
        <v>7</v>
      </c>
      <c r="AS252" s="166">
        <v>2.4651858159611102</v>
      </c>
      <c r="AT252" s="181" t="s">
        <v>54</v>
      </c>
      <c r="AU252" s="173">
        <v>0.154074113497569</v>
      </c>
      <c r="AV252" s="174">
        <v>-46.428832482816098</v>
      </c>
      <c r="AW252" s="168"/>
      <c r="AX252" s="168"/>
      <c r="AY252" s="176">
        <v>39</v>
      </c>
      <c r="AZ252" s="176">
        <v>48</v>
      </c>
      <c r="BA252" s="167"/>
      <c r="BB252" s="184">
        <v>53.4</v>
      </c>
      <c r="BC252" s="180">
        <v>18.8058460817604</v>
      </c>
      <c r="BD252" s="181" t="s">
        <v>55</v>
      </c>
      <c r="BE252" s="173">
        <v>0.58768269005501295</v>
      </c>
      <c r="BF252" s="174">
        <v>-53.457664965632098</v>
      </c>
      <c r="BG252" s="168"/>
      <c r="BH252" s="168"/>
      <c r="BI252" s="176">
        <v>38</v>
      </c>
      <c r="BJ252" s="176">
        <v>56</v>
      </c>
      <c r="BK252" s="169"/>
      <c r="BL252" s="185">
        <v>0.8</v>
      </c>
      <c r="BM252" s="182">
        <v>0.83</v>
      </c>
      <c r="BN252" s="186">
        <v>1.1249999999999999E-3</v>
      </c>
      <c r="BO252" s="187">
        <v>0.95</v>
      </c>
      <c r="BP252" s="178">
        <v>1</v>
      </c>
      <c r="BQ252" s="186">
        <v>2.5000000000000001E-3</v>
      </c>
    </row>
    <row r="253" spans="1:69" s="156" customFormat="1" ht="22.35" customHeight="1" x14ac:dyDescent="0.2">
      <c r="A253" s="165" t="s">
        <v>275</v>
      </c>
      <c r="B253" s="165" t="s">
        <v>318</v>
      </c>
      <c r="C253" s="165" t="s">
        <v>322</v>
      </c>
      <c r="D253" s="166">
        <v>2.59845626488889</v>
      </c>
      <c r="E253" s="167"/>
      <c r="F253" s="168">
        <v>0.04</v>
      </c>
      <c r="G253" s="168">
        <v>3.6999999999999998E-2</v>
      </c>
      <c r="H253" s="169"/>
      <c r="I253" s="170">
        <v>6</v>
      </c>
      <c r="J253" s="170">
        <v>6</v>
      </c>
      <c r="K253" s="167"/>
      <c r="L253" s="171">
        <v>836.37577999999996</v>
      </c>
      <c r="M253" s="171">
        <v>259.67698999999999</v>
      </c>
      <c r="N253" s="171">
        <v>1096.05277</v>
      </c>
      <c r="O253" s="166">
        <v>421.80920449198601</v>
      </c>
      <c r="P253" s="172">
        <v>286.47199999999998</v>
      </c>
      <c r="Q253" s="178">
        <v>1.47242733842046</v>
      </c>
      <c r="R253" s="179">
        <v>220.65605337646599</v>
      </c>
      <c r="S253" s="168">
        <v>0.01</v>
      </c>
      <c r="T253" s="168">
        <v>0.01</v>
      </c>
      <c r="U253" s="175">
        <v>0</v>
      </c>
      <c r="V253" s="176">
        <v>0</v>
      </c>
      <c r="W253" s="167"/>
      <c r="X253" s="175">
        <v>1993.5757149999999</v>
      </c>
      <c r="Y253" s="166">
        <v>767.21542014687202</v>
      </c>
      <c r="Z253" s="177">
        <v>573</v>
      </c>
      <c r="AA253" s="178">
        <v>1.3389448868182801</v>
      </c>
      <c r="AB253" s="179">
        <v>242.611157817151</v>
      </c>
      <c r="AC253" s="168">
        <v>0.02</v>
      </c>
      <c r="AD253" s="168">
        <v>0.02</v>
      </c>
      <c r="AE253" s="176">
        <v>0</v>
      </c>
      <c r="AF253" s="176">
        <v>0</v>
      </c>
      <c r="AG253" s="167"/>
      <c r="AH253" s="180">
        <v>164.4</v>
      </c>
      <c r="AI253" s="166">
        <v>63.268334442038302</v>
      </c>
      <c r="AJ253" s="181" t="s">
        <v>53</v>
      </c>
      <c r="AK253" s="182">
        <v>1.0042592768577501</v>
      </c>
      <c r="AL253" s="183">
        <v>-28.114427753088101</v>
      </c>
      <c r="AM253" s="168">
        <v>2E-3</v>
      </c>
      <c r="AN253" s="168">
        <v>1E-3</v>
      </c>
      <c r="AO253" s="176">
        <v>0</v>
      </c>
      <c r="AP253" s="176">
        <v>33</v>
      </c>
      <c r="AQ253" s="167"/>
      <c r="AR253" s="180">
        <v>21.6</v>
      </c>
      <c r="AS253" s="166">
        <v>8.3126278828955495</v>
      </c>
      <c r="AT253" s="181" t="s">
        <v>54</v>
      </c>
      <c r="AU253" s="173">
        <v>0.51953924268097196</v>
      </c>
      <c r="AV253" s="174">
        <v>-27.2925530801494</v>
      </c>
      <c r="AW253" s="168"/>
      <c r="AX253" s="168"/>
      <c r="AY253" s="176">
        <v>20</v>
      </c>
      <c r="AZ253" s="176">
        <v>29</v>
      </c>
      <c r="BA253" s="167"/>
      <c r="BB253" s="184">
        <v>87.8</v>
      </c>
      <c r="BC253" s="180">
        <v>33.789292968436499</v>
      </c>
      <c r="BD253" s="181" t="s">
        <v>55</v>
      </c>
      <c r="BE253" s="182">
        <v>1.0559154052636399</v>
      </c>
      <c r="BF253" s="183">
        <v>-9.9851061602987308</v>
      </c>
      <c r="BG253" s="168">
        <v>8.0000000000000002E-3</v>
      </c>
      <c r="BH253" s="168">
        <v>6.0000000000000001E-3</v>
      </c>
      <c r="BI253" s="176">
        <v>0</v>
      </c>
      <c r="BJ253" s="176">
        <v>12</v>
      </c>
      <c r="BK253" s="169"/>
      <c r="BL253" s="185">
        <v>0.8</v>
      </c>
      <c r="BM253" s="182">
        <v>0.87</v>
      </c>
      <c r="BN253" s="186">
        <v>2.6250000000000002E-3</v>
      </c>
      <c r="BO253" s="187">
        <v>0.95</v>
      </c>
      <c r="BP253" s="178">
        <v>1</v>
      </c>
      <c r="BQ253" s="186">
        <v>2.5000000000000001E-3</v>
      </c>
    </row>
    <row r="254" spans="1:69" s="156" customFormat="1" ht="22.35" customHeight="1" x14ac:dyDescent="0.2">
      <c r="A254" s="165" t="s">
        <v>275</v>
      </c>
      <c r="B254" s="165" t="s">
        <v>318</v>
      </c>
      <c r="C254" s="165" t="s">
        <v>323</v>
      </c>
      <c r="D254" s="166">
        <v>3.4220960403333298</v>
      </c>
      <c r="E254" s="167"/>
      <c r="F254" s="168">
        <v>0.05</v>
      </c>
      <c r="G254" s="168">
        <v>0.05</v>
      </c>
      <c r="H254" s="169"/>
      <c r="I254" s="170">
        <v>4</v>
      </c>
      <c r="J254" s="170">
        <v>4</v>
      </c>
      <c r="K254" s="167"/>
      <c r="L254" s="171">
        <v>2508.60232</v>
      </c>
      <c r="M254" s="171">
        <v>1659.3983499999999</v>
      </c>
      <c r="N254" s="171">
        <v>4168.0006700000004</v>
      </c>
      <c r="O254" s="166">
        <v>1217.96718177261</v>
      </c>
      <c r="P254" s="172">
        <v>237.096</v>
      </c>
      <c r="Q254" s="178">
        <v>5.1370212140762002</v>
      </c>
      <c r="R254" s="179">
        <v>3213.8350974520499</v>
      </c>
      <c r="S254" s="168">
        <v>0.01</v>
      </c>
      <c r="T254" s="168">
        <v>0.01</v>
      </c>
      <c r="U254" s="175">
        <v>0</v>
      </c>
      <c r="V254" s="176">
        <v>0</v>
      </c>
      <c r="W254" s="167"/>
      <c r="X254" s="175">
        <v>2463.3458249999999</v>
      </c>
      <c r="Y254" s="166">
        <v>719.83538625644599</v>
      </c>
      <c r="Z254" s="177">
        <v>573</v>
      </c>
      <c r="AA254" s="178">
        <v>1.2562572185976399</v>
      </c>
      <c r="AB254" s="179">
        <v>157.37325241346699</v>
      </c>
      <c r="AC254" s="168">
        <v>0.02</v>
      </c>
      <c r="AD254" s="168">
        <v>0.02</v>
      </c>
      <c r="AE254" s="176">
        <v>0</v>
      </c>
      <c r="AF254" s="176">
        <v>0</v>
      </c>
      <c r="AG254" s="167"/>
      <c r="AH254" s="180">
        <v>123.25</v>
      </c>
      <c r="AI254" s="166">
        <v>36.015938345200503</v>
      </c>
      <c r="AJ254" s="181" t="s">
        <v>53</v>
      </c>
      <c r="AK254" s="173">
        <v>0.57168156103492795</v>
      </c>
      <c r="AL254" s="174">
        <v>-130.28625143621599</v>
      </c>
      <c r="AM254" s="168"/>
      <c r="AN254" s="168"/>
      <c r="AO254" s="176">
        <v>93</v>
      </c>
      <c r="AP254" s="176">
        <v>136</v>
      </c>
      <c r="AQ254" s="167"/>
      <c r="AR254" s="180">
        <v>15</v>
      </c>
      <c r="AS254" s="166">
        <v>4.3832785004300803</v>
      </c>
      <c r="AT254" s="181" t="s">
        <v>54</v>
      </c>
      <c r="AU254" s="173">
        <v>0.27395490627688002</v>
      </c>
      <c r="AV254" s="174">
        <v>-49.390159094911901</v>
      </c>
      <c r="AW254" s="168"/>
      <c r="AX254" s="168"/>
      <c r="AY254" s="176">
        <v>40</v>
      </c>
      <c r="AZ254" s="176">
        <v>51</v>
      </c>
      <c r="BA254" s="167"/>
      <c r="BB254" s="184">
        <v>150.6</v>
      </c>
      <c r="BC254" s="180">
        <v>44.008116144318002</v>
      </c>
      <c r="BD254" s="181" t="s">
        <v>55</v>
      </c>
      <c r="BE254" s="178">
        <v>1.37525362950994</v>
      </c>
      <c r="BF254" s="179">
        <v>21.8196818101761</v>
      </c>
      <c r="BG254" s="168">
        <v>0.02</v>
      </c>
      <c r="BH254" s="168">
        <v>0.02</v>
      </c>
      <c r="BI254" s="176">
        <v>0</v>
      </c>
      <c r="BJ254" s="176">
        <v>0</v>
      </c>
      <c r="BK254" s="169"/>
      <c r="BL254" s="185">
        <v>0.8</v>
      </c>
      <c r="BM254" s="188">
        <v>0.77</v>
      </c>
      <c r="BN254" s="186"/>
      <c r="BO254" s="187">
        <v>0.95</v>
      </c>
      <c r="BP254" s="178">
        <v>1</v>
      </c>
      <c r="BQ254" s="186">
        <v>2.5000000000000001E-3</v>
      </c>
    </row>
    <row r="255" spans="1:69" s="156" customFormat="1" ht="22.35" customHeight="1" x14ac:dyDescent="0.2">
      <c r="A255" s="165" t="s">
        <v>275</v>
      </c>
      <c r="B255" s="165" t="s">
        <v>318</v>
      </c>
      <c r="C255" s="165" t="s">
        <v>324</v>
      </c>
      <c r="D255" s="166">
        <v>2.6425147733333301</v>
      </c>
      <c r="E255" s="167"/>
      <c r="F255" s="168">
        <v>0.08</v>
      </c>
      <c r="G255" s="168">
        <v>0.08</v>
      </c>
      <c r="H255" s="169"/>
      <c r="I255" s="170">
        <v>6</v>
      </c>
      <c r="J255" s="170">
        <v>6</v>
      </c>
      <c r="K255" s="167"/>
      <c r="L255" s="171">
        <v>2477.3892099999998</v>
      </c>
      <c r="M255" s="171">
        <v>777.31741</v>
      </c>
      <c r="N255" s="171">
        <v>3254.7066199999999</v>
      </c>
      <c r="O255" s="166">
        <v>1231.6701699625401</v>
      </c>
      <c r="P255" s="172">
        <v>265.19900000000001</v>
      </c>
      <c r="Q255" s="178">
        <v>4.6443243374316596</v>
      </c>
      <c r="R255" s="179">
        <v>2430.5749041610902</v>
      </c>
      <c r="S255" s="168">
        <v>0.01</v>
      </c>
      <c r="T255" s="168">
        <v>0.01</v>
      </c>
      <c r="U255" s="175">
        <v>0</v>
      </c>
      <c r="V255" s="176">
        <v>0</v>
      </c>
      <c r="W255" s="167"/>
      <c r="X255" s="175">
        <v>2047.00441</v>
      </c>
      <c r="Y255" s="166">
        <v>774.64256043415003</v>
      </c>
      <c r="Z255" s="177">
        <v>573</v>
      </c>
      <c r="AA255" s="178">
        <v>1.3519067372323701</v>
      </c>
      <c r="AB255" s="179">
        <v>266.35111501888298</v>
      </c>
      <c r="AC255" s="168">
        <v>0.02</v>
      </c>
      <c r="AD255" s="168">
        <v>0.02</v>
      </c>
      <c r="AE255" s="176">
        <v>0</v>
      </c>
      <c r="AF255" s="176">
        <v>0</v>
      </c>
      <c r="AG255" s="167"/>
      <c r="AH255" s="180">
        <v>207.3</v>
      </c>
      <c r="AI255" s="166">
        <v>78.448000401718303</v>
      </c>
      <c r="AJ255" s="181" t="s">
        <v>53</v>
      </c>
      <c r="AK255" s="178">
        <v>1.2452063555828301</v>
      </c>
      <c r="AL255" s="179">
        <v>11.5213654732803</v>
      </c>
      <c r="AM255" s="168">
        <v>0.02</v>
      </c>
      <c r="AN255" s="168">
        <v>0.02</v>
      </c>
      <c r="AO255" s="176">
        <v>0</v>
      </c>
      <c r="AP255" s="176">
        <v>0</v>
      </c>
      <c r="AQ255" s="167"/>
      <c r="AR255" s="180">
        <v>61.2</v>
      </c>
      <c r="AS255" s="166">
        <v>23.1597569926925</v>
      </c>
      <c r="AT255" s="181" t="s">
        <v>54</v>
      </c>
      <c r="AU255" s="178">
        <v>1.4474848120432799</v>
      </c>
      <c r="AV255" s="179">
        <v>11.478442024960099</v>
      </c>
      <c r="AW255" s="168">
        <v>0.01</v>
      </c>
      <c r="AX255" s="168">
        <v>0.01</v>
      </c>
      <c r="AY255" s="176">
        <v>0</v>
      </c>
      <c r="AZ255" s="176">
        <v>0</v>
      </c>
      <c r="BA255" s="167"/>
      <c r="BB255" s="184">
        <v>175.8</v>
      </c>
      <c r="BC255" s="180">
        <v>66.527537243714804</v>
      </c>
      <c r="BD255" s="181" t="s">
        <v>55</v>
      </c>
      <c r="BE255" s="178">
        <v>2.0789855388660898</v>
      </c>
      <c r="BF255" s="179">
        <v>76.356884049920197</v>
      </c>
      <c r="BG255" s="168">
        <v>0.02</v>
      </c>
      <c r="BH255" s="168">
        <v>0.02</v>
      </c>
      <c r="BI255" s="176">
        <v>0</v>
      </c>
      <c r="BJ255" s="176">
        <v>0</v>
      </c>
      <c r="BK255" s="169"/>
      <c r="BL255" s="185">
        <v>0.8</v>
      </c>
      <c r="BM255" s="188">
        <v>0.79</v>
      </c>
      <c r="BN255" s="186"/>
      <c r="BO255" s="187">
        <v>0.95</v>
      </c>
      <c r="BP255" s="178">
        <v>1</v>
      </c>
      <c r="BQ255" s="186">
        <v>2.5000000000000001E-3</v>
      </c>
    </row>
    <row r="256" spans="1:69" s="156" customFormat="1" ht="22.35" customHeight="1" x14ac:dyDescent="0.2">
      <c r="A256" s="165" t="s">
        <v>275</v>
      </c>
      <c r="B256" s="165" t="s">
        <v>318</v>
      </c>
      <c r="C256" s="165" t="s">
        <v>325</v>
      </c>
      <c r="D256" s="166">
        <v>3.04966082633333</v>
      </c>
      <c r="E256" s="167"/>
      <c r="F256" s="168">
        <v>2.8000000000000001E-2</v>
      </c>
      <c r="G256" s="168">
        <v>2.3E-2</v>
      </c>
      <c r="H256" s="169"/>
      <c r="I256" s="170">
        <v>5</v>
      </c>
      <c r="J256" s="170">
        <v>5</v>
      </c>
      <c r="K256" s="167"/>
      <c r="L256" s="171">
        <v>1040.4178999999999</v>
      </c>
      <c r="M256" s="171">
        <v>2462.9405299999999</v>
      </c>
      <c r="N256" s="171">
        <v>3503.3584300000002</v>
      </c>
      <c r="O256" s="166">
        <v>1148.7698565522601</v>
      </c>
      <c r="P256" s="172">
        <v>266.08300000000003</v>
      </c>
      <c r="Q256" s="178">
        <v>4.31733653240628</v>
      </c>
      <c r="R256" s="179">
        <v>2549.07805765578</v>
      </c>
      <c r="S256" s="168">
        <v>0.01</v>
      </c>
      <c r="T256" s="168">
        <v>0.01</v>
      </c>
      <c r="U256" s="175">
        <v>0</v>
      </c>
      <c r="V256" s="176">
        <v>0</v>
      </c>
      <c r="W256" s="167"/>
      <c r="X256" s="175">
        <v>1929.5554099999999</v>
      </c>
      <c r="Y256" s="166">
        <v>632.71147838428396</v>
      </c>
      <c r="Z256" s="177">
        <v>573</v>
      </c>
      <c r="AA256" s="182">
        <v>1.10420851375966</v>
      </c>
      <c r="AB256" s="183">
        <v>-125.452438503062</v>
      </c>
      <c r="AC256" s="168">
        <v>1.2999999999999999E-2</v>
      </c>
      <c r="AD256" s="168">
        <v>0.01</v>
      </c>
      <c r="AE256" s="176">
        <v>0</v>
      </c>
      <c r="AF256" s="176">
        <v>168</v>
      </c>
      <c r="AG256" s="167"/>
      <c r="AH256" s="180">
        <v>121.75</v>
      </c>
      <c r="AI256" s="166">
        <v>39.922472344697603</v>
      </c>
      <c r="AJ256" s="181" t="s">
        <v>53</v>
      </c>
      <c r="AK256" s="173">
        <v>0.63369003721742101</v>
      </c>
      <c r="AL256" s="174">
        <v>-104.193271301384</v>
      </c>
      <c r="AM256" s="168"/>
      <c r="AN256" s="168"/>
      <c r="AO256" s="176">
        <v>71</v>
      </c>
      <c r="AP256" s="176">
        <v>109</v>
      </c>
      <c r="AQ256" s="167"/>
      <c r="AR256" s="180">
        <v>5.5</v>
      </c>
      <c r="AS256" s="166">
        <v>1.8034792434976299</v>
      </c>
      <c r="AT256" s="181" t="s">
        <v>54</v>
      </c>
      <c r="AU256" s="173">
        <v>0.11271745271860199</v>
      </c>
      <c r="AV256" s="174">
        <v>-51.882418108287901</v>
      </c>
      <c r="AW256" s="168"/>
      <c r="AX256" s="168"/>
      <c r="AY256" s="176">
        <v>44</v>
      </c>
      <c r="AZ256" s="176">
        <v>54</v>
      </c>
      <c r="BA256" s="167"/>
      <c r="BB256" s="184">
        <v>100.4</v>
      </c>
      <c r="BC256" s="180">
        <v>32.921693826756702</v>
      </c>
      <c r="BD256" s="181" t="s">
        <v>55</v>
      </c>
      <c r="BE256" s="182">
        <v>1.02880293208615</v>
      </c>
      <c r="BF256" s="183">
        <v>-14.364836216575901</v>
      </c>
      <c r="BG256" s="168">
        <v>5.0000000000000001E-3</v>
      </c>
      <c r="BH256" s="168">
        <v>3.0000000000000001E-3</v>
      </c>
      <c r="BI256" s="176">
        <v>0</v>
      </c>
      <c r="BJ256" s="176">
        <v>17</v>
      </c>
      <c r="BK256" s="169"/>
      <c r="BL256" s="185">
        <v>0.8</v>
      </c>
      <c r="BM256" s="182">
        <v>0.86</v>
      </c>
      <c r="BN256" s="186">
        <v>2.2499999999999998E-3</v>
      </c>
      <c r="BO256" s="187">
        <v>0.95</v>
      </c>
      <c r="BP256" s="178">
        <v>1</v>
      </c>
      <c r="BQ256" s="186">
        <v>2.5000000000000001E-3</v>
      </c>
    </row>
    <row r="257" spans="1:69" s="156" customFormat="1" ht="22.35" customHeight="1" x14ac:dyDescent="0.2">
      <c r="A257" s="165" t="s">
        <v>275</v>
      </c>
      <c r="B257" s="165" t="s">
        <v>318</v>
      </c>
      <c r="C257" s="165" t="s">
        <v>326</v>
      </c>
      <c r="D257" s="166">
        <v>2.8493458841111101</v>
      </c>
      <c r="E257" s="167"/>
      <c r="F257" s="168">
        <v>5.0999999999999997E-2</v>
      </c>
      <c r="G257" s="168">
        <v>4.8000000000000001E-2</v>
      </c>
      <c r="H257" s="169"/>
      <c r="I257" s="170">
        <v>6</v>
      </c>
      <c r="J257" s="170">
        <v>5</v>
      </c>
      <c r="K257" s="167"/>
      <c r="L257" s="171">
        <v>1897.5000700000001</v>
      </c>
      <c r="M257" s="171">
        <v>2546.1459599999998</v>
      </c>
      <c r="N257" s="171">
        <v>4443.6460299999999</v>
      </c>
      <c r="O257" s="166">
        <v>1559.5319805781501</v>
      </c>
      <c r="P257" s="172">
        <v>263.75299999999999</v>
      </c>
      <c r="Q257" s="178">
        <v>5.9128502067394502</v>
      </c>
      <c r="R257" s="179">
        <v>3559.8543646329799</v>
      </c>
      <c r="S257" s="168">
        <v>0.01</v>
      </c>
      <c r="T257" s="168">
        <v>0.01</v>
      </c>
      <c r="U257" s="175">
        <v>0</v>
      </c>
      <c r="V257" s="176">
        <v>0</v>
      </c>
      <c r="W257" s="167"/>
      <c r="X257" s="175">
        <v>1934.5632700000001</v>
      </c>
      <c r="Y257" s="166">
        <v>678.94995858093603</v>
      </c>
      <c r="Z257" s="177">
        <v>573</v>
      </c>
      <c r="AA257" s="178">
        <v>1.1849039416770299</v>
      </c>
      <c r="AB257" s="179">
        <v>14.537244683497001</v>
      </c>
      <c r="AC257" s="168">
        <v>0.02</v>
      </c>
      <c r="AD257" s="168">
        <v>1.7999999999999999E-2</v>
      </c>
      <c r="AE257" s="176">
        <v>0</v>
      </c>
      <c r="AF257" s="176">
        <v>25</v>
      </c>
      <c r="AG257" s="167"/>
      <c r="AH257" s="180">
        <v>176.25</v>
      </c>
      <c r="AI257" s="166">
        <v>61.856302171957402</v>
      </c>
      <c r="AJ257" s="181" t="s">
        <v>53</v>
      </c>
      <c r="AK257" s="182">
        <v>0.98184606622154602</v>
      </c>
      <c r="AL257" s="183">
        <v>-34.852337862023901</v>
      </c>
      <c r="AM257" s="168">
        <v>1E-3</v>
      </c>
      <c r="AN257" s="168"/>
      <c r="AO257" s="176">
        <v>4</v>
      </c>
      <c r="AP257" s="176">
        <v>40</v>
      </c>
      <c r="AQ257" s="167"/>
      <c r="AR257" s="180">
        <v>35.9</v>
      </c>
      <c r="AS257" s="166">
        <v>12.5993829672242</v>
      </c>
      <c r="AT257" s="181" t="s">
        <v>54</v>
      </c>
      <c r="AU257" s="188">
        <v>0.78746143545151404</v>
      </c>
      <c r="AV257" s="171">
        <v>-17.713292155434601</v>
      </c>
      <c r="AW257" s="168"/>
      <c r="AX257" s="168"/>
      <c r="AY257" s="176">
        <v>10</v>
      </c>
      <c r="AZ257" s="176">
        <v>19</v>
      </c>
      <c r="BA257" s="167"/>
      <c r="BB257" s="184">
        <v>114</v>
      </c>
      <c r="BC257" s="180">
        <v>40.0091826814363</v>
      </c>
      <c r="BD257" s="181" t="s">
        <v>55</v>
      </c>
      <c r="BE257" s="178">
        <v>1.2502869587948799</v>
      </c>
      <c r="BF257" s="179">
        <v>6.7734156891307196</v>
      </c>
      <c r="BG257" s="168">
        <v>0.02</v>
      </c>
      <c r="BH257" s="168">
        <v>0.02</v>
      </c>
      <c r="BI257" s="176">
        <v>0</v>
      </c>
      <c r="BJ257" s="176">
        <v>0</v>
      </c>
      <c r="BK257" s="169"/>
      <c r="BL257" s="185">
        <v>0.8</v>
      </c>
      <c r="BM257" s="182">
        <v>0.88</v>
      </c>
      <c r="BN257" s="186">
        <v>3.0000000000000001E-3</v>
      </c>
      <c r="BO257" s="187">
        <v>0.95</v>
      </c>
      <c r="BP257" s="178">
        <v>1</v>
      </c>
      <c r="BQ257" s="186">
        <v>2.5000000000000001E-3</v>
      </c>
    </row>
    <row r="258" spans="1:69" s="156" customFormat="1" ht="22.35" customHeight="1" x14ac:dyDescent="0.2">
      <c r="A258" s="165" t="s">
        <v>275</v>
      </c>
      <c r="B258" s="165" t="s">
        <v>318</v>
      </c>
      <c r="C258" s="165" t="s">
        <v>327</v>
      </c>
      <c r="D258" s="166">
        <v>7.8533208782222204</v>
      </c>
      <c r="E258" s="167"/>
      <c r="F258" s="168">
        <v>2.5999999999999999E-2</v>
      </c>
      <c r="G258" s="168">
        <v>2.1999999999999999E-2</v>
      </c>
      <c r="H258" s="169"/>
      <c r="I258" s="170">
        <v>5</v>
      </c>
      <c r="J258" s="170">
        <v>5</v>
      </c>
      <c r="K258" s="167"/>
      <c r="L258" s="171">
        <v>3798.9518400000002</v>
      </c>
      <c r="M258" s="171">
        <v>-1225.1152400000001</v>
      </c>
      <c r="N258" s="171">
        <v>2573.8366000000001</v>
      </c>
      <c r="O258" s="166">
        <v>327.73862674291303</v>
      </c>
      <c r="P258" s="172">
        <v>267.36500000000001</v>
      </c>
      <c r="Q258" s="178">
        <v>1.2258097609743701</v>
      </c>
      <c r="R258" s="179">
        <v>104.585711351481</v>
      </c>
      <c r="S258" s="168">
        <v>0.01</v>
      </c>
      <c r="T258" s="168">
        <v>0.01</v>
      </c>
      <c r="U258" s="175">
        <v>0</v>
      </c>
      <c r="V258" s="176">
        <v>0</v>
      </c>
      <c r="W258" s="167"/>
      <c r="X258" s="175">
        <v>4838.8231299999998</v>
      </c>
      <c r="Y258" s="166">
        <v>616.14993262511098</v>
      </c>
      <c r="Z258" s="177">
        <v>573</v>
      </c>
      <c r="AA258" s="182">
        <v>1.0753052925394599</v>
      </c>
      <c r="AB258" s="183">
        <v>-453.12143714828699</v>
      </c>
      <c r="AC258" s="168">
        <v>0.01</v>
      </c>
      <c r="AD258" s="168">
        <v>8.0000000000000002E-3</v>
      </c>
      <c r="AE258" s="176">
        <v>0</v>
      </c>
      <c r="AF258" s="176">
        <v>562</v>
      </c>
      <c r="AG258" s="167"/>
      <c r="AH258" s="180">
        <v>427.8</v>
      </c>
      <c r="AI258" s="166">
        <v>54.473770604015101</v>
      </c>
      <c r="AJ258" s="181" t="s">
        <v>53</v>
      </c>
      <c r="AK258" s="188">
        <v>0.86466302546055795</v>
      </c>
      <c r="AL258" s="171">
        <v>-154.03683722572799</v>
      </c>
      <c r="AM258" s="168"/>
      <c r="AN258" s="168"/>
      <c r="AO258" s="176">
        <v>67</v>
      </c>
      <c r="AP258" s="176">
        <v>166</v>
      </c>
      <c r="AQ258" s="167"/>
      <c r="AR258" s="180">
        <v>61.6</v>
      </c>
      <c r="AS258" s="166">
        <v>7.8438154960433204</v>
      </c>
      <c r="AT258" s="181" t="s">
        <v>54</v>
      </c>
      <c r="AU258" s="173">
        <v>0.49023846850270802</v>
      </c>
      <c r="AV258" s="174">
        <v>-86.168085644629301</v>
      </c>
      <c r="AW258" s="168"/>
      <c r="AX258" s="168"/>
      <c r="AY258" s="176">
        <v>65</v>
      </c>
      <c r="AZ258" s="176">
        <v>90</v>
      </c>
      <c r="BA258" s="167"/>
      <c r="BB258" s="184">
        <v>261.2</v>
      </c>
      <c r="BC258" s="180">
        <v>33.259815057898003</v>
      </c>
      <c r="BD258" s="181" t="s">
        <v>55</v>
      </c>
      <c r="BE258" s="182">
        <v>1.0393692205593099</v>
      </c>
      <c r="BF258" s="183">
        <v>-34.336171289258601</v>
      </c>
      <c r="BG258" s="168">
        <v>6.0000000000000001E-3</v>
      </c>
      <c r="BH258" s="168">
        <v>4.0000000000000001E-3</v>
      </c>
      <c r="BI258" s="176">
        <v>0</v>
      </c>
      <c r="BJ258" s="176">
        <v>41</v>
      </c>
      <c r="BK258" s="169"/>
      <c r="BL258" s="185">
        <v>0.8</v>
      </c>
      <c r="BM258" s="182">
        <v>0.82</v>
      </c>
      <c r="BN258" s="186">
        <v>7.5000000000000002E-4</v>
      </c>
      <c r="BO258" s="187">
        <v>0.95</v>
      </c>
      <c r="BP258" s="178">
        <v>1</v>
      </c>
      <c r="BQ258" s="186">
        <v>2.5000000000000001E-3</v>
      </c>
    </row>
    <row r="259" spans="1:69" s="156" customFormat="1" ht="22.35" customHeight="1" x14ac:dyDescent="0.2">
      <c r="A259" s="165" t="s">
        <v>275</v>
      </c>
      <c r="B259" s="165" t="s">
        <v>318</v>
      </c>
      <c r="C259" s="165" t="s">
        <v>328</v>
      </c>
      <c r="D259" s="166">
        <v>8.9100383940000007</v>
      </c>
      <c r="E259" s="167"/>
      <c r="F259" s="168"/>
      <c r="G259" s="168"/>
      <c r="H259" s="169"/>
      <c r="I259" s="170">
        <v>1</v>
      </c>
      <c r="J259" s="170">
        <v>1</v>
      </c>
      <c r="K259" s="167"/>
      <c r="L259" s="171">
        <v>4377.8224399999999</v>
      </c>
      <c r="M259" s="171">
        <v>-2200.3710599999999</v>
      </c>
      <c r="N259" s="171">
        <v>2177.45138</v>
      </c>
      <c r="O259" s="166">
        <v>244.381817868068</v>
      </c>
      <c r="P259" s="172">
        <v>266.08300000000003</v>
      </c>
      <c r="Q259" s="188">
        <v>0.91844205705763904</v>
      </c>
      <c r="R259" s="171">
        <v>-610.62088128506502</v>
      </c>
      <c r="S259" s="168"/>
      <c r="T259" s="168"/>
      <c r="U259" s="175">
        <v>194</v>
      </c>
      <c r="V259" s="176">
        <v>668</v>
      </c>
      <c r="W259" s="167"/>
      <c r="X259" s="175">
        <v>3744.1683950000001</v>
      </c>
      <c r="Y259" s="166">
        <v>420.21910899074402</v>
      </c>
      <c r="Z259" s="177">
        <v>573</v>
      </c>
      <c r="AA259" s="173">
        <v>0.73336668235732005</v>
      </c>
      <c r="AB259" s="174">
        <v>-2259.8431567201101</v>
      </c>
      <c r="AC259" s="168"/>
      <c r="AD259" s="168"/>
      <c r="AE259" s="176">
        <v>1362</v>
      </c>
      <c r="AF259" s="176">
        <v>2383</v>
      </c>
      <c r="AG259" s="167"/>
      <c r="AH259" s="180">
        <v>424.95</v>
      </c>
      <c r="AI259" s="166">
        <v>47.6933971784185</v>
      </c>
      <c r="AJ259" s="181" t="s">
        <v>53</v>
      </c>
      <c r="AK259" s="173">
        <v>0.75703805045108696</v>
      </c>
      <c r="AL259" s="174">
        <v>-235.176924534672</v>
      </c>
      <c r="AM259" s="168"/>
      <c r="AN259" s="168"/>
      <c r="AO259" s="176">
        <v>137</v>
      </c>
      <c r="AP259" s="176">
        <v>249</v>
      </c>
      <c r="AQ259" s="167"/>
      <c r="AR259" s="180">
        <v>64.599999999999994</v>
      </c>
      <c r="AS259" s="166">
        <v>7.2502493416303899</v>
      </c>
      <c r="AT259" s="181" t="s">
        <v>54</v>
      </c>
      <c r="AU259" s="173">
        <v>0.45314058385189898</v>
      </c>
      <c r="AV259" s="174">
        <v>-103.051282421504</v>
      </c>
      <c r="AW259" s="168"/>
      <c r="AX259" s="168"/>
      <c r="AY259" s="176">
        <v>78</v>
      </c>
      <c r="AZ259" s="176">
        <v>107</v>
      </c>
      <c r="BA259" s="167"/>
      <c r="BB259" s="184">
        <v>274.2</v>
      </c>
      <c r="BC259" s="180">
        <v>30.7742781652485</v>
      </c>
      <c r="BD259" s="181" t="s">
        <v>55</v>
      </c>
      <c r="BE259" s="188">
        <v>0.96169619266401496</v>
      </c>
      <c r="BF259" s="171">
        <v>-61.102564843007997</v>
      </c>
      <c r="BG259" s="168"/>
      <c r="BH259" s="168"/>
      <c r="BI259" s="176">
        <v>11</v>
      </c>
      <c r="BJ259" s="176">
        <v>68</v>
      </c>
      <c r="BK259" s="169"/>
      <c r="BL259" s="185">
        <v>0.8</v>
      </c>
      <c r="BM259" s="188">
        <v>0.74</v>
      </c>
      <c r="BN259" s="186"/>
      <c r="BO259" s="187">
        <v>0.95</v>
      </c>
      <c r="BP259" s="178">
        <v>1</v>
      </c>
      <c r="BQ259" s="186">
        <v>2.5000000000000001E-3</v>
      </c>
    </row>
    <row r="260" spans="1:69" s="156" customFormat="1" ht="22.35" customHeight="1" x14ac:dyDescent="0.2">
      <c r="A260" s="165" t="s">
        <v>275</v>
      </c>
      <c r="B260" s="165" t="s">
        <v>318</v>
      </c>
      <c r="C260" s="165" t="s">
        <v>329</v>
      </c>
      <c r="D260" s="166">
        <v>3.7235578407777798</v>
      </c>
      <c r="E260" s="167"/>
      <c r="F260" s="168">
        <v>5.3999999999999999E-2</v>
      </c>
      <c r="G260" s="168">
        <v>5.1999999999999998E-2</v>
      </c>
      <c r="H260" s="169"/>
      <c r="I260" s="170">
        <v>5</v>
      </c>
      <c r="J260" s="170">
        <v>5</v>
      </c>
      <c r="K260" s="167"/>
      <c r="L260" s="171">
        <v>1155.0283400000001</v>
      </c>
      <c r="M260" s="171">
        <v>1810.1803299999999</v>
      </c>
      <c r="N260" s="171">
        <v>2965.20867</v>
      </c>
      <c r="O260" s="166">
        <v>796.33748065549798</v>
      </c>
      <c r="P260" s="172">
        <v>287.5</v>
      </c>
      <c r="Q260" s="178">
        <v>2.7698694979321701</v>
      </c>
      <c r="R260" s="179">
        <v>1706.2737640330299</v>
      </c>
      <c r="S260" s="168">
        <v>0.01</v>
      </c>
      <c r="T260" s="168">
        <v>0.01</v>
      </c>
      <c r="U260" s="175">
        <v>0</v>
      </c>
      <c r="V260" s="176">
        <v>0</v>
      </c>
      <c r="W260" s="167"/>
      <c r="X260" s="175">
        <v>2869.381515</v>
      </c>
      <c r="Y260" s="166">
        <v>770.60210629107405</v>
      </c>
      <c r="Z260" s="177">
        <v>573</v>
      </c>
      <c r="AA260" s="178">
        <v>1.3448553338413201</v>
      </c>
      <c r="AB260" s="179">
        <v>360.269511107575</v>
      </c>
      <c r="AC260" s="168">
        <v>0.02</v>
      </c>
      <c r="AD260" s="168">
        <v>0.02</v>
      </c>
      <c r="AE260" s="176">
        <v>0</v>
      </c>
      <c r="AF260" s="176">
        <v>0</v>
      </c>
      <c r="AG260" s="167"/>
      <c r="AH260" s="180">
        <v>239.55</v>
      </c>
      <c r="AI260" s="166">
        <v>64.333632037783204</v>
      </c>
      <c r="AJ260" s="181" t="s">
        <v>53</v>
      </c>
      <c r="AK260" s="182">
        <v>1.0211687625044901</v>
      </c>
      <c r="AL260" s="183">
        <v>-36.320953307544102</v>
      </c>
      <c r="AM260" s="168">
        <v>4.0000000000000001E-3</v>
      </c>
      <c r="AN260" s="168">
        <v>2E-3</v>
      </c>
      <c r="AO260" s="176">
        <v>0</v>
      </c>
      <c r="AP260" s="176">
        <v>42</v>
      </c>
      <c r="AQ260" s="167"/>
      <c r="AR260" s="180">
        <v>31.2</v>
      </c>
      <c r="AS260" s="166">
        <v>8.3790829454345008</v>
      </c>
      <c r="AT260" s="181" t="s">
        <v>54</v>
      </c>
      <c r="AU260" s="173">
        <v>0.52369268408965597</v>
      </c>
      <c r="AV260" s="174">
        <v>-38.862464332074701</v>
      </c>
      <c r="AW260" s="168"/>
      <c r="AX260" s="168"/>
      <c r="AY260" s="176">
        <v>29</v>
      </c>
      <c r="AZ260" s="176">
        <v>41</v>
      </c>
      <c r="BA260" s="167"/>
      <c r="BB260" s="184">
        <v>155.80000000000001</v>
      </c>
      <c r="BC260" s="180">
        <v>41.841702657009499</v>
      </c>
      <c r="BD260" s="181" t="s">
        <v>55</v>
      </c>
      <c r="BE260" s="178">
        <v>1.30755320803155</v>
      </c>
      <c r="BF260" s="179">
        <v>15.6750713358506</v>
      </c>
      <c r="BG260" s="168">
        <v>0.02</v>
      </c>
      <c r="BH260" s="168">
        <v>0.02</v>
      </c>
      <c r="BI260" s="176">
        <v>0</v>
      </c>
      <c r="BJ260" s="176">
        <v>0</v>
      </c>
      <c r="BK260" s="169"/>
      <c r="BL260" s="185">
        <v>0.8</v>
      </c>
      <c r="BM260" s="188">
        <v>0.79</v>
      </c>
      <c r="BN260" s="186"/>
      <c r="BO260" s="187">
        <v>0.95</v>
      </c>
      <c r="BP260" s="178">
        <v>1</v>
      </c>
      <c r="BQ260" s="186">
        <v>2.5000000000000001E-3</v>
      </c>
    </row>
    <row r="261" spans="1:69" s="156" customFormat="1" ht="22.35" customHeight="1" x14ac:dyDescent="0.2">
      <c r="A261" s="165" t="s">
        <v>275</v>
      </c>
      <c r="B261" s="165" t="s">
        <v>318</v>
      </c>
      <c r="C261" s="165" t="s">
        <v>330</v>
      </c>
      <c r="D261" s="166">
        <v>2.4875433197777799</v>
      </c>
      <c r="E261" s="167"/>
      <c r="F261" s="168">
        <v>3.5000000000000003E-2</v>
      </c>
      <c r="G261" s="168">
        <v>3.1E-2</v>
      </c>
      <c r="H261" s="169"/>
      <c r="I261" s="170">
        <v>5</v>
      </c>
      <c r="J261" s="170">
        <v>5</v>
      </c>
      <c r="K261" s="167"/>
      <c r="L261" s="171">
        <v>376.62234000000001</v>
      </c>
      <c r="M261" s="171">
        <v>965.84307000000001</v>
      </c>
      <c r="N261" s="171">
        <v>1342.46541</v>
      </c>
      <c r="O261" s="166">
        <v>539.675188498799</v>
      </c>
      <c r="P261" s="172">
        <v>263.75299999999999</v>
      </c>
      <c r="Q261" s="178">
        <v>2.0461385785139798</v>
      </c>
      <c r="R261" s="179">
        <v>570.89532245169403</v>
      </c>
      <c r="S261" s="168">
        <v>0.01</v>
      </c>
      <c r="T261" s="168">
        <v>0.01</v>
      </c>
      <c r="U261" s="175">
        <v>0</v>
      </c>
      <c r="V261" s="176">
        <v>0</v>
      </c>
      <c r="W261" s="167"/>
      <c r="X261" s="175">
        <v>1366.229765</v>
      </c>
      <c r="Y261" s="166">
        <v>549.22853167519895</v>
      </c>
      <c r="Z261" s="177">
        <v>573</v>
      </c>
      <c r="AA261" s="188">
        <v>0.95851401688516502</v>
      </c>
      <c r="AB261" s="171">
        <v>-309.99632594561803</v>
      </c>
      <c r="AC261" s="168"/>
      <c r="AD261" s="168"/>
      <c r="AE261" s="176">
        <v>60</v>
      </c>
      <c r="AF261" s="176">
        <v>345</v>
      </c>
      <c r="AG261" s="167"/>
      <c r="AH261" s="180">
        <v>161.6</v>
      </c>
      <c r="AI261" s="166">
        <v>64.963692778800095</v>
      </c>
      <c r="AJ261" s="181" t="s">
        <v>53</v>
      </c>
      <c r="AK261" s="182">
        <v>1.0311697266476201</v>
      </c>
      <c r="AL261" s="183">
        <v>-22.697109475696202</v>
      </c>
      <c r="AM261" s="168">
        <v>5.0000000000000001E-3</v>
      </c>
      <c r="AN261" s="168">
        <v>3.0000000000000001E-3</v>
      </c>
      <c r="AO261" s="176">
        <v>0</v>
      </c>
      <c r="AP261" s="176">
        <v>27</v>
      </c>
      <c r="AQ261" s="167"/>
      <c r="AR261" s="180">
        <v>18.399999999999999</v>
      </c>
      <c r="AS261" s="166">
        <v>7.3968561084772402</v>
      </c>
      <c r="AT261" s="181" t="s">
        <v>54</v>
      </c>
      <c r="AU261" s="173">
        <v>0.46230350677982701</v>
      </c>
      <c r="AV261" s="174">
        <v>-28.4056151049387</v>
      </c>
      <c r="AW261" s="168"/>
      <c r="AX261" s="168"/>
      <c r="AY261" s="176">
        <v>22</v>
      </c>
      <c r="AZ261" s="176">
        <v>30</v>
      </c>
      <c r="BA261" s="167"/>
      <c r="BB261" s="184">
        <v>93.6</v>
      </c>
      <c r="BC261" s="180">
        <v>37.6274854213842</v>
      </c>
      <c r="BD261" s="181" t="s">
        <v>55</v>
      </c>
      <c r="BE261" s="178">
        <v>1.17585891941826</v>
      </c>
      <c r="BF261" s="179">
        <v>-1.1230209877410901E-2</v>
      </c>
      <c r="BG261" s="168">
        <v>0.02</v>
      </c>
      <c r="BH261" s="168">
        <v>1.7999999999999999E-2</v>
      </c>
      <c r="BI261" s="176">
        <v>0</v>
      </c>
      <c r="BJ261" s="176">
        <v>2</v>
      </c>
      <c r="BK261" s="169"/>
      <c r="BL261" s="185">
        <v>0.8</v>
      </c>
      <c r="BM261" s="182">
        <v>0.9</v>
      </c>
      <c r="BN261" s="186">
        <v>3.7499999999999999E-3</v>
      </c>
      <c r="BO261" s="187">
        <v>0.95</v>
      </c>
      <c r="BP261" s="178">
        <v>1</v>
      </c>
      <c r="BQ261" s="186">
        <v>2.5000000000000001E-3</v>
      </c>
    </row>
    <row r="262" spans="1:69" s="156" customFormat="1" ht="22.35" customHeight="1" x14ac:dyDescent="0.2">
      <c r="A262" s="165" t="s">
        <v>275</v>
      </c>
      <c r="B262" s="165" t="s">
        <v>318</v>
      </c>
      <c r="C262" s="165" t="s">
        <v>331</v>
      </c>
      <c r="D262" s="166">
        <v>2.6455275504444402</v>
      </c>
      <c r="E262" s="167"/>
      <c r="F262" s="168">
        <v>7.0000000000000007E-2</v>
      </c>
      <c r="G262" s="168">
        <v>7.0000000000000007E-2</v>
      </c>
      <c r="H262" s="169"/>
      <c r="I262" s="170">
        <v>6</v>
      </c>
      <c r="J262" s="170">
        <v>6</v>
      </c>
      <c r="K262" s="167"/>
      <c r="L262" s="171">
        <v>419.31195000000002</v>
      </c>
      <c r="M262" s="171">
        <v>473.20605</v>
      </c>
      <c r="N262" s="171">
        <v>892.51800000000003</v>
      </c>
      <c r="O262" s="166">
        <v>337.36862798879503</v>
      </c>
      <c r="P262" s="172">
        <v>266.08300000000003</v>
      </c>
      <c r="Q262" s="178">
        <v>1.26790748747118</v>
      </c>
      <c r="R262" s="179">
        <v>64.696429127028395</v>
      </c>
      <c r="S262" s="168">
        <v>0.01</v>
      </c>
      <c r="T262" s="168">
        <v>0.01</v>
      </c>
      <c r="U262" s="175">
        <v>0</v>
      </c>
      <c r="V262" s="176">
        <v>0</v>
      </c>
      <c r="W262" s="167"/>
      <c r="X262" s="175">
        <v>1994.7981050000001</v>
      </c>
      <c r="Y262" s="166">
        <v>754.02658523245304</v>
      </c>
      <c r="Z262" s="177">
        <v>573</v>
      </c>
      <c r="AA262" s="178">
        <v>1.31592772291877</v>
      </c>
      <c r="AB262" s="179">
        <v>212.11465618811499</v>
      </c>
      <c r="AC262" s="168">
        <v>0.02</v>
      </c>
      <c r="AD262" s="168">
        <v>0.02</v>
      </c>
      <c r="AE262" s="176">
        <v>0</v>
      </c>
      <c r="AF262" s="176">
        <v>0</v>
      </c>
      <c r="AG262" s="167"/>
      <c r="AH262" s="180">
        <v>289.45</v>
      </c>
      <c r="AI262" s="166">
        <v>109.411069996747</v>
      </c>
      <c r="AJ262" s="181" t="s">
        <v>53</v>
      </c>
      <c r="AK262" s="178">
        <v>1.73668365074202</v>
      </c>
      <c r="AL262" s="179">
        <v>93.448154842672395</v>
      </c>
      <c r="AM262" s="168">
        <v>0.02</v>
      </c>
      <c r="AN262" s="168">
        <v>0.02</v>
      </c>
      <c r="AO262" s="176">
        <v>0</v>
      </c>
      <c r="AP262" s="176">
        <v>0</v>
      </c>
      <c r="AQ262" s="167"/>
      <c r="AR262" s="180">
        <v>36.200000000000003</v>
      </c>
      <c r="AS262" s="166">
        <v>13.6834711828718</v>
      </c>
      <c r="AT262" s="181" t="s">
        <v>54</v>
      </c>
      <c r="AU262" s="188">
        <v>0.85521694892948696</v>
      </c>
      <c r="AV262" s="171">
        <v>-13.578246389162601</v>
      </c>
      <c r="AW262" s="168"/>
      <c r="AX262" s="168"/>
      <c r="AY262" s="176">
        <v>7</v>
      </c>
      <c r="AZ262" s="176">
        <v>15</v>
      </c>
      <c r="BA262" s="167"/>
      <c r="BB262" s="184">
        <v>175.8</v>
      </c>
      <c r="BC262" s="180">
        <v>66.451774418476901</v>
      </c>
      <c r="BD262" s="181" t="s">
        <v>55</v>
      </c>
      <c r="BE262" s="178">
        <v>2.0766179505774001</v>
      </c>
      <c r="BF262" s="179">
        <v>76.243507221674903</v>
      </c>
      <c r="BG262" s="168">
        <v>0.02</v>
      </c>
      <c r="BH262" s="168">
        <v>0.02</v>
      </c>
      <c r="BI262" s="176">
        <v>0</v>
      </c>
      <c r="BJ262" s="176">
        <v>0</v>
      </c>
      <c r="BK262" s="169"/>
      <c r="BL262" s="185">
        <v>0.8</v>
      </c>
      <c r="BM262" s="182">
        <v>0.81</v>
      </c>
      <c r="BN262" s="186">
        <v>3.7500000000000001E-4</v>
      </c>
      <c r="BO262" s="187">
        <v>0.95</v>
      </c>
      <c r="BP262" s="178">
        <v>1</v>
      </c>
      <c r="BQ262" s="186">
        <v>2.5000000000000001E-3</v>
      </c>
    </row>
    <row r="263" spans="1:69" s="156" customFormat="1" ht="22.35" customHeight="1" x14ac:dyDescent="0.2">
      <c r="A263" s="165" t="s">
        <v>275</v>
      </c>
      <c r="B263" s="165" t="s">
        <v>318</v>
      </c>
      <c r="C263" s="165" t="s">
        <v>332</v>
      </c>
      <c r="D263" s="166">
        <v>2.5458872463333302</v>
      </c>
      <c r="E263" s="167"/>
      <c r="F263" s="168">
        <v>2.5999999999999999E-2</v>
      </c>
      <c r="G263" s="168">
        <v>2.4E-2</v>
      </c>
      <c r="H263" s="169"/>
      <c r="I263" s="170">
        <v>4</v>
      </c>
      <c r="J263" s="170">
        <v>4</v>
      </c>
      <c r="K263" s="167"/>
      <c r="L263" s="171">
        <v>1152.6405999999999</v>
      </c>
      <c r="M263" s="171">
        <v>1068.0595800000001</v>
      </c>
      <c r="N263" s="171">
        <v>2220.7001799999998</v>
      </c>
      <c r="O263" s="166">
        <v>872.26965106106798</v>
      </c>
      <c r="P263" s="172">
        <v>287.5</v>
      </c>
      <c r="Q263" s="178">
        <v>3.0339813949950201</v>
      </c>
      <c r="R263" s="179">
        <v>1359.9357020146999</v>
      </c>
      <c r="S263" s="168">
        <v>0.01</v>
      </c>
      <c r="T263" s="168">
        <v>0.01</v>
      </c>
      <c r="U263" s="175">
        <v>0</v>
      </c>
      <c r="V263" s="176">
        <v>0</v>
      </c>
      <c r="W263" s="167"/>
      <c r="X263" s="175">
        <v>1325.947995</v>
      </c>
      <c r="Y263" s="166">
        <v>520.81960696007695</v>
      </c>
      <c r="Z263" s="177">
        <v>573</v>
      </c>
      <c r="AA263" s="188">
        <v>0.90893474164062404</v>
      </c>
      <c r="AB263" s="171">
        <v>-389.59303416722099</v>
      </c>
      <c r="AC263" s="168"/>
      <c r="AD263" s="168"/>
      <c r="AE263" s="176">
        <v>133</v>
      </c>
      <c r="AF263" s="176">
        <v>425</v>
      </c>
      <c r="AG263" s="167"/>
      <c r="AH263" s="180">
        <v>123.95</v>
      </c>
      <c r="AI263" s="166">
        <v>48.686366679638603</v>
      </c>
      <c r="AJ263" s="181" t="s">
        <v>53</v>
      </c>
      <c r="AK263" s="173">
        <v>0.77279947110537395</v>
      </c>
      <c r="AL263" s="174">
        <v>-64.6696943063437</v>
      </c>
      <c r="AM263" s="168"/>
      <c r="AN263" s="168"/>
      <c r="AO263" s="176">
        <v>37</v>
      </c>
      <c r="AP263" s="176">
        <v>69</v>
      </c>
      <c r="AQ263" s="167"/>
      <c r="AR263" s="180">
        <v>10.8</v>
      </c>
      <c r="AS263" s="166">
        <v>4.2421360237200201</v>
      </c>
      <c r="AT263" s="181" t="s">
        <v>54</v>
      </c>
      <c r="AU263" s="173">
        <v>0.26513350148250098</v>
      </c>
      <c r="AV263" s="174">
        <v>-37.103414427007898</v>
      </c>
      <c r="AW263" s="168"/>
      <c r="AX263" s="168"/>
      <c r="AY263" s="176">
        <v>30</v>
      </c>
      <c r="AZ263" s="176">
        <v>39</v>
      </c>
      <c r="BA263" s="167"/>
      <c r="BB263" s="184">
        <v>92.6</v>
      </c>
      <c r="BC263" s="180">
        <v>36.372388499673498</v>
      </c>
      <c r="BD263" s="181" t="s">
        <v>55</v>
      </c>
      <c r="BE263" s="182">
        <v>1.1366371406147999</v>
      </c>
      <c r="BF263" s="183">
        <v>-3.2068288540158698</v>
      </c>
      <c r="BG263" s="168">
        <v>1.6E-2</v>
      </c>
      <c r="BH263" s="168">
        <v>1.4E-2</v>
      </c>
      <c r="BI263" s="176">
        <v>0</v>
      </c>
      <c r="BJ263" s="176">
        <v>6</v>
      </c>
      <c r="BK263" s="169"/>
      <c r="BL263" s="185">
        <v>0.8</v>
      </c>
      <c r="BM263" s="182">
        <v>0.81</v>
      </c>
      <c r="BN263" s="186">
        <v>3.7500000000000001E-4</v>
      </c>
      <c r="BO263" s="187">
        <v>0.95</v>
      </c>
      <c r="BP263" s="178">
        <v>1</v>
      </c>
      <c r="BQ263" s="186">
        <v>2.5000000000000001E-3</v>
      </c>
    </row>
    <row r="264" spans="1:69" s="156" customFormat="1" ht="22.35" customHeight="1" x14ac:dyDescent="0.2">
      <c r="A264" s="165" t="s">
        <v>275</v>
      </c>
      <c r="B264" s="165" t="s">
        <v>318</v>
      </c>
      <c r="C264" s="165" t="s">
        <v>333</v>
      </c>
      <c r="D264" s="166">
        <v>2.3152426593333302</v>
      </c>
      <c r="E264" s="167"/>
      <c r="F264" s="168">
        <v>2.4E-2</v>
      </c>
      <c r="G264" s="168">
        <v>2.1999999999999999E-2</v>
      </c>
      <c r="H264" s="169"/>
      <c r="I264" s="170">
        <v>4</v>
      </c>
      <c r="J264" s="170">
        <v>4</v>
      </c>
      <c r="K264" s="167"/>
      <c r="L264" s="171">
        <v>2295.4466000000002</v>
      </c>
      <c r="M264" s="171">
        <v>-1276.1294600000001</v>
      </c>
      <c r="N264" s="171">
        <v>1019.31714</v>
      </c>
      <c r="O264" s="166">
        <v>440.26363106729798</v>
      </c>
      <c r="P264" s="172">
        <v>247.95</v>
      </c>
      <c r="Q264" s="178">
        <v>1.77561456369146</v>
      </c>
      <c r="R264" s="179">
        <v>344.21738515912199</v>
      </c>
      <c r="S264" s="168">
        <v>0.01</v>
      </c>
      <c r="T264" s="168">
        <v>0.01</v>
      </c>
      <c r="U264" s="175">
        <v>0</v>
      </c>
      <c r="V264" s="176">
        <v>0</v>
      </c>
      <c r="W264" s="167"/>
      <c r="X264" s="175">
        <v>1479.6974949999999</v>
      </c>
      <c r="Y264" s="166">
        <v>639.11119166492597</v>
      </c>
      <c r="Z264" s="177">
        <v>573</v>
      </c>
      <c r="AA264" s="182">
        <v>1.11537729784455</v>
      </c>
      <c r="AB264" s="183">
        <v>-80.424140506445596</v>
      </c>
      <c r="AC264" s="168">
        <v>1.4E-2</v>
      </c>
      <c r="AD264" s="168">
        <v>1.2E-2</v>
      </c>
      <c r="AE264" s="176">
        <v>0</v>
      </c>
      <c r="AF264" s="176">
        <v>113</v>
      </c>
      <c r="AG264" s="167"/>
      <c r="AH264" s="180">
        <v>68.349999999999994</v>
      </c>
      <c r="AI264" s="166">
        <v>29.521743530624601</v>
      </c>
      <c r="AJ264" s="181" t="s">
        <v>53</v>
      </c>
      <c r="AK264" s="173">
        <v>0.46859910366070801</v>
      </c>
      <c r="AL264" s="174">
        <v>-103.181698144688</v>
      </c>
      <c r="AM264" s="168"/>
      <c r="AN264" s="168"/>
      <c r="AO264" s="176">
        <v>78</v>
      </c>
      <c r="AP264" s="176">
        <v>107</v>
      </c>
      <c r="AQ264" s="167"/>
      <c r="AR264" s="180">
        <v>7</v>
      </c>
      <c r="AS264" s="166">
        <v>3.02344118089791</v>
      </c>
      <c r="AT264" s="181" t="s">
        <v>54</v>
      </c>
      <c r="AU264" s="173">
        <v>0.18896507380611899</v>
      </c>
      <c r="AV264" s="174">
        <v>-36.563605878015899</v>
      </c>
      <c r="AW264" s="168"/>
      <c r="AX264" s="168"/>
      <c r="AY264" s="176">
        <v>31</v>
      </c>
      <c r="AZ264" s="176">
        <v>38</v>
      </c>
      <c r="BA264" s="167"/>
      <c r="BB264" s="184">
        <v>63</v>
      </c>
      <c r="BC264" s="180">
        <v>27.210970628081199</v>
      </c>
      <c r="BD264" s="181" t="s">
        <v>55</v>
      </c>
      <c r="BE264" s="188">
        <v>0.85034283212753803</v>
      </c>
      <c r="BF264" s="171">
        <v>-24.127211756031901</v>
      </c>
      <c r="BG264" s="168"/>
      <c r="BH264" s="168"/>
      <c r="BI264" s="176">
        <v>12</v>
      </c>
      <c r="BJ264" s="176">
        <v>26</v>
      </c>
      <c r="BK264" s="169"/>
      <c r="BL264" s="185">
        <v>0.8</v>
      </c>
      <c r="BM264" s="182">
        <v>0.86</v>
      </c>
      <c r="BN264" s="186">
        <v>2.2499999999999998E-3</v>
      </c>
      <c r="BO264" s="187">
        <v>0.95</v>
      </c>
      <c r="BP264" s="178">
        <v>1</v>
      </c>
      <c r="BQ264" s="186">
        <v>2.5000000000000001E-3</v>
      </c>
    </row>
    <row r="265" spans="1:69" s="156" customFormat="1" ht="22.35" customHeight="1" x14ac:dyDescent="0.2">
      <c r="A265" s="165" t="s">
        <v>275</v>
      </c>
      <c r="B265" s="165" t="s">
        <v>318</v>
      </c>
      <c r="C265" s="165" t="s">
        <v>334</v>
      </c>
      <c r="D265" s="166">
        <v>8.72427697</v>
      </c>
      <c r="E265" s="167"/>
      <c r="F265" s="168">
        <v>1.4E-2</v>
      </c>
      <c r="G265" s="168">
        <v>1.2E-2</v>
      </c>
      <c r="H265" s="169"/>
      <c r="I265" s="170">
        <v>3</v>
      </c>
      <c r="J265" s="170">
        <v>3</v>
      </c>
      <c r="K265" s="167"/>
      <c r="L265" s="171">
        <v>9807.5955400000003</v>
      </c>
      <c r="M265" s="171">
        <v>1224.3472099999999</v>
      </c>
      <c r="N265" s="171">
        <v>11031.94275</v>
      </c>
      <c r="O265" s="166">
        <v>1264.51083430012</v>
      </c>
      <c r="P265" s="172">
        <v>287.5</v>
      </c>
      <c r="Q265" s="178">
        <v>4.3982985540873702</v>
      </c>
      <c r="R265" s="179">
        <v>8082.2647064430003</v>
      </c>
      <c r="S265" s="168">
        <v>0.01</v>
      </c>
      <c r="T265" s="168">
        <v>0.01</v>
      </c>
      <c r="U265" s="175">
        <v>0</v>
      </c>
      <c r="V265" s="176">
        <v>0</v>
      </c>
      <c r="W265" s="167"/>
      <c r="X265" s="175">
        <v>3673.2817100000002</v>
      </c>
      <c r="Y265" s="166">
        <v>421.04139089476899</v>
      </c>
      <c r="Z265" s="177">
        <v>573</v>
      </c>
      <c r="AA265" s="173">
        <v>0.73480172931024201</v>
      </c>
      <c r="AB265" s="174">
        <v>-2205.5548776805599</v>
      </c>
      <c r="AC265" s="168"/>
      <c r="AD265" s="168"/>
      <c r="AE265" s="176">
        <v>1326</v>
      </c>
      <c r="AF265" s="176">
        <v>2326</v>
      </c>
      <c r="AG265" s="167"/>
      <c r="AH265" s="180">
        <v>490.75</v>
      </c>
      <c r="AI265" s="166">
        <v>56.251079795785103</v>
      </c>
      <c r="AJ265" s="181" t="s">
        <v>53</v>
      </c>
      <c r="AK265" s="188">
        <v>0.892874282472779</v>
      </c>
      <c r="AL265" s="171">
        <v>-155.61423215336001</v>
      </c>
      <c r="AM265" s="168"/>
      <c r="AN265" s="168"/>
      <c r="AO265" s="176">
        <v>59</v>
      </c>
      <c r="AP265" s="176">
        <v>169</v>
      </c>
      <c r="AQ265" s="167"/>
      <c r="AR265" s="180">
        <v>24.6</v>
      </c>
      <c r="AS265" s="166">
        <v>2.8197179072365</v>
      </c>
      <c r="AT265" s="181" t="s">
        <v>54</v>
      </c>
      <c r="AU265" s="173">
        <v>0.176232369202281</v>
      </c>
      <c r="AV265" s="174">
        <v>-139.55599546752001</v>
      </c>
      <c r="AW265" s="168"/>
      <c r="AX265" s="168"/>
      <c r="AY265" s="176">
        <v>115</v>
      </c>
      <c r="AZ265" s="176">
        <v>143</v>
      </c>
      <c r="BA265" s="167"/>
      <c r="BB265" s="184">
        <v>284</v>
      </c>
      <c r="BC265" s="180">
        <v>32.552840880291299</v>
      </c>
      <c r="BD265" s="181" t="s">
        <v>55</v>
      </c>
      <c r="BE265" s="182">
        <v>1.0172762775091</v>
      </c>
      <c r="BF265" s="183">
        <v>-44.311990935040001</v>
      </c>
      <c r="BG265" s="168">
        <v>4.0000000000000001E-3</v>
      </c>
      <c r="BH265" s="168">
        <v>2E-3</v>
      </c>
      <c r="BI265" s="176">
        <v>0</v>
      </c>
      <c r="BJ265" s="176">
        <v>52</v>
      </c>
      <c r="BK265" s="169"/>
      <c r="BL265" s="185">
        <v>0.8</v>
      </c>
      <c r="BM265" s="188">
        <v>0.73</v>
      </c>
      <c r="BN265" s="186"/>
      <c r="BO265" s="187">
        <v>0.95</v>
      </c>
      <c r="BP265" s="178">
        <v>1</v>
      </c>
      <c r="BQ265" s="186">
        <v>2.5000000000000001E-3</v>
      </c>
    </row>
    <row r="266" spans="1:69" s="156" customFormat="1" ht="22.35" customHeight="1" x14ac:dyDescent="0.2">
      <c r="A266" s="165" t="s">
        <v>275</v>
      </c>
      <c r="B266" s="165" t="s">
        <v>318</v>
      </c>
      <c r="C266" s="165" t="s">
        <v>335</v>
      </c>
      <c r="D266" s="166">
        <v>1.9537440934444401</v>
      </c>
      <c r="E266" s="167"/>
      <c r="F266" s="168">
        <v>0.08</v>
      </c>
      <c r="G266" s="168">
        <v>0.08</v>
      </c>
      <c r="H266" s="169"/>
      <c r="I266" s="170">
        <v>7</v>
      </c>
      <c r="J266" s="170">
        <v>7</v>
      </c>
      <c r="K266" s="167"/>
      <c r="L266" s="171">
        <v>1543.88888</v>
      </c>
      <c r="M266" s="171">
        <v>3145.6570000000002</v>
      </c>
      <c r="N266" s="171">
        <v>4689.5458799999997</v>
      </c>
      <c r="O266" s="166">
        <v>2400.2866576719098</v>
      </c>
      <c r="P266" s="172">
        <v>242.66300000000001</v>
      </c>
      <c r="Q266" s="178">
        <v>9.8914406303058495</v>
      </c>
      <c r="R266" s="179">
        <v>4132.0026301337302</v>
      </c>
      <c r="S266" s="168">
        <v>0.01</v>
      </c>
      <c r="T266" s="168">
        <v>0.01</v>
      </c>
      <c r="U266" s="175">
        <v>0</v>
      </c>
      <c r="V266" s="176">
        <v>0</v>
      </c>
      <c r="W266" s="167"/>
      <c r="X266" s="175">
        <v>1777.197635</v>
      </c>
      <c r="Y266" s="166">
        <v>909.63685621017305</v>
      </c>
      <c r="Z266" s="177">
        <v>573</v>
      </c>
      <c r="AA266" s="178">
        <v>1.5874988764575499</v>
      </c>
      <c r="AB266" s="179">
        <v>460.67108512065101</v>
      </c>
      <c r="AC266" s="168">
        <v>0.02</v>
      </c>
      <c r="AD266" s="168">
        <v>0.02</v>
      </c>
      <c r="AE266" s="176">
        <v>0</v>
      </c>
      <c r="AF266" s="176">
        <v>0</v>
      </c>
      <c r="AG266" s="167"/>
      <c r="AH266" s="180">
        <v>161.19999999999999</v>
      </c>
      <c r="AI266" s="166">
        <v>82.508246878845299</v>
      </c>
      <c r="AJ266" s="181" t="s">
        <v>53</v>
      </c>
      <c r="AK266" s="178">
        <v>1.3096547123626201</v>
      </c>
      <c r="AL266" s="179">
        <v>16.4510076048884</v>
      </c>
      <c r="AM266" s="168">
        <v>0.02</v>
      </c>
      <c r="AN266" s="168">
        <v>0.02</v>
      </c>
      <c r="AO266" s="176">
        <v>0</v>
      </c>
      <c r="AP266" s="176">
        <v>0</v>
      </c>
      <c r="AQ266" s="167"/>
      <c r="AR266" s="180">
        <v>45.7</v>
      </c>
      <c r="AS266" s="166">
        <v>23.390985622600699</v>
      </c>
      <c r="AT266" s="181" t="s">
        <v>54</v>
      </c>
      <c r="AU266" s="178">
        <v>1.4619366014125399</v>
      </c>
      <c r="AV266" s="179">
        <v>8.9383511377494198</v>
      </c>
      <c r="AW266" s="168">
        <v>0.01</v>
      </c>
      <c r="AX266" s="168">
        <v>0.01</v>
      </c>
      <c r="AY266" s="176">
        <v>0</v>
      </c>
      <c r="AZ266" s="176">
        <v>0</v>
      </c>
      <c r="BA266" s="167"/>
      <c r="BB266" s="184">
        <v>103.8</v>
      </c>
      <c r="BC266" s="180">
        <v>53.128759466650997</v>
      </c>
      <c r="BD266" s="181" t="s">
        <v>55</v>
      </c>
      <c r="BE266" s="178">
        <v>1.6602737333328399</v>
      </c>
      <c r="BF266" s="179">
        <v>30.276702275498799</v>
      </c>
      <c r="BG266" s="168">
        <v>0.02</v>
      </c>
      <c r="BH266" s="168">
        <v>0.02</v>
      </c>
      <c r="BI266" s="176">
        <v>0</v>
      </c>
      <c r="BJ266" s="176">
        <v>0</v>
      </c>
      <c r="BK266" s="169"/>
      <c r="BL266" s="185">
        <v>0.8</v>
      </c>
      <c r="BM266" s="182">
        <v>0.88</v>
      </c>
      <c r="BN266" s="186">
        <v>3.0000000000000001E-3</v>
      </c>
      <c r="BO266" s="187">
        <v>0.95</v>
      </c>
      <c r="BP266" s="178">
        <v>1</v>
      </c>
      <c r="BQ266" s="186">
        <v>2.5000000000000001E-3</v>
      </c>
    </row>
    <row r="267" spans="1:69" s="156" customFormat="1" ht="22.35" customHeight="1" x14ac:dyDescent="0.2">
      <c r="A267" s="165" t="s">
        <v>275</v>
      </c>
      <c r="B267" s="165" t="s">
        <v>318</v>
      </c>
      <c r="C267" s="165" t="s">
        <v>336</v>
      </c>
      <c r="D267" s="166">
        <v>1.6595588506666701</v>
      </c>
      <c r="E267" s="167"/>
      <c r="F267" s="168"/>
      <c r="G267" s="168"/>
      <c r="H267" s="169"/>
      <c r="I267" s="170">
        <v>1</v>
      </c>
      <c r="J267" s="170">
        <v>1</v>
      </c>
      <c r="K267" s="167"/>
      <c r="L267" s="171"/>
      <c r="M267" s="171">
        <v>149.07517000000001</v>
      </c>
      <c r="N267" s="171">
        <v>149.07517000000001</v>
      </c>
      <c r="O267" s="166">
        <v>89.828191353451899</v>
      </c>
      <c r="P267" s="172">
        <v>287.5</v>
      </c>
      <c r="Q267" s="173">
        <v>0.31244588296852799</v>
      </c>
      <c r="R267" s="174">
        <v>-412.02167741040103</v>
      </c>
      <c r="S267" s="168"/>
      <c r="T267" s="168"/>
      <c r="U267" s="175">
        <v>329</v>
      </c>
      <c r="V267" s="176">
        <v>424</v>
      </c>
      <c r="W267" s="167"/>
      <c r="X267" s="175">
        <v>186.24148</v>
      </c>
      <c r="Y267" s="166">
        <v>112.223486335049</v>
      </c>
      <c r="Z267" s="177">
        <v>573</v>
      </c>
      <c r="AA267" s="173">
        <v>0.19585250669293</v>
      </c>
      <c r="AB267" s="174">
        <v>-932.04893240403396</v>
      </c>
      <c r="AC267" s="168"/>
      <c r="AD267" s="168"/>
      <c r="AE267" s="176">
        <v>765</v>
      </c>
      <c r="AF267" s="176">
        <v>955</v>
      </c>
      <c r="AG267" s="167"/>
      <c r="AH267" s="180">
        <v>13.8</v>
      </c>
      <c r="AI267" s="166">
        <v>8.3154628680123999</v>
      </c>
      <c r="AJ267" s="181" t="s">
        <v>53</v>
      </c>
      <c r="AK267" s="173">
        <v>0.13199147409543499</v>
      </c>
      <c r="AL267" s="174">
        <v>-109.153396128192</v>
      </c>
      <c r="AM267" s="168"/>
      <c r="AN267" s="168"/>
      <c r="AO267" s="176">
        <v>91</v>
      </c>
      <c r="AP267" s="176">
        <v>112</v>
      </c>
      <c r="AQ267" s="167"/>
      <c r="AR267" s="180"/>
      <c r="AS267" s="166" t="s">
        <v>145</v>
      </c>
      <c r="AT267" s="181" t="s">
        <v>54</v>
      </c>
      <c r="AU267" s="173"/>
      <c r="AV267" s="174"/>
      <c r="AW267" s="168"/>
      <c r="AX267" s="168"/>
      <c r="AY267" s="176">
        <v>27</v>
      </c>
      <c r="AZ267" s="176">
        <v>32</v>
      </c>
      <c r="BA267" s="167"/>
      <c r="BB267" s="184">
        <v>1</v>
      </c>
      <c r="BC267" s="180">
        <v>0.60256977304437698</v>
      </c>
      <c r="BD267" s="181" t="s">
        <v>55</v>
      </c>
      <c r="BE267" s="173">
        <v>1.8830305407636801E-2</v>
      </c>
      <c r="BF267" s="174">
        <v>-61.4525186682881</v>
      </c>
      <c r="BG267" s="168"/>
      <c r="BH267" s="168"/>
      <c r="BI267" s="176">
        <v>53</v>
      </c>
      <c r="BJ267" s="176">
        <v>63</v>
      </c>
      <c r="BK267" s="169"/>
      <c r="BL267" s="185">
        <v>0.8</v>
      </c>
      <c r="BM267" s="173"/>
      <c r="BN267" s="186"/>
      <c r="BO267" s="187">
        <v>0.95</v>
      </c>
      <c r="BP267" s="178">
        <v>1</v>
      </c>
      <c r="BQ267" s="186">
        <v>2.5000000000000001E-3</v>
      </c>
    </row>
    <row r="268" spans="1:69" s="156" customFormat="1" ht="22.35" customHeight="1" x14ac:dyDescent="0.2">
      <c r="A268" s="165" t="s">
        <v>275</v>
      </c>
      <c r="B268" s="165" t="s">
        <v>318</v>
      </c>
      <c r="C268" s="165" t="s">
        <v>337</v>
      </c>
      <c r="D268" s="166">
        <v>1.9110045248888901</v>
      </c>
      <c r="E268" s="167"/>
      <c r="F268" s="168">
        <v>7.9500000000000001E-2</v>
      </c>
      <c r="G268" s="168">
        <v>7.85E-2</v>
      </c>
      <c r="H268" s="169"/>
      <c r="I268" s="170">
        <v>6</v>
      </c>
      <c r="J268" s="170">
        <v>6</v>
      </c>
      <c r="K268" s="167"/>
      <c r="L268" s="171">
        <v>992.47204999999997</v>
      </c>
      <c r="M268" s="171">
        <v>1176.9031600000001</v>
      </c>
      <c r="N268" s="171">
        <v>2169.3752100000002</v>
      </c>
      <c r="O268" s="166">
        <v>1135.20150357893</v>
      </c>
      <c r="P268" s="172">
        <v>245.202</v>
      </c>
      <c r="Q268" s="178">
        <v>4.6296584186871597</v>
      </c>
      <c r="R268" s="179">
        <v>1618.3226233421201</v>
      </c>
      <c r="S268" s="168">
        <v>0.01</v>
      </c>
      <c r="T268" s="168">
        <v>0.01</v>
      </c>
      <c r="U268" s="175">
        <v>0</v>
      </c>
      <c r="V268" s="176">
        <v>0</v>
      </c>
      <c r="W268" s="167"/>
      <c r="X268" s="175">
        <v>1426.083005</v>
      </c>
      <c r="Y268" s="166">
        <v>746.24784317709396</v>
      </c>
      <c r="Z268" s="177">
        <v>573</v>
      </c>
      <c r="AA268" s="178">
        <v>1.3023522568535699</v>
      </c>
      <c r="AB268" s="179">
        <v>138.35642791267199</v>
      </c>
      <c r="AC268" s="168">
        <v>0.02</v>
      </c>
      <c r="AD268" s="168">
        <v>0.02</v>
      </c>
      <c r="AE268" s="176">
        <v>0</v>
      </c>
      <c r="AF268" s="176">
        <v>0</v>
      </c>
      <c r="AG268" s="167"/>
      <c r="AH268" s="180">
        <v>167.7</v>
      </c>
      <c r="AI268" s="166">
        <v>87.754894253717396</v>
      </c>
      <c r="AJ268" s="181" t="s">
        <v>53</v>
      </c>
      <c r="AK268" s="178">
        <v>1.39293482942409</v>
      </c>
      <c r="AL268" s="179">
        <v>26.117496760032001</v>
      </c>
      <c r="AM268" s="168">
        <v>0.02</v>
      </c>
      <c r="AN268" s="168">
        <v>0.02</v>
      </c>
      <c r="AO268" s="176">
        <v>0</v>
      </c>
      <c r="AP268" s="176">
        <v>0</v>
      </c>
      <c r="AQ268" s="167"/>
      <c r="AR268" s="180">
        <v>35.799999999999997</v>
      </c>
      <c r="AS268" s="166">
        <v>18.733602947424501</v>
      </c>
      <c r="AT268" s="181" t="s">
        <v>54</v>
      </c>
      <c r="AU268" s="182">
        <v>1.17085018421403</v>
      </c>
      <c r="AV268" s="183">
        <v>-0.15746114030934399</v>
      </c>
      <c r="AW268" s="168">
        <v>9.4999999999999998E-3</v>
      </c>
      <c r="AX268" s="168">
        <v>8.5000000000000006E-3</v>
      </c>
      <c r="AY268" s="176">
        <v>0</v>
      </c>
      <c r="AZ268" s="176">
        <v>1</v>
      </c>
      <c r="BA268" s="167"/>
      <c r="BB268" s="184">
        <v>130</v>
      </c>
      <c r="BC268" s="180">
        <v>68.027049809083294</v>
      </c>
      <c r="BD268" s="181" t="s">
        <v>55</v>
      </c>
      <c r="BE268" s="178">
        <v>2.1258453065338498</v>
      </c>
      <c r="BF268" s="179">
        <v>58.085077719381303</v>
      </c>
      <c r="BG268" s="168">
        <v>0.02</v>
      </c>
      <c r="BH268" s="168">
        <v>0.02</v>
      </c>
      <c r="BI268" s="176">
        <v>0</v>
      </c>
      <c r="BJ268" s="176">
        <v>0</v>
      </c>
      <c r="BK268" s="169"/>
      <c r="BL268" s="185">
        <v>0.8</v>
      </c>
      <c r="BM268" s="188">
        <v>0.77</v>
      </c>
      <c r="BN268" s="186"/>
      <c r="BO268" s="187">
        <v>0.95</v>
      </c>
      <c r="BP268" s="178">
        <v>1</v>
      </c>
      <c r="BQ268" s="186">
        <v>2.5000000000000001E-3</v>
      </c>
    </row>
    <row r="269" spans="1:69" s="156" customFormat="1" ht="22.35" customHeight="1" x14ac:dyDescent="0.2">
      <c r="A269" s="165" t="s">
        <v>275</v>
      </c>
      <c r="B269" s="165" t="s">
        <v>318</v>
      </c>
      <c r="C269" s="165" t="s">
        <v>338</v>
      </c>
      <c r="D269" s="166">
        <v>4.3293466174444397</v>
      </c>
      <c r="E269" s="167"/>
      <c r="F269" s="168">
        <v>2.4E-2</v>
      </c>
      <c r="G269" s="168">
        <v>2.1999999999999999E-2</v>
      </c>
      <c r="H269" s="169"/>
      <c r="I269" s="170">
        <v>3</v>
      </c>
      <c r="J269" s="170">
        <v>3</v>
      </c>
      <c r="K269" s="167"/>
      <c r="L269" s="171">
        <v>2153.5802699999999</v>
      </c>
      <c r="M269" s="171">
        <v>856.62224000000003</v>
      </c>
      <c r="N269" s="171">
        <v>3010.2025100000001</v>
      </c>
      <c r="O269" s="166">
        <v>695.30180324921196</v>
      </c>
      <c r="P269" s="172">
        <v>287.5</v>
      </c>
      <c r="Q269" s="178">
        <v>2.41844105477987</v>
      </c>
      <c r="R269" s="179">
        <v>1546.4504186420299</v>
      </c>
      <c r="S269" s="168">
        <v>0.01</v>
      </c>
      <c r="T269" s="168">
        <v>0.01</v>
      </c>
      <c r="U269" s="175">
        <v>0</v>
      </c>
      <c r="V269" s="176">
        <v>0</v>
      </c>
      <c r="W269" s="167"/>
      <c r="X269" s="175">
        <v>2352.364955</v>
      </c>
      <c r="Y269" s="166">
        <v>543.35334240079203</v>
      </c>
      <c r="Z269" s="177">
        <v>573</v>
      </c>
      <c r="AA269" s="188">
        <v>0.94826063246211401</v>
      </c>
      <c r="AB269" s="171">
        <v>-564.95660447170098</v>
      </c>
      <c r="AC269" s="168"/>
      <c r="AD269" s="168"/>
      <c r="AE269" s="176">
        <v>129</v>
      </c>
      <c r="AF269" s="176">
        <v>625</v>
      </c>
      <c r="AG269" s="167"/>
      <c r="AH269" s="180">
        <v>208.3</v>
      </c>
      <c r="AI269" s="166">
        <v>48.113495731824003</v>
      </c>
      <c r="AJ269" s="181" t="s">
        <v>53</v>
      </c>
      <c r="AK269" s="173">
        <v>0.76370628145752395</v>
      </c>
      <c r="AL269" s="174">
        <v>-112.45263219322401</v>
      </c>
      <c r="AM269" s="168"/>
      <c r="AN269" s="168"/>
      <c r="AO269" s="176">
        <v>65</v>
      </c>
      <c r="AP269" s="176">
        <v>119</v>
      </c>
      <c r="AQ269" s="167"/>
      <c r="AR269" s="180">
        <v>30.6</v>
      </c>
      <c r="AS269" s="166">
        <v>7.0680411396726601</v>
      </c>
      <c r="AT269" s="181" t="s">
        <v>54</v>
      </c>
      <c r="AU269" s="173">
        <v>0.44175257122954098</v>
      </c>
      <c r="AV269" s="174">
        <v>-50.8609859538346</v>
      </c>
      <c r="AW269" s="168"/>
      <c r="AX269" s="168"/>
      <c r="AY269" s="176">
        <v>39</v>
      </c>
      <c r="AZ269" s="176">
        <v>53</v>
      </c>
      <c r="BA269" s="167"/>
      <c r="BB269" s="184">
        <v>154.80000000000001</v>
      </c>
      <c r="BC269" s="180">
        <v>35.755972824226397</v>
      </c>
      <c r="BD269" s="181" t="s">
        <v>55</v>
      </c>
      <c r="BE269" s="182">
        <v>1.11737415075707</v>
      </c>
      <c r="BF269" s="183">
        <v>-8.1219719076691508</v>
      </c>
      <c r="BG269" s="168">
        <v>1.4E-2</v>
      </c>
      <c r="BH269" s="168">
        <v>1.2E-2</v>
      </c>
      <c r="BI269" s="176">
        <v>0</v>
      </c>
      <c r="BJ269" s="176">
        <v>12</v>
      </c>
      <c r="BK269" s="169"/>
      <c r="BL269" s="185">
        <v>0.8</v>
      </c>
      <c r="BM269" s="188">
        <v>0.8</v>
      </c>
      <c r="BN269" s="186">
        <v>0</v>
      </c>
      <c r="BO269" s="187">
        <v>0.95</v>
      </c>
      <c r="BP269" s="178">
        <v>1</v>
      </c>
      <c r="BQ269" s="186">
        <v>2.5000000000000001E-3</v>
      </c>
    </row>
    <row r="270" spans="1:69" s="156" customFormat="1" ht="22.35" customHeight="1" x14ac:dyDescent="0.2">
      <c r="A270" s="165" t="s">
        <v>339</v>
      </c>
      <c r="B270" s="165" t="s">
        <v>340</v>
      </c>
      <c r="C270" s="165" t="s">
        <v>341</v>
      </c>
      <c r="D270" s="166">
        <v>3.4371100664444398</v>
      </c>
      <c r="E270" s="167"/>
      <c r="F270" s="168">
        <v>0.01</v>
      </c>
      <c r="G270" s="168">
        <v>0.01</v>
      </c>
      <c r="H270" s="169"/>
      <c r="I270" s="170">
        <v>3</v>
      </c>
      <c r="J270" s="170">
        <v>3</v>
      </c>
      <c r="K270" s="167"/>
      <c r="L270" s="171">
        <v>1867.4073800000001</v>
      </c>
      <c r="M270" s="171">
        <v>2687.13157</v>
      </c>
      <c r="N270" s="171">
        <v>4554.5389500000001</v>
      </c>
      <c r="O270" s="166">
        <v>1325.1070992647899</v>
      </c>
      <c r="P270" s="172">
        <v>242.35900000000001</v>
      </c>
      <c r="Q270" s="178">
        <v>5.4675382356949402</v>
      </c>
      <c r="R270" s="179">
        <v>3574.9138290941501</v>
      </c>
      <c r="S270" s="168">
        <v>0.01</v>
      </c>
      <c r="T270" s="168">
        <v>0.01</v>
      </c>
      <c r="U270" s="175">
        <v>0</v>
      </c>
      <c r="V270" s="176">
        <v>0</v>
      </c>
      <c r="W270" s="167"/>
      <c r="X270" s="175">
        <v>1403.34959</v>
      </c>
      <c r="Y270" s="166">
        <v>408.29346831238098</v>
      </c>
      <c r="Z270" s="177">
        <v>573</v>
      </c>
      <c r="AA270" s="173">
        <v>0.71255404592038496</v>
      </c>
      <c r="AB270" s="174">
        <v>-912.74015405345301</v>
      </c>
      <c r="AC270" s="168"/>
      <c r="AD270" s="168"/>
      <c r="AE270" s="176">
        <v>567</v>
      </c>
      <c r="AF270" s="176">
        <v>961</v>
      </c>
      <c r="AG270" s="167"/>
      <c r="AH270" s="180">
        <v>134.6</v>
      </c>
      <c r="AI270" s="166">
        <v>39.160805850840397</v>
      </c>
      <c r="AJ270" s="181" t="s">
        <v>53</v>
      </c>
      <c r="AK270" s="173">
        <v>0.62160009287048201</v>
      </c>
      <c r="AL270" s="174">
        <v>-120.04861060273601</v>
      </c>
      <c r="AM270" s="168"/>
      <c r="AN270" s="168"/>
      <c r="AO270" s="176">
        <v>82</v>
      </c>
      <c r="AP270" s="176">
        <v>126</v>
      </c>
      <c r="AQ270" s="167"/>
      <c r="AR270" s="180">
        <v>15.8</v>
      </c>
      <c r="AS270" s="166">
        <v>4.5968850850169298</v>
      </c>
      <c r="AT270" s="181" t="s">
        <v>54</v>
      </c>
      <c r="AU270" s="173">
        <v>0.287305317813558</v>
      </c>
      <c r="AV270" s="174">
        <v>-48.872663010218602</v>
      </c>
      <c r="AW270" s="168"/>
      <c r="AX270" s="168"/>
      <c r="AY270" s="176">
        <v>40</v>
      </c>
      <c r="AZ270" s="176">
        <v>51</v>
      </c>
      <c r="BA270" s="167"/>
      <c r="BB270" s="184">
        <v>95.6</v>
      </c>
      <c r="BC270" s="180">
        <v>27.814064185292299</v>
      </c>
      <c r="BD270" s="181" t="s">
        <v>55</v>
      </c>
      <c r="BE270" s="188">
        <v>0.86918950579038401</v>
      </c>
      <c r="BF270" s="171">
        <v>-33.745326020437098</v>
      </c>
      <c r="BG270" s="168"/>
      <c r="BH270" s="168"/>
      <c r="BI270" s="176">
        <v>15</v>
      </c>
      <c r="BJ270" s="176">
        <v>37</v>
      </c>
      <c r="BK270" s="169"/>
      <c r="BL270" s="185">
        <v>0.8</v>
      </c>
      <c r="BM270" s="182">
        <v>0.84</v>
      </c>
      <c r="BN270" s="186">
        <v>1.5E-3</v>
      </c>
      <c r="BO270" s="187">
        <v>0.95</v>
      </c>
      <c r="BP270" s="178">
        <v>1</v>
      </c>
      <c r="BQ270" s="186">
        <v>2.5000000000000001E-3</v>
      </c>
    </row>
    <row r="271" spans="1:69" s="156" customFormat="1" ht="22.35" customHeight="1" x14ac:dyDescent="0.2">
      <c r="A271" s="165" t="s">
        <v>339</v>
      </c>
      <c r="B271" s="165" t="s">
        <v>340</v>
      </c>
      <c r="C271" s="165" t="s">
        <v>342</v>
      </c>
      <c r="D271" s="166">
        <v>2.6865209235555598</v>
      </c>
      <c r="E271" s="167"/>
      <c r="F271" s="168">
        <v>4.7E-2</v>
      </c>
      <c r="G271" s="168">
        <v>4.3999999999999997E-2</v>
      </c>
      <c r="H271" s="169"/>
      <c r="I271" s="170">
        <v>4</v>
      </c>
      <c r="J271" s="170">
        <v>4</v>
      </c>
      <c r="K271" s="167"/>
      <c r="L271" s="171">
        <v>1274.1777500000001</v>
      </c>
      <c r="M271" s="171">
        <v>-26.32264</v>
      </c>
      <c r="N271" s="171">
        <v>1247.85511</v>
      </c>
      <c r="O271" s="166">
        <v>464.48739671399602</v>
      </c>
      <c r="P271" s="172">
        <v>212.5</v>
      </c>
      <c r="Q271" s="178">
        <v>2.1858230433599801</v>
      </c>
      <c r="R271" s="179">
        <v>576.49353120346598</v>
      </c>
      <c r="S271" s="168">
        <v>0.01</v>
      </c>
      <c r="T271" s="168">
        <v>0.01</v>
      </c>
      <c r="U271" s="175">
        <v>0</v>
      </c>
      <c r="V271" s="176">
        <v>0</v>
      </c>
      <c r="W271" s="167"/>
      <c r="X271" s="175">
        <v>1884.6997699999999</v>
      </c>
      <c r="Y271" s="166">
        <v>701.539211355048</v>
      </c>
      <c r="Z271" s="177">
        <v>573</v>
      </c>
      <c r="AA271" s="178">
        <v>1.22432672138752</v>
      </c>
      <c r="AB271" s="179">
        <v>74.393018703933194</v>
      </c>
      <c r="AC271" s="168">
        <v>0.02</v>
      </c>
      <c r="AD271" s="168">
        <v>0.02</v>
      </c>
      <c r="AE271" s="176">
        <v>0</v>
      </c>
      <c r="AF271" s="176">
        <v>0</v>
      </c>
      <c r="AG271" s="167"/>
      <c r="AH271" s="180">
        <v>159.9</v>
      </c>
      <c r="AI271" s="166">
        <v>59.5193577678805</v>
      </c>
      <c r="AJ271" s="181" t="s">
        <v>53</v>
      </c>
      <c r="AK271" s="188">
        <v>0.94475171060127905</v>
      </c>
      <c r="AL271" s="171">
        <v>-39.138962184384297</v>
      </c>
      <c r="AM271" s="168"/>
      <c r="AN271" s="168"/>
      <c r="AO271" s="176">
        <v>10</v>
      </c>
      <c r="AP271" s="176">
        <v>44</v>
      </c>
      <c r="AQ271" s="167"/>
      <c r="AR271" s="180">
        <v>16</v>
      </c>
      <c r="AS271" s="166">
        <v>5.9556580630774798</v>
      </c>
      <c r="AT271" s="181" t="s">
        <v>54</v>
      </c>
      <c r="AU271" s="173">
        <v>0.37222862894234199</v>
      </c>
      <c r="AV271" s="174">
        <v>-34.549577697621402</v>
      </c>
      <c r="AW271" s="168"/>
      <c r="AX271" s="168"/>
      <c r="AY271" s="176">
        <v>27</v>
      </c>
      <c r="AZ271" s="176">
        <v>36</v>
      </c>
      <c r="BA271" s="167"/>
      <c r="BB271" s="184">
        <v>98.4</v>
      </c>
      <c r="BC271" s="180">
        <v>36.6272970879265</v>
      </c>
      <c r="BD271" s="181" t="s">
        <v>55</v>
      </c>
      <c r="BE271" s="182">
        <v>1.1446030339977</v>
      </c>
      <c r="BF271" s="183">
        <v>-2.6991553952428098</v>
      </c>
      <c r="BG271" s="168">
        <v>1.7000000000000001E-2</v>
      </c>
      <c r="BH271" s="168">
        <v>1.4E-2</v>
      </c>
      <c r="BI271" s="176">
        <v>0</v>
      </c>
      <c r="BJ271" s="176">
        <v>5</v>
      </c>
      <c r="BK271" s="169"/>
      <c r="BL271" s="185">
        <v>0.8</v>
      </c>
      <c r="BM271" s="188">
        <v>0.76</v>
      </c>
      <c r="BN271" s="186"/>
      <c r="BO271" s="187">
        <v>0.95</v>
      </c>
      <c r="BP271" s="178">
        <v>1</v>
      </c>
      <c r="BQ271" s="186">
        <v>2.5000000000000001E-3</v>
      </c>
    </row>
    <row r="272" spans="1:69" s="156" customFormat="1" ht="22.35" customHeight="1" x14ac:dyDescent="0.2">
      <c r="A272" s="165" t="s">
        <v>339</v>
      </c>
      <c r="B272" s="165" t="s">
        <v>340</v>
      </c>
      <c r="C272" s="165" t="s">
        <v>343</v>
      </c>
      <c r="D272" s="166">
        <v>1</v>
      </c>
      <c r="E272" s="167"/>
      <c r="F272" s="168">
        <v>0.03</v>
      </c>
      <c r="G272" s="168">
        <v>0.03</v>
      </c>
      <c r="H272" s="169"/>
      <c r="I272" s="170">
        <v>4</v>
      </c>
      <c r="J272" s="170">
        <v>4</v>
      </c>
      <c r="K272" s="167"/>
      <c r="L272" s="171">
        <v>578.85206000000005</v>
      </c>
      <c r="M272" s="171">
        <v>196.58707000000001</v>
      </c>
      <c r="N272" s="171">
        <v>775.43912999999998</v>
      </c>
      <c r="O272" s="166">
        <v>775.43912999999998</v>
      </c>
      <c r="P272" s="172">
        <v>212.5</v>
      </c>
      <c r="Q272" s="178">
        <v>3.6491253176470599</v>
      </c>
      <c r="R272" s="179">
        <v>525.53913</v>
      </c>
      <c r="S272" s="168">
        <v>0.01</v>
      </c>
      <c r="T272" s="168">
        <v>0.01</v>
      </c>
      <c r="U272" s="175">
        <v>0</v>
      </c>
      <c r="V272" s="176">
        <v>0</v>
      </c>
      <c r="W272" s="167"/>
      <c r="X272" s="175">
        <v>350.64173499999998</v>
      </c>
      <c r="Y272" s="166">
        <v>350.64173499999998</v>
      </c>
      <c r="Z272" s="177">
        <v>573</v>
      </c>
      <c r="AA272" s="173">
        <v>0.61194020069807997</v>
      </c>
      <c r="AB272" s="174">
        <v>-323.20626499999997</v>
      </c>
      <c r="AC272" s="168"/>
      <c r="AD272" s="168"/>
      <c r="AE272" s="176">
        <v>223</v>
      </c>
      <c r="AF272" s="176">
        <v>337</v>
      </c>
      <c r="AG272" s="167"/>
      <c r="AH272" s="180">
        <v>52.7</v>
      </c>
      <c r="AI272" s="166">
        <v>52.7</v>
      </c>
      <c r="AJ272" s="181" t="s">
        <v>53</v>
      </c>
      <c r="AK272" s="188">
        <v>0.83650793650793698</v>
      </c>
      <c r="AL272" s="171">
        <v>-21.388000000000002</v>
      </c>
      <c r="AM272" s="168"/>
      <c r="AN272" s="168"/>
      <c r="AO272" s="176">
        <v>11</v>
      </c>
      <c r="AP272" s="176">
        <v>23</v>
      </c>
      <c r="AQ272" s="167"/>
      <c r="AR272" s="180">
        <v>1</v>
      </c>
      <c r="AS272" s="166">
        <v>1</v>
      </c>
      <c r="AT272" s="181" t="s">
        <v>54</v>
      </c>
      <c r="AU272" s="173">
        <v>6.25E-2</v>
      </c>
      <c r="AV272" s="174">
        <v>-17.815999999999999</v>
      </c>
      <c r="AW272" s="168"/>
      <c r="AX272" s="168"/>
      <c r="AY272" s="176">
        <v>15</v>
      </c>
      <c r="AZ272" s="176">
        <v>19</v>
      </c>
      <c r="BA272" s="167"/>
      <c r="BB272" s="184">
        <v>49.2</v>
      </c>
      <c r="BC272" s="180">
        <v>49.2</v>
      </c>
      <c r="BD272" s="181" t="s">
        <v>55</v>
      </c>
      <c r="BE272" s="178">
        <v>1.5375000000000001</v>
      </c>
      <c r="BF272" s="179">
        <v>11.568</v>
      </c>
      <c r="BG272" s="168">
        <v>0.02</v>
      </c>
      <c r="BH272" s="168">
        <v>0.02</v>
      </c>
      <c r="BI272" s="176">
        <v>0</v>
      </c>
      <c r="BJ272" s="176">
        <v>0</v>
      </c>
      <c r="BK272" s="169"/>
      <c r="BL272" s="185">
        <v>0.8</v>
      </c>
      <c r="BM272" s="182">
        <v>0.85</v>
      </c>
      <c r="BN272" s="186">
        <v>1.8749999999999999E-3</v>
      </c>
      <c r="BO272" s="187">
        <v>0.95</v>
      </c>
      <c r="BP272" s="178">
        <v>1</v>
      </c>
      <c r="BQ272" s="186">
        <v>2.5000000000000001E-3</v>
      </c>
    </row>
    <row r="273" spans="1:69" s="156" customFormat="1" ht="22.35" customHeight="1" x14ac:dyDescent="0.2">
      <c r="A273" s="165" t="s">
        <v>339</v>
      </c>
      <c r="B273" s="165" t="s">
        <v>340</v>
      </c>
      <c r="C273" s="165" t="s">
        <v>344</v>
      </c>
      <c r="D273" s="166">
        <v>2.6251377059999998</v>
      </c>
      <c r="E273" s="167"/>
      <c r="F273" s="168"/>
      <c r="G273" s="168"/>
      <c r="H273" s="169"/>
      <c r="I273" s="170">
        <v>2</v>
      </c>
      <c r="J273" s="170">
        <v>2</v>
      </c>
      <c r="K273" s="167"/>
      <c r="L273" s="171">
        <v>867.99607000000003</v>
      </c>
      <c r="M273" s="171">
        <v>-830.18709000000001</v>
      </c>
      <c r="N273" s="171">
        <v>37.808979999999998</v>
      </c>
      <c r="O273" s="166">
        <v>14.4026653967843</v>
      </c>
      <c r="P273" s="172">
        <v>212.5</v>
      </c>
      <c r="Q273" s="173">
        <v>6.7777248926043795E-2</v>
      </c>
      <c r="R273" s="174">
        <v>-618.21293272939999</v>
      </c>
      <c r="S273" s="168"/>
      <c r="T273" s="168"/>
      <c r="U273" s="175">
        <v>521</v>
      </c>
      <c r="V273" s="176">
        <v>632</v>
      </c>
      <c r="W273" s="167"/>
      <c r="X273" s="175">
        <v>1370.8777500000001</v>
      </c>
      <c r="Y273" s="166">
        <v>522.21174792725299</v>
      </c>
      <c r="Z273" s="177">
        <v>573</v>
      </c>
      <c r="AA273" s="188">
        <v>0.91136430702836502</v>
      </c>
      <c r="AB273" s="171">
        <v>-398.06604291268798</v>
      </c>
      <c r="AC273" s="168"/>
      <c r="AD273" s="168"/>
      <c r="AE273" s="176">
        <v>134</v>
      </c>
      <c r="AF273" s="176">
        <v>435</v>
      </c>
      <c r="AG273" s="167"/>
      <c r="AH273" s="180">
        <v>80.7</v>
      </c>
      <c r="AI273" s="166">
        <v>30.741244474738401</v>
      </c>
      <c r="AJ273" s="181" t="s">
        <v>53</v>
      </c>
      <c r="AK273" s="173">
        <v>0.48795626150378402</v>
      </c>
      <c r="AL273" s="174">
        <v>-113.791202362128</v>
      </c>
      <c r="AM273" s="168"/>
      <c r="AN273" s="168"/>
      <c r="AO273" s="176">
        <v>85</v>
      </c>
      <c r="AP273" s="176">
        <v>118</v>
      </c>
      <c r="AQ273" s="167"/>
      <c r="AR273" s="180">
        <v>6</v>
      </c>
      <c r="AS273" s="166">
        <v>2.28559438473892</v>
      </c>
      <c r="AT273" s="181" t="s">
        <v>54</v>
      </c>
      <c r="AU273" s="173">
        <v>0.142849649046182</v>
      </c>
      <c r="AV273" s="174">
        <v>-43.394591076095999</v>
      </c>
      <c r="AW273" s="168"/>
      <c r="AX273" s="168"/>
      <c r="AY273" s="176">
        <v>37</v>
      </c>
      <c r="AZ273" s="176">
        <v>45</v>
      </c>
      <c r="BA273" s="167"/>
      <c r="BB273" s="184">
        <v>43.6</v>
      </c>
      <c r="BC273" s="180">
        <v>16.608652529102802</v>
      </c>
      <c r="BD273" s="181" t="s">
        <v>55</v>
      </c>
      <c r="BE273" s="173">
        <v>0.519020391534462</v>
      </c>
      <c r="BF273" s="174">
        <v>-55.189182152191997</v>
      </c>
      <c r="BG273" s="168"/>
      <c r="BH273" s="168"/>
      <c r="BI273" s="176">
        <v>41</v>
      </c>
      <c r="BJ273" s="176">
        <v>58</v>
      </c>
      <c r="BK273" s="169"/>
      <c r="BL273" s="185">
        <v>0.8</v>
      </c>
      <c r="BM273" s="182">
        <v>0.82</v>
      </c>
      <c r="BN273" s="186">
        <v>7.5000000000000002E-4</v>
      </c>
      <c r="BO273" s="187">
        <v>0.95</v>
      </c>
      <c r="BP273" s="178">
        <v>1</v>
      </c>
      <c r="BQ273" s="186">
        <v>2.5000000000000001E-3</v>
      </c>
    </row>
    <row r="274" spans="1:69" s="156" customFormat="1" ht="22.35" customHeight="1" x14ac:dyDescent="0.2">
      <c r="A274" s="165" t="s">
        <v>339</v>
      </c>
      <c r="B274" s="165" t="s">
        <v>340</v>
      </c>
      <c r="C274" s="165" t="s">
        <v>345</v>
      </c>
      <c r="D274" s="166">
        <v>4.5014537384444404</v>
      </c>
      <c r="E274" s="167"/>
      <c r="F274" s="168">
        <v>0.01</v>
      </c>
      <c r="G274" s="168">
        <v>0.01</v>
      </c>
      <c r="H274" s="169"/>
      <c r="I274" s="170">
        <v>3</v>
      </c>
      <c r="J274" s="170">
        <v>3</v>
      </c>
      <c r="K274" s="167"/>
      <c r="L274" s="171">
        <v>3120.8884400000002</v>
      </c>
      <c r="M274" s="171">
        <v>-146.85722999999999</v>
      </c>
      <c r="N274" s="171">
        <v>2974.0312100000001</v>
      </c>
      <c r="O274" s="166">
        <v>660.68238902477901</v>
      </c>
      <c r="P274" s="172">
        <v>218.52799999999999</v>
      </c>
      <c r="Q274" s="178">
        <v>3.02333059848065</v>
      </c>
      <c r="R274" s="179">
        <v>1817.2074393155699</v>
      </c>
      <c r="S274" s="168">
        <v>0.01</v>
      </c>
      <c r="T274" s="168">
        <v>0.01</v>
      </c>
      <c r="U274" s="175">
        <v>0</v>
      </c>
      <c r="V274" s="176">
        <v>0</v>
      </c>
      <c r="W274" s="167"/>
      <c r="X274" s="175">
        <v>2403.4753500000002</v>
      </c>
      <c r="Y274" s="166">
        <v>533.93314463575098</v>
      </c>
      <c r="Z274" s="177">
        <v>573</v>
      </c>
      <c r="AA274" s="188">
        <v>0.93182049674651102</v>
      </c>
      <c r="AB274" s="171">
        <v>-629.82024874330796</v>
      </c>
      <c r="AC274" s="168"/>
      <c r="AD274" s="168"/>
      <c r="AE274" s="176">
        <v>176</v>
      </c>
      <c r="AF274" s="176">
        <v>692</v>
      </c>
      <c r="AG274" s="167"/>
      <c r="AH274" s="180">
        <v>173.4</v>
      </c>
      <c r="AI274" s="166">
        <v>38.5208890450402</v>
      </c>
      <c r="AJ274" s="181" t="s">
        <v>53</v>
      </c>
      <c r="AK274" s="173">
        <v>0.61144268325460704</v>
      </c>
      <c r="AL274" s="174">
        <v>-160.10370457387199</v>
      </c>
      <c r="AM274" s="168"/>
      <c r="AN274" s="168"/>
      <c r="AO274" s="176">
        <v>111</v>
      </c>
      <c r="AP274" s="176">
        <v>167</v>
      </c>
      <c r="AQ274" s="167"/>
      <c r="AR274" s="180">
        <v>18.3</v>
      </c>
      <c r="AS274" s="166">
        <v>4.0653533421236201</v>
      </c>
      <c r="AT274" s="181" t="s">
        <v>54</v>
      </c>
      <c r="AU274" s="173">
        <v>0.25408458388272598</v>
      </c>
      <c r="AV274" s="174">
        <v>-66.399353542570594</v>
      </c>
      <c r="AW274" s="168"/>
      <c r="AX274" s="168"/>
      <c r="AY274" s="176">
        <v>54</v>
      </c>
      <c r="AZ274" s="176">
        <v>69</v>
      </c>
      <c r="BA274" s="167"/>
      <c r="BB274" s="184">
        <v>128.4</v>
      </c>
      <c r="BC274" s="180">
        <v>28.5241185316215</v>
      </c>
      <c r="BD274" s="181" t="s">
        <v>55</v>
      </c>
      <c r="BE274" s="188">
        <v>0.89137870411317099</v>
      </c>
      <c r="BF274" s="171">
        <v>-40.998707085141099</v>
      </c>
      <c r="BG274" s="168"/>
      <c r="BH274" s="168"/>
      <c r="BI274" s="176">
        <v>16</v>
      </c>
      <c r="BJ274" s="176">
        <v>45</v>
      </c>
      <c r="BK274" s="169"/>
      <c r="BL274" s="185">
        <v>0.8</v>
      </c>
      <c r="BM274" s="182">
        <v>0.85</v>
      </c>
      <c r="BN274" s="186">
        <v>1.8749999999999999E-3</v>
      </c>
      <c r="BO274" s="187">
        <v>0.95</v>
      </c>
      <c r="BP274" s="178">
        <v>1</v>
      </c>
      <c r="BQ274" s="186">
        <v>2.5000000000000001E-3</v>
      </c>
    </row>
    <row r="275" spans="1:69" s="156" customFormat="1" ht="22.35" customHeight="1" x14ac:dyDescent="0.2">
      <c r="A275" s="165" t="s">
        <v>339</v>
      </c>
      <c r="B275" s="165" t="s">
        <v>340</v>
      </c>
      <c r="C275" s="165" t="s">
        <v>346</v>
      </c>
      <c r="D275" s="166">
        <v>8.6759634033333306</v>
      </c>
      <c r="E275" s="167"/>
      <c r="F275" s="168">
        <v>0.03</v>
      </c>
      <c r="G275" s="168">
        <v>0.03</v>
      </c>
      <c r="H275" s="169"/>
      <c r="I275" s="170">
        <v>3</v>
      </c>
      <c r="J275" s="170">
        <v>3</v>
      </c>
      <c r="K275" s="167"/>
      <c r="L275" s="171">
        <v>7071.8955900000001</v>
      </c>
      <c r="M275" s="171">
        <v>3689.38229</v>
      </c>
      <c r="N275" s="171">
        <v>10761.27788</v>
      </c>
      <c r="O275" s="166">
        <v>1240.3553795380799</v>
      </c>
      <c r="P275" s="172">
        <v>246.08699999999999</v>
      </c>
      <c r="Q275" s="178">
        <v>5.04031248923381</v>
      </c>
      <c r="R275" s="179">
        <v>8250.4687161015609</v>
      </c>
      <c r="S275" s="168">
        <v>0.01</v>
      </c>
      <c r="T275" s="168">
        <v>0.01</v>
      </c>
      <c r="U275" s="175">
        <v>0</v>
      </c>
      <c r="V275" s="176">
        <v>0</v>
      </c>
      <c r="W275" s="167"/>
      <c r="X275" s="175">
        <v>4271.0447000000004</v>
      </c>
      <c r="Y275" s="166">
        <v>492.28477593151803</v>
      </c>
      <c r="Z275" s="177">
        <v>573</v>
      </c>
      <c r="AA275" s="188">
        <v>0.85913573460997905</v>
      </c>
      <c r="AB275" s="171">
        <v>-1575.23588740936</v>
      </c>
      <c r="AC275" s="168"/>
      <c r="AD275" s="168"/>
      <c r="AE275" s="176">
        <v>701</v>
      </c>
      <c r="AF275" s="176">
        <v>1695</v>
      </c>
      <c r="AG275" s="167"/>
      <c r="AH275" s="180">
        <v>511.15</v>
      </c>
      <c r="AI275" s="166">
        <v>58.9156473163101</v>
      </c>
      <c r="AJ275" s="181" t="s">
        <v>53</v>
      </c>
      <c r="AK275" s="188">
        <v>0.93516900502079503</v>
      </c>
      <c r="AL275" s="171">
        <v>-131.63477662616</v>
      </c>
      <c r="AM275" s="168"/>
      <c r="AN275" s="168"/>
      <c r="AO275" s="176">
        <v>36</v>
      </c>
      <c r="AP275" s="176">
        <v>145</v>
      </c>
      <c r="AQ275" s="167"/>
      <c r="AR275" s="180">
        <v>53.7</v>
      </c>
      <c r="AS275" s="166">
        <v>6.1895143517281603</v>
      </c>
      <c r="AT275" s="181" t="s">
        <v>54</v>
      </c>
      <c r="AU275" s="173">
        <v>0.38684464698301002</v>
      </c>
      <c r="AV275" s="174">
        <v>-109.54692739712</v>
      </c>
      <c r="AW275" s="168"/>
      <c r="AX275" s="168"/>
      <c r="AY275" s="176">
        <v>86</v>
      </c>
      <c r="AZ275" s="176">
        <v>113</v>
      </c>
      <c r="BA275" s="167"/>
      <c r="BB275" s="184">
        <v>571.79999999999995</v>
      </c>
      <c r="BC275" s="180">
        <v>65.906225443541203</v>
      </c>
      <c r="BD275" s="181" t="s">
        <v>55</v>
      </c>
      <c r="BE275" s="178">
        <v>2.0595695451106599</v>
      </c>
      <c r="BF275" s="179">
        <v>245.30614520576</v>
      </c>
      <c r="BG275" s="168">
        <v>0.02</v>
      </c>
      <c r="BH275" s="168">
        <v>0.02</v>
      </c>
      <c r="BI275" s="176">
        <v>0</v>
      </c>
      <c r="BJ275" s="176">
        <v>0</v>
      </c>
      <c r="BK275" s="169"/>
      <c r="BL275" s="185">
        <v>0.8</v>
      </c>
      <c r="BM275" s="188">
        <v>0.74</v>
      </c>
      <c r="BN275" s="186"/>
      <c r="BO275" s="187">
        <v>0.95</v>
      </c>
      <c r="BP275" s="178">
        <v>1</v>
      </c>
      <c r="BQ275" s="186">
        <v>2.5000000000000001E-3</v>
      </c>
    </row>
    <row r="276" spans="1:69" s="156" customFormat="1" ht="22.35" customHeight="1" x14ac:dyDescent="0.2">
      <c r="A276" s="165" t="s">
        <v>339</v>
      </c>
      <c r="B276" s="165" t="s">
        <v>340</v>
      </c>
      <c r="C276" s="165" t="s">
        <v>347</v>
      </c>
      <c r="D276" s="166">
        <v>1.8989247312222199</v>
      </c>
      <c r="E276" s="167"/>
      <c r="F276" s="168">
        <v>0.03</v>
      </c>
      <c r="G276" s="168">
        <v>0.03</v>
      </c>
      <c r="H276" s="169"/>
      <c r="I276" s="170">
        <v>3</v>
      </c>
      <c r="J276" s="170">
        <v>3</v>
      </c>
      <c r="K276" s="167"/>
      <c r="L276" s="171">
        <v>1029.15381</v>
      </c>
      <c r="M276" s="171">
        <v>533.85126000000002</v>
      </c>
      <c r="N276" s="171">
        <v>1563.0050699999999</v>
      </c>
      <c r="O276" s="166">
        <v>823.10006515844805</v>
      </c>
      <c r="P276" s="172">
        <v>246.08699999999999</v>
      </c>
      <c r="Q276" s="178">
        <v>3.3447523240091801</v>
      </c>
      <c r="R276" s="179">
        <v>1013.45945816924</v>
      </c>
      <c r="S276" s="168">
        <v>0.01</v>
      </c>
      <c r="T276" s="168">
        <v>0.01</v>
      </c>
      <c r="U276" s="175">
        <v>0</v>
      </c>
      <c r="V276" s="176">
        <v>0</v>
      </c>
      <c r="W276" s="167"/>
      <c r="X276" s="175">
        <v>975.00736500000005</v>
      </c>
      <c r="Y276" s="166">
        <v>513.45234962127597</v>
      </c>
      <c r="Z276" s="177">
        <v>573</v>
      </c>
      <c r="AA276" s="188">
        <v>0.89607739899001004</v>
      </c>
      <c r="AB276" s="171">
        <v>-304.57926728463099</v>
      </c>
      <c r="AC276" s="168"/>
      <c r="AD276" s="168"/>
      <c r="AE276" s="176">
        <v>114</v>
      </c>
      <c r="AF276" s="176">
        <v>331</v>
      </c>
      <c r="AG276" s="167"/>
      <c r="AH276" s="180">
        <v>107.7</v>
      </c>
      <c r="AI276" s="166">
        <v>56.716308039592498</v>
      </c>
      <c r="AJ276" s="181" t="s">
        <v>53</v>
      </c>
      <c r="AK276" s="188">
        <v>0.90025885777130998</v>
      </c>
      <c r="AL276" s="171">
        <v>-32.987535486791799</v>
      </c>
      <c r="AM276" s="168"/>
      <c r="AN276" s="168"/>
      <c r="AO276" s="176">
        <v>12</v>
      </c>
      <c r="AP276" s="176">
        <v>36</v>
      </c>
      <c r="AQ276" s="167"/>
      <c r="AR276" s="180">
        <v>15.8</v>
      </c>
      <c r="AS276" s="166">
        <v>8.320498301073</v>
      </c>
      <c r="AT276" s="181" t="s">
        <v>54</v>
      </c>
      <c r="AU276" s="173">
        <v>0.52003114381706295</v>
      </c>
      <c r="AV276" s="174">
        <v>-19.930167742677298</v>
      </c>
      <c r="AW276" s="168"/>
      <c r="AX276" s="168"/>
      <c r="AY276" s="176">
        <v>15</v>
      </c>
      <c r="AZ276" s="176">
        <v>21</v>
      </c>
      <c r="BA276" s="167"/>
      <c r="BB276" s="184">
        <v>87.4</v>
      </c>
      <c r="BC276" s="180">
        <v>46.026047564163299</v>
      </c>
      <c r="BD276" s="181" t="s">
        <v>55</v>
      </c>
      <c r="BE276" s="178">
        <v>1.4383139863801</v>
      </c>
      <c r="BF276" s="179">
        <v>15.939664514645401</v>
      </c>
      <c r="BG276" s="168">
        <v>0.02</v>
      </c>
      <c r="BH276" s="168">
        <v>0.02</v>
      </c>
      <c r="BI276" s="176">
        <v>0</v>
      </c>
      <c r="BJ276" s="176">
        <v>0</v>
      </c>
      <c r="BK276" s="169"/>
      <c r="BL276" s="185">
        <v>0.8</v>
      </c>
      <c r="BM276" s="188">
        <v>0.78</v>
      </c>
      <c r="BN276" s="186"/>
      <c r="BO276" s="187">
        <v>0.95</v>
      </c>
      <c r="BP276" s="178">
        <v>1</v>
      </c>
      <c r="BQ276" s="186">
        <v>2.5000000000000001E-3</v>
      </c>
    </row>
    <row r="277" spans="1:69" s="156" customFormat="1" ht="22.35" customHeight="1" x14ac:dyDescent="0.2">
      <c r="A277" s="165" t="s">
        <v>339</v>
      </c>
      <c r="B277" s="165" t="s">
        <v>340</v>
      </c>
      <c r="C277" s="165" t="s">
        <v>348</v>
      </c>
      <c r="D277" s="166">
        <v>1.8613756613333301</v>
      </c>
      <c r="E277" s="167"/>
      <c r="F277" s="168">
        <v>0.08</v>
      </c>
      <c r="G277" s="168">
        <v>0.08</v>
      </c>
      <c r="H277" s="169"/>
      <c r="I277" s="170">
        <v>7</v>
      </c>
      <c r="J277" s="170">
        <v>7</v>
      </c>
      <c r="K277" s="167"/>
      <c r="L277" s="171">
        <v>1347.90382</v>
      </c>
      <c r="M277" s="171">
        <v>2867.6502599999999</v>
      </c>
      <c r="N277" s="171">
        <v>4215.5540799999999</v>
      </c>
      <c r="O277" s="166">
        <v>2264.75190772632</v>
      </c>
      <c r="P277" s="172">
        <v>246.08699999999999</v>
      </c>
      <c r="Q277" s="178">
        <v>9.2030538294437303</v>
      </c>
      <c r="R277" s="179">
        <v>3676.8751056122501</v>
      </c>
      <c r="S277" s="168">
        <v>0.01</v>
      </c>
      <c r="T277" s="168">
        <v>0.01</v>
      </c>
      <c r="U277" s="175">
        <v>0</v>
      </c>
      <c r="V277" s="176">
        <v>0</v>
      </c>
      <c r="W277" s="167"/>
      <c r="X277" s="175">
        <v>1633.7663849999999</v>
      </c>
      <c r="Y277" s="166">
        <v>877.71986006828195</v>
      </c>
      <c r="Z277" s="177">
        <v>573</v>
      </c>
      <c r="AA277" s="178">
        <v>1.5317973125100901</v>
      </c>
      <c r="AB277" s="179">
        <v>379.482118361858</v>
      </c>
      <c r="AC277" s="168">
        <v>0.02</v>
      </c>
      <c r="AD277" s="168">
        <v>0.02</v>
      </c>
      <c r="AE277" s="176">
        <v>0</v>
      </c>
      <c r="AF277" s="176">
        <v>0</v>
      </c>
      <c r="AG277" s="167"/>
      <c r="AH277" s="180">
        <v>144.80000000000001</v>
      </c>
      <c r="AI277" s="166">
        <v>77.791927233150503</v>
      </c>
      <c r="AJ277" s="181" t="s">
        <v>53</v>
      </c>
      <c r="AK277" s="178">
        <v>1.23479249576429</v>
      </c>
      <c r="AL277" s="179">
        <v>6.89440000313627</v>
      </c>
      <c r="AM277" s="168">
        <v>0.02</v>
      </c>
      <c r="AN277" s="168">
        <v>0.02</v>
      </c>
      <c r="AO277" s="176">
        <v>0</v>
      </c>
      <c r="AP277" s="176">
        <v>0</v>
      </c>
      <c r="AQ277" s="167"/>
      <c r="AR277" s="180">
        <v>49</v>
      </c>
      <c r="AS277" s="166">
        <v>26.324616259836802</v>
      </c>
      <c r="AT277" s="181" t="s">
        <v>54</v>
      </c>
      <c r="AU277" s="178">
        <v>1.6452885162398001</v>
      </c>
      <c r="AV277" s="179">
        <v>13.9763555563521</v>
      </c>
      <c r="AW277" s="168">
        <v>0.01</v>
      </c>
      <c r="AX277" s="168">
        <v>0.01</v>
      </c>
      <c r="AY277" s="176">
        <v>0</v>
      </c>
      <c r="AZ277" s="176">
        <v>0</v>
      </c>
      <c r="BA277" s="167"/>
      <c r="BB277" s="184">
        <v>109.8</v>
      </c>
      <c r="BC277" s="180">
        <v>58.9886299046956</v>
      </c>
      <c r="BD277" s="181" t="s">
        <v>55</v>
      </c>
      <c r="BE277" s="178">
        <v>1.8433946845217399</v>
      </c>
      <c r="BF277" s="179">
        <v>39.752711112704098</v>
      </c>
      <c r="BG277" s="168">
        <v>0.02</v>
      </c>
      <c r="BH277" s="168">
        <v>0.02</v>
      </c>
      <c r="BI277" s="176">
        <v>0</v>
      </c>
      <c r="BJ277" s="176">
        <v>0</v>
      </c>
      <c r="BK277" s="169"/>
      <c r="BL277" s="185">
        <v>0.8</v>
      </c>
      <c r="BM277" s="182">
        <v>0.88</v>
      </c>
      <c r="BN277" s="186">
        <v>3.0000000000000001E-3</v>
      </c>
      <c r="BO277" s="187">
        <v>0.95</v>
      </c>
      <c r="BP277" s="178">
        <v>1</v>
      </c>
      <c r="BQ277" s="186">
        <v>2.5000000000000001E-3</v>
      </c>
    </row>
    <row r="278" spans="1:69" s="156" customFormat="1" ht="22.35" customHeight="1" x14ac:dyDescent="0.2">
      <c r="A278" s="165" t="s">
        <v>339</v>
      </c>
      <c r="B278" s="165" t="s">
        <v>340</v>
      </c>
      <c r="C278" s="165" t="s">
        <v>349</v>
      </c>
      <c r="D278" s="166">
        <v>4.0649831650000001</v>
      </c>
      <c r="E278" s="167"/>
      <c r="F278" s="168">
        <v>2.3E-2</v>
      </c>
      <c r="G278" s="168">
        <v>2.1000000000000001E-2</v>
      </c>
      <c r="H278" s="169"/>
      <c r="I278" s="170">
        <v>3</v>
      </c>
      <c r="J278" s="170">
        <v>3</v>
      </c>
      <c r="K278" s="167"/>
      <c r="L278" s="171">
        <v>1050.3257000000001</v>
      </c>
      <c r="M278" s="171">
        <v>511.46042999999997</v>
      </c>
      <c r="N278" s="171">
        <v>1561.78613</v>
      </c>
      <c r="O278" s="166">
        <v>384.20482117789999</v>
      </c>
      <c r="P278" s="172">
        <v>212.5</v>
      </c>
      <c r="Q278" s="178">
        <v>1.808022687896</v>
      </c>
      <c r="R278" s="179">
        <v>545.94683706650005</v>
      </c>
      <c r="S278" s="168">
        <v>0.01</v>
      </c>
      <c r="T278" s="168">
        <v>0.01</v>
      </c>
      <c r="U278" s="175">
        <v>0</v>
      </c>
      <c r="V278" s="176">
        <v>0</v>
      </c>
      <c r="W278" s="167"/>
      <c r="X278" s="175">
        <v>1554.8527099999999</v>
      </c>
      <c r="Y278" s="166">
        <v>382.49917573766902</v>
      </c>
      <c r="Z278" s="177">
        <v>573</v>
      </c>
      <c r="AA278" s="173">
        <v>0.66753782851251098</v>
      </c>
      <c r="AB278" s="174">
        <v>-1184.3280657689199</v>
      </c>
      <c r="AC278" s="168"/>
      <c r="AD278" s="168"/>
      <c r="AE278" s="176">
        <v>775</v>
      </c>
      <c r="AF278" s="176">
        <v>1241</v>
      </c>
      <c r="AG278" s="167"/>
      <c r="AH278" s="180">
        <v>161</v>
      </c>
      <c r="AI278" s="166">
        <v>39.606560092604902</v>
      </c>
      <c r="AJ278" s="181" t="s">
        <v>53</v>
      </c>
      <c r="AK278" s="173">
        <v>0.62867555702547495</v>
      </c>
      <c r="AL278" s="174">
        <v>-140.16647272852001</v>
      </c>
      <c r="AM278" s="168"/>
      <c r="AN278" s="168"/>
      <c r="AO278" s="176">
        <v>96</v>
      </c>
      <c r="AP278" s="176">
        <v>147</v>
      </c>
      <c r="AQ278" s="167"/>
      <c r="AR278" s="180">
        <v>24.4</v>
      </c>
      <c r="AS278" s="166">
        <v>6.0024848835997604</v>
      </c>
      <c r="AT278" s="181" t="s">
        <v>54</v>
      </c>
      <c r="AU278" s="173">
        <v>0.37515530522498503</v>
      </c>
      <c r="AV278" s="174">
        <v>-52.086723232639997</v>
      </c>
      <c r="AW278" s="168"/>
      <c r="AX278" s="168"/>
      <c r="AY278" s="176">
        <v>41</v>
      </c>
      <c r="AZ278" s="176">
        <v>54</v>
      </c>
      <c r="BA278" s="167"/>
      <c r="BB278" s="184">
        <v>144.4</v>
      </c>
      <c r="BC278" s="180">
        <v>35.522902343926397</v>
      </c>
      <c r="BD278" s="181" t="s">
        <v>55</v>
      </c>
      <c r="BE278" s="182">
        <v>1.1100906982476999</v>
      </c>
      <c r="BF278" s="183">
        <v>-8.57344646528</v>
      </c>
      <c r="BG278" s="168">
        <v>1.2999999999999999E-2</v>
      </c>
      <c r="BH278" s="168">
        <v>1.0999999999999999E-2</v>
      </c>
      <c r="BI278" s="176">
        <v>0</v>
      </c>
      <c r="BJ278" s="176">
        <v>12</v>
      </c>
      <c r="BK278" s="169"/>
      <c r="BL278" s="185">
        <v>0.8</v>
      </c>
      <c r="BM278" s="188">
        <v>0.79</v>
      </c>
      <c r="BN278" s="186"/>
      <c r="BO278" s="187">
        <v>0.95</v>
      </c>
      <c r="BP278" s="178">
        <v>1</v>
      </c>
      <c r="BQ278" s="186">
        <v>2.5000000000000001E-3</v>
      </c>
    </row>
    <row r="279" spans="1:69" s="156" customFormat="1" ht="22.35" customHeight="1" x14ac:dyDescent="0.2">
      <c r="A279" s="165" t="s">
        <v>339</v>
      </c>
      <c r="B279" s="165" t="s">
        <v>340</v>
      </c>
      <c r="C279" s="165" t="s">
        <v>350</v>
      </c>
      <c r="D279" s="166">
        <v>2.7843147968888902</v>
      </c>
      <c r="E279" s="167"/>
      <c r="F279" s="168">
        <v>0.01</v>
      </c>
      <c r="G279" s="168">
        <v>0.01</v>
      </c>
      <c r="H279" s="169"/>
      <c r="I279" s="170">
        <v>3</v>
      </c>
      <c r="J279" s="170">
        <v>3</v>
      </c>
      <c r="K279" s="167"/>
      <c r="L279" s="171">
        <v>1628.7787499999999</v>
      </c>
      <c r="M279" s="171">
        <v>396.78611999999998</v>
      </c>
      <c r="N279" s="171">
        <v>2025.5648699999999</v>
      </c>
      <c r="O279" s="166">
        <v>727.49132830214</v>
      </c>
      <c r="P279" s="172">
        <v>243.43</v>
      </c>
      <c r="Q279" s="178">
        <v>2.98850317669203</v>
      </c>
      <c r="R279" s="179">
        <v>1228.4888268161701</v>
      </c>
      <c r="S279" s="168">
        <v>0.01</v>
      </c>
      <c r="T279" s="168">
        <v>0.01</v>
      </c>
      <c r="U279" s="175">
        <v>0</v>
      </c>
      <c r="V279" s="176">
        <v>0</v>
      </c>
      <c r="W279" s="167"/>
      <c r="X279" s="175">
        <v>791.15385500000002</v>
      </c>
      <c r="Y279" s="166">
        <v>284.14669773834902</v>
      </c>
      <c r="Z279" s="177">
        <v>573</v>
      </c>
      <c r="AA279" s="173">
        <v>0.49589301525017299</v>
      </c>
      <c r="AB279" s="174">
        <v>-1085.0511022539799</v>
      </c>
      <c r="AC279" s="168"/>
      <c r="AD279" s="168"/>
      <c r="AE279" s="176">
        <v>805</v>
      </c>
      <c r="AF279" s="176">
        <v>1124</v>
      </c>
      <c r="AG279" s="167"/>
      <c r="AH279" s="180">
        <v>161.69999999999999</v>
      </c>
      <c r="AI279" s="166">
        <v>58.075329765398202</v>
      </c>
      <c r="AJ279" s="181" t="s">
        <v>53</v>
      </c>
      <c r="AK279" s="188">
        <v>0.92183063119679698</v>
      </c>
      <c r="AL279" s="171">
        <v>-44.584314671904103</v>
      </c>
      <c r="AM279" s="168"/>
      <c r="AN279" s="168"/>
      <c r="AO279" s="176">
        <v>14</v>
      </c>
      <c r="AP279" s="176">
        <v>49</v>
      </c>
      <c r="AQ279" s="167"/>
      <c r="AR279" s="180">
        <v>9.8000000000000007</v>
      </c>
      <c r="AS279" s="166">
        <v>3.51971695547868</v>
      </c>
      <c r="AT279" s="181" t="s">
        <v>54</v>
      </c>
      <c r="AU279" s="173">
        <v>0.219982309717417</v>
      </c>
      <c r="AV279" s="174">
        <v>-42.589667218261397</v>
      </c>
      <c r="AW279" s="168"/>
      <c r="AX279" s="168"/>
      <c r="AY279" s="176">
        <v>35</v>
      </c>
      <c r="AZ279" s="176">
        <v>44</v>
      </c>
      <c r="BA279" s="167"/>
      <c r="BB279" s="184">
        <v>85.8</v>
      </c>
      <c r="BC279" s="180">
        <v>30.815481100007201</v>
      </c>
      <c r="BD279" s="181" t="s">
        <v>55</v>
      </c>
      <c r="BE279" s="188">
        <v>0.96298378437522503</v>
      </c>
      <c r="BF279" s="171">
        <v>-18.979334436522699</v>
      </c>
      <c r="BG279" s="168"/>
      <c r="BH279" s="168"/>
      <c r="BI279" s="176">
        <v>4</v>
      </c>
      <c r="BJ279" s="176">
        <v>22</v>
      </c>
      <c r="BK279" s="169"/>
      <c r="BL279" s="185">
        <v>0.8</v>
      </c>
      <c r="BM279" s="182">
        <v>0.83</v>
      </c>
      <c r="BN279" s="186">
        <v>1.1249999999999999E-3</v>
      </c>
      <c r="BO279" s="187">
        <v>0.95</v>
      </c>
      <c r="BP279" s="178">
        <v>1</v>
      </c>
      <c r="BQ279" s="186">
        <v>2.5000000000000001E-3</v>
      </c>
    </row>
    <row r="280" spans="1:69" s="156" customFormat="1" ht="22.35" customHeight="1" x14ac:dyDescent="0.2">
      <c r="A280" s="165" t="s">
        <v>339</v>
      </c>
      <c r="B280" s="165" t="s">
        <v>340</v>
      </c>
      <c r="C280" s="165" t="s">
        <v>351</v>
      </c>
      <c r="D280" s="166">
        <v>4.6097894054444399</v>
      </c>
      <c r="E280" s="167"/>
      <c r="F280" s="168">
        <v>1.7000000000000001E-2</v>
      </c>
      <c r="G280" s="168">
        <v>1.4999999999999999E-2</v>
      </c>
      <c r="H280" s="169"/>
      <c r="I280" s="170">
        <v>3</v>
      </c>
      <c r="J280" s="170">
        <v>3</v>
      </c>
      <c r="K280" s="167"/>
      <c r="L280" s="171">
        <v>1761.6659</v>
      </c>
      <c r="M280" s="171">
        <v>-154.26836</v>
      </c>
      <c r="N280" s="171">
        <v>1607.3975399999999</v>
      </c>
      <c r="O280" s="166">
        <v>348.69218496219497</v>
      </c>
      <c r="P280" s="172">
        <v>254.44499999999999</v>
      </c>
      <c r="Q280" s="178">
        <v>1.37040297495409</v>
      </c>
      <c r="R280" s="179">
        <v>228.02261044446701</v>
      </c>
      <c r="S280" s="168">
        <v>0.01</v>
      </c>
      <c r="T280" s="168">
        <v>0.01</v>
      </c>
      <c r="U280" s="175">
        <v>0</v>
      </c>
      <c r="V280" s="176">
        <v>0</v>
      </c>
      <c r="W280" s="167"/>
      <c r="X280" s="175">
        <v>1752.8277700000001</v>
      </c>
      <c r="Y280" s="166">
        <v>380.240313783055</v>
      </c>
      <c r="Z280" s="177">
        <v>573</v>
      </c>
      <c r="AA280" s="173">
        <v>0.66359566105245305</v>
      </c>
      <c r="AB280" s="174">
        <v>-1353.46960127992</v>
      </c>
      <c r="AC280" s="168"/>
      <c r="AD280" s="168"/>
      <c r="AE280" s="176">
        <v>889</v>
      </c>
      <c r="AF280" s="176">
        <v>1417</v>
      </c>
      <c r="AG280" s="167"/>
      <c r="AH280" s="180">
        <v>243.2</v>
      </c>
      <c r="AI280" s="166">
        <v>52.757290758828603</v>
      </c>
      <c r="AJ280" s="181" t="s">
        <v>53</v>
      </c>
      <c r="AK280" s="188">
        <v>0.83741731363219896</v>
      </c>
      <c r="AL280" s="171">
        <v>-98.330077470567602</v>
      </c>
      <c r="AM280" s="168"/>
      <c r="AN280" s="168"/>
      <c r="AO280" s="176">
        <v>48</v>
      </c>
      <c r="AP280" s="176">
        <v>106</v>
      </c>
      <c r="AQ280" s="167"/>
      <c r="AR280" s="180">
        <v>13</v>
      </c>
      <c r="AS280" s="166">
        <v>2.8200854435229101</v>
      </c>
      <c r="AT280" s="181" t="s">
        <v>54</v>
      </c>
      <c r="AU280" s="173">
        <v>0.17625534022018199</v>
      </c>
      <c r="AV280" s="174">
        <v>-73.737797452842599</v>
      </c>
      <c r="AW280" s="168"/>
      <c r="AX280" s="168"/>
      <c r="AY280" s="176">
        <v>61</v>
      </c>
      <c r="AZ280" s="176">
        <v>76</v>
      </c>
      <c r="BA280" s="167"/>
      <c r="BB280" s="184">
        <v>155.19999999999999</v>
      </c>
      <c r="BC280" s="180">
        <v>33.667481602673497</v>
      </c>
      <c r="BD280" s="181" t="s">
        <v>55</v>
      </c>
      <c r="BE280" s="182">
        <v>1.0521088000835499</v>
      </c>
      <c r="BF280" s="183">
        <v>-18.2755949056851</v>
      </c>
      <c r="BG280" s="168">
        <v>7.0000000000000001E-3</v>
      </c>
      <c r="BH280" s="168">
        <v>5.0000000000000001E-3</v>
      </c>
      <c r="BI280" s="176">
        <v>0</v>
      </c>
      <c r="BJ280" s="176">
        <v>22</v>
      </c>
      <c r="BK280" s="169"/>
      <c r="BL280" s="185">
        <v>0.8</v>
      </c>
      <c r="BM280" s="188">
        <v>0.78</v>
      </c>
      <c r="BN280" s="186"/>
      <c r="BO280" s="187">
        <v>0.95</v>
      </c>
      <c r="BP280" s="178">
        <v>1</v>
      </c>
      <c r="BQ280" s="186">
        <v>2.5000000000000001E-3</v>
      </c>
    </row>
    <row r="281" spans="1:69" s="156" customFormat="1" ht="22.35" customHeight="1" x14ac:dyDescent="0.2">
      <c r="A281" s="165" t="s">
        <v>339</v>
      </c>
      <c r="B281" s="165" t="s">
        <v>340</v>
      </c>
      <c r="C281" s="165" t="s">
        <v>352</v>
      </c>
      <c r="D281" s="166">
        <v>4.6161616162222199</v>
      </c>
      <c r="E281" s="167"/>
      <c r="F281" s="168">
        <v>1.7000000000000001E-2</v>
      </c>
      <c r="G281" s="168">
        <v>1.4999999999999999E-2</v>
      </c>
      <c r="H281" s="169"/>
      <c r="I281" s="170">
        <v>3</v>
      </c>
      <c r="J281" s="170">
        <v>3</v>
      </c>
      <c r="K281" s="167"/>
      <c r="L281" s="171">
        <v>2403.2882</v>
      </c>
      <c r="M281" s="171">
        <v>3298.8061600000001</v>
      </c>
      <c r="N281" s="171">
        <v>5702.0943600000001</v>
      </c>
      <c r="O281" s="166">
        <v>1235.2458241413301</v>
      </c>
      <c r="P281" s="172">
        <v>212.5</v>
      </c>
      <c r="Q281" s="178">
        <v>5.8129215253709603</v>
      </c>
      <c r="R281" s="179">
        <v>4548.5155721060701</v>
      </c>
      <c r="S281" s="168">
        <v>0.01</v>
      </c>
      <c r="T281" s="168">
        <v>0.01</v>
      </c>
      <c r="U281" s="175">
        <v>0</v>
      </c>
      <c r="V281" s="176">
        <v>0</v>
      </c>
      <c r="W281" s="167"/>
      <c r="X281" s="175">
        <v>2536.6203949999999</v>
      </c>
      <c r="Y281" s="166">
        <v>549.50857571488598</v>
      </c>
      <c r="Z281" s="177">
        <v>573</v>
      </c>
      <c r="AA281" s="188">
        <v>0.95900274993871903</v>
      </c>
      <c r="AB281" s="171">
        <v>-573.97087776810997</v>
      </c>
      <c r="AC281" s="168"/>
      <c r="AD281" s="168"/>
      <c r="AE281" s="176">
        <v>109</v>
      </c>
      <c r="AF281" s="176">
        <v>638</v>
      </c>
      <c r="AG281" s="167"/>
      <c r="AH281" s="180">
        <v>175.45</v>
      </c>
      <c r="AI281" s="166">
        <v>38.007768052017397</v>
      </c>
      <c r="AJ281" s="181" t="s">
        <v>53</v>
      </c>
      <c r="AK281" s="173">
        <v>0.60329790558757801</v>
      </c>
      <c r="AL281" s="174">
        <v>-166.552181822672</v>
      </c>
      <c r="AM281" s="168"/>
      <c r="AN281" s="168"/>
      <c r="AO281" s="176">
        <v>116</v>
      </c>
      <c r="AP281" s="176">
        <v>174</v>
      </c>
      <c r="AQ281" s="167"/>
      <c r="AR281" s="180">
        <v>39.799999999999997</v>
      </c>
      <c r="AS281" s="166">
        <v>8.6218818379611992</v>
      </c>
      <c r="AT281" s="181" t="s">
        <v>54</v>
      </c>
      <c r="AU281" s="173">
        <v>0.53886761487257495</v>
      </c>
      <c r="AV281" s="174">
        <v>-47.057696970837299</v>
      </c>
      <c r="AW281" s="168"/>
      <c r="AX281" s="168"/>
      <c r="AY281" s="176">
        <v>35</v>
      </c>
      <c r="AZ281" s="176">
        <v>49</v>
      </c>
      <c r="BA281" s="167"/>
      <c r="BB281" s="184">
        <v>155.19999999999999</v>
      </c>
      <c r="BC281" s="180">
        <v>33.621006564109997</v>
      </c>
      <c r="BD281" s="181" t="s">
        <v>55</v>
      </c>
      <c r="BE281" s="182">
        <v>1.0506564551284401</v>
      </c>
      <c r="BF281" s="183">
        <v>-18.5153939416745</v>
      </c>
      <c r="BG281" s="168">
        <v>7.0000000000000001E-3</v>
      </c>
      <c r="BH281" s="168">
        <v>5.0000000000000001E-3</v>
      </c>
      <c r="BI281" s="176">
        <v>0</v>
      </c>
      <c r="BJ281" s="176">
        <v>23</v>
      </c>
      <c r="BK281" s="169"/>
      <c r="BL281" s="185">
        <v>0.8</v>
      </c>
      <c r="BM281" s="188">
        <v>0.77</v>
      </c>
      <c r="BN281" s="186"/>
      <c r="BO281" s="187">
        <v>0.95</v>
      </c>
      <c r="BP281" s="178">
        <v>1</v>
      </c>
      <c r="BQ281" s="186">
        <v>2.5000000000000001E-3</v>
      </c>
    </row>
    <row r="282" spans="1:69" s="156" customFormat="1" ht="22.35" customHeight="1" x14ac:dyDescent="0.2">
      <c r="A282" s="165" t="s">
        <v>339</v>
      </c>
      <c r="B282" s="165" t="s">
        <v>340</v>
      </c>
      <c r="C282" s="165" t="s">
        <v>353</v>
      </c>
      <c r="D282" s="166">
        <v>6.3981030344444401</v>
      </c>
      <c r="E282" s="167"/>
      <c r="F282" s="168">
        <v>0.03</v>
      </c>
      <c r="G282" s="168">
        <v>2.9000000000000001E-2</v>
      </c>
      <c r="H282" s="169"/>
      <c r="I282" s="170">
        <v>3</v>
      </c>
      <c r="J282" s="170">
        <v>3</v>
      </c>
      <c r="K282" s="167"/>
      <c r="L282" s="171">
        <v>3013.06979</v>
      </c>
      <c r="M282" s="171">
        <v>3316.2507300000002</v>
      </c>
      <c r="N282" s="171">
        <v>6329.3205200000002</v>
      </c>
      <c r="O282" s="166">
        <v>989.24954567406098</v>
      </c>
      <c r="P282" s="172">
        <v>250.489</v>
      </c>
      <c r="Q282" s="178">
        <v>3.94927340391818</v>
      </c>
      <c r="R282" s="179">
        <v>4444.5989091499296</v>
      </c>
      <c r="S282" s="168">
        <v>0.01</v>
      </c>
      <c r="T282" s="168">
        <v>0.01</v>
      </c>
      <c r="U282" s="175">
        <v>0</v>
      </c>
      <c r="V282" s="176">
        <v>0</v>
      </c>
      <c r="W282" s="167"/>
      <c r="X282" s="175">
        <v>2631.65272</v>
      </c>
      <c r="Y282" s="166">
        <v>411.31765240922101</v>
      </c>
      <c r="Z282" s="177">
        <v>573</v>
      </c>
      <c r="AA282" s="173">
        <v>0.71783185411731398</v>
      </c>
      <c r="AB282" s="174">
        <v>-1679.6962135543199</v>
      </c>
      <c r="AC282" s="168"/>
      <c r="AD282" s="168"/>
      <c r="AE282" s="176">
        <v>1035</v>
      </c>
      <c r="AF282" s="176">
        <v>1768</v>
      </c>
      <c r="AG282" s="167"/>
      <c r="AH282" s="180">
        <v>253.9</v>
      </c>
      <c r="AI282" s="166">
        <v>39.683637264532798</v>
      </c>
      <c r="AJ282" s="181" t="s">
        <v>53</v>
      </c>
      <c r="AK282" s="173">
        <v>0.62989900419893297</v>
      </c>
      <c r="AL282" s="174">
        <v>-220.12265761591999</v>
      </c>
      <c r="AM282" s="168"/>
      <c r="AN282" s="168"/>
      <c r="AO282" s="176">
        <v>150</v>
      </c>
      <c r="AP282" s="176">
        <v>230</v>
      </c>
      <c r="AQ282" s="167"/>
      <c r="AR282" s="180">
        <v>52.4</v>
      </c>
      <c r="AS282" s="166">
        <v>8.1899275016207902</v>
      </c>
      <c r="AT282" s="181" t="s">
        <v>54</v>
      </c>
      <c r="AU282" s="173">
        <v>0.51187046885129905</v>
      </c>
      <c r="AV282" s="174">
        <v>-67.986706696106594</v>
      </c>
      <c r="AW282" s="168"/>
      <c r="AX282" s="168"/>
      <c r="AY282" s="176">
        <v>50</v>
      </c>
      <c r="AZ282" s="176">
        <v>71</v>
      </c>
      <c r="BA282" s="167"/>
      <c r="BB282" s="184">
        <v>242.8</v>
      </c>
      <c r="BC282" s="180">
        <v>37.948748041861201</v>
      </c>
      <c r="BD282" s="181" t="s">
        <v>55</v>
      </c>
      <c r="BE282" s="178">
        <v>1.1858983763081601</v>
      </c>
      <c r="BF282" s="179">
        <v>2.0265866077868702</v>
      </c>
      <c r="BG282" s="168">
        <v>0.02</v>
      </c>
      <c r="BH282" s="168">
        <v>1.9E-2</v>
      </c>
      <c r="BI282" s="176">
        <v>0</v>
      </c>
      <c r="BJ282" s="176">
        <v>3</v>
      </c>
      <c r="BK282" s="169"/>
      <c r="BL282" s="185">
        <v>0.8</v>
      </c>
      <c r="BM282" s="188">
        <v>0.77</v>
      </c>
      <c r="BN282" s="186"/>
      <c r="BO282" s="187">
        <v>0.95</v>
      </c>
      <c r="BP282" s="178">
        <v>1</v>
      </c>
      <c r="BQ282" s="186">
        <v>2.5000000000000001E-3</v>
      </c>
    </row>
    <row r="283" spans="1:69" s="156" customFormat="1" ht="22.35" customHeight="1" x14ac:dyDescent="0.2">
      <c r="A283" s="165" t="s">
        <v>339</v>
      </c>
      <c r="B283" s="165" t="s">
        <v>340</v>
      </c>
      <c r="C283" s="165" t="s">
        <v>354</v>
      </c>
      <c r="D283" s="166">
        <v>5.0444772765555603</v>
      </c>
      <c r="E283" s="167"/>
      <c r="F283" s="168">
        <v>4.2000000000000003E-2</v>
      </c>
      <c r="G283" s="168">
        <v>3.5999999999999997E-2</v>
      </c>
      <c r="H283" s="169"/>
      <c r="I283" s="170">
        <v>4</v>
      </c>
      <c r="J283" s="170">
        <v>4</v>
      </c>
      <c r="K283" s="167"/>
      <c r="L283" s="171">
        <v>2003.68759</v>
      </c>
      <c r="M283" s="171">
        <v>1255.7361100000001</v>
      </c>
      <c r="N283" s="171">
        <v>3259.4236999999998</v>
      </c>
      <c r="O283" s="166">
        <v>646.13705668738498</v>
      </c>
      <c r="P283" s="172">
        <v>216.363</v>
      </c>
      <c r="Q283" s="178">
        <v>2.9863565243936598</v>
      </c>
      <c r="R283" s="179">
        <v>1975.8923333028299</v>
      </c>
      <c r="S283" s="168">
        <v>0.01</v>
      </c>
      <c r="T283" s="168">
        <v>0.01</v>
      </c>
      <c r="U283" s="175">
        <v>0</v>
      </c>
      <c r="V283" s="176">
        <v>0</v>
      </c>
      <c r="W283" s="167"/>
      <c r="X283" s="175">
        <v>3162.29547</v>
      </c>
      <c r="Y283" s="166">
        <v>626.88268707184295</v>
      </c>
      <c r="Z283" s="177">
        <v>573</v>
      </c>
      <c r="AA283" s="182">
        <v>1.0940361030922201</v>
      </c>
      <c r="AB283" s="183">
        <v>-236.91545385241</v>
      </c>
      <c r="AC283" s="168">
        <v>1.2E-2</v>
      </c>
      <c r="AD283" s="168">
        <v>8.9999999999999993E-3</v>
      </c>
      <c r="AE283" s="176">
        <v>0</v>
      </c>
      <c r="AF283" s="176">
        <v>307</v>
      </c>
      <c r="AG283" s="167"/>
      <c r="AH283" s="180">
        <v>214.6</v>
      </c>
      <c r="AI283" s="166">
        <v>42.541573335529399</v>
      </c>
      <c r="AJ283" s="181" t="s">
        <v>53</v>
      </c>
      <c r="AK283" s="173">
        <v>0.67526306881792797</v>
      </c>
      <c r="AL283" s="174">
        <v>-159.13523246544801</v>
      </c>
      <c r="AM283" s="168"/>
      <c r="AN283" s="168"/>
      <c r="AO283" s="176">
        <v>104</v>
      </c>
      <c r="AP283" s="176">
        <v>167</v>
      </c>
      <c r="AQ283" s="167"/>
      <c r="AR283" s="180">
        <v>28.8</v>
      </c>
      <c r="AS283" s="166">
        <v>5.7092139425128003</v>
      </c>
      <c r="AT283" s="181" t="s">
        <v>54</v>
      </c>
      <c r="AU283" s="173">
        <v>0.35682587140705002</v>
      </c>
      <c r="AV283" s="174">
        <v>-66.116884435669405</v>
      </c>
      <c r="AW283" s="168"/>
      <c r="AX283" s="168"/>
      <c r="AY283" s="176">
        <v>52</v>
      </c>
      <c r="AZ283" s="176">
        <v>69</v>
      </c>
      <c r="BA283" s="167"/>
      <c r="BB283" s="184">
        <v>189.2</v>
      </c>
      <c r="BC283" s="180">
        <v>37.506363816785502</v>
      </c>
      <c r="BD283" s="181" t="s">
        <v>55</v>
      </c>
      <c r="BE283" s="178">
        <v>1.17207386927455</v>
      </c>
      <c r="BF283" s="179">
        <v>-0.63376887133878801</v>
      </c>
      <c r="BG283" s="168">
        <v>0.02</v>
      </c>
      <c r="BH283" s="168">
        <v>1.7000000000000001E-2</v>
      </c>
      <c r="BI283" s="176">
        <v>0</v>
      </c>
      <c r="BJ283" s="176">
        <v>5</v>
      </c>
      <c r="BK283" s="169"/>
      <c r="BL283" s="185">
        <v>0.8</v>
      </c>
      <c r="BM283" s="188">
        <v>0.8</v>
      </c>
      <c r="BN283" s="186">
        <v>0</v>
      </c>
      <c r="BO283" s="187">
        <v>0.95</v>
      </c>
      <c r="BP283" s="178">
        <v>1</v>
      </c>
      <c r="BQ283" s="186">
        <v>2.5000000000000001E-3</v>
      </c>
    </row>
    <row r="284" spans="1:69" s="156" customFormat="1" ht="22.35" customHeight="1" x14ac:dyDescent="0.2">
      <c r="A284" s="165" t="s">
        <v>339</v>
      </c>
      <c r="B284" s="165" t="s">
        <v>340</v>
      </c>
      <c r="C284" s="165" t="s">
        <v>355</v>
      </c>
      <c r="D284" s="166">
        <v>3.2630691803333298</v>
      </c>
      <c r="E284" s="167"/>
      <c r="F284" s="168">
        <v>3.7999999999999999E-2</v>
      </c>
      <c r="G284" s="168">
        <v>3.5999999999999997E-2</v>
      </c>
      <c r="H284" s="169"/>
      <c r="I284" s="170">
        <v>5</v>
      </c>
      <c r="J284" s="170">
        <v>5</v>
      </c>
      <c r="K284" s="167"/>
      <c r="L284" s="171">
        <v>2398.0965000000001</v>
      </c>
      <c r="M284" s="171">
        <v>857.31957</v>
      </c>
      <c r="N284" s="171">
        <v>3255.4160700000002</v>
      </c>
      <c r="O284" s="166">
        <v>997.65462823177097</v>
      </c>
      <c r="P284" s="172">
        <v>249.714</v>
      </c>
      <c r="Q284" s="178">
        <v>3.9951890091535498</v>
      </c>
      <c r="R284" s="179">
        <v>2297.1712186178402</v>
      </c>
      <c r="S284" s="168">
        <v>0.01</v>
      </c>
      <c r="T284" s="168">
        <v>0.01</v>
      </c>
      <c r="U284" s="175">
        <v>0</v>
      </c>
      <c r="V284" s="176">
        <v>0</v>
      </c>
      <c r="W284" s="167"/>
      <c r="X284" s="175">
        <v>1808.3795500000001</v>
      </c>
      <c r="Y284" s="166">
        <v>554.19589658079803</v>
      </c>
      <c r="Z284" s="177">
        <v>573</v>
      </c>
      <c r="AA284" s="188">
        <v>0.96718306558603395</v>
      </c>
      <c r="AB284" s="171">
        <v>-390.43309102925298</v>
      </c>
      <c r="AC284" s="168"/>
      <c r="AD284" s="168"/>
      <c r="AE284" s="176">
        <v>62</v>
      </c>
      <c r="AF284" s="176">
        <v>436</v>
      </c>
      <c r="AG284" s="167"/>
      <c r="AH284" s="180">
        <v>217.3</v>
      </c>
      <c r="AI284" s="166">
        <v>66.593745946202105</v>
      </c>
      <c r="AJ284" s="181" t="s">
        <v>53</v>
      </c>
      <c r="AK284" s="182">
        <v>1.05704358644765</v>
      </c>
      <c r="AL284" s="183">
        <v>-24.4542694325357</v>
      </c>
      <c r="AM284" s="168">
        <v>8.0000000000000002E-3</v>
      </c>
      <c r="AN284" s="168">
        <v>6.0000000000000001E-3</v>
      </c>
      <c r="AO284" s="176">
        <v>0</v>
      </c>
      <c r="AP284" s="176">
        <v>30</v>
      </c>
      <c r="AQ284" s="167"/>
      <c r="AR284" s="180">
        <v>14.3</v>
      </c>
      <c r="AS284" s="166">
        <v>4.3823772067680196</v>
      </c>
      <c r="AT284" s="181" t="s">
        <v>54</v>
      </c>
      <c r="AU284" s="173">
        <v>0.273898575423001</v>
      </c>
      <c r="AV284" s="174">
        <v>-47.097909697151898</v>
      </c>
      <c r="AW284" s="168"/>
      <c r="AX284" s="168"/>
      <c r="AY284" s="176">
        <v>38</v>
      </c>
      <c r="AZ284" s="176">
        <v>49</v>
      </c>
      <c r="BA284" s="167"/>
      <c r="BB284" s="184">
        <v>125.2</v>
      </c>
      <c r="BC284" s="180">
        <v>38.368785055059803</v>
      </c>
      <c r="BD284" s="181" t="s">
        <v>55</v>
      </c>
      <c r="BE284" s="178">
        <v>1.1990245329706199</v>
      </c>
      <c r="BF284" s="179">
        <v>2.4041806056961401</v>
      </c>
      <c r="BG284" s="168">
        <v>0.02</v>
      </c>
      <c r="BH284" s="168">
        <v>0.02</v>
      </c>
      <c r="BI284" s="176">
        <v>0</v>
      </c>
      <c r="BJ284" s="176">
        <v>1</v>
      </c>
      <c r="BK284" s="169"/>
      <c r="BL284" s="185">
        <v>0.8</v>
      </c>
      <c r="BM284" s="182">
        <v>0.85</v>
      </c>
      <c r="BN284" s="186">
        <v>1.8749999999999999E-3</v>
      </c>
      <c r="BO284" s="187">
        <v>0.95</v>
      </c>
      <c r="BP284" s="178">
        <v>1</v>
      </c>
      <c r="BQ284" s="186">
        <v>2.5000000000000001E-3</v>
      </c>
    </row>
    <row r="285" spans="1:69" s="156" customFormat="1" ht="22.35" customHeight="1" x14ac:dyDescent="0.2">
      <c r="A285" s="165" t="s">
        <v>339</v>
      </c>
      <c r="B285" s="165" t="s">
        <v>340</v>
      </c>
      <c r="C285" s="165" t="s">
        <v>356</v>
      </c>
      <c r="D285" s="166">
        <v>2.6091871092222201</v>
      </c>
      <c r="E285" s="167"/>
      <c r="F285" s="168">
        <v>6.4000000000000001E-2</v>
      </c>
      <c r="G285" s="168">
        <v>6.0999999999999999E-2</v>
      </c>
      <c r="H285" s="169"/>
      <c r="I285" s="170">
        <v>6</v>
      </c>
      <c r="J285" s="170">
        <v>6</v>
      </c>
      <c r="K285" s="167"/>
      <c r="L285" s="171">
        <v>1096.4637499999999</v>
      </c>
      <c r="M285" s="171">
        <v>330.02505000000002</v>
      </c>
      <c r="N285" s="171">
        <v>1426.4888000000001</v>
      </c>
      <c r="O285" s="166">
        <v>546.71770949582196</v>
      </c>
      <c r="P285" s="172">
        <v>212.5</v>
      </c>
      <c r="Q285" s="178">
        <v>2.57278922115681</v>
      </c>
      <c r="R285" s="179">
        <v>774.45294140536703</v>
      </c>
      <c r="S285" s="168">
        <v>0.01</v>
      </c>
      <c r="T285" s="168">
        <v>0.01</v>
      </c>
      <c r="U285" s="175">
        <v>0</v>
      </c>
      <c r="V285" s="176">
        <v>0</v>
      </c>
      <c r="W285" s="167"/>
      <c r="X285" s="175">
        <v>1913.3752950000001</v>
      </c>
      <c r="Y285" s="166">
        <v>733.32237777702403</v>
      </c>
      <c r="Z285" s="177">
        <v>573</v>
      </c>
      <c r="AA285" s="178">
        <v>1.27979472561435</v>
      </c>
      <c r="AB285" s="179">
        <v>155.179779824825</v>
      </c>
      <c r="AC285" s="168">
        <v>0.02</v>
      </c>
      <c r="AD285" s="168">
        <v>0.02</v>
      </c>
      <c r="AE285" s="176">
        <v>0</v>
      </c>
      <c r="AF285" s="176">
        <v>0</v>
      </c>
      <c r="AG285" s="167"/>
      <c r="AH285" s="180">
        <v>182.9</v>
      </c>
      <c r="AI285" s="166">
        <v>70.098460686677598</v>
      </c>
      <c r="AJ285" s="181" t="s">
        <v>53</v>
      </c>
      <c r="AK285" s="182">
        <v>1.11267397915361</v>
      </c>
      <c r="AL285" s="183">
        <v>-10.4094545480558</v>
      </c>
      <c r="AM285" s="168">
        <v>1.4E-2</v>
      </c>
      <c r="AN285" s="168">
        <v>1.0999999999999999E-2</v>
      </c>
      <c r="AO285" s="176">
        <v>0</v>
      </c>
      <c r="AP285" s="176">
        <v>15</v>
      </c>
      <c r="AQ285" s="167"/>
      <c r="AR285" s="180">
        <v>13.2</v>
      </c>
      <c r="AS285" s="166">
        <v>5.0590469166984402</v>
      </c>
      <c r="AT285" s="181" t="s">
        <v>54</v>
      </c>
      <c r="AU285" s="173">
        <v>0.31619043229365201</v>
      </c>
      <c r="AV285" s="174">
        <v>-35.894464647125297</v>
      </c>
      <c r="AW285" s="168"/>
      <c r="AX285" s="168"/>
      <c r="AY285" s="176">
        <v>29</v>
      </c>
      <c r="AZ285" s="176">
        <v>37</v>
      </c>
      <c r="BA285" s="167"/>
      <c r="BB285" s="184">
        <v>119</v>
      </c>
      <c r="BC285" s="180">
        <v>45.608074476296501</v>
      </c>
      <c r="BD285" s="181" t="s">
        <v>55</v>
      </c>
      <c r="BE285" s="178">
        <v>1.4252523273842701</v>
      </c>
      <c r="BF285" s="179">
        <v>20.811070705749401</v>
      </c>
      <c r="BG285" s="168">
        <v>0.02</v>
      </c>
      <c r="BH285" s="168">
        <v>0.02</v>
      </c>
      <c r="BI285" s="176">
        <v>0</v>
      </c>
      <c r="BJ285" s="176">
        <v>0</v>
      </c>
      <c r="BK285" s="169"/>
      <c r="BL285" s="185">
        <v>0.8</v>
      </c>
      <c r="BM285" s="182">
        <v>0.85</v>
      </c>
      <c r="BN285" s="186">
        <v>1.8749999999999999E-3</v>
      </c>
      <c r="BO285" s="187">
        <v>0.95</v>
      </c>
      <c r="BP285" s="178">
        <v>1</v>
      </c>
      <c r="BQ285" s="186">
        <v>2.5000000000000001E-3</v>
      </c>
    </row>
    <row r="286" spans="1:69" s="156" customFormat="1" ht="22.35" customHeight="1" x14ac:dyDescent="0.2">
      <c r="A286" s="165" t="s">
        <v>339</v>
      </c>
      <c r="B286" s="165" t="s">
        <v>357</v>
      </c>
      <c r="C286" s="165" t="s">
        <v>358</v>
      </c>
      <c r="D286" s="166">
        <v>2.5673660413333299</v>
      </c>
      <c r="E286" s="167"/>
      <c r="F286" s="168">
        <v>7.0000000000000007E-2</v>
      </c>
      <c r="G286" s="168">
        <v>7.0000000000000007E-2</v>
      </c>
      <c r="H286" s="169"/>
      <c r="I286" s="170">
        <v>6</v>
      </c>
      <c r="J286" s="170">
        <v>6</v>
      </c>
      <c r="K286" s="167"/>
      <c r="L286" s="171">
        <v>5591.2634900000003</v>
      </c>
      <c r="M286" s="171">
        <v>1707.5461700000001</v>
      </c>
      <c r="N286" s="171">
        <v>7298.8096599999999</v>
      </c>
      <c r="O286" s="166">
        <v>2842.9174268463298</v>
      </c>
      <c r="P286" s="172">
        <v>212.5</v>
      </c>
      <c r="Q286" s="178">
        <v>13.378434949865101</v>
      </c>
      <c r="R286" s="179">
        <v>6657.2248862708002</v>
      </c>
      <c r="S286" s="168">
        <v>0.01</v>
      </c>
      <c r="T286" s="168">
        <v>0.01</v>
      </c>
      <c r="U286" s="175">
        <v>0</v>
      </c>
      <c r="V286" s="176">
        <v>0</v>
      </c>
      <c r="W286" s="167"/>
      <c r="X286" s="175">
        <v>2265.5671400000001</v>
      </c>
      <c r="Y286" s="166">
        <v>882.44804345211401</v>
      </c>
      <c r="Z286" s="177">
        <v>573</v>
      </c>
      <c r="AA286" s="178">
        <v>1.5400489414522101</v>
      </c>
      <c r="AB286" s="179">
        <v>535.55266777961901</v>
      </c>
      <c r="AC286" s="168">
        <v>0.02</v>
      </c>
      <c r="AD286" s="168">
        <v>0.02</v>
      </c>
      <c r="AE286" s="176">
        <v>0</v>
      </c>
      <c r="AF286" s="176">
        <v>0</v>
      </c>
      <c r="AG286" s="167"/>
      <c r="AH286" s="180">
        <v>229.3</v>
      </c>
      <c r="AI286" s="166">
        <v>89.313325917840501</v>
      </c>
      <c r="AJ286" s="181" t="s">
        <v>53</v>
      </c>
      <c r="AK286" s="178">
        <v>1.41767183996572</v>
      </c>
      <c r="AL286" s="179">
        <v>39.0889847296963</v>
      </c>
      <c r="AM286" s="168">
        <v>0.02</v>
      </c>
      <c r="AN286" s="168">
        <v>0.02</v>
      </c>
      <c r="AO286" s="176">
        <v>0</v>
      </c>
      <c r="AP286" s="176">
        <v>0</v>
      </c>
      <c r="AQ286" s="167"/>
      <c r="AR286" s="180">
        <v>23.4</v>
      </c>
      <c r="AS286" s="166">
        <v>9.1143995921389802</v>
      </c>
      <c r="AT286" s="181" t="s">
        <v>54</v>
      </c>
      <c r="AU286" s="173">
        <v>0.56964997450868604</v>
      </c>
      <c r="AV286" s="174">
        <v>-24.907559433727901</v>
      </c>
      <c r="AW286" s="168"/>
      <c r="AX286" s="168"/>
      <c r="AY286" s="176">
        <v>18</v>
      </c>
      <c r="AZ286" s="176">
        <v>26</v>
      </c>
      <c r="BA286" s="167"/>
      <c r="BB286" s="184">
        <v>135.4</v>
      </c>
      <c r="BC286" s="180">
        <v>52.738876272462299</v>
      </c>
      <c r="BD286" s="181" t="s">
        <v>55</v>
      </c>
      <c r="BE286" s="178">
        <v>1.64808988351445</v>
      </c>
      <c r="BF286" s="179">
        <v>38.784881132544101</v>
      </c>
      <c r="BG286" s="168">
        <v>0.02</v>
      </c>
      <c r="BH286" s="168">
        <v>0.02</v>
      </c>
      <c r="BI286" s="176">
        <v>0</v>
      </c>
      <c r="BJ286" s="176">
        <v>0</v>
      </c>
      <c r="BK286" s="169"/>
      <c r="BL286" s="185">
        <v>0.8</v>
      </c>
      <c r="BM286" s="182">
        <v>0.81</v>
      </c>
      <c r="BN286" s="186">
        <v>3.7500000000000001E-4</v>
      </c>
      <c r="BO286" s="187">
        <v>0.95</v>
      </c>
      <c r="BP286" s="178">
        <v>1</v>
      </c>
      <c r="BQ286" s="186">
        <v>2.5000000000000001E-3</v>
      </c>
    </row>
    <row r="287" spans="1:69" s="156" customFormat="1" ht="22.35" customHeight="1" x14ac:dyDescent="0.2">
      <c r="A287" s="165" t="s">
        <v>339</v>
      </c>
      <c r="B287" s="165" t="s">
        <v>357</v>
      </c>
      <c r="C287" s="165" t="s">
        <v>359</v>
      </c>
      <c r="D287" s="166">
        <v>2.9278143756666699</v>
      </c>
      <c r="E287" s="167"/>
      <c r="F287" s="168">
        <v>6.8000000000000005E-2</v>
      </c>
      <c r="G287" s="168">
        <v>6.5000000000000002E-2</v>
      </c>
      <c r="H287" s="169"/>
      <c r="I287" s="170">
        <v>6</v>
      </c>
      <c r="J287" s="170">
        <v>6</v>
      </c>
      <c r="K287" s="167"/>
      <c r="L287" s="171">
        <v>1462.04519</v>
      </c>
      <c r="M287" s="171">
        <v>929.62657000000002</v>
      </c>
      <c r="N287" s="171">
        <v>2391.6717600000002</v>
      </c>
      <c r="O287" s="166">
        <v>816.87957401855897</v>
      </c>
      <c r="P287" s="172">
        <v>220.75700000000001</v>
      </c>
      <c r="Q287" s="178">
        <v>3.7003563828941299</v>
      </c>
      <c r="R287" s="179">
        <v>1631.5811906802401</v>
      </c>
      <c r="S287" s="168">
        <v>0.01</v>
      </c>
      <c r="T287" s="168">
        <v>0.01</v>
      </c>
      <c r="U287" s="175">
        <v>0</v>
      </c>
      <c r="V287" s="176">
        <v>0</v>
      </c>
      <c r="W287" s="167"/>
      <c r="X287" s="175">
        <v>2082.1570550000001</v>
      </c>
      <c r="Y287" s="166">
        <v>711.16429795037504</v>
      </c>
      <c r="Z287" s="177">
        <v>573</v>
      </c>
      <c r="AA287" s="178">
        <v>1.2411244292327701</v>
      </c>
      <c r="AB287" s="179">
        <v>109.25519358576599</v>
      </c>
      <c r="AC287" s="168">
        <v>0.02</v>
      </c>
      <c r="AD287" s="168">
        <v>0.02</v>
      </c>
      <c r="AE287" s="176">
        <v>0</v>
      </c>
      <c r="AF287" s="176">
        <v>0</v>
      </c>
      <c r="AG287" s="167"/>
      <c r="AH287" s="180">
        <v>212.4</v>
      </c>
      <c r="AI287" s="166">
        <v>72.545582727264403</v>
      </c>
      <c r="AJ287" s="181" t="s">
        <v>53</v>
      </c>
      <c r="AK287" s="182">
        <v>1.1515171861470499</v>
      </c>
      <c r="AL287" s="183">
        <v>-4.5159114643922198</v>
      </c>
      <c r="AM287" s="168">
        <v>1.7999999999999999E-2</v>
      </c>
      <c r="AN287" s="168">
        <v>1.4999999999999999E-2</v>
      </c>
      <c r="AO287" s="176">
        <v>0</v>
      </c>
      <c r="AP287" s="176">
        <v>9</v>
      </c>
      <c r="AQ287" s="167"/>
      <c r="AR287" s="180">
        <v>13</v>
      </c>
      <c r="AS287" s="166">
        <v>4.4401722008212596</v>
      </c>
      <c r="AT287" s="181" t="s">
        <v>54</v>
      </c>
      <c r="AU287" s="173">
        <v>0.277510762551329</v>
      </c>
      <c r="AV287" s="174">
        <v>-42.089755292544098</v>
      </c>
      <c r="AW287" s="168"/>
      <c r="AX287" s="168"/>
      <c r="AY287" s="176">
        <v>34</v>
      </c>
      <c r="AZ287" s="176">
        <v>44</v>
      </c>
      <c r="BA287" s="167"/>
      <c r="BB287" s="184">
        <v>123.8</v>
      </c>
      <c r="BC287" s="180">
        <v>42.2841014201286</v>
      </c>
      <c r="BD287" s="181" t="s">
        <v>55</v>
      </c>
      <c r="BE287" s="178">
        <v>1.3213781693790201</v>
      </c>
      <c r="BF287" s="179">
        <v>13.6204894149119</v>
      </c>
      <c r="BG287" s="168">
        <v>0.02</v>
      </c>
      <c r="BH287" s="168">
        <v>0.02</v>
      </c>
      <c r="BI287" s="176">
        <v>0</v>
      </c>
      <c r="BJ287" s="176">
        <v>0</v>
      </c>
      <c r="BK287" s="169"/>
      <c r="BL287" s="185">
        <v>0.8</v>
      </c>
      <c r="BM287" s="182">
        <v>0.87</v>
      </c>
      <c r="BN287" s="186">
        <v>2.6250000000000002E-3</v>
      </c>
      <c r="BO287" s="187">
        <v>0.95</v>
      </c>
      <c r="BP287" s="178">
        <v>1</v>
      </c>
      <c r="BQ287" s="186">
        <v>2.5000000000000001E-3</v>
      </c>
    </row>
    <row r="288" spans="1:69" s="156" customFormat="1" ht="22.35" customHeight="1" x14ac:dyDescent="0.2">
      <c r="A288" s="165" t="s">
        <v>339</v>
      </c>
      <c r="B288" s="165" t="s">
        <v>357</v>
      </c>
      <c r="C288" s="165" t="s">
        <v>360</v>
      </c>
      <c r="D288" s="166">
        <v>3.9837235643333302</v>
      </c>
      <c r="E288" s="167"/>
      <c r="F288" s="168">
        <v>2.3E-2</v>
      </c>
      <c r="G288" s="168">
        <v>1.9E-2</v>
      </c>
      <c r="H288" s="169"/>
      <c r="I288" s="170">
        <v>5</v>
      </c>
      <c r="J288" s="170">
        <v>5</v>
      </c>
      <c r="K288" s="167"/>
      <c r="L288" s="171">
        <v>1659.39426</v>
      </c>
      <c r="M288" s="171">
        <v>451.82402000000002</v>
      </c>
      <c r="N288" s="171">
        <v>2111.21828</v>
      </c>
      <c r="O288" s="166">
        <v>529.96103919005395</v>
      </c>
      <c r="P288" s="172">
        <v>222.58099999999999</v>
      </c>
      <c r="Q288" s="178">
        <v>2.3809805832036601</v>
      </c>
      <c r="R288" s="179">
        <v>1068.4576985847</v>
      </c>
      <c r="S288" s="168">
        <v>0.01</v>
      </c>
      <c r="T288" s="168">
        <v>0.01</v>
      </c>
      <c r="U288" s="175">
        <v>0</v>
      </c>
      <c r="V288" s="176">
        <v>0</v>
      </c>
      <c r="W288" s="167"/>
      <c r="X288" s="175">
        <v>2318.4013</v>
      </c>
      <c r="Y288" s="166">
        <v>581.96841787840697</v>
      </c>
      <c r="Z288" s="177">
        <v>573</v>
      </c>
      <c r="AA288" s="182">
        <v>1.0156516891420699</v>
      </c>
      <c r="AB288" s="183">
        <v>-366.02285637888599</v>
      </c>
      <c r="AC288" s="168">
        <v>4.0000000000000001E-3</v>
      </c>
      <c r="AD288" s="168">
        <v>2E-3</v>
      </c>
      <c r="AE288" s="176">
        <v>0</v>
      </c>
      <c r="AF288" s="176">
        <v>421</v>
      </c>
      <c r="AG288" s="167"/>
      <c r="AH288" s="180">
        <v>191.45</v>
      </c>
      <c r="AI288" s="166">
        <v>48.058053453826602</v>
      </c>
      <c r="AJ288" s="181" t="s">
        <v>53</v>
      </c>
      <c r="AK288" s="173">
        <v>0.76282624529883503</v>
      </c>
      <c r="AL288" s="174">
        <v>-103.696111434328</v>
      </c>
      <c r="AM288" s="168"/>
      <c r="AN288" s="168"/>
      <c r="AO288" s="176">
        <v>60</v>
      </c>
      <c r="AP288" s="176">
        <v>110</v>
      </c>
      <c r="AQ288" s="167"/>
      <c r="AR288" s="180">
        <v>12.8</v>
      </c>
      <c r="AS288" s="166">
        <v>3.2130743494853999</v>
      </c>
      <c r="AT288" s="181" t="s">
        <v>54</v>
      </c>
      <c r="AU288" s="173">
        <v>0.200817146842837</v>
      </c>
      <c r="AV288" s="174">
        <v>-62.1577425864959</v>
      </c>
      <c r="AW288" s="168"/>
      <c r="AX288" s="168"/>
      <c r="AY288" s="176">
        <v>51</v>
      </c>
      <c r="AZ288" s="176">
        <v>64</v>
      </c>
      <c r="BA288" s="167"/>
      <c r="BB288" s="184">
        <v>136.6</v>
      </c>
      <c r="BC288" s="180">
        <v>34.289527823414502</v>
      </c>
      <c r="BD288" s="181" t="s">
        <v>55</v>
      </c>
      <c r="BE288" s="182">
        <v>1.0715477444817001</v>
      </c>
      <c r="BF288" s="183">
        <v>-13.315485172991901</v>
      </c>
      <c r="BG288" s="168">
        <v>8.9999999999999993E-3</v>
      </c>
      <c r="BH288" s="168">
        <v>7.0000000000000001E-3</v>
      </c>
      <c r="BI288" s="176">
        <v>0</v>
      </c>
      <c r="BJ288" s="176">
        <v>17</v>
      </c>
      <c r="BK288" s="169"/>
      <c r="BL288" s="185">
        <v>0.8</v>
      </c>
      <c r="BM288" s="182">
        <v>0.82</v>
      </c>
      <c r="BN288" s="186">
        <v>7.5000000000000002E-4</v>
      </c>
      <c r="BO288" s="187">
        <v>0.95</v>
      </c>
      <c r="BP288" s="178">
        <v>1</v>
      </c>
      <c r="BQ288" s="186">
        <v>2.5000000000000001E-3</v>
      </c>
    </row>
    <row r="289" spans="1:69" s="156" customFormat="1" ht="22.35" customHeight="1" x14ac:dyDescent="0.2">
      <c r="A289" s="165" t="s">
        <v>339</v>
      </c>
      <c r="B289" s="165" t="s">
        <v>357</v>
      </c>
      <c r="C289" s="165" t="s">
        <v>361</v>
      </c>
      <c r="D289" s="166">
        <v>5.0138817773333297</v>
      </c>
      <c r="E289" s="167"/>
      <c r="F289" s="168">
        <v>4.9000000000000002E-2</v>
      </c>
      <c r="G289" s="168">
        <v>4.2999999999999997E-2</v>
      </c>
      <c r="H289" s="169"/>
      <c r="I289" s="170">
        <v>6</v>
      </c>
      <c r="J289" s="170">
        <v>6</v>
      </c>
      <c r="K289" s="167"/>
      <c r="L289" s="171">
        <v>4143.0157600000002</v>
      </c>
      <c r="M289" s="171">
        <v>3675.2511399999999</v>
      </c>
      <c r="N289" s="171">
        <v>7818.2668999999996</v>
      </c>
      <c r="O289" s="166">
        <v>1559.3241418943501</v>
      </c>
      <c r="P289" s="172">
        <v>268.01799999999997</v>
      </c>
      <c r="Q289" s="178">
        <v>5.81798290373911</v>
      </c>
      <c r="R289" s="179">
        <v>6237.9456741519498</v>
      </c>
      <c r="S289" s="168">
        <v>0.01</v>
      </c>
      <c r="T289" s="168">
        <v>0.01</v>
      </c>
      <c r="U289" s="175">
        <v>0</v>
      </c>
      <c r="V289" s="176">
        <v>0</v>
      </c>
      <c r="W289" s="167"/>
      <c r="X289" s="175">
        <v>3259.3477549999998</v>
      </c>
      <c r="Y289" s="166">
        <v>650.06474020484495</v>
      </c>
      <c r="Z289" s="177">
        <v>573</v>
      </c>
      <c r="AA289" s="182">
        <v>1.13449343840287</v>
      </c>
      <c r="AB289" s="183">
        <v>-119.24645289251001</v>
      </c>
      <c r="AC289" s="168">
        <v>1.6E-2</v>
      </c>
      <c r="AD289" s="168">
        <v>1.2999999999999999E-2</v>
      </c>
      <c r="AE289" s="176">
        <v>0</v>
      </c>
      <c r="AF289" s="176">
        <v>189</v>
      </c>
      <c r="AG289" s="167"/>
      <c r="AH289" s="180">
        <v>318.14999999999998</v>
      </c>
      <c r="AI289" s="166">
        <v>63.453829613272198</v>
      </c>
      <c r="AJ289" s="181" t="s">
        <v>53</v>
      </c>
      <c r="AK289" s="182">
        <v>1.00720364465512</v>
      </c>
      <c r="AL289" s="183">
        <v>-53.318473119071697</v>
      </c>
      <c r="AM289" s="168">
        <v>3.0000000000000001E-3</v>
      </c>
      <c r="AN289" s="168">
        <v>1E-3</v>
      </c>
      <c r="AO289" s="176">
        <v>0</v>
      </c>
      <c r="AP289" s="176">
        <v>61</v>
      </c>
      <c r="AQ289" s="167"/>
      <c r="AR289" s="180">
        <v>60.5</v>
      </c>
      <c r="AS289" s="166">
        <v>12.066499109234501</v>
      </c>
      <c r="AT289" s="181" t="s">
        <v>54</v>
      </c>
      <c r="AU289" s="173">
        <v>0.75415619432715897</v>
      </c>
      <c r="AV289" s="174">
        <v>-33.841199522303903</v>
      </c>
      <c r="AW289" s="168"/>
      <c r="AX289" s="168"/>
      <c r="AY289" s="176">
        <v>20</v>
      </c>
      <c r="AZ289" s="176">
        <v>36</v>
      </c>
      <c r="BA289" s="167"/>
      <c r="BB289" s="184">
        <v>190.2</v>
      </c>
      <c r="BC289" s="180">
        <v>37.934679844238197</v>
      </c>
      <c r="BD289" s="181" t="s">
        <v>55</v>
      </c>
      <c r="BE289" s="178">
        <v>1.1854587451324401</v>
      </c>
      <c r="BF289" s="179">
        <v>1.5176009553921701</v>
      </c>
      <c r="BG289" s="168">
        <v>0.02</v>
      </c>
      <c r="BH289" s="168">
        <v>1.9E-2</v>
      </c>
      <c r="BI289" s="176">
        <v>0</v>
      </c>
      <c r="BJ289" s="176">
        <v>3</v>
      </c>
      <c r="BK289" s="169"/>
      <c r="BL289" s="185">
        <v>0.8</v>
      </c>
      <c r="BM289" s="182">
        <v>0.83</v>
      </c>
      <c r="BN289" s="186">
        <v>1.1249999999999999E-3</v>
      </c>
      <c r="BO289" s="187">
        <v>0.95</v>
      </c>
      <c r="BP289" s="178">
        <v>1</v>
      </c>
      <c r="BQ289" s="186">
        <v>2.5000000000000001E-3</v>
      </c>
    </row>
    <row r="290" spans="1:69" s="156" customFormat="1" ht="22.35" customHeight="1" x14ac:dyDescent="0.2">
      <c r="A290" s="165" t="s">
        <v>339</v>
      </c>
      <c r="B290" s="165" t="s">
        <v>357</v>
      </c>
      <c r="C290" s="165" t="s">
        <v>362</v>
      </c>
      <c r="D290" s="166">
        <v>1.8723945526666701</v>
      </c>
      <c r="E290" s="167"/>
      <c r="F290" s="168">
        <v>0.06</v>
      </c>
      <c r="G290" s="168">
        <v>0.06</v>
      </c>
      <c r="H290" s="169"/>
      <c r="I290" s="170">
        <v>4</v>
      </c>
      <c r="J290" s="170">
        <v>4</v>
      </c>
      <c r="K290" s="167"/>
      <c r="L290" s="171">
        <v>-3222.7905500000002</v>
      </c>
      <c r="M290" s="171">
        <v>216.99044000000001</v>
      </c>
      <c r="N290" s="171">
        <v>-3005.8001100000001</v>
      </c>
      <c r="O290" s="166">
        <v>-1605.3241052849301</v>
      </c>
      <c r="P290" s="172">
        <v>218.47</v>
      </c>
      <c r="Q290" s="173">
        <v>-7.3480299596508898</v>
      </c>
      <c r="R290" s="174">
        <v>-3486.8570665952002</v>
      </c>
      <c r="S290" s="168"/>
      <c r="T290" s="168"/>
      <c r="U290" s="175">
        <v>3415</v>
      </c>
      <c r="V290" s="176">
        <v>3497</v>
      </c>
      <c r="W290" s="167"/>
      <c r="X290" s="175">
        <v>1861.2276099999999</v>
      </c>
      <c r="Y290" s="166">
        <v>994.03600985125502</v>
      </c>
      <c r="Z290" s="177">
        <v>573</v>
      </c>
      <c r="AA290" s="178">
        <v>1.73479233830935</v>
      </c>
      <c r="AB290" s="179">
        <v>599.51828547467005</v>
      </c>
      <c r="AC290" s="168">
        <v>0.02</v>
      </c>
      <c r="AD290" s="168">
        <v>0.02</v>
      </c>
      <c r="AE290" s="176">
        <v>0</v>
      </c>
      <c r="AF290" s="176">
        <v>0</v>
      </c>
      <c r="AG290" s="167"/>
      <c r="AH290" s="180">
        <v>173</v>
      </c>
      <c r="AI290" s="166">
        <v>92.395056241545404</v>
      </c>
      <c r="AJ290" s="181" t="s">
        <v>53</v>
      </c>
      <c r="AK290" s="178">
        <v>1.4665881943102499</v>
      </c>
      <c r="AL290" s="179">
        <v>34.278032382031803</v>
      </c>
      <c r="AM290" s="168">
        <v>0.02</v>
      </c>
      <c r="AN290" s="168">
        <v>0.02</v>
      </c>
      <c r="AO290" s="176">
        <v>0</v>
      </c>
      <c r="AP290" s="176">
        <v>0</v>
      </c>
      <c r="AQ290" s="167"/>
      <c r="AR290" s="180">
        <v>8</v>
      </c>
      <c r="AS290" s="166">
        <v>4.2726037568344699</v>
      </c>
      <c r="AT290" s="181" t="s">
        <v>54</v>
      </c>
      <c r="AU290" s="173">
        <v>0.26703773480215398</v>
      </c>
      <c r="AV290" s="174">
        <v>-27.230975902976098</v>
      </c>
      <c r="AW290" s="168"/>
      <c r="AX290" s="168"/>
      <c r="AY290" s="176">
        <v>22</v>
      </c>
      <c r="AZ290" s="176">
        <v>28</v>
      </c>
      <c r="BA290" s="167"/>
      <c r="BB290" s="184">
        <v>85.4</v>
      </c>
      <c r="BC290" s="180">
        <v>45.610045104207998</v>
      </c>
      <c r="BD290" s="181" t="s">
        <v>55</v>
      </c>
      <c r="BE290" s="178">
        <v>1.4253139095064999</v>
      </c>
      <c r="BF290" s="179">
        <v>14.9380481940479</v>
      </c>
      <c r="BG290" s="168">
        <v>0.02</v>
      </c>
      <c r="BH290" s="168">
        <v>0.02</v>
      </c>
      <c r="BI290" s="176">
        <v>0</v>
      </c>
      <c r="BJ290" s="176">
        <v>0</v>
      </c>
      <c r="BK290" s="169"/>
      <c r="BL290" s="185">
        <v>0.8</v>
      </c>
      <c r="BM290" s="173"/>
      <c r="BN290" s="186"/>
      <c r="BO290" s="187">
        <v>0.95</v>
      </c>
      <c r="BP290" s="178">
        <v>1</v>
      </c>
      <c r="BQ290" s="186">
        <v>2.5000000000000001E-3</v>
      </c>
    </row>
    <row r="291" spans="1:69" s="156" customFormat="1" ht="22.35" customHeight="1" x14ac:dyDescent="0.2">
      <c r="A291" s="165" t="s">
        <v>339</v>
      </c>
      <c r="B291" s="165" t="s">
        <v>357</v>
      </c>
      <c r="C291" s="165" t="s">
        <v>363</v>
      </c>
      <c r="D291" s="166">
        <v>2.0195966231111102</v>
      </c>
      <c r="E291" s="167"/>
      <c r="F291" s="168">
        <v>0.01</v>
      </c>
      <c r="G291" s="168">
        <v>0.01</v>
      </c>
      <c r="H291" s="169"/>
      <c r="I291" s="170">
        <v>2</v>
      </c>
      <c r="J291" s="170">
        <v>2</v>
      </c>
      <c r="K291" s="167"/>
      <c r="L291" s="171">
        <v>1083.05331</v>
      </c>
      <c r="M291" s="171">
        <v>-189.01915</v>
      </c>
      <c r="N291" s="171">
        <v>894.03416000000004</v>
      </c>
      <c r="O291" s="166">
        <v>442.67956767662599</v>
      </c>
      <c r="P291" s="172">
        <v>212.5</v>
      </c>
      <c r="Q291" s="178">
        <v>2.0831979655370598</v>
      </c>
      <c r="R291" s="179">
        <v>389.33696388453399</v>
      </c>
      <c r="S291" s="168">
        <v>0.01</v>
      </c>
      <c r="T291" s="168">
        <v>0.01</v>
      </c>
      <c r="U291" s="175">
        <v>0</v>
      </c>
      <c r="V291" s="176">
        <v>0</v>
      </c>
      <c r="W291" s="167"/>
      <c r="X291" s="175">
        <v>954.96393499999999</v>
      </c>
      <c r="Y291" s="166">
        <v>472.84884717667802</v>
      </c>
      <c r="Z291" s="177">
        <v>573</v>
      </c>
      <c r="AA291" s="188">
        <v>0.82521613817919304</v>
      </c>
      <c r="AB291" s="171">
        <v>-405.93721029017502</v>
      </c>
      <c r="AC291" s="168"/>
      <c r="AD291" s="168"/>
      <c r="AE291" s="176">
        <v>203</v>
      </c>
      <c r="AF291" s="176">
        <v>434</v>
      </c>
      <c r="AG291" s="167"/>
      <c r="AH291" s="180">
        <v>79.7</v>
      </c>
      <c r="AI291" s="166">
        <v>39.463326036476097</v>
      </c>
      <c r="AJ291" s="181" t="s">
        <v>53</v>
      </c>
      <c r="AK291" s="173">
        <v>0.62640200057898598</v>
      </c>
      <c r="AL291" s="174">
        <v>-69.927874613055906</v>
      </c>
      <c r="AM291" s="168"/>
      <c r="AN291" s="168"/>
      <c r="AO291" s="176">
        <v>48</v>
      </c>
      <c r="AP291" s="176">
        <v>73</v>
      </c>
      <c r="AQ291" s="167"/>
      <c r="AR291" s="180">
        <v>6</v>
      </c>
      <c r="AS291" s="166">
        <v>2.9708902913281898</v>
      </c>
      <c r="AT291" s="181" t="s">
        <v>54</v>
      </c>
      <c r="AU291" s="173">
        <v>0.185680643208012</v>
      </c>
      <c r="AV291" s="174">
        <v>-32.000730060458601</v>
      </c>
      <c r="AW291" s="168"/>
      <c r="AX291" s="168"/>
      <c r="AY291" s="176">
        <v>27</v>
      </c>
      <c r="AZ291" s="176">
        <v>33</v>
      </c>
      <c r="BA291" s="167"/>
      <c r="BB291" s="184">
        <v>59</v>
      </c>
      <c r="BC291" s="180">
        <v>29.213754531393899</v>
      </c>
      <c r="BD291" s="181" t="s">
        <v>55</v>
      </c>
      <c r="BE291" s="188">
        <v>0.91292982910605802</v>
      </c>
      <c r="BF291" s="171">
        <v>-17.001460120917301</v>
      </c>
      <c r="BG291" s="168"/>
      <c r="BH291" s="168"/>
      <c r="BI291" s="176">
        <v>6</v>
      </c>
      <c r="BJ291" s="176">
        <v>19</v>
      </c>
      <c r="BK291" s="169"/>
      <c r="BL291" s="185">
        <v>0.8</v>
      </c>
      <c r="BM291" s="188">
        <v>0.76</v>
      </c>
      <c r="BN291" s="186"/>
      <c r="BO291" s="187">
        <v>0.95</v>
      </c>
      <c r="BP291" s="178">
        <v>1</v>
      </c>
      <c r="BQ291" s="186">
        <v>2.5000000000000001E-3</v>
      </c>
    </row>
    <row r="292" spans="1:69" s="156" customFormat="1" ht="22.35" customHeight="1" x14ac:dyDescent="0.2">
      <c r="A292" s="165" t="s">
        <v>339</v>
      </c>
      <c r="B292" s="165" t="s">
        <v>357</v>
      </c>
      <c r="C292" s="165" t="s">
        <v>364</v>
      </c>
      <c r="D292" s="166">
        <v>2.89402288477778</v>
      </c>
      <c r="E292" s="167"/>
      <c r="F292" s="168">
        <v>0.01</v>
      </c>
      <c r="G292" s="168">
        <v>0.01</v>
      </c>
      <c r="H292" s="169"/>
      <c r="I292" s="170">
        <v>3</v>
      </c>
      <c r="J292" s="170">
        <v>3</v>
      </c>
      <c r="K292" s="167"/>
      <c r="L292" s="171">
        <v>1129.3476000000001</v>
      </c>
      <c r="M292" s="171">
        <v>658.50149999999996</v>
      </c>
      <c r="N292" s="171">
        <v>1787.8490999999999</v>
      </c>
      <c r="O292" s="166">
        <v>617.77296558499199</v>
      </c>
      <c r="P292" s="172">
        <v>212.5</v>
      </c>
      <c r="Q292" s="178">
        <v>2.90716689687055</v>
      </c>
      <c r="R292" s="179">
        <v>1064.63278109403</v>
      </c>
      <c r="S292" s="168">
        <v>0.01</v>
      </c>
      <c r="T292" s="168">
        <v>0.01</v>
      </c>
      <c r="U292" s="175">
        <v>0</v>
      </c>
      <c r="V292" s="176">
        <v>0</v>
      </c>
      <c r="W292" s="167"/>
      <c r="X292" s="175">
        <v>1407.946465</v>
      </c>
      <c r="Y292" s="166">
        <v>486.50149672472702</v>
      </c>
      <c r="Z292" s="177">
        <v>573</v>
      </c>
      <c r="AA292" s="188">
        <v>0.849042751701093</v>
      </c>
      <c r="AB292" s="171">
        <v>-542.18506786173702</v>
      </c>
      <c r="AC292" s="168"/>
      <c r="AD292" s="168"/>
      <c r="AE292" s="176">
        <v>251</v>
      </c>
      <c r="AF292" s="176">
        <v>582</v>
      </c>
      <c r="AG292" s="167"/>
      <c r="AH292" s="180">
        <v>95.9</v>
      </c>
      <c r="AI292" s="166">
        <v>33.137263877359999</v>
      </c>
      <c r="AJ292" s="181" t="s">
        <v>53</v>
      </c>
      <c r="AK292" s="173">
        <v>0.52598831551365199</v>
      </c>
      <c r="AL292" s="174">
        <v>-118.512367487416</v>
      </c>
      <c r="AM292" s="168"/>
      <c r="AN292" s="168"/>
      <c r="AO292" s="176">
        <v>87</v>
      </c>
      <c r="AP292" s="176">
        <v>123</v>
      </c>
      <c r="AQ292" s="167"/>
      <c r="AR292" s="180">
        <v>1</v>
      </c>
      <c r="AS292" s="166">
        <v>0.34553976931553798</v>
      </c>
      <c r="AT292" s="181" t="s">
        <v>54</v>
      </c>
      <c r="AU292" s="173">
        <v>2.15962355822211E-2</v>
      </c>
      <c r="AV292" s="174">
        <v>-53.453934599978702</v>
      </c>
      <c r="AW292" s="168"/>
      <c r="AX292" s="168"/>
      <c r="AY292" s="176">
        <v>46</v>
      </c>
      <c r="AZ292" s="176">
        <v>55</v>
      </c>
      <c r="BA292" s="167"/>
      <c r="BB292" s="184">
        <v>69.2</v>
      </c>
      <c r="BC292" s="180">
        <v>23.911352036635201</v>
      </c>
      <c r="BD292" s="181" t="s">
        <v>55</v>
      </c>
      <c r="BE292" s="173">
        <v>0.74722975114485002</v>
      </c>
      <c r="BF292" s="174">
        <v>-39.7078691999574</v>
      </c>
      <c r="BG292" s="168"/>
      <c r="BH292" s="168"/>
      <c r="BI292" s="176">
        <v>24</v>
      </c>
      <c r="BJ292" s="176">
        <v>42</v>
      </c>
      <c r="BK292" s="169"/>
      <c r="BL292" s="185">
        <v>0.8</v>
      </c>
      <c r="BM292" s="182">
        <v>0.86</v>
      </c>
      <c r="BN292" s="186">
        <v>2.2499999999999998E-3</v>
      </c>
      <c r="BO292" s="187">
        <v>0.95</v>
      </c>
      <c r="BP292" s="178">
        <v>1</v>
      </c>
      <c r="BQ292" s="186">
        <v>2.5000000000000001E-3</v>
      </c>
    </row>
    <row r="293" spans="1:69" s="156" customFormat="1" ht="22.35" customHeight="1" x14ac:dyDescent="0.2">
      <c r="A293" s="165" t="s">
        <v>339</v>
      </c>
      <c r="B293" s="165" t="s">
        <v>357</v>
      </c>
      <c r="C293" s="165" t="s">
        <v>365</v>
      </c>
      <c r="D293" s="166">
        <v>3.7017378756666699</v>
      </c>
      <c r="E293" s="167"/>
      <c r="F293" s="168">
        <v>4.2999999999999997E-2</v>
      </c>
      <c r="G293" s="168">
        <v>3.7999999999999999E-2</v>
      </c>
      <c r="H293" s="169"/>
      <c r="I293" s="170">
        <v>4</v>
      </c>
      <c r="J293" s="170">
        <v>4</v>
      </c>
      <c r="K293" s="167"/>
      <c r="L293" s="171">
        <v>2422.6076600000001</v>
      </c>
      <c r="M293" s="171">
        <v>-357.58850999999999</v>
      </c>
      <c r="N293" s="171">
        <v>2065.0191500000001</v>
      </c>
      <c r="O293" s="166">
        <v>557.85126320650102</v>
      </c>
      <c r="P293" s="172">
        <v>229.78899999999999</v>
      </c>
      <c r="Q293" s="178">
        <v>2.4276673957695998</v>
      </c>
      <c r="R293" s="179">
        <v>1064.6916238192</v>
      </c>
      <c r="S293" s="168">
        <v>0.01</v>
      </c>
      <c r="T293" s="168">
        <v>0.01</v>
      </c>
      <c r="U293" s="175">
        <v>0</v>
      </c>
      <c r="V293" s="176">
        <v>0</v>
      </c>
      <c r="W293" s="167"/>
      <c r="X293" s="175">
        <v>2343.3539799999999</v>
      </c>
      <c r="Y293" s="166">
        <v>633.04157633743102</v>
      </c>
      <c r="Z293" s="177">
        <v>573</v>
      </c>
      <c r="AA293" s="182">
        <v>1.1047846009379301</v>
      </c>
      <c r="AB293" s="183">
        <v>-151.05468404223399</v>
      </c>
      <c r="AC293" s="168">
        <v>1.2999999999999999E-2</v>
      </c>
      <c r="AD293" s="168">
        <v>0.01</v>
      </c>
      <c r="AE293" s="176">
        <v>0</v>
      </c>
      <c r="AF293" s="176">
        <v>202</v>
      </c>
      <c r="AG293" s="167"/>
      <c r="AH293" s="180">
        <v>168.2</v>
      </c>
      <c r="AI293" s="166">
        <v>45.438117351760901</v>
      </c>
      <c r="AJ293" s="181" t="s">
        <v>53</v>
      </c>
      <c r="AK293" s="173">
        <v>0.72123995796445795</v>
      </c>
      <c r="AL293" s="174">
        <v>-106.054355732392</v>
      </c>
      <c r="AM293" s="168"/>
      <c r="AN293" s="168"/>
      <c r="AO293" s="176">
        <v>66</v>
      </c>
      <c r="AP293" s="176">
        <v>112</v>
      </c>
      <c r="AQ293" s="167"/>
      <c r="AR293" s="180">
        <v>18</v>
      </c>
      <c r="AS293" s="166">
        <v>4.8625809294393303</v>
      </c>
      <c r="AT293" s="181" t="s">
        <v>54</v>
      </c>
      <c r="AU293" s="173">
        <v>0.30391130808995798</v>
      </c>
      <c r="AV293" s="174">
        <v>-51.651899868544099</v>
      </c>
      <c r="AW293" s="168"/>
      <c r="AX293" s="168"/>
      <c r="AY293" s="176">
        <v>42</v>
      </c>
      <c r="AZ293" s="176">
        <v>54</v>
      </c>
      <c r="BA293" s="167"/>
      <c r="BB293" s="184">
        <v>139.80000000000001</v>
      </c>
      <c r="BC293" s="180">
        <v>37.766045218645502</v>
      </c>
      <c r="BD293" s="181" t="s">
        <v>55</v>
      </c>
      <c r="BE293" s="178">
        <v>1.1801889130826699</v>
      </c>
      <c r="BF293" s="179">
        <v>0.49620026291188402</v>
      </c>
      <c r="BG293" s="168">
        <v>0.02</v>
      </c>
      <c r="BH293" s="168">
        <v>1.7999999999999999E-2</v>
      </c>
      <c r="BI293" s="176">
        <v>0</v>
      </c>
      <c r="BJ293" s="176">
        <v>3</v>
      </c>
      <c r="BK293" s="169"/>
      <c r="BL293" s="185">
        <v>0.8</v>
      </c>
      <c r="BM293" s="188">
        <v>0.77</v>
      </c>
      <c r="BN293" s="186"/>
      <c r="BO293" s="187">
        <v>0.95</v>
      </c>
      <c r="BP293" s="178">
        <v>1</v>
      </c>
      <c r="BQ293" s="186">
        <v>2.5000000000000001E-3</v>
      </c>
    </row>
    <row r="294" spans="1:69" s="156" customFormat="1" ht="22.35" customHeight="1" x14ac:dyDescent="0.2">
      <c r="A294" s="165" t="s">
        <v>339</v>
      </c>
      <c r="B294" s="165" t="s">
        <v>357</v>
      </c>
      <c r="C294" s="165" t="s">
        <v>366</v>
      </c>
      <c r="D294" s="166">
        <v>3.4620816407777801</v>
      </c>
      <c r="E294" s="167"/>
      <c r="F294" s="168">
        <v>0.05</v>
      </c>
      <c r="G294" s="168">
        <v>0.05</v>
      </c>
      <c r="H294" s="169"/>
      <c r="I294" s="170">
        <v>5</v>
      </c>
      <c r="J294" s="170">
        <v>5</v>
      </c>
      <c r="K294" s="167"/>
      <c r="L294" s="171">
        <v>1409.4838400000001</v>
      </c>
      <c r="M294" s="171">
        <v>302.60638</v>
      </c>
      <c r="N294" s="171">
        <v>1712.09022</v>
      </c>
      <c r="O294" s="166">
        <v>494.52624104363099</v>
      </c>
      <c r="P294" s="172">
        <v>212.5</v>
      </c>
      <c r="Q294" s="178">
        <v>2.3271823107935599</v>
      </c>
      <c r="R294" s="179">
        <v>846.916017969633</v>
      </c>
      <c r="S294" s="168">
        <v>0.01</v>
      </c>
      <c r="T294" s="168">
        <v>0.01</v>
      </c>
      <c r="U294" s="175">
        <v>0</v>
      </c>
      <c r="V294" s="176">
        <v>0</v>
      </c>
      <c r="W294" s="167"/>
      <c r="X294" s="175">
        <v>2378.2544250000001</v>
      </c>
      <c r="Y294" s="166">
        <v>686.94348422867097</v>
      </c>
      <c r="Z294" s="177">
        <v>573</v>
      </c>
      <c r="AA294" s="178">
        <v>1.1988542482175799</v>
      </c>
      <c r="AB294" s="179">
        <v>45.337635525174399</v>
      </c>
      <c r="AC294" s="168">
        <v>0.02</v>
      </c>
      <c r="AD294" s="168">
        <v>0.02</v>
      </c>
      <c r="AE294" s="176">
        <v>0</v>
      </c>
      <c r="AF294" s="176">
        <v>3</v>
      </c>
      <c r="AG294" s="167"/>
      <c r="AH294" s="180">
        <v>190.8</v>
      </c>
      <c r="AI294" s="166">
        <v>55.111352012234903</v>
      </c>
      <c r="AJ294" s="181" t="s">
        <v>53</v>
      </c>
      <c r="AK294" s="188">
        <v>0.87478336527357003</v>
      </c>
      <c r="AL294" s="171">
        <v>-65.698704601944101</v>
      </c>
      <c r="AM294" s="168"/>
      <c r="AN294" s="168"/>
      <c r="AO294" s="176">
        <v>28</v>
      </c>
      <c r="AP294" s="176">
        <v>71</v>
      </c>
      <c r="AQ294" s="167"/>
      <c r="AR294" s="180">
        <v>40.9</v>
      </c>
      <c r="AS294" s="166">
        <v>11.813701767821801</v>
      </c>
      <c r="AT294" s="181" t="s">
        <v>54</v>
      </c>
      <c r="AU294" s="173">
        <v>0.73835636048886499</v>
      </c>
      <c r="AV294" s="174">
        <v>-24.242528152874701</v>
      </c>
      <c r="AW294" s="168"/>
      <c r="AX294" s="168"/>
      <c r="AY294" s="176">
        <v>15</v>
      </c>
      <c r="AZ294" s="176">
        <v>26</v>
      </c>
      <c r="BA294" s="167"/>
      <c r="BB294" s="184">
        <v>142.80000000000001</v>
      </c>
      <c r="BC294" s="180">
        <v>41.246860939974603</v>
      </c>
      <c r="BD294" s="181" t="s">
        <v>55</v>
      </c>
      <c r="BE294" s="178">
        <v>1.2889644043742099</v>
      </c>
      <c r="BF294" s="179">
        <v>12.514943694250601</v>
      </c>
      <c r="BG294" s="168">
        <v>0.02</v>
      </c>
      <c r="BH294" s="168">
        <v>0.02</v>
      </c>
      <c r="BI294" s="176">
        <v>0</v>
      </c>
      <c r="BJ294" s="176">
        <v>0</v>
      </c>
      <c r="BK294" s="169"/>
      <c r="BL294" s="185">
        <v>0.8</v>
      </c>
      <c r="BM294" s="182">
        <v>0.81</v>
      </c>
      <c r="BN294" s="186">
        <v>3.7500000000000001E-4</v>
      </c>
      <c r="BO294" s="187">
        <v>0.95</v>
      </c>
      <c r="BP294" s="178">
        <v>1</v>
      </c>
      <c r="BQ294" s="186">
        <v>2.5000000000000001E-3</v>
      </c>
    </row>
    <row r="295" spans="1:69" s="156" customFormat="1" ht="22.35" customHeight="1" x14ac:dyDescent="0.2">
      <c r="A295" s="165" t="s">
        <v>339</v>
      </c>
      <c r="B295" s="165" t="s">
        <v>357</v>
      </c>
      <c r="C295" s="165" t="s">
        <v>357</v>
      </c>
      <c r="D295" s="166">
        <v>10.277247066999999</v>
      </c>
      <c r="E295" s="167"/>
      <c r="F295" s="168">
        <v>0.03</v>
      </c>
      <c r="G295" s="168">
        <v>0.03</v>
      </c>
      <c r="H295" s="169"/>
      <c r="I295" s="170">
        <v>3</v>
      </c>
      <c r="J295" s="170">
        <v>3</v>
      </c>
      <c r="K295" s="167"/>
      <c r="L295" s="171">
        <v>6581.5316700000003</v>
      </c>
      <c r="M295" s="171">
        <v>4366.6061200000004</v>
      </c>
      <c r="N295" s="171">
        <v>10948.137790000001</v>
      </c>
      <c r="O295" s="166">
        <v>1065.27922493507</v>
      </c>
      <c r="P295" s="172">
        <v>263.10899999999998</v>
      </c>
      <c r="Q295" s="178">
        <v>4.0488133242689202</v>
      </c>
      <c r="R295" s="179">
        <v>7768.1912205036697</v>
      </c>
      <c r="S295" s="168">
        <v>0.01</v>
      </c>
      <c r="T295" s="168">
        <v>0.01</v>
      </c>
      <c r="U295" s="175">
        <v>0</v>
      </c>
      <c r="V295" s="176">
        <v>0</v>
      </c>
      <c r="W295" s="167"/>
      <c r="X295" s="175">
        <v>4849.0174800000004</v>
      </c>
      <c r="Y295" s="166">
        <v>471.82065862463099</v>
      </c>
      <c r="Z295" s="177">
        <v>573</v>
      </c>
      <c r="AA295" s="188">
        <v>0.82342174280040403</v>
      </c>
      <c r="AB295" s="171">
        <v>-2076.2849016038099</v>
      </c>
      <c r="AC295" s="168"/>
      <c r="AD295" s="168"/>
      <c r="AE295" s="176">
        <v>1040</v>
      </c>
      <c r="AF295" s="176">
        <v>2218</v>
      </c>
      <c r="AG295" s="167"/>
      <c r="AH295" s="180">
        <v>452.45</v>
      </c>
      <c r="AI295" s="166">
        <v>44.024435439798502</v>
      </c>
      <c r="AJ295" s="181" t="s">
        <v>53</v>
      </c>
      <c r="AK295" s="173">
        <v>0.69880056253648404</v>
      </c>
      <c r="AL295" s="174">
        <v>-308.97068069989598</v>
      </c>
      <c r="AM295" s="168"/>
      <c r="AN295" s="168"/>
      <c r="AO295" s="176">
        <v>196</v>
      </c>
      <c r="AP295" s="176">
        <v>325</v>
      </c>
      <c r="AQ295" s="167"/>
      <c r="AR295" s="180">
        <v>51.1</v>
      </c>
      <c r="AS295" s="166">
        <v>4.9721486373603803</v>
      </c>
      <c r="AT295" s="181" t="s">
        <v>54</v>
      </c>
      <c r="AU295" s="173">
        <v>0.31075928983502399</v>
      </c>
      <c r="AV295" s="174">
        <v>-142.276680812672</v>
      </c>
      <c r="AW295" s="168"/>
      <c r="AX295" s="168"/>
      <c r="AY295" s="176">
        <v>114</v>
      </c>
      <c r="AZ295" s="176">
        <v>147</v>
      </c>
      <c r="BA295" s="167"/>
      <c r="BB295" s="184">
        <v>402.2</v>
      </c>
      <c r="BC295" s="180">
        <v>39.134993775858</v>
      </c>
      <c r="BD295" s="181" t="s">
        <v>55</v>
      </c>
      <c r="BE295" s="178">
        <v>1.2229685554955601</v>
      </c>
      <c r="BF295" s="179">
        <v>15.4466383746561</v>
      </c>
      <c r="BG295" s="168">
        <v>0.02</v>
      </c>
      <c r="BH295" s="168">
        <v>0.02</v>
      </c>
      <c r="BI295" s="176">
        <v>0</v>
      </c>
      <c r="BJ295" s="176">
        <v>0</v>
      </c>
      <c r="BK295" s="169"/>
      <c r="BL295" s="185">
        <v>0.8</v>
      </c>
      <c r="BM295" s="188">
        <v>0.8</v>
      </c>
      <c r="BN295" s="186">
        <v>0</v>
      </c>
      <c r="BO295" s="187">
        <v>0.95</v>
      </c>
      <c r="BP295" s="178">
        <v>1</v>
      </c>
      <c r="BQ295" s="186">
        <v>2.5000000000000001E-3</v>
      </c>
    </row>
    <row r="296" spans="1:69" s="156" customFormat="1" ht="22.35" customHeight="1" x14ac:dyDescent="0.2">
      <c r="A296" s="165" t="s">
        <v>339</v>
      </c>
      <c r="B296" s="165" t="s">
        <v>357</v>
      </c>
      <c r="C296" s="165" t="s">
        <v>367</v>
      </c>
      <c r="D296" s="166">
        <v>3.9912457913333301</v>
      </c>
      <c r="E296" s="167"/>
      <c r="F296" s="168">
        <v>2.1999999999999999E-2</v>
      </c>
      <c r="G296" s="168">
        <v>0.02</v>
      </c>
      <c r="H296" s="169"/>
      <c r="I296" s="170">
        <v>4</v>
      </c>
      <c r="J296" s="170">
        <v>4</v>
      </c>
      <c r="K296" s="167"/>
      <c r="L296" s="171">
        <v>1537.3201300000001</v>
      </c>
      <c r="M296" s="171">
        <v>404.04946000000001</v>
      </c>
      <c r="N296" s="171">
        <v>1941.36959</v>
      </c>
      <c r="O296" s="166">
        <v>486.40692442833898</v>
      </c>
      <c r="P296" s="172">
        <v>212.5</v>
      </c>
      <c r="Q296" s="178">
        <v>2.28897376201571</v>
      </c>
      <c r="R296" s="179">
        <v>943.95726674580101</v>
      </c>
      <c r="S296" s="168">
        <v>0.01</v>
      </c>
      <c r="T296" s="168">
        <v>0.01</v>
      </c>
      <c r="U296" s="175">
        <v>0</v>
      </c>
      <c r="V296" s="176">
        <v>0</v>
      </c>
      <c r="W296" s="167"/>
      <c r="X296" s="175">
        <v>2506.2029750000002</v>
      </c>
      <c r="Y296" s="166">
        <v>627.92499034813</v>
      </c>
      <c r="Z296" s="177">
        <v>573</v>
      </c>
      <c r="AA296" s="182">
        <v>1.0958551314976099</v>
      </c>
      <c r="AB296" s="183">
        <v>-183.29001899838099</v>
      </c>
      <c r="AC296" s="168">
        <v>1.2E-2</v>
      </c>
      <c r="AD296" s="168">
        <v>0.01</v>
      </c>
      <c r="AE296" s="176">
        <v>0</v>
      </c>
      <c r="AF296" s="176">
        <v>239</v>
      </c>
      <c r="AG296" s="167"/>
      <c r="AH296" s="180">
        <v>220.55</v>
      </c>
      <c r="AI296" s="166">
        <v>55.2584359697682</v>
      </c>
      <c r="AJ296" s="181" t="s">
        <v>53</v>
      </c>
      <c r="AK296" s="188">
        <v>0.87711803126616195</v>
      </c>
      <c r="AL296" s="171">
        <v>-75.153418188303704</v>
      </c>
      <c r="AM296" s="168"/>
      <c r="AN296" s="168"/>
      <c r="AO296" s="176">
        <v>31</v>
      </c>
      <c r="AP296" s="176">
        <v>82</v>
      </c>
      <c r="AQ296" s="167"/>
      <c r="AR296" s="180">
        <v>17.8</v>
      </c>
      <c r="AS296" s="166">
        <v>4.45976041832634</v>
      </c>
      <c r="AT296" s="181" t="s">
        <v>54</v>
      </c>
      <c r="AU296" s="173">
        <v>0.27873502614539603</v>
      </c>
      <c r="AV296" s="174">
        <v>-57.299280809727897</v>
      </c>
      <c r="AW296" s="168"/>
      <c r="AX296" s="168"/>
      <c r="AY296" s="176">
        <v>47</v>
      </c>
      <c r="AZ296" s="176">
        <v>59</v>
      </c>
      <c r="BA296" s="167"/>
      <c r="BB296" s="184">
        <v>100.6</v>
      </c>
      <c r="BC296" s="180">
        <v>25.2051628136871</v>
      </c>
      <c r="BD296" s="181" t="s">
        <v>55</v>
      </c>
      <c r="BE296" s="188">
        <v>0.78766133792772097</v>
      </c>
      <c r="BF296" s="171">
        <v>-49.5985616194559</v>
      </c>
      <c r="BG296" s="168"/>
      <c r="BH296" s="168"/>
      <c r="BI296" s="176">
        <v>28</v>
      </c>
      <c r="BJ296" s="176">
        <v>53</v>
      </c>
      <c r="BK296" s="169"/>
      <c r="BL296" s="185">
        <v>0.8</v>
      </c>
      <c r="BM296" s="182">
        <v>0.82</v>
      </c>
      <c r="BN296" s="186">
        <v>7.5000000000000002E-4</v>
      </c>
      <c r="BO296" s="187">
        <v>0.95</v>
      </c>
      <c r="BP296" s="178">
        <v>1</v>
      </c>
      <c r="BQ296" s="186">
        <v>2.5000000000000001E-3</v>
      </c>
    </row>
    <row r="297" spans="1:69" s="156" customFormat="1" ht="22.35" customHeight="1" x14ac:dyDescent="0.2">
      <c r="A297" s="165" t="s">
        <v>339</v>
      </c>
      <c r="B297" s="165" t="s">
        <v>357</v>
      </c>
      <c r="C297" s="165" t="s">
        <v>368</v>
      </c>
      <c r="D297" s="166">
        <v>1.8887926887777799</v>
      </c>
      <c r="E297" s="167"/>
      <c r="F297" s="168">
        <v>5.5E-2</v>
      </c>
      <c r="G297" s="168">
        <v>5.2999999999999999E-2</v>
      </c>
      <c r="H297" s="169"/>
      <c r="I297" s="170">
        <v>4</v>
      </c>
      <c r="J297" s="170">
        <v>4</v>
      </c>
      <c r="K297" s="167"/>
      <c r="L297" s="171">
        <v>231.08972</v>
      </c>
      <c r="M297" s="171">
        <v>-67.278099999999995</v>
      </c>
      <c r="N297" s="171">
        <v>163.81162</v>
      </c>
      <c r="O297" s="166">
        <v>86.728215845647497</v>
      </c>
      <c r="P297" s="172">
        <v>212.5</v>
      </c>
      <c r="Q297" s="173">
        <v>0.40813278045010598</v>
      </c>
      <c r="R297" s="174">
        <v>-308.19767292556702</v>
      </c>
      <c r="S297" s="168"/>
      <c r="T297" s="168"/>
      <c r="U297" s="175">
        <v>238</v>
      </c>
      <c r="V297" s="176">
        <v>318</v>
      </c>
      <c r="W297" s="167"/>
      <c r="X297" s="175">
        <v>1467.5634399999999</v>
      </c>
      <c r="Y297" s="166">
        <v>776.98492201896897</v>
      </c>
      <c r="Z297" s="177">
        <v>573</v>
      </c>
      <c r="AA297" s="178">
        <v>1.3559946283053601</v>
      </c>
      <c r="AB297" s="179">
        <v>194.804264252471</v>
      </c>
      <c r="AC297" s="168">
        <v>0.02</v>
      </c>
      <c r="AD297" s="168">
        <v>0.02</v>
      </c>
      <c r="AE297" s="176">
        <v>0</v>
      </c>
      <c r="AF297" s="176">
        <v>0</v>
      </c>
      <c r="AG297" s="167"/>
      <c r="AH297" s="180">
        <v>186.75</v>
      </c>
      <c r="AI297" s="166">
        <v>98.872682592203603</v>
      </c>
      <c r="AJ297" s="181" t="s">
        <v>53</v>
      </c>
      <c r="AK297" s="178">
        <v>1.5694076601937099</v>
      </c>
      <c r="AL297" s="179">
        <v>46.813127273831903</v>
      </c>
      <c r="AM297" s="168">
        <v>0.02</v>
      </c>
      <c r="AN297" s="168">
        <v>0.02</v>
      </c>
      <c r="AO297" s="176">
        <v>0</v>
      </c>
      <c r="AP297" s="176">
        <v>0</v>
      </c>
      <c r="AQ297" s="167"/>
      <c r="AR297" s="180">
        <v>14.6</v>
      </c>
      <c r="AS297" s="166">
        <v>7.7298054396046698</v>
      </c>
      <c r="AT297" s="181" t="s">
        <v>54</v>
      </c>
      <c r="AU297" s="173">
        <v>0.48311283997529197</v>
      </c>
      <c r="AV297" s="174">
        <v>-20.939523232042699</v>
      </c>
      <c r="AW297" s="168"/>
      <c r="AX297" s="168"/>
      <c r="AY297" s="176">
        <v>16</v>
      </c>
      <c r="AZ297" s="176">
        <v>22</v>
      </c>
      <c r="BA297" s="167"/>
      <c r="BB297" s="184">
        <v>68.400000000000006</v>
      </c>
      <c r="BC297" s="180">
        <v>36.213609045819098</v>
      </c>
      <c r="BD297" s="181" t="s">
        <v>55</v>
      </c>
      <c r="BE297" s="182">
        <v>1.1316752826818499</v>
      </c>
      <c r="BF297" s="183">
        <v>-2.6790464640853999</v>
      </c>
      <c r="BG297" s="168">
        <v>1.4999999999999999E-2</v>
      </c>
      <c r="BH297" s="168">
        <v>1.2999999999999999E-2</v>
      </c>
      <c r="BI297" s="176">
        <v>0</v>
      </c>
      <c r="BJ297" s="176">
        <v>5</v>
      </c>
      <c r="BK297" s="169"/>
      <c r="BL297" s="185">
        <v>0.8</v>
      </c>
      <c r="BM297" s="188">
        <v>0.78</v>
      </c>
      <c r="BN297" s="186"/>
      <c r="BO297" s="187">
        <v>0.95</v>
      </c>
      <c r="BP297" s="178">
        <v>1</v>
      </c>
      <c r="BQ297" s="186">
        <v>2.5000000000000001E-3</v>
      </c>
    </row>
    <row r="298" spans="1:69" s="156" customFormat="1" ht="22.35" customHeight="1" x14ac:dyDescent="0.2">
      <c r="A298" s="165" t="s">
        <v>339</v>
      </c>
      <c r="B298" s="165" t="s">
        <v>357</v>
      </c>
      <c r="C298" s="165" t="s">
        <v>369</v>
      </c>
      <c r="D298" s="166">
        <v>3.20739114933333</v>
      </c>
      <c r="E298" s="167"/>
      <c r="F298" s="168">
        <v>2.9000000000000001E-2</v>
      </c>
      <c r="G298" s="168">
        <v>2.5000000000000001E-2</v>
      </c>
      <c r="H298" s="169"/>
      <c r="I298" s="170">
        <v>5</v>
      </c>
      <c r="J298" s="170">
        <v>4</v>
      </c>
      <c r="K298" s="167"/>
      <c r="L298" s="171">
        <v>2119.7171600000001</v>
      </c>
      <c r="M298" s="171">
        <v>476.70006000000001</v>
      </c>
      <c r="N298" s="171">
        <v>2596.4172199999998</v>
      </c>
      <c r="O298" s="166">
        <v>809.51062689677701</v>
      </c>
      <c r="P298" s="172">
        <v>236.798</v>
      </c>
      <c r="Q298" s="178">
        <v>3.4185703717800702</v>
      </c>
      <c r="R298" s="179">
        <v>1703.2407401693199</v>
      </c>
      <c r="S298" s="168">
        <v>0.01</v>
      </c>
      <c r="T298" s="168">
        <v>0.01</v>
      </c>
      <c r="U298" s="175">
        <v>0</v>
      </c>
      <c r="V298" s="176">
        <v>0</v>
      </c>
      <c r="W298" s="167"/>
      <c r="X298" s="175">
        <v>1805.44361</v>
      </c>
      <c r="Y298" s="166">
        <v>562.90097650711095</v>
      </c>
      <c r="Z298" s="177">
        <v>573</v>
      </c>
      <c r="AA298" s="182">
        <v>0.982375177150281</v>
      </c>
      <c r="AB298" s="183">
        <v>-355.85050119596599</v>
      </c>
      <c r="AC298" s="168">
        <v>1E-3</v>
      </c>
      <c r="AD298" s="168"/>
      <c r="AE298" s="176">
        <v>33</v>
      </c>
      <c r="AF298" s="176">
        <v>400</v>
      </c>
      <c r="AG298" s="167"/>
      <c r="AH298" s="180">
        <v>122.25</v>
      </c>
      <c r="AI298" s="166">
        <v>38.115089276033601</v>
      </c>
      <c r="AJ298" s="181" t="s">
        <v>53</v>
      </c>
      <c r="AK298" s="173">
        <v>0.60500141707989796</v>
      </c>
      <c r="AL298" s="174">
        <v>-115.379195471808</v>
      </c>
      <c r="AM298" s="168"/>
      <c r="AN298" s="168"/>
      <c r="AO298" s="176">
        <v>80</v>
      </c>
      <c r="AP298" s="176">
        <v>121</v>
      </c>
      <c r="AQ298" s="167"/>
      <c r="AR298" s="180">
        <v>12</v>
      </c>
      <c r="AS298" s="166">
        <v>3.7413584565431699</v>
      </c>
      <c r="AT298" s="181" t="s">
        <v>54</v>
      </c>
      <c r="AU298" s="173">
        <v>0.23383490353394801</v>
      </c>
      <c r="AV298" s="174">
        <v>-48.350271865855902</v>
      </c>
      <c r="AW298" s="168"/>
      <c r="AX298" s="168"/>
      <c r="AY298" s="176">
        <v>40</v>
      </c>
      <c r="AZ298" s="176">
        <v>50</v>
      </c>
      <c r="BA298" s="167"/>
      <c r="BB298" s="184">
        <v>118.2</v>
      </c>
      <c r="BC298" s="180">
        <v>36.8523807969503</v>
      </c>
      <c r="BD298" s="181" t="s">
        <v>55</v>
      </c>
      <c r="BE298" s="182">
        <v>1.1516368999047</v>
      </c>
      <c r="BF298" s="183">
        <v>-2.5005437317118702</v>
      </c>
      <c r="BG298" s="168">
        <v>1.7999999999999999E-2</v>
      </c>
      <c r="BH298" s="168">
        <v>1.4999999999999999E-2</v>
      </c>
      <c r="BI298" s="176">
        <v>0</v>
      </c>
      <c r="BJ298" s="176">
        <v>5</v>
      </c>
      <c r="BK298" s="169"/>
      <c r="BL298" s="185">
        <v>0.8</v>
      </c>
      <c r="BM298" s="182">
        <v>0.85</v>
      </c>
      <c r="BN298" s="186">
        <v>1.8749999999999999E-3</v>
      </c>
      <c r="BO298" s="187">
        <v>0.95</v>
      </c>
      <c r="BP298" s="178">
        <v>1</v>
      </c>
      <c r="BQ298" s="186">
        <v>2.5000000000000001E-3</v>
      </c>
    </row>
    <row r="299" spans="1:69" s="156" customFormat="1" ht="21.95" customHeight="1" x14ac:dyDescent="0.2">
      <c r="A299" s="189"/>
      <c r="B299" s="189"/>
      <c r="C299" s="190" t="s">
        <v>370</v>
      </c>
      <c r="D299" s="191">
        <v>1158.2086281173299</v>
      </c>
      <c r="E299" s="192"/>
      <c r="F299" s="189"/>
      <c r="G299" s="189"/>
      <c r="H299" s="193"/>
      <c r="I299" s="189"/>
      <c r="J299" s="189"/>
      <c r="K299" s="192"/>
      <c r="L299" s="194">
        <v>685000.53384000005</v>
      </c>
      <c r="M299" s="194">
        <v>358981.93582999997</v>
      </c>
      <c r="N299" s="194">
        <v>1043982.46967</v>
      </c>
      <c r="O299" s="191">
        <v>901.37687142513698</v>
      </c>
      <c r="P299" s="195"/>
      <c r="Q299" s="189"/>
      <c r="R299" s="189"/>
      <c r="S299" s="189"/>
      <c r="T299" s="189"/>
      <c r="U299" s="196">
        <v>39631</v>
      </c>
      <c r="V299" s="196">
        <v>44066</v>
      </c>
      <c r="W299" s="192"/>
      <c r="X299" s="197">
        <v>667141.07117999997</v>
      </c>
      <c r="Y299" s="198">
        <v>576.01113908505204</v>
      </c>
      <c r="Z299" s="199"/>
      <c r="AA299" s="200"/>
      <c r="AB299" s="200"/>
      <c r="AC299" s="200"/>
      <c r="AD299" s="200"/>
      <c r="AE299" s="201">
        <v>63984</v>
      </c>
      <c r="AF299" s="201">
        <v>154149</v>
      </c>
      <c r="AG299" s="192"/>
      <c r="AH299" s="198">
        <v>62406.1</v>
      </c>
      <c r="AI299" s="202">
        <v>53.8815706298451</v>
      </c>
      <c r="AJ299" s="199"/>
      <c r="AK299" s="200"/>
      <c r="AL299" s="200"/>
      <c r="AM299" s="200"/>
      <c r="AN299" s="200"/>
      <c r="AO299" s="201">
        <v>14694</v>
      </c>
      <c r="AP299" s="201">
        <v>27445</v>
      </c>
      <c r="AQ299" s="192"/>
      <c r="AR299" s="198">
        <v>12096.4</v>
      </c>
      <c r="AS299" s="202">
        <v>10.444059650688899</v>
      </c>
      <c r="AT299" s="199"/>
      <c r="AU299" s="200"/>
      <c r="AV299" s="200"/>
      <c r="AW299" s="200"/>
      <c r="AX299" s="203"/>
      <c r="AY299" s="201">
        <v>8320</v>
      </c>
      <c r="AZ299" s="201">
        <v>11512</v>
      </c>
      <c r="BA299" s="192"/>
      <c r="BB299" s="200">
        <v>46510.8</v>
      </c>
      <c r="BC299" s="202">
        <v>40.157531960026297</v>
      </c>
      <c r="BD299" s="199"/>
      <c r="BE299" s="200"/>
      <c r="BF299" s="200"/>
      <c r="BG299" s="200"/>
      <c r="BH299" s="200"/>
      <c r="BI299" s="201">
        <v>1219</v>
      </c>
      <c r="BJ299" s="201">
        <v>3922</v>
      </c>
      <c r="BK299" s="200"/>
      <c r="BL299" s="200"/>
      <c r="BM299" s="200"/>
      <c r="BN299" s="200"/>
      <c r="BO299" s="200"/>
      <c r="BP299" s="200"/>
      <c r="BQ299" s="200"/>
    </row>
    <row r="300" spans="1:69" s="156" customFormat="1" ht="28.7" customHeight="1" x14ac:dyDescent="0.2"/>
  </sheetData>
  <mergeCells count="73">
    <mergeCell ref="I2:I4"/>
    <mergeCell ref="L2:V2"/>
    <mergeCell ref="X2:AF2"/>
    <mergeCell ref="AH2:AP2"/>
    <mergeCell ref="AR2:AZ2"/>
    <mergeCell ref="L3:V3"/>
    <mergeCell ref="X3:AF3"/>
    <mergeCell ref="AH3:AP3"/>
    <mergeCell ref="AR3:AZ3"/>
    <mergeCell ref="L4:L5"/>
    <mergeCell ref="X4:X5"/>
    <mergeCell ref="AH4:AH5"/>
    <mergeCell ref="AR4:AR5"/>
    <mergeCell ref="J2:J4"/>
    <mergeCell ref="M4:M5"/>
    <mergeCell ref="N4:N5"/>
    <mergeCell ref="A2:A5"/>
    <mergeCell ref="B2:B5"/>
    <mergeCell ref="C2:C5"/>
    <mergeCell ref="D2:D4"/>
    <mergeCell ref="G2:G4"/>
    <mergeCell ref="F2:F4"/>
    <mergeCell ref="O4:O5"/>
    <mergeCell ref="P4:P5"/>
    <mergeCell ref="V4:V5"/>
    <mergeCell ref="Q4:Q5"/>
    <mergeCell ref="R4:R5"/>
    <mergeCell ref="S4:S5"/>
    <mergeCell ref="T4:T5"/>
    <mergeCell ref="U4:U5"/>
    <mergeCell ref="AX4:AX5"/>
    <mergeCell ref="AY4:AY5"/>
    <mergeCell ref="AZ4:AZ5"/>
    <mergeCell ref="BC4:BC5"/>
    <mergeCell ref="BD4:BD5"/>
    <mergeCell ref="BB2:BJ2"/>
    <mergeCell ref="BL2:BQ2"/>
    <mergeCell ref="BB3:BJ3"/>
    <mergeCell ref="BL3:BQ3"/>
    <mergeCell ref="BJ4:BJ5"/>
    <mergeCell ref="BE4:BE5"/>
    <mergeCell ref="BF4:BF5"/>
    <mergeCell ref="BG4:BG5"/>
    <mergeCell ref="BH4:BH5"/>
    <mergeCell ref="BI4:BI5"/>
    <mergeCell ref="BQ4:BQ5"/>
    <mergeCell ref="BL4:BL5"/>
    <mergeCell ref="BB4:BB5"/>
    <mergeCell ref="BM4:BM5"/>
    <mergeCell ref="BN4:BN5"/>
    <mergeCell ref="BO4:BO5"/>
    <mergeCell ref="AJ4:AJ5"/>
    <mergeCell ref="Y4:Y5"/>
    <mergeCell ref="Z4:Z5"/>
    <mergeCell ref="AA4:AA5"/>
    <mergeCell ref="AB4:AB5"/>
    <mergeCell ref="AC4:AC5"/>
    <mergeCell ref="BP4:BP5"/>
    <mergeCell ref="AD4:AD5"/>
    <mergeCell ref="AE4:AE5"/>
    <mergeCell ref="AF4:AF5"/>
    <mergeCell ref="AI4:AI5"/>
    <mergeCell ref="AW4:AW5"/>
    <mergeCell ref="AK4:AK5"/>
    <mergeCell ref="AL4:AL5"/>
    <mergeCell ref="AM4:AM5"/>
    <mergeCell ref="AN4:AN5"/>
    <mergeCell ref="AO4:AO5"/>
    <mergeCell ref="AP4:AP5"/>
    <mergeCell ref="AS4:AS5"/>
    <mergeCell ref="AT4:AT5"/>
    <mergeCell ref="AU4:AU5"/>
    <mergeCell ref="AV4:AV5"/>
  </mergeCells>
  <hyperlinks>
    <hyperlink ref="F5" r:id="rId1"/>
    <hyperlink ref="G5" r:id="rId2"/>
    <hyperlink ref="I5" r:id="rId3"/>
    <hyperlink ref="J5" r:id="rId4"/>
  </hyperlinks>
  <pageMargins left="0.7" right="0.7" top="0.75" bottom="0.75" header="0.3" footer="0.3"/>
  <pageSetup paperSize="9" orientation="portrait" r:id="rId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 tint="0.499984740745262"/>
  </sheetPr>
  <dimension ref="A1:BQ300"/>
  <sheetViews>
    <sheetView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9.28515625" customWidth="1"/>
    <col min="7" max="7" width="8.28515625" customWidth="1"/>
    <col min="8" max="8" width="0.28515625" customWidth="1"/>
    <col min="9" max="10" width="9.7109375" customWidth="1"/>
    <col min="11" max="11" width="0.28515625" customWidth="1"/>
    <col min="12" max="12" width="10.7109375" customWidth="1"/>
    <col min="13" max="14" width="9.5703125" customWidth="1"/>
    <col min="15" max="17" width="7.85546875" customWidth="1"/>
    <col min="18" max="18" width="10" customWidth="1"/>
    <col min="19" max="20" width="7.85546875" customWidth="1"/>
    <col min="21" max="22" width="9.5703125" customWidth="1"/>
    <col min="23" max="23" width="0.28515625" customWidth="1"/>
    <col min="24" max="25" width="9.5703125" customWidth="1"/>
    <col min="26" max="27" width="7.85546875" customWidth="1"/>
    <col min="28" max="28" width="10" customWidth="1"/>
    <col min="29" max="30" width="7.85546875" customWidth="1"/>
    <col min="31" max="32" width="9.5703125" customWidth="1"/>
    <col min="33" max="33" width="0.28515625" customWidth="1"/>
    <col min="34" max="34" width="9" customWidth="1"/>
    <col min="35" max="37" width="7.85546875" customWidth="1"/>
    <col min="38" max="38" width="10" customWidth="1"/>
    <col min="39" max="40" width="7.85546875" customWidth="1"/>
    <col min="41" max="41" width="8.85546875" customWidth="1"/>
    <col min="42" max="42" width="7.85546875" customWidth="1"/>
    <col min="43" max="43" width="0.28515625" customWidth="1"/>
    <col min="44" max="44" width="7.5703125" customWidth="1"/>
    <col min="45" max="47" width="7.85546875" customWidth="1"/>
    <col min="48" max="48" width="10" customWidth="1"/>
    <col min="49" max="49" width="7.42578125" customWidth="1"/>
    <col min="50" max="50" width="7.85546875" customWidth="1"/>
    <col min="51" max="51" width="8.85546875" customWidth="1"/>
    <col min="52" max="52" width="7.85546875" customWidth="1"/>
    <col min="53" max="53" width="0.28515625" customWidth="1"/>
    <col min="54" max="54" width="9.42578125" customWidth="1"/>
    <col min="55" max="55" width="9" customWidth="1"/>
    <col min="56" max="57" width="7.85546875" customWidth="1"/>
    <col min="58" max="58" width="10" customWidth="1"/>
    <col min="59" max="59" width="8.85546875" customWidth="1"/>
    <col min="60" max="60" width="7.85546875" customWidth="1"/>
    <col min="61" max="61" width="8.85546875" customWidth="1"/>
    <col min="62" max="62" width="7.85546875" customWidth="1"/>
    <col min="63" max="63" width="0.28515625" customWidth="1"/>
    <col min="64" max="64" width="8.140625" customWidth="1"/>
    <col min="65" max="65" width="9.140625" customWidth="1"/>
    <col min="66" max="66" width="10.7109375" customWidth="1"/>
    <col min="67" max="67" width="8.140625" customWidth="1"/>
    <col min="68" max="68" width="9.140625" customWidth="1"/>
    <col min="69" max="69" width="10.140625" customWidth="1"/>
    <col min="70" max="70" width="4.7109375" customWidth="1"/>
  </cols>
  <sheetData>
    <row r="1" spans="1:69" s="156" customFormat="1" ht="3.75" customHeight="1" x14ac:dyDescent="0.2"/>
    <row r="2" spans="1:69" s="156" customFormat="1" ht="24" customHeight="1" x14ac:dyDescent="0.2">
      <c r="A2" s="282" t="s">
        <v>19</v>
      </c>
      <c r="B2" s="283" t="s">
        <v>20</v>
      </c>
      <c r="C2" s="283" t="s">
        <v>21</v>
      </c>
      <c r="D2" s="284" t="s">
        <v>22</v>
      </c>
      <c r="E2" s="157"/>
      <c r="F2" s="281" t="s">
        <v>23</v>
      </c>
      <c r="G2" s="280" t="s">
        <v>24</v>
      </c>
      <c r="H2" s="158"/>
      <c r="I2" s="280" t="s">
        <v>25</v>
      </c>
      <c r="J2" s="281" t="s">
        <v>26</v>
      </c>
      <c r="K2" s="158"/>
      <c r="L2" s="276" t="s">
        <v>27</v>
      </c>
      <c r="M2" s="276"/>
      <c r="N2" s="276"/>
      <c r="O2" s="276"/>
      <c r="P2" s="276"/>
      <c r="Q2" s="276"/>
      <c r="R2" s="276"/>
      <c r="S2" s="276"/>
      <c r="T2" s="276"/>
      <c r="U2" s="276"/>
      <c r="V2" s="276"/>
      <c r="W2" s="159"/>
      <c r="X2" s="277" t="s">
        <v>28</v>
      </c>
      <c r="Y2" s="277"/>
      <c r="Z2" s="277"/>
      <c r="AA2" s="277"/>
      <c r="AB2" s="277"/>
      <c r="AC2" s="277"/>
      <c r="AD2" s="277"/>
      <c r="AE2" s="277"/>
      <c r="AF2" s="277"/>
      <c r="AG2" s="160"/>
      <c r="AH2" s="278" t="s">
        <v>29</v>
      </c>
      <c r="AI2" s="278"/>
      <c r="AJ2" s="278"/>
      <c r="AK2" s="278"/>
      <c r="AL2" s="278"/>
      <c r="AM2" s="278"/>
      <c r="AN2" s="278"/>
      <c r="AO2" s="278"/>
      <c r="AP2" s="278"/>
      <c r="AQ2" s="161"/>
      <c r="AR2" s="279" t="s">
        <v>30</v>
      </c>
      <c r="AS2" s="279"/>
      <c r="AT2" s="279"/>
      <c r="AU2" s="279"/>
      <c r="AV2" s="279"/>
      <c r="AW2" s="279"/>
      <c r="AX2" s="279"/>
      <c r="AY2" s="279"/>
      <c r="AZ2" s="279"/>
      <c r="BA2" s="161"/>
      <c r="BB2" s="274" t="s">
        <v>31</v>
      </c>
      <c r="BC2" s="274"/>
      <c r="BD2" s="274"/>
      <c r="BE2" s="274"/>
      <c r="BF2" s="274"/>
      <c r="BG2" s="274"/>
      <c r="BH2" s="274"/>
      <c r="BI2" s="274"/>
      <c r="BJ2" s="274"/>
      <c r="BK2" s="162"/>
      <c r="BL2" s="275" t="s">
        <v>32</v>
      </c>
      <c r="BM2" s="275"/>
      <c r="BN2" s="275"/>
      <c r="BO2" s="275"/>
      <c r="BP2" s="275"/>
      <c r="BQ2" s="275"/>
    </row>
    <row r="3" spans="1:69" s="156" customFormat="1" ht="20.25" customHeight="1" x14ac:dyDescent="0.2">
      <c r="A3" s="282"/>
      <c r="B3" s="283"/>
      <c r="C3" s="283"/>
      <c r="D3" s="284"/>
      <c r="E3" s="157"/>
      <c r="F3" s="281"/>
      <c r="G3" s="280"/>
      <c r="H3" s="158"/>
      <c r="I3" s="280"/>
      <c r="J3" s="281"/>
      <c r="K3" s="158"/>
      <c r="L3" s="276" t="s">
        <v>680</v>
      </c>
      <c r="M3" s="276"/>
      <c r="N3" s="276"/>
      <c r="O3" s="276"/>
      <c r="P3" s="276"/>
      <c r="Q3" s="276"/>
      <c r="R3" s="276"/>
      <c r="S3" s="276"/>
      <c r="T3" s="276"/>
      <c r="U3" s="276"/>
      <c r="V3" s="276"/>
      <c r="W3" s="159"/>
      <c r="X3" s="277" t="s">
        <v>681</v>
      </c>
      <c r="Y3" s="277"/>
      <c r="Z3" s="277"/>
      <c r="AA3" s="277"/>
      <c r="AB3" s="277"/>
      <c r="AC3" s="277"/>
      <c r="AD3" s="277"/>
      <c r="AE3" s="277"/>
      <c r="AF3" s="277"/>
      <c r="AG3" s="159"/>
      <c r="AH3" s="278" t="s">
        <v>682</v>
      </c>
      <c r="AI3" s="278"/>
      <c r="AJ3" s="278"/>
      <c r="AK3" s="278"/>
      <c r="AL3" s="278"/>
      <c r="AM3" s="278"/>
      <c r="AN3" s="278"/>
      <c r="AO3" s="278"/>
      <c r="AP3" s="278"/>
      <c r="AQ3" s="159"/>
      <c r="AR3" s="279" t="s">
        <v>683</v>
      </c>
      <c r="AS3" s="279"/>
      <c r="AT3" s="279"/>
      <c r="AU3" s="279"/>
      <c r="AV3" s="279"/>
      <c r="AW3" s="279"/>
      <c r="AX3" s="279"/>
      <c r="AY3" s="279"/>
      <c r="AZ3" s="279"/>
      <c r="BA3" s="159"/>
      <c r="BB3" s="274" t="s">
        <v>684</v>
      </c>
      <c r="BC3" s="274"/>
      <c r="BD3" s="274"/>
      <c r="BE3" s="274"/>
      <c r="BF3" s="274"/>
      <c r="BG3" s="274"/>
      <c r="BH3" s="274"/>
      <c r="BI3" s="274"/>
      <c r="BJ3" s="274"/>
      <c r="BK3" s="162"/>
      <c r="BL3" s="275" t="s">
        <v>685</v>
      </c>
      <c r="BM3" s="275"/>
      <c r="BN3" s="275"/>
      <c r="BO3" s="275"/>
      <c r="BP3" s="275"/>
      <c r="BQ3" s="275"/>
    </row>
    <row r="4" spans="1:69" s="156" customFormat="1" ht="20.25" customHeight="1" x14ac:dyDescent="0.2">
      <c r="A4" s="282"/>
      <c r="B4" s="283"/>
      <c r="C4" s="283"/>
      <c r="D4" s="284"/>
      <c r="E4" s="157"/>
      <c r="F4" s="281"/>
      <c r="G4" s="280"/>
      <c r="H4" s="158"/>
      <c r="I4" s="280"/>
      <c r="J4" s="281"/>
      <c r="K4" s="158"/>
      <c r="L4" s="273" t="s">
        <v>33</v>
      </c>
      <c r="M4" s="273" t="s">
        <v>34</v>
      </c>
      <c r="N4" s="273" t="s">
        <v>35</v>
      </c>
      <c r="O4" s="273" t="s">
        <v>36</v>
      </c>
      <c r="P4" s="273" t="s">
        <v>37</v>
      </c>
      <c r="Q4" s="273" t="s">
        <v>38</v>
      </c>
      <c r="R4" s="273" t="s">
        <v>39</v>
      </c>
      <c r="S4" s="273" t="s">
        <v>40</v>
      </c>
      <c r="T4" s="273" t="s">
        <v>41</v>
      </c>
      <c r="U4" s="273" t="s">
        <v>42</v>
      </c>
      <c r="V4" s="273" t="s">
        <v>43</v>
      </c>
      <c r="W4" s="159"/>
      <c r="X4" s="272" t="s">
        <v>44</v>
      </c>
      <c r="Y4" s="272" t="s">
        <v>36</v>
      </c>
      <c r="Z4" s="272" t="s">
        <v>37</v>
      </c>
      <c r="AA4" s="272" t="s">
        <v>38</v>
      </c>
      <c r="AB4" s="272" t="s">
        <v>39</v>
      </c>
      <c r="AC4" s="272" t="s">
        <v>40</v>
      </c>
      <c r="AD4" s="272" t="s">
        <v>41</v>
      </c>
      <c r="AE4" s="272" t="s">
        <v>42</v>
      </c>
      <c r="AF4" s="272" t="s">
        <v>43</v>
      </c>
      <c r="AG4" s="159"/>
      <c r="AH4" s="271" t="s">
        <v>45</v>
      </c>
      <c r="AI4" s="271" t="s">
        <v>36</v>
      </c>
      <c r="AJ4" s="271" t="s">
        <v>37</v>
      </c>
      <c r="AK4" s="271" t="s">
        <v>38</v>
      </c>
      <c r="AL4" s="271" t="s">
        <v>39</v>
      </c>
      <c r="AM4" s="271" t="s">
        <v>40</v>
      </c>
      <c r="AN4" s="271" t="s">
        <v>41</v>
      </c>
      <c r="AO4" s="271" t="s">
        <v>42</v>
      </c>
      <c r="AP4" s="271" t="s">
        <v>43</v>
      </c>
      <c r="AQ4" s="159"/>
      <c r="AR4" s="270" t="s">
        <v>46</v>
      </c>
      <c r="AS4" s="270" t="s">
        <v>36</v>
      </c>
      <c r="AT4" s="270" t="s">
        <v>37</v>
      </c>
      <c r="AU4" s="270" t="s">
        <v>38</v>
      </c>
      <c r="AV4" s="270" t="s">
        <v>39</v>
      </c>
      <c r="AW4" s="270" t="s">
        <v>40</v>
      </c>
      <c r="AX4" s="270" t="s">
        <v>41</v>
      </c>
      <c r="AY4" s="270" t="s">
        <v>42</v>
      </c>
      <c r="AZ4" s="270" t="s">
        <v>43</v>
      </c>
      <c r="BA4" s="159"/>
      <c r="BB4" s="269" t="s">
        <v>47</v>
      </c>
      <c r="BC4" s="269" t="s">
        <v>36</v>
      </c>
      <c r="BD4" s="269" t="s">
        <v>37</v>
      </c>
      <c r="BE4" s="269" t="s">
        <v>38</v>
      </c>
      <c r="BF4" s="269" t="s">
        <v>39</v>
      </c>
      <c r="BG4" s="269" t="s">
        <v>40</v>
      </c>
      <c r="BH4" s="269" t="s">
        <v>41</v>
      </c>
      <c r="BI4" s="269" t="s">
        <v>42</v>
      </c>
      <c r="BJ4" s="269" t="s">
        <v>43</v>
      </c>
      <c r="BK4" s="162"/>
      <c r="BL4" s="268" t="s">
        <v>48</v>
      </c>
      <c r="BM4" s="268" t="s">
        <v>49</v>
      </c>
      <c r="BN4" s="268" t="s">
        <v>41</v>
      </c>
      <c r="BO4" s="268" t="s">
        <v>50</v>
      </c>
      <c r="BP4" s="268" t="s">
        <v>51</v>
      </c>
      <c r="BQ4" s="268" t="s">
        <v>41</v>
      </c>
    </row>
    <row r="5" spans="1:69" s="156" customFormat="1" ht="20.25" customHeight="1" x14ac:dyDescent="0.2">
      <c r="A5" s="282"/>
      <c r="B5" s="283"/>
      <c r="C5" s="283"/>
      <c r="D5" s="204" t="s">
        <v>376</v>
      </c>
      <c r="E5" s="157"/>
      <c r="F5" s="163" t="s">
        <v>52</v>
      </c>
      <c r="G5" s="164" t="s">
        <v>52</v>
      </c>
      <c r="H5" s="158"/>
      <c r="I5" s="163" t="s">
        <v>52</v>
      </c>
      <c r="J5" s="163" t="s">
        <v>52</v>
      </c>
      <c r="K5" s="158"/>
      <c r="L5" s="273"/>
      <c r="M5" s="273"/>
      <c r="N5" s="273"/>
      <c r="O5" s="273"/>
      <c r="P5" s="273"/>
      <c r="Q5" s="273"/>
      <c r="R5" s="273"/>
      <c r="S5" s="273"/>
      <c r="T5" s="273"/>
      <c r="U5" s="273"/>
      <c r="V5" s="273"/>
      <c r="W5" s="159"/>
      <c r="X5" s="272"/>
      <c r="Y5" s="272"/>
      <c r="Z5" s="272"/>
      <c r="AA5" s="272"/>
      <c r="AB5" s="272"/>
      <c r="AC5" s="272"/>
      <c r="AD5" s="272"/>
      <c r="AE5" s="272"/>
      <c r="AF5" s="272"/>
      <c r="AG5" s="159"/>
      <c r="AH5" s="271"/>
      <c r="AI5" s="271"/>
      <c r="AJ5" s="271"/>
      <c r="AK5" s="271"/>
      <c r="AL5" s="271"/>
      <c r="AM5" s="271"/>
      <c r="AN5" s="271"/>
      <c r="AO5" s="271"/>
      <c r="AP5" s="271"/>
      <c r="AQ5" s="159"/>
      <c r="AR5" s="270"/>
      <c r="AS5" s="270"/>
      <c r="AT5" s="270"/>
      <c r="AU5" s="270"/>
      <c r="AV5" s="270"/>
      <c r="AW5" s="270"/>
      <c r="AX5" s="270"/>
      <c r="AY5" s="270"/>
      <c r="AZ5" s="270"/>
      <c r="BA5" s="159"/>
      <c r="BB5" s="269"/>
      <c r="BC5" s="269"/>
      <c r="BD5" s="269"/>
      <c r="BE5" s="269"/>
      <c r="BF5" s="269"/>
      <c r="BG5" s="269"/>
      <c r="BH5" s="269"/>
      <c r="BI5" s="269"/>
      <c r="BJ5" s="269"/>
      <c r="BK5" s="162"/>
      <c r="BL5" s="268"/>
      <c r="BM5" s="268"/>
      <c r="BN5" s="268"/>
      <c r="BO5" s="268"/>
      <c r="BP5" s="268"/>
      <c r="BQ5" s="268"/>
    </row>
    <row r="6" spans="1:69" s="156" customFormat="1" ht="22.35" customHeight="1" x14ac:dyDescent="0.2">
      <c r="A6" s="165" t="s">
        <v>4</v>
      </c>
      <c r="B6" s="165" t="s">
        <v>0</v>
      </c>
      <c r="C6" s="165" t="s">
        <v>5</v>
      </c>
      <c r="D6" s="166">
        <v>1.89995189988889</v>
      </c>
      <c r="E6" s="167"/>
      <c r="F6" s="168">
        <v>4.4999999999999998E-2</v>
      </c>
      <c r="G6" s="168">
        <v>2.8000000000000001E-2</v>
      </c>
      <c r="H6" s="169"/>
      <c r="I6" s="170">
        <v>5</v>
      </c>
      <c r="J6" s="170">
        <v>4</v>
      </c>
      <c r="K6" s="167"/>
      <c r="L6" s="171">
        <v>60.838459999999998</v>
      </c>
      <c r="M6" s="171">
        <v>269.56455</v>
      </c>
      <c r="N6" s="171">
        <v>330.40300999999999</v>
      </c>
      <c r="O6" s="166">
        <v>173.90072349690601</v>
      </c>
      <c r="P6" s="172">
        <v>234.65600000000001</v>
      </c>
      <c r="Q6" s="188">
        <v>0.74108790526092005</v>
      </c>
      <c r="R6" s="171">
        <v>-156.44893341819699</v>
      </c>
      <c r="S6" s="168"/>
      <c r="T6" s="168"/>
      <c r="U6" s="175">
        <v>116</v>
      </c>
      <c r="V6" s="176">
        <v>205</v>
      </c>
      <c r="W6" s="167"/>
      <c r="X6" s="175">
        <v>1524.2224349999999</v>
      </c>
      <c r="Y6" s="166">
        <v>802.24264366331499</v>
      </c>
      <c r="Z6" s="177">
        <v>573</v>
      </c>
      <c r="AA6" s="178">
        <v>1.40007442175099</v>
      </c>
      <c r="AB6" s="179">
        <v>335.39213200912297</v>
      </c>
      <c r="AC6" s="168">
        <v>0.02</v>
      </c>
      <c r="AD6" s="168">
        <v>0.02</v>
      </c>
      <c r="AE6" s="176">
        <v>0</v>
      </c>
      <c r="AF6" s="176">
        <v>0</v>
      </c>
      <c r="AG6" s="167"/>
      <c r="AH6" s="180">
        <v>116.1</v>
      </c>
      <c r="AI6" s="166">
        <v>61.106810128608799</v>
      </c>
      <c r="AJ6" s="181" t="s">
        <v>53</v>
      </c>
      <c r="AK6" s="182">
        <v>0.96994936712077495</v>
      </c>
      <c r="AL6" s="183">
        <v>-14.6090909047561</v>
      </c>
      <c r="AM6" s="168">
        <v>7.0000000000000001E-3</v>
      </c>
      <c r="AN6" s="168"/>
      <c r="AO6" s="176">
        <v>4</v>
      </c>
      <c r="AP6" s="176">
        <v>28</v>
      </c>
      <c r="AQ6" s="167"/>
      <c r="AR6" s="180">
        <v>20.2</v>
      </c>
      <c r="AS6" s="166">
        <v>10.631848101618401</v>
      </c>
      <c r="AT6" s="181" t="s">
        <v>54</v>
      </c>
      <c r="AU6" s="173">
        <v>0.66449050635115103</v>
      </c>
      <c r="AV6" s="174">
        <v>-12.9959595948587</v>
      </c>
      <c r="AW6" s="168"/>
      <c r="AX6" s="168"/>
      <c r="AY6" s="176">
        <v>11</v>
      </c>
      <c r="AZ6" s="176">
        <v>17</v>
      </c>
      <c r="BA6" s="167"/>
      <c r="BB6" s="184">
        <v>65.400000000000006</v>
      </c>
      <c r="BC6" s="180">
        <v>34.421924051774504</v>
      </c>
      <c r="BD6" s="181" t="s">
        <v>55</v>
      </c>
      <c r="BE6" s="182">
        <v>1.0756851266179499</v>
      </c>
      <c r="BF6" s="183">
        <v>-0.99191918971737902</v>
      </c>
      <c r="BG6" s="168">
        <v>1.7999999999999999E-2</v>
      </c>
      <c r="BH6" s="168">
        <v>8.0000000000000002E-3</v>
      </c>
      <c r="BI6" s="176">
        <v>0</v>
      </c>
      <c r="BJ6" s="176">
        <v>8</v>
      </c>
      <c r="BK6" s="169"/>
      <c r="BL6" s="185">
        <v>0.8</v>
      </c>
      <c r="BM6" s="182">
        <v>0.84</v>
      </c>
      <c r="BN6" s="186">
        <v>1.5E-3</v>
      </c>
      <c r="BO6" s="187">
        <v>0.95</v>
      </c>
      <c r="BP6" s="178">
        <v>1</v>
      </c>
      <c r="BQ6" s="186">
        <v>2.5000000000000001E-3</v>
      </c>
    </row>
    <row r="7" spans="1:69" s="156" customFormat="1" ht="22.35" customHeight="1" x14ac:dyDescent="0.2">
      <c r="A7" s="165" t="s">
        <v>4</v>
      </c>
      <c r="B7" s="165" t="s">
        <v>0</v>
      </c>
      <c r="C7" s="165" t="s">
        <v>56</v>
      </c>
      <c r="D7" s="166">
        <v>9.1914924981111099</v>
      </c>
      <c r="E7" s="167"/>
      <c r="F7" s="168">
        <v>0.05</v>
      </c>
      <c r="G7" s="168">
        <v>4.2999999999999997E-2</v>
      </c>
      <c r="H7" s="169"/>
      <c r="I7" s="170">
        <v>5</v>
      </c>
      <c r="J7" s="170">
        <v>5</v>
      </c>
      <c r="K7" s="167"/>
      <c r="L7" s="171">
        <v>3383.2582299999999</v>
      </c>
      <c r="M7" s="171">
        <v>6072.9832699999997</v>
      </c>
      <c r="N7" s="171">
        <v>9456.2415000000001</v>
      </c>
      <c r="O7" s="166">
        <v>1028.80370102497</v>
      </c>
      <c r="P7" s="172">
        <v>244.07400000000001</v>
      </c>
      <c r="Q7" s="178">
        <v>4.2151302515834104</v>
      </c>
      <c r="R7" s="179">
        <v>7006.4439607374998</v>
      </c>
      <c r="S7" s="168">
        <v>0.01</v>
      </c>
      <c r="T7" s="168">
        <v>0.01</v>
      </c>
      <c r="U7" s="175">
        <v>0</v>
      </c>
      <c r="V7" s="176">
        <v>0</v>
      </c>
      <c r="W7" s="167"/>
      <c r="X7" s="175">
        <v>5969.496365</v>
      </c>
      <c r="Y7" s="166">
        <v>649.45887365155897</v>
      </c>
      <c r="Z7" s="177">
        <v>573</v>
      </c>
      <c r="AA7" s="178">
        <v>1.13343607967113</v>
      </c>
      <c r="AB7" s="179">
        <v>218.232445051909</v>
      </c>
      <c r="AC7" s="168">
        <v>0.02</v>
      </c>
      <c r="AD7" s="168">
        <v>1.2999999999999999E-2</v>
      </c>
      <c r="AE7" s="176">
        <v>0</v>
      </c>
      <c r="AF7" s="176">
        <v>351</v>
      </c>
      <c r="AG7" s="167"/>
      <c r="AH7" s="180">
        <v>462.15</v>
      </c>
      <c r="AI7" s="166">
        <v>50.280191176239697</v>
      </c>
      <c r="AJ7" s="181" t="s">
        <v>53</v>
      </c>
      <c r="AK7" s="188">
        <v>0.79809827263872601</v>
      </c>
      <c r="AL7" s="171">
        <v>-170.18791790005201</v>
      </c>
      <c r="AM7" s="168"/>
      <c r="AN7" s="168"/>
      <c r="AO7" s="176">
        <v>117</v>
      </c>
      <c r="AP7" s="176">
        <v>233</v>
      </c>
      <c r="AQ7" s="167"/>
      <c r="AR7" s="180">
        <v>73.7</v>
      </c>
      <c r="AS7" s="166">
        <v>8.0182843009604401</v>
      </c>
      <c r="AT7" s="181" t="s">
        <v>54</v>
      </c>
      <c r="AU7" s="173">
        <v>0.50114276881002695</v>
      </c>
      <c r="AV7" s="174">
        <v>-86.893756926997298</v>
      </c>
      <c r="AW7" s="168"/>
      <c r="AX7" s="168"/>
      <c r="AY7" s="176">
        <v>74</v>
      </c>
      <c r="AZ7" s="176">
        <v>103</v>
      </c>
      <c r="BA7" s="167"/>
      <c r="BB7" s="184">
        <v>382</v>
      </c>
      <c r="BC7" s="180">
        <v>41.560171003621299</v>
      </c>
      <c r="BD7" s="181" t="s">
        <v>55</v>
      </c>
      <c r="BE7" s="178">
        <v>1.29875534386316</v>
      </c>
      <c r="BF7" s="179">
        <v>60.812486146005398</v>
      </c>
      <c r="BG7" s="168">
        <v>0.02</v>
      </c>
      <c r="BH7" s="168">
        <v>0.02</v>
      </c>
      <c r="BI7" s="176">
        <v>0</v>
      </c>
      <c r="BJ7" s="176">
        <v>0</v>
      </c>
      <c r="BK7" s="169"/>
      <c r="BL7" s="185">
        <v>0.8</v>
      </c>
      <c r="BM7" s="182">
        <v>0.82</v>
      </c>
      <c r="BN7" s="186">
        <v>7.5000000000000002E-4</v>
      </c>
      <c r="BO7" s="187">
        <v>0.95</v>
      </c>
      <c r="BP7" s="178">
        <v>1</v>
      </c>
      <c r="BQ7" s="186">
        <v>2.5000000000000001E-3</v>
      </c>
    </row>
    <row r="8" spans="1:69" s="156" customFormat="1" ht="22.35" customHeight="1" x14ac:dyDescent="0.2">
      <c r="A8" s="165" t="s">
        <v>4</v>
      </c>
      <c r="B8" s="165" t="s">
        <v>0</v>
      </c>
      <c r="C8" s="165" t="s">
        <v>57</v>
      </c>
      <c r="D8" s="166">
        <v>2.4137029143333302</v>
      </c>
      <c r="E8" s="167"/>
      <c r="F8" s="168">
        <v>5.3999999999999999E-2</v>
      </c>
      <c r="G8" s="168">
        <v>0.05</v>
      </c>
      <c r="H8" s="169"/>
      <c r="I8" s="170">
        <v>6</v>
      </c>
      <c r="J8" s="170">
        <v>5</v>
      </c>
      <c r="K8" s="167"/>
      <c r="L8" s="171">
        <v>963.30571999999995</v>
      </c>
      <c r="M8" s="171">
        <v>736.54602</v>
      </c>
      <c r="N8" s="171">
        <v>1699.8517400000001</v>
      </c>
      <c r="O8" s="166">
        <v>704.25060594895103</v>
      </c>
      <c r="P8" s="172">
        <v>214.66499999999999</v>
      </c>
      <c r="Q8" s="178">
        <v>3.2806959958491202</v>
      </c>
      <c r="R8" s="179">
        <v>1134.0455505729401</v>
      </c>
      <c r="S8" s="168">
        <v>0.01</v>
      </c>
      <c r="T8" s="168">
        <v>0.01</v>
      </c>
      <c r="U8" s="175">
        <v>0</v>
      </c>
      <c r="V8" s="176">
        <v>0</v>
      </c>
      <c r="W8" s="167"/>
      <c r="X8" s="175">
        <v>2180.3409649999999</v>
      </c>
      <c r="Y8" s="166">
        <v>903.31786569608198</v>
      </c>
      <c r="Z8" s="177">
        <v>573</v>
      </c>
      <c r="AA8" s="178">
        <v>1.5764709698011901</v>
      </c>
      <c r="AB8" s="179">
        <v>670.04843225500599</v>
      </c>
      <c r="AC8" s="168">
        <v>0.02</v>
      </c>
      <c r="AD8" s="168">
        <v>0.02</v>
      </c>
      <c r="AE8" s="176">
        <v>0</v>
      </c>
      <c r="AF8" s="176">
        <v>0</v>
      </c>
      <c r="AG8" s="167"/>
      <c r="AH8" s="180">
        <v>105.85</v>
      </c>
      <c r="AI8" s="166">
        <v>43.853781412546297</v>
      </c>
      <c r="AJ8" s="181" t="s">
        <v>53</v>
      </c>
      <c r="AK8" s="173">
        <v>0.69609176845311604</v>
      </c>
      <c r="AL8" s="174">
        <v>-60.203105694475802</v>
      </c>
      <c r="AM8" s="168"/>
      <c r="AN8" s="168"/>
      <c r="AO8" s="176">
        <v>47</v>
      </c>
      <c r="AP8" s="176">
        <v>77</v>
      </c>
      <c r="AQ8" s="167"/>
      <c r="AR8" s="180">
        <v>38.1</v>
      </c>
      <c r="AS8" s="166">
        <v>15.784875501351101</v>
      </c>
      <c r="AT8" s="181" t="s">
        <v>54</v>
      </c>
      <c r="AU8" s="182">
        <v>0.98655471883444401</v>
      </c>
      <c r="AV8" s="183">
        <v>-4.0722173192319397</v>
      </c>
      <c r="AW8" s="168">
        <v>4.0000000000000001E-3</v>
      </c>
      <c r="AX8" s="168"/>
      <c r="AY8" s="176">
        <v>1</v>
      </c>
      <c r="AZ8" s="176">
        <v>9</v>
      </c>
      <c r="BA8" s="167"/>
      <c r="BB8" s="184">
        <v>105.8</v>
      </c>
      <c r="BC8" s="180">
        <v>43.8330663528332</v>
      </c>
      <c r="BD8" s="181" t="s">
        <v>55</v>
      </c>
      <c r="BE8" s="178">
        <v>1.3697833235260399</v>
      </c>
      <c r="BF8" s="179">
        <v>21.455565361536099</v>
      </c>
      <c r="BG8" s="168">
        <v>0.02</v>
      </c>
      <c r="BH8" s="168">
        <v>0.02</v>
      </c>
      <c r="BI8" s="176">
        <v>0</v>
      </c>
      <c r="BJ8" s="176">
        <v>0</v>
      </c>
      <c r="BK8" s="169"/>
      <c r="BL8" s="185">
        <v>0.8</v>
      </c>
      <c r="BM8" s="182">
        <v>0.88</v>
      </c>
      <c r="BN8" s="186">
        <v>3.0000000000000001E-3</v>
      </c>
      <c r="BO8" s="187">
        <v>0.95</v>
      </c>
      <c r="BP8" s="178">
        <v>1</v>
      </c>
      <c r="BQ8" s="186">
        <v>2.5000000000000001E-3</v>
      </c>
    </row>
    <row r="9" spans="1:69" s="156" customFormat="1" ht="22.35" customHeight="1" x14ac:dyDescent="0.2">
      <c r="A9" s="165" t="s">
        <v>4</v>
      </c>
      <c r="B9" s="165" t="s">
        <v>0</v>
      </c>
      <c r="C9" s="165" t="s">
        <v>58</v>
      </c>
      <c r="D9" s="166">
        <v>2.8152337733333299</v>
      </c>
      <c r="E9" s="167"/>
      <c r="F9" s="168">
        <v>2E-3</v>
      </c>
      <c r="G9" s="168"/>
      <c r="H9" s="169"/>
      <c r="I9" s="170">
        <v>3</v>
      </c>
      <c r="J9" s="170">
        <v>2</v>
      </c>
      <c r="K9" s="167"/>
      <c r="L9" s="171">
        <v>853.57285000000002</v>
      </c>
      <c r="M9" s="171">
        <v>-752.06227000000001</v>
      </c>
      <c r="N9" s="171">
        <v>101.51058</v>
      </c>
      <c r="O9" s="166">
        <v>36.057602378010699</v>
      </c>
      <c r="P9" s="172">
        <v>212.5</v>
      </c>
      <c r="Q9" s="173">
        <v>0.16968283472005</v>
      </c>
      <c r="R9" s="174">
        <v>-551.76441710199902</v>
      </c>
      <c r="S9" s="168"/>
      <c r="T9" s="168"/>
      <c r="U9" s="175">
        <v>497</v>
      </c>
      <c r="V9" s="176">
        <v>617</v>
      </c>
      <c r="W9" s="167"/>
      <c r="X9" s="175">
        <v>1494.4233899999999</v>
      </c>
      <c r="Y9" s="166">
        <v>530.83456306740402</v>
      </c>
      <c r="Z9" s="177">
        <v>573</v>
      </c>
      <c r="AA9" s="182">
        <v>0.92641285003037399</v>
      </c>
      <c r="AB9" s="183">
        <v>-267.11342571503798</v>
      </c>
      <c r="AC9" s="168">
        <v>2E-3</v>
      </c>
      <c r="AD9" s="168"/>
      <c r="AE9" s="176">
        <v>119</v>
      </c>
      <c r="AF9" s="176">
        <v>442</v>
      </c>
      <c r="AG9" s="167"/>
      <c r="AH9" s="180">
        <v>97</v>
      </c>
      <c r="AI9" s="166">
        <v>34.455397956223202</v>
      </c>
      <c r="AJ9" s="181" t="s">
        <v>53</v>
      </c>
      <c r="AK9" s="173">
        <v>0.54691107867021005</v>
      </c>
      <c r="AL9" s="174">
        <v>-96.676822670239702</v>
      </c>
      <c r="AM9" s="168"/>
      <c r="AN9" s="168"/>
      <c r="AO9" s="176">
        <v>81</v>
      </c>
      <c r="AP9" s="176">
        <v>116</v>
      </c>
      <c r="AQ9" s="167"/>
      <c r="AR9" s="180">
        <v>7</v>
      </c>
      <c r="AS9" s="166">
        <v>2.4864720174594099</v>
      </c>
      <c r="AT9" s="181" t="s">
        <v>54</v>
      </c>
      <c r="AU9" s="173">
        <v>0.15540450109121301</v>
      </c>
      <c r="AV9" s="174">
        <v>-42.1877644876799</v>
      </c>
      <c r="AW9" s="168"/>
      <c r="AX9" s="168"/>
      <c r="AY9" s="176">
        <v>39</v>
      </c>
      <c r="AZ9" s="176">
        <v>48</v>
      </c>
      <c r="BA9" s="167"/>
      <c r="BB9" s="184">
        <v>81</v>
      </c>
      <c r="BC9" s="180">
        <v>28.7720333448875</v>
      </c>
      <c r="BD9" s="181" t="s">
        <v>55</v>
      </c>
      <c r="BE9" s="188">
        <v>0.89912604202773305</v>
      </c>
      <c r="BF9" s="171">
        <v>-17.375528975359899</v>
      </c>
      <c r="BG9" s="168"/>
      <c r="BH9" s="168"/>
      <c r="BI9" s="176">
        <v>10</v>
      </c>
      <c r="BJ9" s="176">
        <v>28</v>
      </c>
      <c r="BK9" s="169"/>
      <c r="BL9" s="185">
        <v>0.8</v>
      </c>
      <c r="BM9" s="182">
        <v>0.82</v>
      </c>
      <c r="BN9" s="186">
        <v>7.5000000000000002E-4</v>
      </c>
      <c r="BO9" s="187">
        <v>0.95</v>
      </c>
      <c r="BP9" s="178">
        <v>1</v>
      </c>
      <c r="BQ9" s="186">
        <v>2.5000000000000001E-3</v>
      </c>
    </row>
    <row r="10" spans="1:69" s="156" customFormat="1" ht="22.35" customHeight="1" x14ac:dyDescent="0.2">
      <c r="A10" s="165" t="s">
        <v>4</v>
      </c>
      <c r="B10" s="165" t="s">
        <v>0</v>
      </c>
      <c r="C10" s="165" t="s">
        <v>59</v>
      </c>
      <c r="D10" s="166">
        <v>6.67734879333333</v>
      </c>
      <c r="E10" s="167"/>
      <c r="F10" s="168">
        <v>5.7000000000000002E-2</v>
      </c>
      <c r="G10" s="168">
        <v>0.04</v>
      </c>
      <c r="H10" s="169"/>
      <c r="I10" s="170">
        <v>6</v>
      </c>
      <c r="J10" s="170">
        <v>5</v>
      </c>
      <c r="K10" s="167"/>
      <c r="L10" s="171">
        <v>2698.1465199999998</v>
      </c>
      <c r="M10" s="171">
        <v>3152.4227000000001</v>
      </c>
      <c r="N10" s="171">
        <v>5850.5692200000003</v>
      </c>
      <c r="O10" s="166">
        <v>876.18146079791597</v>
      </c>
      <c r="P10" s="172">
        <v>234.65600000000001</v>
      </c>
      <c r="Q10" s="178">
        <v>3.7338975385155999</v>
      </c>
      <c r="R10" s="179">
        <v>4139.5363053743204</v>
      </c>
      <c r="S10" s="168">
        <v>0.01</v>
      </c>
      <c r="T10" s="168">
        <v>0.01</v>
      </c>
      <c r="U10" s="175">
        <v>0</v>
      </c>
      <c r="V10" s="176">
        <v>0</v>
      </c>
      <c r="W10" s="167"/>
      <c r="X10" s="175">
        <v>4900.5916100000004</v>
      </c>
      <c r="Y10" s="166">
        <v>733.91277910968995</v>
      </c>
      <c r="Z10" s="177">
        <v>573</v>
      </c>
      <c r="AA10" s="178">
        <v>1.2808250944322701</v>
      </c>
      <c r="AB10" s="179">
        <v>722.46763243064299</v>
      </c>
      <c r="AC10" s="168">
        <v>0.02</v>
      </c>
      <c r="AD10" s="168">
        <v>0.02</v>
      </c>
      <c r="AE10" s="176">
        <v>0</v>
      </c>
      <c r="AF10" s="176">
        <v>0</v>
      </c>
      <c r="AG10" s="167"/>
      <c r="AH10" s="180">
        <v>409.2</v>
      </c>
      <c r="AI10" s="166">
        <v>61.281806996295501</v>
      </c>
      <c r="AJ10" s="181" t="s">
        <v>53</v>
      </c>
      <c r="AK10" s="182">
        <v>0.97272709517929301</v>
      </c>
      <c r="AL10" s="183">
        <v>-50.174887586159699</v>
      </c>
      <c r="AM10" s="168">
        <v>7.0000000000000001E-3</v>
      </c>
      <c r="AN10" s="168"/>
      <c r="AO10" s="176">
        <v>12</v>
      </c>
      <c r="AP10" s="176">
        <v>96</v>
      </c>
      <c r="AQ10" s="167"/>
      <c r="AR10" s="180">
        <v>53.7</v>
      </c>
      <c r="AS10" s="166">
        <v>8.0421139679889304</v>
      </c>
      <c r="AT10" s="181" t="s">
        <v>54</v>
      </c>
      <c r="AU10" s="173">
        <v>0.50263212299930804</v>
      </c>
      <c r="AV10" s="174">
        <v>-62.966638117119899</v>
      </c>
      <c r="AW10" s="168"/>
      <c r="AX10" s="168"/>
      <c r="AY10" s="176">
        <v>54</v>
      </c>
      <c r="AZ10" s="176">
        <v>75</v>
      </c>
      <c r="BA10" s="167"/>
      <c r="BB10" s="184">
        <v>235.8</v>
      </c>
      <c r="BC10" s="180">
        <v>35.313416641560302</v>
      </c>
      <c r="BD10" s="181" t="s">
        <v>55</v>
      </c>
      <c r="BE10" s="178">
        <v>1.1035442700487601</v>
      </c>
      <c r="BF10" s="179">
        <v>2.46672376576015</v>
      </c>
      <c r="BG10" s="168">
        <v>0.02</v>
      </c>
      <c r="BH10" s="168">
        <v>0.01</v>
      </c>
      <c r="BI10" s="176">
        <v>0</v>
      </c>
      <c r="BJ10" s="176">
        <v>21</v>
      </c>
      <c r="BK10" s="169"/>
      <c r="BL10" s="185">
        <v>0.8</v>
      </c>
      <c r="BM10" s="182">
        <v>0.85</v>
      </c>
      <c r="BN10" s="186">
        <v>1.8749999999999999E-3</v>
      </c>
      <c r="BO10" s="187">
        <v>0.95</v>
      </c>
      <c r="BP10" s="178">
        <v>1</v>
      </c>
      <c r="BQ10" s="186">
        <v>2.5000000000000001E-3</v>
      </c>
    </row>
    <row r="11" spans="1:69" s="156" customFormat="1" ht="22.35" customHeight="1" x14ac:dyDescent="0.2">
      <c r="A11" s="165" t="s">
        <v>4</v>
      </c>
      <c r="B11" s="165" t="s">
        <v>0</v>
      </c>
      <c r="C11" s="165" t="s">
        <v>60</v>
      </c>
      <c r="D11" s="166">
        <v>2.0789473684444402</v>
      </c>
      <c r="E11" s="167"/>
      <c r="F11" s="168">
        <v>5.1999999999999998E-2</v>
      </c>
      <c r="G11" s="168">
        <v>3.4000000000000002E-2</v>
      </c>
      <c r="H11" s="169"/>
      <c r="I11" s="170">
        <v>6</v>
      </c>
      <c r="J11" s="170">
        <v>5</v>
      </c>
      <c r="K11" s="167"/>
      <c r="L11" s="171">
        <v>339.20531999999997</v>
      </c>
      <c r="M11" s="171">
        <v>251.37142</v>
      </c>
      <c r="N11" s="171">
        <v>590.57673999999997</v>
      </c>
      <c r="O11" s="166">
        <v>284.07488759173998</v>
      </c>
      <c r="P11" s="172">
        <v>214.66499999999999</v>
      </c>
      <c r="Q11" s="178">
        <v>1.3233404960833901</v>
      </c>
      <c r="R11" s="179">
        <v>103.241997362939</v>
      </c>
      <c r="S11" s="168">
        <v>0.01</v>
      </c>
      <c r="T11" s="168">
        <v>0.01</v>
      </c>
      <c r="U11" s="175">
        <v>0</v>
      </c>
      <c r="V11" s="176">
        <v>0</v>
      </c>
      <c r="W11" s="167"/>
      <c r="X11" s="175">
        <v>1241.1084499999999</v>
      </c>
      <c r="Y11" s="166">
        <v>596.98887467682698</v>
      </c>
      <c r="Z11" s="177">
        <v>573</v>
      </c>
      <c r="AA11" s="182">
        <v>1.0418654008321599</v>
      </c>
      <c r="AB11" s="183">
        <v>-59.722181593581098</v>
      </c>
      <c r="AC11" s="168">
        <v>1.4E-2</v>
      </c>
      <c r="AD11" s="168">
        <v>4.0000000000000001E-3</v>
      </c>
      <c r="AE11" s="176">
        <v>0</v>
      </c>
      <c r="AF11" s="176">
        <v>189</v>
      </c>
      <c r="AG11" s="167"/>
      <c r="AH11" s="180">
        <v>128.5</v>
      </c>
      <c r="AI11" s="166">
        <v>61.810126581582999</v>
      </c>
      <c r="AJ11" s="181" t="s">
        <v>53</v>
      </c>
      <c r="AK11" s="182">
        <v>0.98111312034258702</v>
      </c>
      <c r="AL11" s="183">
        <v>-14.523263159503699</v>
      </c>
      <c r="AM11" s="168">
        <v>8.0000000000000002E-3</v>
      </c>
      <c r="AN11" s="168"/>
      <c r="AO11" s="176">
        <v>3</v>
      </c>
      <c r="AP11" s="176">
        <v>29</v>
      </c>
      <c r="AQ11" s="167"/>
      <c r="AR11" s="180">
        <v>24.4</v>
      </c>
      <c r="AS11" s="166">
        <v>11.736708860627401</v>
      </c>
      <c r="AT11" s="181" t="s">
        <v>54</v>
      </c>
      <c r="AU11" s="188">
        <v>0.73354430378921398</v>
      </c>
      <c r="AV11" s="171">
        <v>-11.9233684214613</v>
      </c>
      <c r="AW11" s="168"/>
      <c r="AX11" s="168"/>
      <c r="AY11" s="176">
        <v>9</v>
      </c>
      <c r="AZ11" s="176">
        <v>16</v>
      </c>
      <c r="BA11" s="167"/>
      <c r="BB11" s="184">
        <v>81.8</v>
      </c>
      <c r="BC11" s="180">
        <v>39.3468354425952</v>
      </c>
      <c r="BD11" s="181" t="s">
        <v>55</v>
      </c>
      <c r="BE11" s="178">
        <v>1.2295886075811</v>
      </c>
      <c r="BF11" s="179">
        <v>9.1532631570774896</v>
      </c>
      <c r="BG11" s="168">
        <v>0.02</v>
      </c>
      <c r="BH11" s="168">
        <v>0.02</v>
      </c>
      <c r="BI11" s="176">
        <v>0</v>
      </c>
      <c r="BJ11" s="176">
        <v>0</v>
      </c>
      <c r="BK11" s="169"/>
      <c r="BL11" s="185">
        <v>0.8</v>
      </c>
      <c r="BM11" s="182">
        <v>0.85</v>
      </c>
      <c r="BN11" s="186">
        <v>1.8749999999999999E-3</v>
      </c>
      <c r="BO11" s="187">
        <v>0.95</v>
      </c>
      <c r="BP11" s="178">
        <v>1</v>
      </c>
      <c r="BQ11" s="186">
        <v>2.5000000000000001E-3</v>
      </c>
    </row>
    <row r="12" spans="1:69" s="156" customFormat="1" ht="22.35" customHeight="1" x14ac:dyDescent="0.2">
      <c r="A12" s="165" t="s">
        <v>4</v>
      </c>
      <c r="B12" s="165" t="s">
        <v>0</v>
      </c>
      <c r="C12" s="165" t="s">
        <v>61</v>
      </c>
      <c r="D12" s="166">
        <v>5.4163613696666699</v>
      </c>
      <c r="E12" s="167"/>
      <c r="F12" s="168">
        <v>4.2999999999999997E-2</v>
      </c>
      <c r="G12" s="168">
        <v>0.03</v>
      </c>
      <c r="H12" s="169"/>
      <c r="I12" s="170">
        <v>4</v>
      </c>
      <c r="J12" s="170">
        <v>4</v>
      </c>
      <c r="K12" s="167"/>
      <c r="L12" s="171">
        <v>1780.8915999999999</v>
      </c>
      <c r="M12" s="171">
        <v>2077.2503499999998</v>
      </c>
      <c r="N12" s="171">
        <v>3858.1419500000002</v>
      </c>
      <c r="O12" s="166">
        <v>712.31250773015495</v>
      </c>
      <c r="P12" s="172">
        <v>216.447</v>
      </c>
      <c r="Q12" s="178">
        <v>3.2909326889730699</v>
      </c>
      <c r="R12" s="179">
        <v>2577.9301050367799</v>
      </c>
      <c r="S12" s="168">
        <v>0.01</v>
      </c>
      <c r="T12" s="168">
        <v>0.01</v>
      </c>
      <c r="U12" s="175">
        <v>0</v>
      </c>
      <c r="V12" s="176">
        <v>0</v>
      </c>
      <c r="W12" s="167"/>
      <c r="X12" s="175">
        <v>3204.6095999999998</v>
      </c>
      <c r="Y12" s="166">
        <v>591.653580934763</v>
      </c>
      <c r="Z12" s="177">
        <v>573</v>
      </c>
      <c r="AA12" s="182">
        <v>1.0325542424690399</v>
      </c>
      <c r="AB12" s="183">
        <v>-184.49437078234899</v>
      </c>
      <c r="AC12" s="168">
        <v>1.2999999999999999E-2</v>
      </c>
      <c r="AD12" s="168">
        <v>3.0000000000000001E-3</v>
      </c>
      <c r="AE12" s="176">
        <v>0</v>
      </c>
      <c r="AF12" s="176">
        <v>520</v>
      </c>
      <c r="AG12" s="167"/>
      <c r="AH12" s="180">
        <v>307.39999999999998</v>
      </c>
      <c r="AI12" s="166">
        <v>56.7539680276019</v>
      </c>
      <c r="AJ12" s="181" t="s">
        <v>53</v>
      </c>
      <c r="AK12" s="188">
        <v>0.90085663535876004</v>
      </c>
      <c r="AL12" s="171">
        <v>-65.223996787588206</v>
      </c>
      <c r="AM12" s="168"/>
      <c r="AN12" s="168"/>
      <c r="AO12" s="176">
        <v>34</v>
      </c>
      <c r="AP12" s="176">
        <v>103</v>
      </c>
      <c r="AQ12" s="167"/>
      <c r="AR12" s="180">
        <v>46.2</v>
      </c>
      <c r="AS12" s="166">
        <v>8.5297115252934503</v>
      </c>
      <c r="AT12" s="181" t="s">
        <v>54</v>
      </c>
      <c r="AU12" s="173">
        <v>0.53310697033084098</v>
      </c>
      <c r="AV12" s="174">
        <v>-48.434665850816003</v>
      </c>
      <c r="AW12" s="168"/>
      <c r="AX12" s="168"/>
      <c r="AY12" s="176">
        <v>41</v>
      </c>
      <c r="AZ12" s="176">
        <v>58</v>
      </c>
      <c r="BA12" s="167"/>
      <c r="BB12" s="184">
        <v>202.2</v>
      </c>
      <c r="BC12" s="180">
        <v>37.3313348574532</v>
      </c>
      <c r="BD12" s="181" t="s">
        <v>55</v>
      </c>
      <c r="BE12" s="178">
        <v>1.1666042142954101</v>
      </c>
      <c r="BF12" s="179">
        <v>12.9306682983679</v>
      </c>
      <c r="BG12" s="168">
        <v>0.02</v>
      </c>
      <c r="BH12" s="168">
        <v>1.7000000000000001E-2</v>
      </c>
      <c r="BI12" s="176">
        <v>0</v>
      </c>
      <c r="BJ12" s="176">
        <v>6</v>
      </c>
      <c r="BK12" s="169"/>
      <c r="BL12" s="185">
        <v>0.8</v>
      </c>
      <c r="BM12" s="188">
        <v>0.78</v>
      </c>
      <c r="BN12" s="186"/>
      <c r="BO12" s="187">
        <v>0.95</v>
      </c>
      <c r="BP12" s="178">
        <v>1</v>
      </c>
      <c r="BQ12" s="186">
        <v>2.5000000000000001E-3</v>
      </c>
    </row>
    <row r="13" spans="1:69" s="156" customFormat="1" ht="22.35" customHeight="1" x14ac:dyDescent="0.2">
      <c r="A13" s="165" t="s">
        <v>4</v>
      </c>
      <c r="B13" s="165" t="s">
        <v>0</v>
      </c>
      <c r="C13" s="165" t="s">
        <v>62</v>
      </c>
      <c r="D13" s="166">
        <v>2.5347178251111102</v>
      </c>
      <c r="E13" s="167"/>
      <c r="F13" s="168">
        <v>6.8500000000000005E-2</v>
      </c>
      <c r="G13" s="168">
        <v>5.8000000000000003E-2</v>
      </c>
      <c r="H13" s="169"/>
      <c r="I13" s="170">
        <v>7</v>
      </c>
      <c r="J13" s="170">
        <v>6</v>
      </c>
      <c r="K13" s="167"/>
      <c r="L13" s="171">
        <v>2032.6742999999999</v>
      </c>
      <c r="M13" s="171">
        <v>1573.63273</v>
      </c>
      <c r="N13" s="171">
        <v>3606.3070299999999</v>
      </c>
      <c r="O13" s="166">
        <v>1422.7646936762701</v>
      </c>
      <c r="P13" s="172">
        <v>223.197</v>
      </c>
      <c r="Q13" s="178">
        <v>6.3744794673596399</v>
      </c>
      <c r="R13" s="179">
        <v>2988.5174054628301</v>
      </c>
      <c r="S13" s="168">
        <v>0.01</v>
      </c>
      <c r="T13" s="168">
        <v>0.01</v>
      </c>
      <c r="U13" s="175">
        <v>0</v>
      </c>
      <c r="V13" s="176">
        <v>0</v>
      </c>
      <c r="W13" s="167"/>
      <c r="X13" s="175">
        <v>2263.8560600000001</v>
      </c>
      <c r="Y13" s="166">
        <v>893.13928263425601</v>
      </c>
      <c r="Z13" s="177">
        <v>573</v>
      </c>
      <c r="AA13" s="178">
        <v>1.5587072995362199</v>
      </c>
      <c r="AB13" s="179">
        <v>677.842561342777</v>
      </c>
      <c r="AC13" s="168">
        <v>0.02</v>
      </c>
      <c r="AD13" s="168">
        <v>0.02</v>
      </c>
      <c r="AE13" s="176">
        <v>0</v>
      </c>
      <c r="AF13" s="176">
        <v>0</v>
      </c>
      <c r="AG13" s="167"/>
      <c r="AH13" s="180">
        <v>171.85</v>
      </c>
      <c r="AI13" s="166">
        <v>67.798473777832399</v>
      </c>
      <c r="AJ13" s="181" t="s">
        <v>53</v>
      </c>
      <c r="AK13" s="182">
        <v>1.0761662504417799</v>
      </c>
      <c r="AL13" s="183">
        <v>-2.5284474963439401</v>
      </c>
      <c r="AM13" s="168">
        <v>1.7999999999999999E-2</v>
      </c>
      <c r="AN13" s="168">
        <v>8.0000000000000002E-3</v>
      </c>
      <c r="AO13" s="176">
        <v>0</v>
      </c>
      <c r="AP13" s="176">
        <v>20</v>
      </c>
      <c r="AQ13" s="167"/>
      <c r="AR13" s="180">
        <v>37.4</v>
      </c>
      <c r="AS13" s="166">
        <v>14.7550940895603</v>
      </c>
      <c r="AT13" s="181" t="s">
        <v>54</v>
      </c>
      <c r="AU13" s="182">
        <v>0.92219338059751599</v>
      </c>
      <c r="AV13" s="183">
        <v>-6.8865898403413199</v>
      </c>
      <c r="AW13" s="168">
        <v>5.0000000000000001E-4</v>
      </c>
      <c r="AX13" s="168"/>
      <c r="AY13" s="176">
        <v>4</v>
      </c>
      <c r="AZ13" s="176">
        <v>12</v>
      </c>
      <c r="BA13" s="167"/>
      <c r="BB13" s="184">
        <v>146.80000000000001</v>
      </c>
      <c r="BC13" s="180">
        <v>57.915716907685699</v>
      </c>
      <c r="BD13" s="181" t="s">
        <v>55</v>
      </c>
      <c r="BE13" s="178">
        <v>1.8098661533651801</v>
      </c>
      <c r="BF13" s="179">
        <v>58.226820319317397</v>
      </c>
      <c r="BG13" s="168">
        <v>0.02</v>
      </c>
      <c r="BH13" s="168">
        <v>0.02</v>
      </c>
      <c r="BI13" s="176">
        <v>0</v>
      </c>
      <c r="BJ13" s="176">
        <v>0</v>
      </c>
      <c r="BK13" s="169"/>
      <c r="BL13" s="185">
        <v>0.8</v>
      </c>
      <c r="BM13" s="182">
        <v>0.82</v>
      </c>
      <c r="BN13" s="186">
        <v>7.5000000000000002E-4</v>
      </c>
      <c r="BO13" s="187">
        <v>0.95</v>
      </c>
      <c r="BP13" s="178">
        <v>1</v>
      </c>
      <c r="BQ13" s="186">
        <v>2.5000000000000001E-3</v>
      </c>
    </row>
    <row r="14" spans="1:69" s="156" customFormat="1" ht="22.35" customHeight="1" x14ac:dyDescent="0.2">
      <c r="A14" s="165" t="s">
        <v>4</v>
      </c>
      <c r="B14" s="165" t="s">
        <v>0</v>
      </c>
      <c r="C14" s="165" t="s">
        <v>63</v>
      </c>
      <c r="D14" s="166">
        <v>2.8184251681111099</v>
      </c>
      <c r="E14" s="167"/>
      <c r="F14" s="168">
        <v>0.02</v>
      </c>
      <c r="G14" s="168">
        <v>0.02</v>
      </c>
      <c r="H14" s="169"/>
      <c r="I14" s="170">
        <v>2</v>
      </c>
      <c r="J14" s="170">
        <v>2</v>
      </c>
      <c r="K14" s="167"/>
      <c r="L14" s="171">
        <v>1403.91356</v>
      </c>
      <c r="M14" s="171">
        <v>-1124.53325</v>
      </c>
      <c r="N14" s="171">
        <v>279.38031000000001</v>
      </c>
      <c r="O14" s="166">
        <v>99.126389148461499</v>
      </c>
      <c r="P14" s="172">
        <v>212.5</v>
      </c>
      <c r="Q14" s="173">
        <v>0.46647712540452502</v>
      </c>
      <c r="R14" s="174">
        <v>-374.635250260183</v>
      </c>
      <c r="S14" s="168"/>
      <c r="T14" s="168"/>
      <c r="U14" s="175">
        <v>320</v>
      </c>
      <c r="V14" s="176">
        <v>440</v>
      </c>
      <c r="W14" s="167"/>
      <c r="X14" s="175">
        <v>2082.6028849999998</v>
      </c>
      <c r="Y14" s="166">
        <v>738.92431438786298</v>
      </c>
      <c r="Z14" s="177">
        <v>573</v>
      </c>
      <c r="AA14" s="178">
        <v>1.28957122929819</v>
      </c>
      <c r="AB14" s="179">
        <v>319.06916251018902</v>
      </c>
      <c r="AC14" s="168">
        <v>0.02</v>
      </c>
      <c r="AD14" s="168">
        <v>0.02</v>
      </c>
      <c r="AE14" s="176">
        <v>0</v>
      </c>
      <c r="AF14" s="176">
        <v>0</v>
      </c>
      <c r="AG14" s="167"/>
      <c r="AH14" s="180">
        <v>147.19999999999999</v>
      </c>
      <c r="AI14" s="166">
        <v>52.227748199769501</v>
      </c>
      <c r="AJ14" s="181" t="s">
        <v>53</v>
      </c>
      <c r="AK14" s="188">
        <v>0.82901187618681704</v>
      </c>
      <c r="AL14" s="171">
        <v>-46.6963778653719</v>
      </c>
      <c r="AM14" s="168"/>
      <c r="AN14" s="168"/>
      <c r="AO14" s="176">
        <v>31</v>
      </c>
      <c r="AP14" s="176">
        <v>66</v>
      </c>
      <c r="AQ14" s="167"/>
      <c r="AR14" s="180">
        <v>15.3</v>
      </c>
      <c r="AS14" s="166">
        <v>5.4285635017423397</v>
      </c>
      <c r="AT14" s="181" t="s">
        <v>54</v>
      </c>
      <c r="AU14" s="173">
        <v>0.33928521885889601</v>
      </c>
      <c r="AV14" s="174">
        <v>-33.943524537237302</v>
      </c>
      <c r="AW14" s="168"/>
      <c r="AX14" s="168"/>
      <c r="AY14" s="176">
        <v>30</v>
      </c>
      <c r="AZ14" s="176">
        <v>39</v>
      </c>
      <c r="BA14" s="167"/>
      <c r="BB14" s="184">
        <v>64.400000000000006</v>
      </c>
      <c r="BC14" s="180">
        <v>22.849639837399099</v>
      </c>
      <c r="BD14" s="181" t="s">
        <v>55</v>
      </c>
      <c r="BE14" s="173">
        <v>0.71405124491872296</v>
      </c>
      <c r="BF14" s="174">
        <v>-34.087049074474599</v>
      </c>
      <c r="BG14" s="168"/>
      <c r="BH14" s="168"/>
      <c r="BI14" s="176">
        <v>26</v>
      </c>
      <c r="BJ14" s="176">
        <v>44</v>
      </c>
      <c r="BK14" s="169"/>
      <c r="BL14" s="185">
        <v>0.8</v>
      </c>
      <c r="BM14" s="188">
        <v>0.79</v>
      </c>
      <c r="BN14" s="186"/>
      <c r="BO14" s="187">
        <v>0.95</v>
      </c>
      <c r="BP14" s="178">
        <v>1</v>
      </c>
      <c r="BQ14" s="186">
        <v>2.5000000000000001E-3</v>
      </c>
    </row>
    <row r="15" spans="1:69" s="156" customFormat="1" ht="22.35" customHeight="1" x14ac:dyDescent="0.2">
      <c r="A15" s="165" t="s">
        <v>4</v>
      </c>
      <c r="B15" s="165" t="s">
        <v>64</v>
      </c>
      <c r="C15" s="165" t="s">
        <v>65</v>
      </c>
      <c r="D15" s="166">
        <v>3.6851069297777799</v>
      </c>
      <c r="E15" s="167"/>
      <c r="F15" s="168">
        <v>1.4E-2</v>
      </c>
      <c r="G15" s="168">
        <v>0.01</v>
      </c>
      <c r="H15" s="169"/>
      <c r="I15" s="170">
        <v>4</v>
      </c>
      <c r="J15" s="170">
        <v>3</v>
      </c>
      <c r="K15" s="167"/>
      <c r="L15" s="171">
        <v>2777.9721500000001</v>
      </c>
      <c r="M15" s="171">
        <v>-1631.2815499999999</v>
      </c>
      <c r="N15" s="171">
        <v>1146.6905999999999</v>
      </c>
      <c r="O15" s="166">
        <v>311.16888108024301</v>
      </c>
      <c r="P15" s="172">
        <v>231.52600000000001</v>
      </c>
      <c r="Q15" s="178">
        <v>1.3439910899002401</v>
      </c>
      <c r="R15" s="179">
        <v>214.99831081008699</v>
      </c>
      <c r="S15" s="168">
        <v>0.01</v>
      </c>
      <c r="T15" s="168">
        <v>0.01</v>
      </c>
      <c r="U15" s="175">
        <v>0</v>
      </c>
      <c r="V15" s="176">
        <v>0</v>
      </c>
      <c r="W15" s="167"/>
      <c r="X15" s="175">
        <v>1991.613245</v>
      </c>
      <c r="Y15" s="166">
        <v>540.44924148784503</v>
      </c>
      <c r="Z15" s="177">
        <v>573</v>
      </c>
      <c r="AA15" s="182">
        <v>0.94319239352154405</v>
      </c>
      <c r="AB15" s="183">
        <v>-314.217122672833</v>
      </c>
      <c r="AC15" s="168">
        <v>4.0000000000000001E-3</v>
      </c>
      <c r="AD15" s="168"/>
      <c r="AE15" s="176">
        <v>120</v>
      </c>
      <c r="AF15" s="176">
        <v>543</v>
      </c>
      <c r="AG15" s="167"/>
      <c r="AH15" s="180">
        <v>172.5</v>
      </c>
      <c r="AI15" s="166">
        <v>46.810039243665102</v>
      </c>
      <c r="AJ15" s="181" t="s">
        <v>53</v>
      </c>
      <c r="AK15" s="188">
        <v>0.74301649593119201</v>
      </c>
      <c r="AL15" s="171">
        <v>-81.020616340992206</v>
      </c>
      <c r="AM15" s="168"/>
      <c r="AN15" s="168"/>
      <c r="AO15" s="176">
        <v>60</v>
      </c>
      <c r="AP15" s="176">
        <v>107</v>
      </c>
      <c r="AQ15" s="167"/>
      <c r="AR15" s="180">
        <v>16.600000000000001</v>
      </c>
      <c r="AS15" s="166">
        <v>4.5046182692454497</v>
      </c>
      <c r="AT15" s="181" t="s">
        <v>54</v>
      </c>
      <c r="AU15" s="173">
        <v>0.281538641827841</v>
      </c>
      <c r="AV15" s="174">
        <v>-47.7861882770774</v>
      </c>
      <c r="AW15" s="168"/>
      <c r="AX15" s="168"/>
      <c r="AY15" s="176">
        <v>43</v>
      </c>
      <c r="AZ15" s="176">
        <v>55</v>
      </c>
      <c r="BA15" s="167"/>
      <c r="BB15" s="184">
        <v>97.4</v>
      </c>
      <c r="BC15" s="180">
        <v>26.430712013524499</v>
      </c>
      <c r="BD15" s="181" t="s">
        <v>55</v>
      </c>
      <c r="BE15" s="188">
        <v>0.82595975042264103</v>
      </c>
      <c r="BF15" s="171">
        <v>-31.372376554154801</v>
      </c>
      <c r="BG15" s="168"/>
      <c r="BH15" s="168"/>
      <c r="BI15" s="176">
        <v>21</v>
      </c>
      <c r="BJ15" s="176">
        <v>45</v>
      </c>
      <c r="BK15" s="169"/>
      <c r="BL15" s="185">
        <v>0.8</v>
      </c>
      <c r="BM15" s="182">
        <v>0.81</v>
      </c>
      <c r="BN15" s="186">
        <v>3.7500000000000001E-4</v>
      </c>
      <c r="BO15" s="187">
        <v>0.95</v>
      </c>
      <c r="BP15" s="178">
        <v>1</v>
      </c>
      <c r="BQ15" s="186">
        <v>2.5000000000000001E-3</v>
      </c>
    </row>
    <row r="16" spans="1:69" s="156" customFormat="1" ht="22.35" customHeight="1" x14ac:dyDescent="0.2">
      <c r="A16" s="165" t="s">
        <v>4</v>
      </c>
      <c r="B16" s="165" t="s">
        <v>64</v>
      </c>
      <c r="C16" s="165" t="s">
        <v>66</v>
      </c>
      <c r="D16" s="166">
        <v>2.98808404311111</v>
      </c>
      <c r="E16" s="167"/>
      <c r="F16" s="168">
        <v>0.05</v>
      </c>
      <c r="G16" s="168">
        <v>4.1000000000000002E-2</v>
      </c>
      <c r="H16" s="169"/>
      <c r="I16" s="170">
        <v>5</v>
      </c>
      <c r="J16" s="170">
        <v>5</v>
      </c>
      <c r="K16" s="167"/>
      <c r="L16" s="171">
        <v>1685.7741699999999</v>
      </c>
      <c r="M16" s="171">
        <v>347.00355000000002</v>
      </c>
      <c r="N16" s="171">
        <v>2032.77772</v>
      </c>
      <c r="O16" s="166">
        <v>680.29469408214095</v>
      </c>
      <c r="P16" s="172">
        <v>233.14400000000001</v>
      </c>
      <c r="Q16" s="178">
        <v>2.91791636963482</v>
      </c>
      <c r="R16" s="179">
        <v>1272.03169816737</v>
      </c>
      <c r="S16" s="168">
        <v>0.01</v>
      </c>
      <c r="T16" s="168">
        <v>0.01</v>
      </c>
      <c r="U16" s="175">
        <v>0</v>
      </c>
      <c r="V16" s="176">
        <v>0</v>
      </c>
      <c r="W16" s="167"/>
      <c r="X16" s="175">
        <v>2154.3145450000002</v>
      </c>
      <c r="Y16" s="166">
        <v>720.96852495386497</v>
      </c>
      <c r="Z16" s="177">
        <v>573</v>
      </c>
      <c r="AA16" s="178">
        <v>1.25823477304339</v>
      </c>
      <c r="AB16" s="179">
        <v>284.62254988068901</v>
      </c>
      <c r="AC16" s="168">
        <v>0.02</v>
      </c>
      <c r="AD16" s="168">
        <v>0.02</v>
      </c>
      <c r="AE16" s="176">
        <v>0</v>
      </c>
      <c r="AF16" s="176">
        <v>0</v>
      </c>
      <c r="AG16" s="167"/>
      <c r="AH16" s="180">
        <v>171.3</v>
      </c>
      <c r="AI16" s="166">
        <v>57.3277048197236</v>
      </c>
      <c r="AJ16" s="181" t="s">
        <v>53</v>
      </c>
      <c r="AK16" s="188">
        <v>0.90996356856704097</v>
      </c>
      <c r="AL16" s="171">
        <v>-34.268229829871899</v>
      </c>
      <c r="AM16" s="168">
        <v>0</v>
      </c>
      <c r="AN16" s="168"/>
      <c r="AO16" s="176">
        <v>17</v>
      </c>
      <c r="AP16" s="176">
        <v>55</v>
      </c>
      <c r="AQ16" s="167"/>
      <c r="AR16" s="180">
        <v>19.8</v>
      </c>
      <c r="AS16" s="166">
        <v>6.6263196464128802</v>
      </c>
      <c r="AT16" s="181" t="s">
        <v>54</v>
      </c>
      <c r="AU16" s="173">
        <v>0.41414497790080501</v>
      </c>
      <c r="AV16" s="174">
        <v>-32.4078044012373</v>
      </c>
      <c r="AW16" s="168"/>
      <c r="AX16" s="168"/>
      <c r="AY16" s="176">
        <v>29</v>
      </c>
      <c r="AZ16" s="176">
        <v>38</v>
      </c>
      <c r="BA16" s="167"/>
      <c r="BB16" s="184">
        <v>105.8</v>
      </c>
      <c r="BC16" s="180">
        <v>35.407303969216301</v>
      </c>
      <c r="BD16" s="181" t="s">
        <v>55</v>
      </c>
      <c r="BE16" s="178">
        <v>1.1064782490380101</v>
      </c>
      <c r="BF16" s="179">
        <v>1.38439119752537</v>
      </c>
      <c r="BG16" s="168">
        <v>0.02</v>
      </c>
      <c r="BH16" s="168">
        <v>1.0999999999999999E-2</v>
      </c>
      <c r="BI16" s="176">
        <v>0</v>
      </c>
      <c r="BJ16" s="176">
        <v>9</v>
      </c>
      <c r="BK16" s="169"/>
      <c r="BL16" s="185">
        <v>0.8</v>
      </c>
      <c r="BM16" s="182">
        <v>0.81</v>
      </c>
      <c r="BN16" s="186">
        <v>3.7500000000000001E-4</v>
      </c>
      <c r="BO16" s="187">
        <v>0.95</v>
      </c>
      <c r="BP16" s="178">
        <v>1</v>
      </c>
      <c r="BQ16" s="186">
        <v>2.5000000000000001E-3</v>
      </c>
    </row>
    <row r="17" spans="1:69" s="156" customFormat="1" ht="22.35" customHeight="1" x14ac:dyDescent="0.2">
      <c r="A17" s="165" t="s">
        <v>4</v>
      </c>
      <c r="B17" s="165" t="s">
        <v>64</v>
      </c>
      <c r="C17" s="165" t="s">
        <v>67</v>
      </c>
      <c r="D17" s="166">
        <v>3.7318809292222199</v>
      </c>
      <c r="E17" s="167"/>
      <c r="F17" s="168">
        <v>0.05</v>
      </c>
      <c r="G17" s="168">
        <v>0.04</v>
      </c>
      <c r="H17" s="169"/>
      <c r="I17" s="170">
        <v>4</v>
      </c>
      <c r="J17" s="170">
        <v>4</v>
      </c>
      <c r="K17" s="167"/>
      <c r="L17" s="171">
        <v>1147.09989</v>
      </c>
      <c r="M17" s="171">
        <v>1168.21695</v>
      </c>
      <c r="N17" s="171">
        <v>2315.31684</v>
      </c>
      <c r="O17" s="166">
        <v>620.41551804884205</v>
      </c>
      <c r="P17" s="172">
        <v>246.29499999999999</v>
      </c>
      <c r="Q17" s="178">
        <v>2.51899355670575</v>
      </c>
      <c r="R17" s="179">
        <v>1311.61201409864</v>
      </c>
      <c r="S17" s="168">
        <v>0.01</v>
      </c>
      <c r="T17" s="168">
        <v>0.01</v>
      </c>
      <c r="U17" s="175">
        <v>0</v>
      </c>
      <c r="V17" s="176">
        <v>0</v>
      </c>
      <c r="W17" s="167"/>
      <c r="X17" s="175">
        <v>2740.45471</v>
      </c>
      <c r="Y17" s="166">
        <v>734.33605250935796</v>
      </c>
      <c r="Z17" s="177">
        <v>573</v>
      </c>
      <c r="AA17" s="178">
        <v>1.2815637914648501</v>
      </c>
      <c r="AB17" s="179">
        <v>405.35710249078898</v>
      </c>
      <c r="AC17" s="168">
        <v>0.02</v>
      </c>
      <c r="AD17" s="168">
        <v>0.02</v>
      </c>
      <c r="AE17" s="176">
        <v>0</v>
      </c>
      <c r="AF17" s="176">
        <v>0</v>
      </c>
      <c r="AG17" s="167"/>
      <c r="AH17" s="180">
        <v>147.1</v>
      </c>
      <c r="AI17" s="166">
        <v>39.417120425291202</v>
      </c>
      <c r="AJ17" s="181" t="s">
        <v>53</v>
      </c>
      <c r="AK17" s="173">
        <v>0.62566857817922505</v>
      </c>
      <c r="AL17" s="174">
        <v>-109.638480406772</v>
      </c>
      <c r="AM17" s="168"/>
      <c r="AN17" s="168"/>
      <c r="AO17" s="176">
        <v>89</v>
      </c>
      <c r="AP17" s="176">
        <v>136</v>
      </c>
      <c r="AQ17" s="167"/>
      <c r="AR17" s="180">
        <v>18.100000000000001</v>
      </c>
      <c r="AS17" s="166">
        <v>4.8501011536218304</v>
      </c>
      <c r="AT17" s="181" t="s">
        <v>54</v>
      </c>
      <c r="AU17" s="173">
        <v>0.30313132210136401</v>
      </c>
      <c r="AV17" s="174">
        <v>-47.1034235953706</v>
      </c>
      <c r="AW17" s="168"/>
      <c r="AX17" s="168"/>
      <c r="AY17" s="176">
        <v>42</v>
      </c>
      <c r="AZ17" s="176">
        <v>54</v>
      </c>
      <c r="BA17" s="167"/>
      <c r="BB17" s="184">
        <v>131.19999999999999</v>
      </c>
      <c r="BC17" s="180">
        <v>35.156534329015699</v>
      </c>
      <c r="BD17" s="181" t="s">
        <v>55</v>
      </c>
      <c r="BE17" s="178">
        <v>1.0986416977817399</v>
      </c>
      <c r="BF17" s="179">
        <v>0.79315280925871401</v>
      </c>
      <c r="BG17" s="168">
        <v>0.02</v>
      </c>
      <c r="BH17" s="168">
        <v>0.01</v>
      </c>
      <c r="BI17" s="176">
        <v>0</v>
      </c>
      <c r="BJ17" s="176">
        <v>13</v>
      </c>
      <c r="BK17" s="169"/>
      <c r="BL17" s="185">
        <v>0.8</v>
      </c>
      <c r="BM17" s="188">
        <v>0.77</v>
      </c>
      <c r="BN17" s="186"/>
      <c r="BO17" s="187">
        <v>0.95</v>
      </c>
      <c r="BP17" s="178">
        <v>1</v>
      </c>
      <c r="BQ17" s="186">
        <v>2.5000000000000001E-3</v>
      </c>
    </row>
    <row r="18" spans="1:69" s="156" customFormat="1" ht="22.35" customHeight="1" x14ac:dyDescent="0.2">
      <c r="A18" s="165" t="s">
        <v>4</v>
      </c>
      <c r="B18" s="165" t="s">
        <v>64</v>
      </c>
      <c r="C18" s="165" t="s">
        <v>68</v>
      </c>
      <c r="D18" s="166">
        <v>2.4135234434444399</v>
      </c>
      <c r="E18" s="167"/>
      <c r="F18" s="168">
        <v>0.06</v>
      </c>
      <c r="G18" s="168">
        <v>5.7000000000000002E-2</v>
      </c>
      <c r="H18" s="169"/>
      <c r="I18" s="170">
        <v>5</v>
      </c>
      <c r="J18" s="170">
        <v>5</v>
      </c>
      <c r="K18" s="167"/>
      <c r="L18" s="171">
        <v>265.68633999999997</v>
      </c>
      <c r="M18" s="171">
        <v>-858.96829000000002</v>
      </c>
      <c r="N18" s="171">
        <v>-593.28195000000005</v>
      </c>
      <c r="O18" s="166">
        <v>-245.815698045717</v>
      </c>
      <c r="P18" s="172">
        <v>233.14400000000001</v>
      </c>
      <c r="Q18" s="173">
        <v>-1.0543513796010899</v>
      </c>
      <c r="R18" s="174">
        <v>-1207.74872259066</v>
      </c>
      <c r="S18" s="168"/>
      <c r="T18" s="168"/>
      <c r="U18" s="175">
        <v>1156</v>
      </c>
      <c r="V18" s="176">
        <v>1269</v>
      </c>
      <c r="W18" s="167"/>
      <c r="X18" s="175">
        <v>1717.4284299999999</v>
      </c>
      <c r="Y18" s="166">
        <v>711.585559553954</v>
      </c>
      <c r="Z18" s="177">
        <v>573</v>
      </c>
      <c r="AA18" s="178">
        <v>1.24185961527741</v>
      </c>
      <c r="AB18" s="179">
        <v>207.248195061719</v>
      </c>
      <c r="AC18" s="168">
        <v>0.02</v>
      </c>
      <c r="AD18" s="168">
        <v>0.02</v>
      </c>
      <c r="AE18" s="176">
        <v>0</v>
      </c>
      <c r="AF18" s="176">
        <v>0</v>
      </c>
      <c r="AG18" s="167"/>
      <c r="AH18" s="180">
        <v>184.1</v>
      </c>
      <c r="AI18" s="166">
        <v>76.278521553228799</v>
      </c>
      <c r="AJ18" s="181" t="s">
        <v>53</v>
      </c>
      <c r="AK18" s="178">
        <v>1.2107701833845801</v>
      </c>
      <c r="AL18" s="179">
        <v>18.059241184796299</v>
      </c>
      <c r="AM18" s="168">
        <v>0.02</v>
      </c>
      <c r="AN18" s="168">
        <v>0.02</v>
      </c>
      <c r="AO18" s="176">
        <v>0</v>
      </c>
      <c r="AP18" s="176">
        <v>0</v>
      </c>
      <c r="AQ18" s="167"/>
      <c r="AR18" s="180">
        <v>17.3</v>
      </c>
      <c r="AS18" s="166">
        <v>7.1679436331931399</v>
      </c>
      <c r="AT18" s="181" t="s">
        <v>54</v>
      </c>
      <c r="AU18" s="173">
        <v>0.44799647707457102</v>
      </c>
      <c r="AV18" s="174">
        <v>-24.8690816038613</v>
      </c>
      <c r="AW18" s="168"/>
      <c r="AX18" s="168"/>
      <c r="AY18" s="176">
        <v>22</v>
      </c>
      <c r="AZ18" s="176">
        <v>30</v>
      </c>
      <c r="BA18" s="167"/>
      <c r="BB18" s="184">
        <v>90</v>
      </c>
      <c r="BC18" s="180">
        <v>37.289880172681102</v>
      </c>
      <c r="BD18" s="181" t="s">
        <v>55</v>
      </c>
      <c r="BE18" s="178">
        <v>1.16530875539628</v>
      </c>
      <c r="BF18" s="179">
        <v>5.6618367922774802</v>
      </c>
      <c r="BG18" s="168">
        <v>0.02</v>
      </c>
      <c r="BH18" s="168">
        <v>1.7000000000000001E-2</v>
      </c>
      <c r="BI18" s="176">
        <v>0</v>
      </c>
      <c r="BJ18" s="176">
        <v>3</v>
      </c>
      <c r="BK18" s="169"/>
      <c r="BL18" s="185">
        <v>0.8</v>
      </c>
      <c r="BM18" s="182">
        <v>0.86</v>
      </c>
      <c r="BN18" s="186">
        <v>2.2499999999999998E-3</v>
      </c>
      <c r="BO18" s="187">
        <v>0.95</v>
      </c>
      <c r="BP18" s="178">
        <v>1</v>
      </c>
      <c r="BQ18" s="186">
        <v>2.5000000000000001E-3</v>
      </c>
    </row>
    <row r="19" spans="1:69" s="156" customFormat="1" ht="22.35" customHeight="1" x14ac:dyDescent="0.2">
      <c r="A19" s="165" t="s">
        <v>4</v>
      </c>
      <c r="B19" s="165" t="s">
        <v>64</v>
      </c>
      <c r="C19" s="165" t="s">
        <v>69</v>
      </c>
      <c r="D19" s="166">
        <v>5.75203804544444</v>
      </c>
      <c r="E19" s="167"/>
      <c r="F19" s="168">
        <v>0.01</v>
      </c>
      <c r="G19" s="168">
        <v>0.01</v>
      </c>
      <c r="H19" s="169"/>
      <c r="I19" s="170">
        <v>2</v>
      </c>
      <c r="J19" s="170">
        <v>2</v>
      </c>
      <c r="K19" s="167"/>
      <c r="L19" s="171">
        <v>2369.9636700000001</v>
      </c>
      <c r="M19" s="171">
        <v>1868.5891999999999</v>
      </c>
      <c r="N19" s="171">
        <v>4238.5528700000004</v>
      </c>
      <c r="O19" s="166">
        <v>736.87844838872195</v>
      </c>
      <c r="P19" s="172">
        <v>212.5</v>
      </c>
      <c r="Q19" s="178">
        <v>3.46766328653516</v>
      </c>
      <c r="R19" s="179">
        <v>2903.7924415546199</v>
      </c>
      <c r="S19" s="168">
        <v>0.01</v>
      </c>
      <c r="T19" s="168">
        <v>0.01</v>
      </c>
      <c r="U19" s="175">
        <v>0</v>
      </c>
      <c r="V19" s="176">
        <v>0</v>
      </c>
      <c r="W19" s="167"/>
      <c r="X19" s="175">
        <v>2728.077655</v>
      </c>
      <c r="Y19" s="166">
        <v>474.28018268422397</v>
      </c>
      <c r="Z19" s="177">
        <v>573</v>
      </c>
      <c r="AA19" s="188">
        <v>0.82771410590615102</v>
      </c>
      <c r="AB19" s="171">
        <v>-871.064582643314</v>
      </c>
      <c r="AC19" s="168"/>
      <c r="AD19" s="168"/>
      <c r="AE19" s="176">
        <v>568</v>
      </c>
      <c r="AF19" s="176">
        <v>1228</v>
      </c>
      <c r="AG19" s="167"/>
      <c r="AH19" s="180">
        <v>285.89999999999998</v>
      </c>
      <c r="AI19" s="166">
        <v>49.704121867975097</v>
      </c>
      <c r="AJ19" s="181" t="s">
        <v>53</v>
      </c>
      <c r="AK19" s="188">
        <v>0.78895431536468397</v>
      </c>
      <c r="AL19" s="171">
        <v>-109.817209374396</v>
      </c>
      <c r="AM19" s="168"/>
      <c r="AN19" s="168"/>
      <c r="AO19" s="176">
        <v>77</v>
      </c>
      <c r="AP19" s="176">
        <v>149</v>
      </c>
      <c r="AQ19" s="167"/>
      <c r="AR19" s="180">
        <v>27.8</v>
      </c>
      <c r="AS19" s="166">
        <v>4.8330695625383298</v>
      </c>
      <c r="AT19" s="181" t="s">
        <v>54</v>
      </c>
      <c r="AU19" s="173">
        <v>0.302066847658646</v>
      </c>
      <c r="AV19" s="174">
        <v>-72.699608730005295</v>
      </c>
      <c r="AW19" s="168"/>
      <c r="AX19" s="168"/>
      <c r="AY19" s="176">
        <v>65</v>
      </c>
      <c r="AZ19" s="176">
        <v>83</v>
      </c>
      <c r="BA19" s="167"/>
      <c r="BB19" s="184">
        <v>147.4</v>
      </c>
      <c r="BC19" s="180">
        <v>25.625699766839901</v>
      </c>
      <c r="BD19" s="181" t="s">
        <v>55</v>
      </c>
      <c r="BE19" s="188">
        <v>0.80080311771374701</v>
      </c>
      <c r="BF19" s="171">
        <v>-53.5992174600105</v>
      </c>
      <c r="BG19" s="168"/>
      <c r="BH19" s="168"/>
      <c r="BI19" s="176">
        <v>37</v>
      </c>
      <c r="BJ19" s="176">
        <v>74</v>
      </c>
      <c r="BK19" s="169"/>
      <c r="BL19" s="185">
        <v>0.8</v>
      </c>
      <c r="BM19" s="188">
        <v>0.79</v>
      </c>
      <c r="BN19" s="186"/>
      <c r="BO19" s="187">
        <v>0.95</v>
      </c>
      <c r="BP19" s="178">
        <v>1</v>
      </c>
      <c r="BQ19" s="186">
        <v>2.5000000000000001E-3</v>
      </c>
    </row>
    <row r="20" spans="1:69" s="156" customFormat="1" ht="22.35" customHeight="1" x14ac:dyDescent="0.2">
      <c r="A20" s="165" t="s">
        <v>4</v>
      </c>
      <c r="B20" s="165" t="s">
        <v>64</v>
      </c>
      <c r="C20" s="165" t="s">
        <v>70</v>
      </c>
      <c r="D20" s="166">
        <v>3.7144129870000002</v>
      </c>
      <c r="E20" s="167"/>
      <c r="F20" s="168">
        <v>4.2999999999999997E-2</v>
      </c>
      <c r="G20" s="168">
        <v>3.2000000000000001E-2</v>
      </c>
      <c r="H20" s="169"/>
      <c r="I20" s="170">
        <v>4</v>
      </c>
      <c r="J20" s="170">
        <v>4</v>
      </c>
      <c r="K20" s="167"/>
      <c r="L20" s="171">
        <v>1504.4420299999999</v>
      </c>
      <c r="M20" s="171">
        <v>1231.4370899999999</v>
      </c>
      <c r="N20" s="171">
        <v>2735.8791200000001</v>
      </c>
      <c r="O20" s="166">
        <v>736.557601315537</v>
      </c>
      <c r="P20" s="172">
        <v>231.90199999999999</v>
      </c>
      <c r="Q20" s="178">
        <v>3.1761589003783399</v>
      </c>
      <c r="R20" s="179">
        <v>1795.2523778416901</v>
      </c>
      <c r="S20" s="168">
        <v>0.01</v>
      </c>
      <c r="T20" s="168">
        <v>0.01</v>
      </c>
      <c r="U20" s="175">
        <v>0</v>
      </c>
      <c r="V20" s="176">
        <v>0</v>
      </c>
      <c r="W20" s="167"/>
      <c r="X20" s="175">
        <v>2179.3162149999998</v>
      </c>
      <c r="Y20" s="166">
        <v>586.71887661047504</v>
      </c>
      <c r="Z20" s="177">
        <v>573</v>
      </c>
      <c r="AA20" s="182">
        <v>1.0239421930374799</v>
      </c>
      <c r="AB20" s="183">
        <v>-144.85142157369199</v>
      </c>
      <c r="AC20" s="168">
        <v>1.2999999999999999E-2</v>
      </c>
      <c r="AD20" s="168">
        <v>2E-3</v>
      </c>
      <c r="AE20" s="176">
        <v>0</v>
      </c>
      <c r="AF20" s="176">
        <v>375</v>
      </c>
      <c r="AG20" s="167"/>
      <c r="AH20" s="180">
        <v>130.19999999999999</v>
      </c>
      <c r="AI20" s="166">
        <v>35.052645049348101</v>
      </c>
      <c r="AJ20" s="181" t="s">
        <v>53</v>
      </c>
      <c r="AK20" s="173">
        <v>0.55639119125949399</v>
      </c>
      <c r="AL20" s="174">
        <v>-125.33675585365199</v>
      </c>
      <c r="AM20" s="168"/>
      <c r="AN20" s="168"/>
      <c r="AO20" s="176">
        <v>104</v>
      </c>
      <c r="AP20" s="176">
        <v>151</v>
      </c>
      <c r="AQ20" s="167"/>
      <c r="AR20" s="180">
        <v>52</v>
      </c>
      <c r="AS20" s="166">
        <v>13.999520296206599</v>
      </c>
      <c r="AT20" s="181" t="s">
        <v>54</v>
      </c>
      <c r="AU20" s="188">
        <v>0.87497001851291401</v>
      </c>
      <c r="AV20" s="171">
        <v>-12.898223708864</v>
      </c>
      <c r="AW20" s="168"/>
      <c r="AX20" s="168"/>
      <c r="AY20" s="176">
        <v>8</v>
      </c>
      <c r="AZ20" s="176">
        <v>20</v>
      </c>
      <c r="BA20" s="167"/>
      <c r="BB20" s="184">
        <v>154.19999999999999</v>
      </c>
      <c r="BC20" s="180">
        <v>41.513962109135797</v>
      </c>
      <c r="BD20" s="181" t="s">
        <v>55</v>
      </c>
      <c r="BE20" s="178">
        <v>1.2973113159104901</v>
      </c>
      <c r="BF20" s="179">
        <v>24.403552582271999</v>
      </c>
      <c r="BG20" s="168">
        <v>0.02</v>
      </c>
      <c r="BH20" s="168">
        <v>0.02</v>
      </c>
      <c r="BI20" s="176">
        <v>0</v>
      </c>
      <c r="BJ20" s="176">
        <v>0</v>
      </c>
      <c r="BK20" s="169"/>
      <c r="BL20" s="185">
        <v>0.8</v>
      </c>
      <c r="BM20" s="188">
        <v>0.8</v>
      </c>
      <c r="BN20" s="186">
        <v>0</v>
      </c>
      <c r="BO20" s="187">
        <v>0.95</v>
      </c>
      <c r="BP20" s="178">
        <v>1</v>
      </c>
      <c r="BQ20" s="186">
        <v>2.5000000000000001E-3</v>
      </c>
    </row>
    <row r="21" spans="1:69" s="156" customFormat="1" ht="22.35" customHeight="1" x14ac:dyDescent="0.2">
      <c r="A21" s="165" t="s">
        <v>4</v>
      </c>
      <c r="B21" s="165" t="s">
        <v>64</v>
      </c>
      <c r="C21" s="165" t="s">
        <v>71</v>
      </c>
      <c r="D21" s="166">
        <v>6.6311696409999996</v>
      </c>
      <c r="E21" s="167"/>
      <c r="F21" s="168">
        <v>4.2999999999999997E-2</v>
      </c>
      <c r="G21" s="168">
        <v>3.3000000000000002E-2</v>
      </c>
      <c r="H21" s="169"/>
      <c r="I21" s="170">
        <v>5</v>
      </c>
      <c r="J21" s="170">
        <v>5</v>
      </c>
      <c r="K21" s="167"/>
      <c r="L21" s="171">
        <v>3001.76541</v>
      </c>
      <c r="M21" s="171">
        <v>-861.30994999999996</v>
      </c>
      <c r="N21" s="171">
        <v>2140.4554600000001</v>
      </c>
      <c r="O21" s="166">
        <v>322.787015847963</v>
      </c>
      <c r="P21" s="172">
        <v>218.77099999999999</v>
      </c>
      <c r="Q21" s="178">
        <v>1.47545614294382</v>
      </c>
      <c r="R21" s="179">
        <v>556.28274602391798</v>
      </c>
      <c r="S21" s="168">
        <v>0.01</v>
      </c>
      <c r="T21" s="168">
        <v>0.01</v>
      </c>
      <c r="U21" s="175">
        <v>0</v>
      </c>
      <c r="V21" s="176">
        <v>0</v>
      </c>
      <c r="W21" s="167"/>
      <c r="X21" s="175">
        <v>3910.28287</v>
      </c>
      <c r="Y21" s="166">
        <v>589.68222526279999</v>
      </c>
      <c r="Z21" s="177">
        <v>573</v>
      </c>
      <c r="AA21" s="182">
        <v>1.0291138311741701</v>
      </c>
      <c r="AB21" s="183">
        <v>-238.946073087955</v>
      </c>
      <c r="AC21" s="168">
        <v>1.2999999999999999E-2</v>
      </c>
      <c r="AD21" s="168">
        <v>3.0000000000000001E-3</v>
      </c>
      <c r="AE21" s="176">
        <v>0</v>
      </c>
      <c r="AF21" s="176">
        <v>650</v>
      </c>
      <c r="AG21" s="167"/>
      <c r="AH21" s="180">
        <v>223.4</v>
      </c>
      <c r="AI21" s="166">
        <v>33.689380922897101</v>
      </c>
      <c r="AJ21" s="181" t="s">
        <v>53</v>
      </c>
      <c r="AK21" s="173">
        <v>0.53475207814122405</v>
      </c>
      <c r="AL21" s="174">
        <v>-232.797946622236</v>
      </c>
      <c r="AM21" s="168"/>
      <c r="AN21" s="168"/>
      <c r="AO21" s="176">
        <v>195</v>
      </c>
      <c r="AP21" s="176">
        <v>278</v>
      </c>
      <c r="AQ21" s="167"/>
      <c r="AR21" s="180">
        <v>42</v>
      </c>
      <c r="AS21" s="166">
        <v>6.3337242558714397</v>
      </c>
      <c r="AT21" s="181" t="s">
        <v>54</v>
      </c>
      <c r="AU21" s="173">
        <v>0.39585776599196498</v>
      </c>
      <c r="AV21" s="174">
        <v>-73.859795967552003</v>
      </c>
      <c r="AW21" s="168"/>
      <c r="AX21" s="168"/>
      <c r="AY21" s="176">
        <v>65</v>
      </c>
      <c r="AZ21" s="176">
        <v>86</v>
      </c>
      <c r="BA21" s="167"/>
      <c r="BB21" s="184">
        <v>256.8</v>
      </c>
      <c r="BC21" s="180">
        <v>38.726199735899598</v>
      </c>
      <c r="BD21" s="181" t="s">
        <v>55</v>
      </c>
      <c r="BE21" s="178">
        <v>1.21019374174686</v>
      </c>
      <c r="BF21" s="179">
        <v>25.080408064896002</v>
      </c>
      <c r="BG21" s="168">
        <v>0.02</v>
      </c>
      <c r="BH21" s="168">
        <v>0.02</v>
      </c>
      <c r="BI21" s="176">
        <v>0</v>
      </c>
      <c r="BJ21" s="176">
        <v>0</v>
      </c>
      <c r="BK21" s="169"/>
      <c r="BL21" s="185">
        <v>0.8</v>
      </c>
      <c r="BM21" s="182">
        <v>0.81</v>
      </c>
      <c r="BN21" s="186">
        <v>3.7500000000000001E-4</v>
      </c>
      <c r="BO21" s="187">
        <v>0.95</v>
      </c>
      <c r="BP21" s="178">
        <v>1</v>
      </c>
      <c r="BQ21" s="186">
        <v>2.5000000000000001E-3</v>
      </c>
    </row>
    <row r="22" spans="1:69" s="156" customFormat="1" ht="22.35" customHeight="1" x14ac:dyDescent="0.2">
      <c r="A22" s="165" t="s">
        <v>4</v>
      </c>
      <c r="B22" s="165" t="s">
        <v>64</v>
      </c>
      <c r="C22" s="165" t="s">
        <v>72</v>
      </c>
      <c r="D22" s="166">
        <v>4.3170066618888896</v>
      </c>
      <c r="E22" s="167"/>
      <c r="F22" s="168">
        <v>3.5000000000000003E-2</v>
      </c>
      <c r="G22" s="168">
        <v>2.1999999999999999E-2</v>
      </c>
      <c r="H22" s="169"/>
      <c r="I22" s="170">
        <v>5</v>
      </c>
      <c r="J22" s="170">
        <v>4</v>
      </c>
      <c r="K22" s="167"/>
      <c r="L22" s="171">
        <v>3333.9955100000002</v>
      </c>
      <c r="M22" s="171">
        <v>-781.57609000000002</v>
      </c>
      <c r="N22" s="171">
        <v>2552.4194200000002</v>
      </c>
      <c r="O22" s="166">
        <v>591.24750548408895</v>
      </c>
      <c r="P22" s="172">
        <v>242.99700000000001</v>
      </c>
      <c r="Q22" s="178">
        <v>2.4331473453750001</v>
      </c>
      <c r="R22" s="179">
        <v>1406.88994274164</v>
      </c>
      <c r="S22" s="168">
        <v>0.01</v>
      </c>
      <c r="T22" s="168">
        <v>0.01</v>
      </c>
      <c r="U22" s="175">
        <v>0</v>
      </c>
      <c r="V22" s="176">
        <v>0</v>
      </c>
      <c r="W22" s="167"/>
      <c r="X22" s="175">
        <v>2354.70352</v>
      </c>
      <c r="Y22" s="166">
        <v>545.44820159478502</v>
      </c>
      <c r="Z22" s="177">
        <v>573</v>
      </c>
      <c r="AA22" s="182">
        <v>0.95191658218985098</v>
      </c>
      <c r="AB22" s="183">
        <v>-346.51662045046902</v>
      </c>
      <c r="AC22" s="168">
        <v>5.0000000000000001E-3</v>
      </c>
      <c r="AD22" s="168"/>
      <c r="AE22" s="176">
        <v>119</v>
      </c>
      <c r="AF22" s="176">
        <v>614</v>
      </c>
      <c r="AG22" s="167"/>
      <c r="AH22" s="180">
        <v>132</v>
      </c>
      <c r="AI22" s="166">
        <v>30.576742251827799</v>
      </c>
      <c r="AJ22" s="181" t="s">
        <v>53</v>
      </c>
      <c r="AK22" s="173">
        <v>0.48534511510837702</v>
      </c>
      <c r="AL22" s="174">
        <v>-164.992790311308</v>
      </c>
      <c r="AM22" s="168"/>
      <c r="AN22" s="168"/>
      <c r="AO22" s="176">
        <v>140</v>
      </c>
      <c r="AP22" s="176">
        <v>195</v>
      </c>
      <c r="AQ22" s="167"/>
      <c r="AR22" s="180">
        <v>37.1</v>
      </c>
      <c r="AS22" s="166">
        <v>8.5939177086576599</v>
      </c>
      <c r="AT22" s="181" t="s">
        <v>54</v>
      </c>
      <c r="AU22" s="173">
        <v>0.53711985679110397</v>
      </c>
      <c r="AV22" s="174">
        <v>-38.326740396522702</v>
      </c>
      <c r="AW22" s="168"/>
      <c r="AX22" s="168"/>
      <c r="AY22" s="176">
        <v>32</v>
      </c>
      <c r="AZ22" s="176">
        <v>46</v>
      </c>
      <c r="BA22" s="167"/>
      <c r="BB22" s="184">
        <v>155.4</v>
      </c>
      <c r="BC22" s="180">
        <v>35.9971647419245</v>
      </c>
      <c r="BD22" s="181" t="s">
        <v>55</v>
      </c>
      <c r="BE22" s="178">
        <v>1.12491139818514</v>
      </c>
      <c r="BF22" s="179">
        <v>4.5465192069546303</v>
      </c>
      <c r="BG22" s="168">
        <v>0.02</v>
      </c>
      <c r="BH22" s="168">
        <v>1.2E-2</v>
      </c>
      <c r="BI22" s="176">
        <v>0</v>
      </c>
      <c r="BJ22" s="176">
        <v>11</v>
      </c>
      <c r="BK22" s="169"/>
      <c r="BL22" s="185">
        <v>0.8</v>
      </c>
      <c r="BM22" s="182">
        <v>0.81</v>
      </c>
      <c r="BN22" s="186">
        <v>3.7500000000000001E-4</v>
      </c>
      <c r="BO22" s="187">
        <v>0.95</v>
      </c>
      <c r="BP22" s="178">
        <v>1</v>
      </c>
      <c r="BQ22" s="186">
        <v>2.5000000000000001E-3</v>
      </c>
    </row>
    <row r="23" spans="1:69" s="156" customFormat="1" ht="22.35" customHeight="1" x14ac:dyDescent="0.2">
      <c r="A23" s="165" t="s">
        <v>4</v>
      </c>
      <c r="B23" s="165" t="s">
        <v>64</v>
      </c>
      <c r="C23" s="165" t="s">
        <v>73</v>
      </c>
      <c r="D23" s="166">
        <v>4.4760896213333297</v>
      </c>
      <c r="E23" s="167"/>
      <c r="F23" s="168">
        <v>0.01</v>
      </c>
      <c r="G23" s="168">
        <v>0.01</v>
      </c>
      <c r="H23" s="169"/>
      <c r="I23" s="170">
        <v>3</v>
      </c>
      <c r="J23" s="170">
        <v>3</v>
      </c>
      <c r="K23" s="167"/>
      <c r="L23" s="171">
        <v>4837.9179299999996</v>
      </c>
      <c r="M23" s="171">
        <v>2192.0443399999999</v>
      </c>
      <c r="N23" s="171">
        <v>7029.96227</v>
      </c>
      <c r="O23" s="166">
        <v>1570.5588727479301</v>
      </c>
      <c r="P23" s="172">
        <v>251.20400000000001</v>
      </c>
      <c r="Q23" s="178">
        <v>6.2521252557599798</v>
      </c>
      <c r="R23" s="179">
        <v>5802.1047839767398</v>
      </c>
      <c r="S23" s="168">
        <v>0.01</v>
      </c>
      <c r="T23" s="168">
        <v>0.01</v>
      </c>
      <c r="U23" s="175">
        <v>0</v>
      </c>
      <c r="V23" s="176">
        <v>0</v>
      </c>
      <c r="W23" s="167"/>
      <c r="X23" s="175">
        <v>2264.750035</v>
      </c>
      <c r="Y23" s="166">
        <v>505.96619518207501</v>
      </c>
      <c r="Z23" s="177">
        <v>573</v>
      </c>
      <c r="AA23" s="188">
        <v>0.88301255703677906</v>
      </c>
      <c r="AB23" s="171">
        <v>-536.01085850220602</v>
      </c>
      <c r="AC23" s="168"/>
      <c r="AD23" s="168"/>
      <c r="AE23" s="176">
        <v>301</v>
      </c>
      <c r="AF23" s="176">
        <v>814</v>
      </c>
      <c r="AG23" s="167"/>
      <c r="AH23" s="180">
        <v>89.5</v>
      </c>
      <c r="AI23" s="166">
        <v>19.995131369451901</v>
      </c>
      <c r="AJ23" s="181" t="s">
        <v>53</v>
      </c>
      <c r="AK23" s="173">
        <v>0.31738303761034697</v>
      </c>
      <c r="AL23" s="174">
        <v>-218.437061589248</v>
      </c>
      <c r="AM23" s="168"/>
      <c r="AN23" s="168"/>
      <c r="AO23" s="176">
        <v>193</v>
      </c>
      <c r="AP23" s="176">
        <v>249</v>
      </c>
      <c r="AQ23" s="167"/>
      <c r="AR23" s="180">
        <v>19.8</v>
      </c>
      <c r="AS23" s="166">
        <v>4.4235039230742599</v>
      </c>
      <c r="AT23" s="181" t="s">
        <v>54</v>
      </c>
      <c r="AU23" s="173">
        <v>0.27646899519214102</v>
      </c>
      <c r="AV23" s="174">
        <v>-58.4062378639359</v>
      </c>
      <c r="AW23" s="168"/>
      <c r="AX23" s="168"/>
      <c r="AY23" s="176">
        <v>52</v>
      </c>
      <c r="AZ23" s="176">
        <v>67</v>
      </c>
      <c r="BA23" s="167"/>
      <c r="BB23" s="184">
        <v>116.6</v>
      </c>
      <c r="BC23" s="180">
        <v>26.049523102548399</v>
      </c>
      <c r="BD23" s="181" t="s">
        <v>55</v>
      </c>
      <c r="BE23" s="188">
        <v>0.81404759695463902</v>
      </c>
      <c r="BF23" s="171">
        <v>-39.812475727871899</v>
      </c>
      <c r="BG23" s="168"/>
      <c r="BH23" s="168"/>
      <c r="BI23" s="176">
        <v>27</v>
      </c>
      <c r="BJ23" s="176">
        <v>56</v>
      </c>
      <c r="BK23" s="169"/>
      <c r="BL23" s="185">
        <v>0.8</v>
      </c>
      <c r="BM23" s="182">
        <v>0.81</v>
      </c>
      <c r="BN23" s="186">
        <v>3.7500000000000001E-4</v>
      </c>
      <c r="BO23" s="187">
        <v>0.95</v>
      </c>
      <c r="BP23" s="178">
        <v>1</v>
      </c>
      <c r="BQ23" s="186">
        <v>2.5000000000000001E-3</v>
      </c>
    </row>
    <row r="24" spans="1:69" s="156" customFormat="1" ht="22.35" customHeight="1" x14ac:dyDescent="0.2">
      <c r="A24" s="165" t="s">
        <v>4</v>
      </c>
      <c r="B24" s="165" t="s">
        <v>64</v>
      </c>
      <c r="C24" s="165" t="s">
        <v>74</v>
      </c>
      <c r="D24" s="166">
        <v>5.2411436323333298</v>
      </c>
      <c r="E24" s="167"/>
      <c r="F24" s="168">
        <v>0.04</v>
      </c>
      <c r="G24" s="168">
        <v>0.02</v>
      </c>
      <c r="H24" s="169"/>
      <c r="I24" s="170">
        <v>5</v>
      </c>
      <c r="J24" s="170">
        <v>5</v>
      </c>
      <c r="K24" s="167"/>
      <c r="L24" s="171">
        <v>4593.0861500000001</v>
      </c>
      <c r="M24" s="171">
        <v>3878.9495400000001</v>
      </c>
      <c r="N24" s="171">
        <v>8472.0356900000006</v>
      </c>
      <c r="O24" s="166">
        <v>1616.4479137215101</v>
      </c>
      <c r="P24" s="172">
        <v>248.62299999999999</v>
      </c>
      <c r="Q24" s="178">
        <v>6.5016024813533297</v>
      </c>
      <c r="R24" s="179">
        <v>7049.0845021946398</v>
      </c>
      <c r="S24" s="168">
        <v>0.01</v>
      </c>
      <c r="T24" s="168">
        <v>0.01</v>
      </c>
      <c r="U24" s="175">
        <v>0</v>
      </c>
      <c r="V24" s="176">
        <v>0</v>
      </c>
      <c r="W24" s="167"/>
      <c r="X24" s="175">
        <v>3206.1661450000001</v>
      </c>
      <c r="Y24" s="166">
        <v>611.73025772862297</v>
      </c>
      <c r="Z24" s="177">
        <v>573</v>
      </c>
      <c r="AA24" s="182">
        <v>1.06759207282482</v>
      </c>
      <c r="AB24" s="183">
        <v>-73.3012840490819</v>
      </c>
      <c r="AC24" s="168">
        <v>1.7000000000000001E-2</v>
      </c>
      <c r="AD24" s="168">
        <v>7.0000000000000001E-3</v>
      </c>
      <c r="AE24" s="176">
        <v>0</v>
      </c>
      <c r="AF24" s="176">
        <v>398</v>
      </c>
      <c r="AG24" s="167"/>
      <c r="AH24" s="180">
        <v>242.3</v>
      </c>
      <c r="AI24" s="166">
        <v>46.230368216817801</v>
      </c>
      <c r="AJ24" s="181" t="s">
        <v>53</v>
      </c>
      <c r="AK24" s="188">
        <v>0.733815368520918</v>
      </c>
      <c r="AL24" s="171">
        <v>-118.269717330004</v>
      </c>
      <c r="AM24" s="168"/>
      <c r="AN24" s="168"/>
      <c r="AO24" s="176">
        <v>88</v>
      </c>
      <c r="AP24" s="176">
        <v>154</v>
      </c>
      <c r="AQ24" s="167"/>
      <c r="AR24" s="180">
        <v>49.1</v>
      </c>
      <c r="AS24" s="166">
        <v>9.3681843972173109</v>
      </c>
      <c r="AT24" s="181" t="s">
        <v>54</v>
      </c>
      <c r="AU24" s="173">
        <v>0.58551152482608204</v>
      </c>
      <c r="AV24" s="174">
        <v>-42.473261544127901</v>
      </c>
      <c r="AW24" s="168"/>
      <c r="AX24" s="168"/>
      <c r="AY24" s="176">
        <v>35</v>
      </c>
      <c r="AZ24" s="176">
        <v>52</v>
      </c>
      <c r="BA24" s="167"/>
      <c r="BB24" s="184">
        <v>172.6</v>
      </c>
      <c r="BC24" s="180">
        <v>32.9317439299329</v>
      </c>
      <c r="BD24" s="181" t="s">
        <v>55</v>
      </c>
      <c r="BE24" s="182">
        <v>1.0291169978104</v>
      </c>
      <c r="BF24" s="183">
        <v>-10.546523088255899</v>
      </c>
      <c r="BG24" s="168">
        <v>1.2999999999999999E-2</v>
      </c>
      <c r="BH24" s="168">
        <v>3.0000000000000001E-3</v>
      </c>
      <c r="BI24" s="176">
        <v>0</v>
      </c>
      <c r="BJ24" s="176">
        <v>29</v>
      </c>
      <c r="BK24" s="169"/>
      <c r="BL24" s="185">
        <v>0.8</v>
      </c>
      <c r="BM24" s="182">
        <v>0.84</v>
      </c>
      <c r="BN24" s="186">
        <v>1.5E-3</v>
      </c>
      <c r="BO24" s="187">
        <v>0.95</v>
      </c>
      <c r="BP24" s="178">
        <v>1</v>
      </c>
      <c r="BQ24" s="186">
        <v>2.5000000000000001E-3</v>
      </c>
    </row>
    <row r="25" spans="1:69" s="156" customFormat="1" ht="22.35" customHeight="1" x14ac:dyDescent="0.2">
      <c r="A25" s="165" t="s">
        <v>4</v>
      </c>
      <c r="B25" s="165" t="s">
        <v>64</v>
      </c>
      <c r="C25" s="165" t="s">
        <v>75</v>
      </c>
      <c r="D25" s="166">
        <v>4.2224398655555602</v>
      </c>
      <c r="E25" s="167"/>
      <c r="F25" s="168">
        <v>0.03</v>
      </c>
      <c r="G25" s="168">
        <v>2.5999999999999999E-2</v>
      </c>
      <c r="H25" s="169"/>
      <c r="I25" s="170">
        <v>4</v>
      </c>
      <c r="J25" s="170">
        <v>4</v>
      </c>
      <c r="K25" s="167"/>
      <c r="L25" s="171">
        <v>780.26697999999999</v>
      </c>
      <c r="M25" s="171">
        <v>529.59698000000003</v>
      </c>
      <c r="N25" s="171">
        <v>1309.8639599999999</v>
      </c>
      <c r="O25" s="166">
        <v>310.21494721219898</v>
      </c>
      <c r="P25" s="172">
        <v>212.5</v>
      </c>
      <c r="Q25" s="178">
        <v>1.45983504570446</v>
      </c>
      <c r="R25" s="179">
        <v>330.04678919783203</v>
      </c>
      <c r="S25" s="168">
        <v>0.01</v>
      </c>
      <c r="T25" s="168">
        <v>0.01</v>
      </c>
      <c r="U25" s="175">
        <v>0</v>
      </c>
      <c r="V25" s="176">
        <v>0</v>
      </c>
      <c r="W25" s="167"/>
      <c r="X25" s="175">
        <v>1793.54215</v>
      </c>
      <c r="Y25" s="166">
        <v>424.76440330880098</v>
      </c>
      <c r="Z25" s="177">
        <v>573</v>
      </c>
      <c r="AA25" s="188">
        <v>0.74129913317417295</v>
      </c>
      <c r="AB25" s="171">
        <v>-848.50603291596303</v>
      </c>
      <c r="AC25" s="168"/>
      <c r="AD25" s="168"/>
      <c r="AE25" s="176">
        <v>626</v>
      </c>
      <c r="AF25" s="176">
        <v>1110</v>
      </c>
      <c r="AG25" s="167"/>
      <c r="AH25" s="180">
        <v>128.35</v>
      </c>
      <c r="AI25" s="166">
        <v>30.397117327119702</v>
      </c>
      <c r="AJ25" s="181" t="s">
        <v>53</v>
      </c>
      <c r="AK25" s="173">
        <v>0.482493925827298</v>
      </c>
      <c r="AL25" s="174">
        <v>-162.13697299076</v>
      </c>
      <c r="AM25" s="168"/>
      <c r="AN25" s="168"/>
      <c r="AO25" s="176">
        <v>138</v>
      </c>
      <c r="AP25" s="176">
        <v>191</v>
      </c>
      <c r="AQ25" s="167"/>
      <c r="AR25" s="180">
        <v>34.4</v>
      </c>
      <c r="AS25" s="166">
        <v>8.1469484694423002</v>
      </c>
      <c r="AT25" s="181" t="s">
        <v>54</v>
      </c>
      <c r="AU25" s="173">
        <v>0.50918427934014399</v>
      </c>
      <c r="AV25" s="174">
        <v>-39.374469330986699</v>
      </c>
      <c r="AW25" s="168"/>
      <c r="AX25" s="168"/>
      <c r="AY25" s="176">
        <v>34</v>
      </c>
      <c r="AZ25" s="176">
        <v>47</v>
      </c>
      <c r="BA25" s="167"/>
      <c r="BB25" s="184">
        <v>156.4</v>
      </c>
      <c r="BC25" s="180">
        <v>37.040195948278402</v>
      </c>
      <c r="BD25" s="181" t="s">
        <v>55</v>
      </c>
      <c r="BE25" s="178">
        <v>1.1575061233837001</v>
      </c>
      <c r="BF25" s="179">
        <v>8.8510613380265397</v>
      </c>
      <c r="BG25" s="168">
        <v>0.02</v>
      </c>
      <c r="BH25" s="168">
        <v>1.6E-2</v>
      </c>
      <c r="BI25" s="176">
        <v>0</v>
      </c>
      <c r="BJ25" s="176">
        <v>6</v>
      </c>
      <c r="BK25" s="169"/>
      <c r="BL25" s="185">
        <v>0.8</v>
      </c>
      <c r="BM25" s="182">
        <v>0.82</v>
      </c>
      <c r="BN25" s="186">
        <v>7.5000000000000002E-4</v>
      </c>
      <c r="BO25" s="187">
        <v>0.95</v>
      </c>
      <c r="BP25" s="178">
        <v>1</v>
      </c>
      <c r="BQ25" s="186">
        <v>2.5000000000000001E-3</v>
      </c>
    </row>
    <row r="26" spans="1:69" s="156" customFormat="1" ht="22.35" customHeight="1" x14ac:dyDescent="0.2">
      <c r="A26" s="165" t="s">
        <v>4</v>
      </c>
      <c r="B26" s="165" t="s">
        <v>64</v>
      </c>
      <c r="C26" s="165" t="s">
        <v>76</v>
      </c>
      <c r="D26" s="166">
        <v>3.2460809161111102</v>
      </c>
      <c r="E26" s="167"/>
      <c r="F26" s="168">
        <v>3.1E-2</v>
      </c>
      <c r="G26" s="168">
        <v>0.03</v>
      </c>
      <c r="H26" s="169"/>
      <c r="I26" s="170">
        <v>4</v>
      </c>
      <c r="J26" s="170">
        <v>3</v>
      </c>
      <c r="K26" s="167"/>
      <c r="L26" s="171">
        <v>2890.8880300000001</v>
      </c>
      <c r="M26" s="171">
        <v>461.18727000000001</v>
      </c>
      <c r="N26" s="171">
        <v>3352.0753</v>
      </c>
      <c r="O26" s="166">
        <v>1032.65303195703</v>
      </c>
      <c r="P26" s="172">
        <v>231.042</v>
      </c>
      <c r="Q26" s="178">
        <v>4.4695468008285504</v>
      </c>
      <c r="R26" s="179">
        <v>2533.096018494</v>
      </c>
      <c r="S26" s="168">
        <v>0.01</v>
      </c>
      <c r="T26" s="168">
        <v>0.01</v>
      </c>
      <c r="U26" s="175">
        <v>0</v>
      </c>
      <c r="V26" s="176">
        <v>0</v>
      </c>
      <c r="W26" s="167"/>
      <c r="X26" s="175">
        <v>1708.3829900000001</v>
      </c>
      <c r="Y26" s="166">
        <v>526.290944110748</v>
      </c>
      <c r="Z26" s="177">
        <v>573</v>
      </c>
      <c r="AA26" s="182">
        <v>0.91848332305540803</v>
      </c>
      <c r="AB26" s="183">
        <v>-322.74177650537899</v>
      </c>
      <c r="AC26" s="168">
        <v>1E-3</v>
      </c>
      <c r="AD26" s="168"/>
      <c r="AE26" s="176">
        <v>152</v>
      </c>
      <c r="AF26" s="176">
        <v>524</v>
      </c>
      <c r="AG26" s="167"/>
      <c r="AH26" s="180">
        <v>159.9</v>
      </c>
      <c r="AI26" s="166">
        <v>49.259400530152</v>
      </c>
      <c r="AJ26" s="181" t="s">
        <v>53</v>
      </c>
      <c r="AK26" s="188">
        <v>0.78189524651034903</v>
      </c>
      <c r="AL26" s="171">
        <v>-63.417382704779897</v>
      </c>
      <c r="AM26" s="168"/>
      <c r="AN26" s="168"/>
      <c r="AO26" s="176">
        <v>45</v>
      </c>
      <c r="AP26" s="176">
        <v>86</v>
      </c>
      <c r="AQ26" s="167"/>
      <c r="AR26" s="180">
        <v>36.6</v>
      </c>
      <c r="AS26" s="166">
        <v>11.275134830541401</v>
      </c>
      <c r="AT26" s="181" t="s">
        <v>54</v>
      </c>
      <c r="AU26" s="173">
        <v>0.70469592690883498</v>
      </c>
      <c r="AV26" s="174">
        <v>-20.115525766293299</v>
      </c>
      <c r="AW26" s="168"/>
      <c r="AX26" s="168"/>
      <c r="AY26" s="176">
        <v>16</v>
      </c>
      <c r="AZ26" s="176">
        <v>26</v>
      </c>
      <c r="BA26" s="167"/>
      <c r="BB26" s="184">
        <v>143.6</v>
      </c>
      <c r="BC26" s="180">
        <v>44.237960701249698</v>
      </c>
      <c r="BD26" s="181" t="s">
        <v>55</v>
      </c>
      <c r="BE26" s="178">
        <v>1.3824362719140499</v>
      </c>
      <c r="BF26" s="179">
        <v>30.168948467413401</v>
      </c>
      <c r="BG26" s="168">
        <v>0.02</v>
      </c>
      <c r="BH26" s="168">
        <v>0.02</v>
      </c>
      <c r="BI26" s="176">
        <v>0</v>
      </c>
      <c r="BJ26" s="176">
        <v>0</v>
      </c>
      <c r="BK26" s="169"/>
      <c r="BL26" s="185">
        <v>0.8</v>
      </c>
      <c r="BM26" s="188">
        <v>0.78</v>
      </c>
      <c r="BN26" s="186"/>
      <c r="BO26" s="187">
        <v>0.95</v>
      </c>
      <c r="BP26" s="178">
        <v>1</v>
      </c>
      <c r="BQ26" s="186">
        <v>2.5000000000000001E-3</v>
      </c>
    </row>
    <row r="27" spans="1:69" s="156" customFormat="1" ht="22.35" customHeight="1" x14ac:dyDescent="0.2">
      <c r="A27" s="165" t="s">
        <v>4</v>
      </c>
      <c r="B27" s="165" t="s">
        <v>64</v>
      </c>
      <c r="C27" s="165" t="s">
        <v>77</v>
      </c>
      <c r="D27" s="166">
        <v>2.5803141951111099</v>
      </c>
      <c r="E27" s="167"/>
      <c r="F27" s="168">
        <v>2.8000000000000001E-2</v>
      </c>
      <c r="G27" s="168">
        <v>1.7000000000000001E-2</v>
      </c>
      <c r="H27" s="169"/>
      <c r="I27" s="170">
        <v>4</v>
      </c>
      <c r="J27" s="170">
        <v>4</v>
      </c>
      <c r="K27" s="167"/>
      <c r="L27" s="171">
        <v>567.50427999999999</v>
      </c>
      <c r="M27" s="171">
        <v>444.60631999999998</v>
      </c>
      <c r="N27" s="171">
        <v>1012.1106</v>
      </c>
      <c r="O27" s="166">
        <v>392.24316244805902</v>
      </c>
      <c r="P27" s="172">
        <v>212.5</v>
      </c>
      <c r="Q27" s="178">
        <v>1.8458501762261601</v>
      </c>
      <c r="R27" s="179">
        <v>413.34869102446697</v>
      </c>
      <c r="S27" s="168">
        <v>0.01</v>
      </c>
      <c r="T27" s="168">
        <v>0.01</v>
      </c>
      <c r="U27" s="175">
        <v>0</v>
      </c>
      <c r="V27" s="176">
        <v>0</v>
      </c>
      <c r="W27" s="167"/>
      <c r="X27" s="175">
        <v>1243.029685</v>
      </c>
      <c r="Y27" s="166">
        <v>481.73578526024198</v>
      </c>
      <c r="Z27" s="177">
        <v>573</v>
      </c>
      <c r="AA27" s="188">
        <v>0.84072562872642598</v>
      </c>
      <c r="AB27" s="171">
        <v>-371.514191908143</v>
      </c>
      <c r="AC27" s="168"/>
      <c r="AD27" s="168"/>
      <c r="AE27" s="176">
        <v>236</v>
      </c>
      <c r="AF27" s="176">
        <v>532</v>
      </c>
      <c r="AG27" s="167"/>
      <c r="AH27" s="180">
        <v>138.55000000000001</v>
      </c>
      <c r="AI27" s="166">
        <v>53.695011352690699</v>
      </c>
      <c r="AJ27" s="181" t="s">
        <v>53</v>
      </c>
      <c r="AK27" s="188">
        <v>0.852301767503027</v>
      </c>
      <c r="AL27" s="171">
        <v>-38.965295366863899</v>
      </c>
      <c r="AM27" s="168"/>
      <c r="AN27" s="168"/>
      <c r="AO27" s="176">
        <v>25</v>
      </c>
      <c r="AP27" s="176">
        <v>57</v>
      </c>
      <c r="AQ27" s="167"/>
      <c r="AR27" s="180">
        <v>10.3</v>
      </c>
      <c r="AS27" s="166">
        <v>3.9917619410517098</v>
      </c>
      <c r="AT27" s="181" t="s">
        <v>54</v>
      </c>
      <c r="AU27" s="173">
        <v>0.249485121315732</v>
      </c>
      <c r="AV27" s="174">
        <v>-34.783249616981301</v>
      </c>
      <c r="AW27" s="168"/>
      <c r="AX27" s="168"/>
      <c r="AY27" s="176">
        <v>31</v>
      </c>
      <c r="AZ27" s="176">
        <v>40</v>
      </c>
      <c r="BA27" s="167"/>
      <c r="BB27" s="184">
        <v>88.4</v>
      </c>
      <c r="BC27" s="180">
        <v>34.259393746501999</v>
      </c>
      <c r="BD27" s="181" t="s">
        <v>55</v>
      </c>
      <c r="BE27" s="182">
        <v>1.0706060545781899</v>
      </c>
      <c r="BF27" s="183">
        <v>-1.76649923396262</v>
      </c>
      <c r="BG27" s="168">
        <v>1.7999999999999999E-2</v>
      </c>
      <c r="BH27" s="168">
        <v>7.0000000000000001E-3</v>
      </c>
      <c r="BI27" s="176">
        <v>0</v>
      </c>
      <c r="BJ27" s="176">
        <v>11</v>
      </c>
      <c r="BK27" s="169"/>
      <c r="BL27" s="185">
        <v>0.8</v>
      </c>
      <c r="BM27" s="182">
        <v>0.81</v>
      </c>
      <c r="BN27" s="186">
        <v>3.7500000000000001E-4</v>
      </c>
      <c r="BO27" s="187">
        <v>0.95</v>
      </c>
      <c r="BP27" s="178">
        <v>1</v>
      </c>
      <c r="BQ27" s="186">
        <v>2.5000000000000001E-3</v>
      </c>
    </row>
    <row r="28" spans="1:69" s="156" customFormat="1" ht="22.35" customHeight="1" x14ac:dyDescent="0.2">
      <c r="A28" s="165" t="s">
        <v>4</v>
      </c>
      <c r="B28" s="165" t="s">
        <v>64</v>
      </c>
      <c r="C28" s="165" t="s">
        <v>78</v>
      </c>
      <c r="D28" s="166">
        <v>9.6894159421111095</v>
      </c>
      <c r="E28" s="167"/>
      <c r="F28" s="168">
        <v>0.05</v>
      </c>
      <c r="G28" s="168">
        <v>0.05</v>
      </c>
      <c r="H28" s="169"/>
      <c r="I28" s="170">
        <v>4</v>
      </c>
      <c r="J28" s="170">
        <v>4</v>
      </c>
      <c r="K28" s="167"/>
      <c r="L28" s="171">
        <v>6569.8665700000001</v>
      </c>
      <c r="M28" s="171">
        <v>5847.9449999999997</v>
      </c>
      <c r="N28" s="171">
        <v>12417.81157</v>
      </c>
      <c r="O28" s="166">
        <v>1281.58514859818</v>
      </c>
      <c r="P28" s="172">
        <v>268.108</v>
      </c>
      <c r="Q28" s="178">
        <v>4.7801078244520099</v>
      </c>
      <c r="R28" s="179">
        <v>9581.0031270869804</v>
      </c>
      <c r="S28" s="168">
        <v>0.01</v>
      </c>
      <c r="T28" s="168">
        <v>0.01</v>
      </c>
      <c r="U28" s="175">
        <v>0</v>
      </c>
      <c r="V28" s="176">
        <v>0</v>
      </c>
      <c r="W28" s="167"/>
      <c r="X28" s="175">
        <v>6794.03593</v>
      </c>
      <c r="Y28" s="166">
        <v>701.181162062873</v>
      </c>
      <c r="Z28" s="177">
        <v>573</v>
      </c>
      <c r="AA28" s="178">
        <v>1.2237018535128701</v>
      </c>
      <c r="AB28" s="179">
        <v>731.213344366005</v>
      </c>
      <c r="AC28" s="168">
        <v>0.02</v>
      </c>
      <c r="AD28" s="168">
        <v>0.02</v>
      </c>
      <c r="AE28" s="176">
        <v>0</v>
      </c>
      <c r="AF28" s="176">
        <v>0</v>
      </c>
      <c r="AG28" s="167"/>
      <c r="AH28" s="180">
        <v>387.2</v>
      </c>
      <c r="AI28" s="166">
        <v>39.9611289589904</v>
      </c>
      <c r="AJ28" s="181" t="s">
        <v>53</v>
      </c>
      <c r="AK28" s="173">
        <v>0.63430363426968905</v>
      </c>
      <c r="AL28" s="174">
        <v>-279.39305915347597</v>
      </c>
      <c r="AM28" s="168"/>
      <c r="AN28" s="168"/>
      <c r="AO28" s="176">
        <v>224</v>
      </c>
      <c r="AP28" s="176">
        <v>346</v>
      </c>
      <c r="AQ28" s="167"/>
      <c r="AR28" s="180">
        <v>92.1</v>
      </c>
      <c r="AS28" s="166">
        <v>9.5052168830656498</v>
      </c>
      <c r="AT28" s="181" t="s">
        <v>54</v>
      </c>
      <c r="AU28" s="173">
        <v>0.594076055191603</v>
      </c>
      <c r="AV28" s="174">
        <v>-77.1934753405653</v>
      </c>
      <c r="AW28" s="168"/>
      <c r="AX28" s="168"/>
      <c r="AY28" s="176">
        <v>63</v>
      </c>
      <c r="AZ28" s="176">
        <v>94</v>
      </c>
      <c r="BA28" s="167"/>
      <c r="BB28" s="184">
        <v>431.8</v>
      </c>
      <c r="BC28" s="180">
        <v>44.564089577717098</v>
      </c>
      <c r="BD28" s="181" t="s">
        <v>55</v>
      </c>
      <c r="BE28" s="178">
        <v>1.39262779930366</v>
      </c>
      <c r="BF28" s="179">
        <v>93.213049318869395</v>
      </c>
      <c r="BG28" s="168">
        <v>0.02</v>
      </c>
      <c r="BH28" s="168">
        <v>0.02</v>
      </c>
      <c r="BI28" s="176">
        <v>0</v>
      </c>
      <c r="BJ28" s="176">
        <v>0</v>
      </c>
      <c r="BK28" s="169"/>
      <c r="BL28" s="185">
        <v>0.8</v>
      </c>
      <c r="BM28" s="188">
        <v>0.73</v>
      </c>
      <c r="BN28" s="186"/>
      <c r="BO28" s="187">
        <v>0.95</v>
      </c>
      <c r="BP28" s="178">
        <v>1</v>
      </c>
      <c r="BQ28" s="186">
        <v>2.5000000000000001E-3</v>
      </c>
    </row>
    <row r="29" spans="1:69" s="156" customFormat="1" ht="22.35" customHeight="1" x14ac:dyDescent="0.2">
      <c r="A29" s="165" t="s">
        <v>4</v>
      </c>
      <c r="B29" s="165" t="s">
        <v>64</v>
      </c>
      <c r="C29" s="165" t="s">
        <v>79</v>
      </c>
      <c r="D29" s="166">
        <v>4.4281860372222202</v>
      </c>
      <c r="E29" s="167"/>
      <c r="F29" s="168">
        <v>2.8000000000000001E-2</v>
      </c>
      <c r="G29" s="168">
        <v>1.0999999999999999E-2</v>
      </c>
      <c r="H29" s="169"/>
      <c r="I29" s="170">
        <v>4</v>
      </c>
      <c r="J29" s="170">
        <v>3</v>
      </c>
      <c r="K29" s="167"/>
      <c r="L29" s="171">
        <v>3535.84602</v>
      </c>
      <c r="M29" s="171">
        <v>-29.397939999999998</v>
      </c>
      <c r="N29" s="171">
        <v>3506.4480800000001</v>
      </c>
      <c r="O29" s="166">
        <v>791.84750833087799</v>
      </c>
      <c r="P29" s="172">
        <v>241.767</v>
      </c>
      <c r="Q29" s="178">
        <v>3.2752505856087799</v>
      </c>
      <c r="R29" s="179">
        <v>2337.36461500207</v>
      </c>
      <c r="S29" s="168">
        <v>0.01</v>
      </c>
      <c r="T29" s="168">
        <v>0.01</v>
      </c>
      <c r="U29" s="175">
        <v>0</v>
      </c>
      <c r="V29" s="176">
        <v>0</v>
      </c>
      <c r="W29" s="167"/>
      <c r="X29" s="175">
        <v>2466.9895700000002</v>
      </c>
      <c r="Y29" s="166">
        <v>557.11064288245905</v>
      </c>
      <c r="Z29" s="177">
        <v>573</v>
      </c>
      <c r="AA29" s="182">
        <v>0.97226988286642002</v>
      </c>
      <c r="AB29" s="183">
        <v>-303.797284466539</v>
      </c>
      <c r="AC29" s="168">
        <v>7.0000000000000001E-3</v>
      </c>
      <c r="AD29" s="168"/>
      <c r="AE29" s="176">
        <v>71</v>
      </c>
      <c r="AF29" s="176">
        <v>578</v>
      </c>
      <c r="AG29" s="167"/>
      <c r="AH29" s="180">
        <v>171.4</v>
      </c>
      <c r="AI29" s="166">
        <v>38.706594203417502</v>
      </c>
      <c r="AJ29" s="181" t="s">
        <v>53</v>
      </c>
      <c r="AK29" s="173">
        <v>0.61439038418123004</v>
      </c>
      <c r="AL29" s="174">
        <v>-133.24148661673999</v>
      </c>
      <c r="AM29" s="168"/>
      <c r="AN29" s="168"/>
      <c r="AO29" s="176">
        <v>108</v>
      </c>
      <c r="AP29" s="176">
        <v>164</v>
      </c>
      <c r="AQ29" s="167"/>
      <c r="AR29" s="180">
        <v>19.5</v>
      </c>
      <c r="AS29" s="166">
        <v>4.40360902547632</v>
      </c>
      <c r="AT29" s="181" t="s">
        <v>54</v>
      </c>
      <c r="AU29" s="173">
        <v>0.27522556409227</v>
      </c>
      <c r="AV29" s="174">
        <v>-57.8692664423466</v>
      </c>
      <c r="AW29" s="168"/>
      <c r="AX29" s="168"/>
      <c r="AY29" s="176">
        <v>52</v>
      </c>
      <c r="AZ29" s="176">
        <v>66</v>
      </c>
      <c r="BA29" s="167"/>
      <c r="BB29" s="184">
        <v>143.19999999999999</v>
      </c>
      <c r="BC29" s="180">
        <v>32.338298074267101</v>
      </c>
      <c r="BD29" s="181" t="s">
        <v>55</v>
      </c>
      <c r="BE29" s="182">
        <v>1.01057181482085</v>
      </c>
      <c r="BF29" s="183">
        <v>-11.5385328846933</v>
      </c>
      <c r="BG29" s="168">
        <v>1.0999999999999999E-2</v>
      </c>
      <c r="BH29" s="168">
        <v>1E-3</v>
      </c>
      <c r="BI29" s="176">
        <v>0</v>
      </c>
      <c r="BJ29" s="176">
        <v>27</v>
      </c>
      <c r="BK29" s="169"/>
      <c r="BL29" s="185">
        <v>0.8</v>
      </c>
      <c r="BM29" s="188">
        <v>0.78</v>
      </c>
      <c r="BN29" s="186"/>
      <c r="BO29" s="187">
        <v>0.95</v>
      </c>
      <c r="BP29" s="178">
        <v>1</v>
      </c>
      <c r="BQ29" s="186">
        <v>2.5000000000000001E-3</v>
      </c>
    </row>
    <row r="30" spans="1:69" s="156" customFormat="1" ht="22.35" customHeight="1" x14ac:dyDescent="0.2">
      <c r="A30" s="165" t="s">
        <v>80</v>
      </c>
      <c r="B30" s="165" t="s">
        <v>81</v>
      </c>
      <c r="C30" s="165" t="s">
        <v>82</v>
      </c>
      <c r="D30" s="166">
        <v>6.2436248350000003</v>
      </c>
      <c r="E30" s="167"/>
      <c r="F30" s="168">
        <v>2.5000000000000001E-2</v>
      </c>
      <c r="G30" s="168">
        <v>1.4999999999999999E-2</v>
      </c>
      <c r="H30" s="169"/>
      <c r="I30" s="170">
        <v>3</v>
      </c>
      <c r="J30" s="170">
        <v>3</v>
      </c>
      <c r="K30" s="167"/>
      <c r="L30" s="171">
        <v>3248.8663299999998</v>
      </c>
      <c r="M30" s="171">
        <v>1977.93049</v>
      </c>
      <c r="N30" s="171">
        <v>5226.7968199999996</v>
      </c>
      <c r="O30" s="166">
        <v>837.14139752600897</v>
      </c>
      <c r="P30" s="172">
        <v>244.696</v>
      </c>
      <c r="Q30" s="178">
        <v>3.42114868050973</v>
      </c>
      <c r="R30" s="179">
        <v>3558.4501152933299</v>
      </c>
      <c r="S30" s="168">
        <v>0.01</v>
      </c>
      <c r="T30" s="168">
        <v>0.01</v>
      </c>
      <c r="U30" s="175">
        <v>0</v>
      </c>
      <c r="V30" s="176">
        <v>0</v>
      </c>
      <c r="W30" s="167"/>
      <c r="X30" s="175">
        <v>2270.0012299999999</v>
      </c>
      <c r="Y30" s="166">
        <v>363.57104886812101</v>
      </c>
      <c r="Z30" s="177">
        <v>573</v>
      </c>
      <c r="AA30" s="173">
        <v>0.63450444828642405</v>
      </c>
      <c r="AB30" s="174">
        <v>-1636.73472725686</v>
      </c>
      <c r="AC30" s="168"/>
      <c r="AD30" s="168"/>
      <c r="AE30" s="176">
        <v>1308</v>
      </c>
      <c r="AF30" s="176">
        <v>2024</v>
      </c>
      <c r="AG30" s="167"/>
      <c r="AH30" s="180">
        <v>354.2</v>
      </c>
      <c r="AI30" s="166">
        <v>56.729865960948601</v>
      </c>
      <c r="AJ30" s="181" t="s">
        <v>53</v>
      </c>
      <c r="AK30" s="188">
        <v>0.9004740628722</v>
      </c>
      <c r="AL30" s="171">
        <v>-75.336414148660097</v>
      </c>
      <c r="AM30" s="168"/>
      <c r="AN30" s="168"/>
      <c r="AO30" s="176">
        <v>40</v>
      </c>
      <c r="AP30" s="176">
        <v>118</v>
      </c>
      <c r="AQ30" s="167"/>
      <c r="AR30" s="180">
        <v>37.700000000000003</v>
      </c>
      <c r="AS30" s="166">
        <v>6.0381590816706998</v>
      </c>
      <c r="AT30" s="181" t="s">
        <v>54</v>
      </c>
      <c r="AU30" s="173">
        <v>0.37738494260441902</v>
      </c>
      <c r="AV30" s="174">
        <v>-71.388613117120002</v>
      </c>
      <c r="AW30" s="168"/>
      <c r="AX30" s="168"/>
      <c r="AY30" s="176">
        <v>63</v>
      </c>
      <c r="AZ30" s="176">
        <v>83</v>
      </c>
      <c r="BA30" s="167"/>
      <c r="BB30" s="184">
        <v>209.4</v>
      </c>
      <c r="BC30" s="180">
        <v>33.538209859465397</v>
      </c>
      <c r="BD30" s="181" t="s">
        <v>55</v>
      </c>
      <c r="BE30" s="182">
        <v>1.0480690581082901</v>
      </c>
      <c r="BF30" s="183">
        <v>-8.7772262342400307</v>
      </c>
      <c r="BG30" s="168">
        <v>1.4999999999999999E-2</v>
      </c>
      <c r="BH30" s="168">
        <v>5.0000000000000001E-3</v>
      </c>
      <c r="BI30" s="176">
        <v>0</v>
      </c>
      <c r="BJ30" s="176">
        <v>31</v>
      </c>
      <c r="BK30" s="169"/>
      <c r="BL30" s="185">
        <v>0.8</v>
      </c>
      <c r="BM30" s="188">
        <v>0.74</v>
      </c>
      <c r="BN30" s="186"/>
      <c r="BO30" s="187">
        <v>0.95</v>
      </c>
      <c r="BP30" s="178">
        <v>1</v>
      </c>
      <c r="BQ30" s="186">
        <v>2.5000000000000001E-3</v>
      </c>
    </row>
    <row r="31" spans="1:69" s="156" customFormat="1" ht="22.35" customHeight="1" x14ac:dyDescent="0.2">
      <c r="A31" s="165" t="s">
        <v>80</v>
      </c>
      <c r="B31" s="165" t="s">
        <v>81</v>
      </c>
      <c r="C31" s="165" t="s">
        <v>83</v>
      </c>
      <c r="D31" s="166">
        <v>2.8402116402222202</v>
      </c>
      <c r="E31" s="167"/>
      <c r="F31" s="168">
        <v>4.5999999999999999E-2</v>
      </c>
      <c r="G31" s="168">
        <v>3.1E-2</v>
      </c>
      <c r="H31" s="169"/>
      <c r="I31" s="170">
        <v>5</v>
      </c>
      <c r="J31" s="170">
        <v>4</v>
      </c>
      <c r="K31" s="167"/>
      <c r="L31" s="171">
        <v>1163.5511899999999</v>
      </c>
      <c r="M31" s="171">
        <v>824.33378000000005</v>
      </c>
      <c r="N31" s="171">
        <v>1987.8849700000001</v>
      </c>
      <c r="O31" s="166">
        <v>699.90733854061102</v>
      </c>
      <c r="P31" s="172">
        <v>255.976</v>
      </c>
      <c r="Q31" s="178">
        <v>2.7342693789285399</v>
      </c>
      <c r="R31" s="179">
        <v>1193.9725618192599</v>
      </c>
      <c r="S31" s="168">
        <v>0.01</v>
      </c>
      <c r="T31" s="168">
        <v>0.01</v>
      </c>
      <c r="U31" s="175">
        <v>0</v>
      </c>
      <c r="V31" s="176">
        <v>0</v>
      </c>
      <c r="W31" s="167"/>
      <c r="X31" s="175">
        <v>1950.5120850000001</v>
      </c>
      <c r="Y31" s="166">
        <v>686.74885257754602</v>
      </c>
      <c r="Z31" s="177">
        <v>573</v>
      </c>
      <c r="AA31" s="178">
        <v>1.1985145769241601</v>
      </c>
      <c r="AB31" s="179">
        <v>173.346218326713</v>
      </c>
      <c r="AC31" s="168">
        <v>0.02</v>
      </c>
      <c r="AD31" s="168">
        <v>0.02</v>
      </c>
      <c r="AE31" s="176">
        <v>0</v>
      </c>
      <c r="AF31" s="176">
        <v>3</v>
      </c>
      <c r="AG31" s="167"/>
      <c r="AH31" s="180">
        <v>171.55</v>
      </c>
      <c r="AI31" s="166">
        <v>60.400428464752601</v>
      </c>
      <c r="AJ31" s="181" t="s">
        <v>53</v>
      </c>
      <c r="AK31" s="182">
        <v>0.95873695975797801</v>
      </c>
      <c r="AL31" s="183">
        <v>-23.8452000007279</v>
      </c>
      <c r="AM31" s="168">
        <v>5.0000000000000001E-3</v>
      </c>
      <c r="AN31" s="168"/>
      <c r="AO31" s="176">
        <v>8</v>
      </c>
      <c r="AP31" s="176">
        <v>44</v>
      </c>
      <c r="AQ31" s="167"/>
      <c r="AR31" s="180">
        <v>22.2</v>
      </c>
      <c r="AS31" s="166">
        <v>7.8163189269455398</v>
      </c>
      <c r="AT31" s="181" t="s">
        <v>54</v>
      </c>
      <c r="AU31" s="173">
        <v>0.48851993293409601</v>
      </c>
      <c r="AV31" s="174">
        <v>-27.424177777962601</v>
      </c>
      <c r="AW31" s="168"/>
      <c r="AX31" s="168"/>
      <c r="AY31" s="176">
        <v>24</v>
      </c>
      <c r="AZ31" s="176">
        <v>33</v>
      </c>
      <c r="BA31" s="167"/>
      <c r="BB31" s="184">
        <v>91.8</v>
      </c>
      <c r="BC31" s="180">
        <v>32.321535022234301</v>
      </c>
      <c r="BD31" s="181" t="s">
        <v>55</v>
      </c>
      <c r="BE31" s="182">
        <v>1.0100479694448199</v>
      </c>
      <c r="BF31" s="183">
        <v>-7.4483555559252803</v>
      </c>
      <c r="BG31" s="168">
        <v>1.0999999999999999E-2</v>
      </c>
      <c r="BH31" s="168">
        <v>1E-3</v>
      </c>
      <c r="BI31" s="176">
        <v>0</v>
      </c>
      <c r="BJ31" s="176">
        <v>18</v>
      </c>
      <c r="BK31" s="169"/>
      <c r="BL31" s="185">
        <v>0.8</v>
      </c>
      <c r="BM31" s="173">
        <v>0.67</v>
      </c>
      <c r="BN31" s="186"/>
      <c r="BO31" s="187">
        <v>0.95</v>
      </c>
      <c r="BP31" s="178">
        <v>1</v>
      </c>
      <c r="BQ31" s="186">
        <v>2.5000000000000001E-3</v>
      </c>
    </row>
    <row r="32" spans="1:69" s="156" customFormat="1" ht="22.35" customHeight="1" x14ac:dyDescent="0.2">
      <c r="A32" s="165" t="s">
        <v>80</v>
      </c>
      <c r="B32" s="165" t="s">
        <v>81</v>
      </c>
      <c r="C32" s="165" t="s">
        <v>84</v>
      </c>
      <c r="D32" s="166">
        <v>7.4919696311111101</v>
      </c>
      <c r="E32" s="167"/>
      <c r="F32" s="168">
        <v>0.01</v>
      </c>
      <c r="G32" s="168">
        <v>0.01</v>
      </c>
      <c r="H32" s="169"/>
      <c r="I32" s="170">
        <v>2</v>
      </c>
      <c r="J32" s="170">
        <v>2</v>
      </c>
      <c r="K32" s="167"/>
      <c r="L32" s="171">
        <v>5504.2335599999997</v>
      </c>
      <c r="M32" s="171">
        <v>1883.6323600000001</v>
      </c>
      <c r="N32" s="171">
        <v>7387.8659200000002</v>
      </c>
      <c r="O32" s="166">
        <v>986.10462718924896</v>
      </c>
      <c r="P32" s="172">
        <v>282.02199999999999</v>
      </c>
      <c r="Q32" s="178">
        <v>3.4965521384475302</v>
      </c>
      <c r="R32" s="179">
        <v>5080.5788368387002</v>
      </c>
      <c r="S32" s="168">
        <v>0.01</v>
      </c>
      <c r="T32" s="168">
        <v>0.01</v>
      </c>
      <c r="U32" s="175">
        <v>0</v>
      </c>
      <c r="V32" s="176">
        <v>0</v>
      </c>
      <c r="W32" s="167"/>
      <c r="X32" s="175">
        <v>3491.3643649999999</v>
      </c>
      <c r="Y32" s="166">
        <v>466.01421747650699</v>
      </c>
      <c r="Z32" s="177">
        <v>573</v>
      </c>
      <c r="AA32" s="188">
        <v>0.81328833765533504</v>
      </c>
      <c r="AB32" s="171">
        <v>-1196.48090470032</v>
      </c>
      <c r="AC32" s="168"/>
      <c r="AD32" s="168"/>
      <c r="AE32" s="176">
        <v>802</v>
      </c>
      <c r="AF32" s="176">
        <v>1661</v>
      </c>
      <c r="AG32" s="167"/>
      <c r="AH32" s="180">
        <v>233.8</v>
      </c>
      <c r="AI32" s="166">
        <v>31.206746891915198</v>
      </c>
      <c r="AJ32" s="181" t="s">
        <v>53</v>
      </c>
      <c r="AK32" s="173">
        <v>0.495345188760559</v>
      </c>
      <c r="AL32" s="174">
        <v>-281.61754274191998</v>
      </c>
      <c r="AM32" s="168"/>
      <c r="AN32" s="168"/>
      <c r="AO32" s="176">
        <v>239</v>
      </c>
      <c r="AP32" s="176">
        <v>333</v>
      </c>
      <c r="AQ32" s="167"/>
      <c r="AR32" s="180">
        <v>45.2</v>
      </c>
      <c r="AS32" s="166">
        <v>6.0331264307723202</v>
      </c>
      <c r="AT32" s="181" t="s">
        <v>54</v>
      </c>
      <c r="AU32" s="173">
        <v>0.37707040192327002</v>
      </c>
      <c r="AV32" s="174">
        <v>-85.699693394773305</v>
      </c>
      <c r="AW32" s="168"/>
      <c r="AX32" s="168"/>
      <c r="AY32" s="176">
        <v>75</v>
      </c>
      <c r="AZ32" s="176">
        <v>99</v>
      </c>
      <c r="BA32" s="167"/>
      <c r="BB32" s="184">
        <v>181</v>
      </c>
      <c r="BC32" s="180">
        <v>24.159200972783001</v>
      </c>
      <c r="BD32" s="181" t="s">
        <v>55</v>
      </c>
      <c r="BE32" s="188">
        <v>0.75497503039946701</v>
      </c>
      <c r="BF32" s="171">
        <v>-80.799386789546602</v>
      </c>
      <c r="BG32" s="168"/>
      <c r="BH32" s="168"/>
      <c r="BI32" s="176">
        <v>59</v>
      </c>
      <c r="BJ32" s="176">
        <v>107</v>
      </c>
      <c r="BK32" s="169"/>
      <c r="BL32" s="185">
        <v>0.8</v>
      </c>
      <c r="BM32" s="173">
        <v>0.69</v>
      </c>
      <c r="BN32" s="186"/>
      <c r="BO32" s="187">
        <v>0.95</v>
      </c>
      <c r="BP32" s="178">
        <v>1</v>
      </c>
      <c r="BQ32" s="186">
        <v>2.5000000000000001E-3</v>
      </c>
    </row>
    <row r="33" spans="1:69" s="156" customFormat="1" ht="22.35" customHeight="1" x14ac:dyDescent="0.2">
      <c r="A33" s="165" t="s">
        <v>80</v>
      </c>
      <c r="B33" s="165" t="s">
        <v>81</v>
      </c>
      <c r="C33" s="165" t="s">
        <v>85</v>
      </c>
      <c r="D33" s="166">
        <v>8.0712319791111096</v>
      </c>
      <c r="E33" s="167"/>
      <c r="F33" s="168">
        <v>0.03</v>
      </c>
      <c r="G33" s="168">
        <v>2.3E-2</v>
      </c>
      <c r="H33" s="169"/>
      <c r="I33" s="170">
        <v>3</v>
      </c>
      <c r="J33" s="170">
        <v>3</v>
      </c>
      <c r="K33" s="167"/>
      <c r="L33" s="171">
        <v>3706.5583200000001</v>
      </c>
      <c r="M33" s="171">
        <v>4466.37979</v>
      </c>
      <c r="N33" s="171">
        <v>8172.9381100000001</v>
      </c>
      <c r="O33" s="166">
        <v>1012.60106649792</v>
      </c>
      <c r="P33" s="172">
        <v>276.94400000000002</v>
      </c>
      <c r="Q33" s="178">
        <v>3.6563387056513998</v>
      </c>
      <c r="R33" s="179">
        <v>5732.0131480085402</v>
      </c>
      <c r="S33" s="168">
        <v>0.01</v>
      </c>
      <c r="T33" s="168">
        <v>0.01</v>
      </c>
      <c r="U33" s="175">
        <v>0</v>
      </c>
      <c r="V33" s="176">
        <v>0</v>
      </c>
      <c r="W33" s="167"/>
      <c r="X33" s="175">
        <v>3948.1300900000001</v>
      </c>
      <c r="Y33" s="166">
        <v>489.160774986771</v>
      </c>
      <c r="Z33" s="177">
        <v>573</v>
      </c>
      <c r="AA33" s="188">
        <v>0.85368372598040299</v>
      </c>
      <c r="AB33" s="171">
        <v>-1102.16889904149</v>
      </c>
      <c r="AC33" s="168"/>
      <c r="AD33" s="168"/>
      <c r="AE33" s="176">
        <v>677</v>
      </c>
      <c r="AF33" s="176">
        <v>1602</v>
      </c>
      <c r="AG33" s="167"/>
      <c r="AH33" s="180">
        <v>352.65</v>
      </c>
      <c r="AI33" s="166">
        <v>43.6922146349754</v>
      </c>
      <c r="AJ33" s="181" t="s">
        <v>53</v>
      </c>
      <c r="AK33" s="173">
        <v>0.69352721642818105</v>
      </c>
      <c r="AL33" s="174">
        <v>-202.61847523492801</v>
      </c>
      <c r="AM33" s="168"/>
      <c r="AN33" s="168"/>
      <c r="AO33" s="176">
        <v>156</v>
      </c>
      <c r="AP33" s="176">
        <v>258</v>
      </c>
      <c r="AQ33" s="167"/>
      <c r="AR33" s="180">
        <v>61.6</v>
      </c>
      <c r="AS33" s="166">
        <v>7.6320442975031497</v>
      </c>
      <c r="AT33" s="181" t="s">
        <v>54</v>
      </c>
      <c r="AU33" s="173">
        <v>0.47700276859394702</v>
      </c>
      <c r="AV33" s="174">
        <v>-79.420565139029307</v>
      </c>
      <c r="AW33" s="168"/>
      <c r="AX33" s="168"/>
      <c r="AY33" s="176">
        <v>68</v>
      </c>
      <c r="AZ33" s="176">
        <v>94</v>
      </c>
      <c r="BA33" s="167"/>
      <c r="BB33" s="184">
        <v>291.8</v>
      </c>
      <c r="BC33" s="180">
        <v>36.153092954730802</v>
      </c>
      <c r="BD33" s="181" t="s">
        <v>55</v>
      </c>
      <c r="BE33" s="178">
        <v>1.12978415483534</v>
      </c>
      <c r="BF33" s="179">
        <v>9.7588697219413802</v>
      </c>
      <c r="BG33" s="168">
        <v>0.02</v>
      </c>
      <c r="BH33" s="168">
        <v>1.2999999999999999E-2</v>
      </c>
      <c r="BI33" s="176">
        <v>0</v>
      </c>
      <c r="BJ33" s="176">
        <v>19</v>
      </c>
      <c r="BK33" s="169"/>
      <c r="BL33" s="185">
        <v>0.8</v>
      </c>
      <c r="BM33" s="173">
        <v>0.65</v>
      </c>
      <c r="BN33" s="186"/>
      <c r="BO33" s="187">
        <v>0.95</v>
      </c>
      <c r="BP33" s="178">
        <v>1</v>
      </c>
      <c r="BQ33" s="186">
        <v>2.5000000000000001E-3</v>
      </c>
    </row>
    <row r="34" spans="1:69" s="156" customFormat="1" ht="22.35" customHeight="1" x14ac:dyDescent="0.2">
      <c r="A34" s="165" t="s">
        <v>80</v>
      </c>
      <c r="B34" s="165" t="s">
        <v>81</v>
      </c>
      <c r="C34" s="165" t="s">
        <v>86</v>
      </c>
      <c r="D34" s="166">
        <v>1.4323658323333299</v>
      </c>
      <c r="E34" s="167"/>
      <c r="F34" s="168">
        <v>0.01</v>
      </c>
      <c r="G34" s="168">
        <v>0.01</v>
      </c>
      <c r="H34" s="169"/>
      <c r="I34" s="170">
        <v>3</v>
      </c>
      <c r="J34" s="170">
        <v>3</v>
      </c>
      <c r="K34" s="167"/>
      <c r="L34" s="171">
        <v>1280.3933300000001</v>
      </c>
      <c r="M34" s="171">
        <v>132.15737999999999</v>
      </c>
      <c r="N34" s="171">
        <v>1412.55071</v>
      </c>
      <c r="O34" s="166">
        <v>986.16615819364097</v>
      </c>
      <c r="P34" s="172">
        <v>276.94400000000002</v>
      </c>
      <c r="Q34" s="178">
        <v>3.5608865264950298</v>
      </c>
      <c r="R34" s="179">
        <v>979.37055560786405</v>
      </c>
      <c r="S34" s="168">
        <v>0.01</v>
      </c>
      <c r="T34" s="168">
        <v>0.01</v>
      </c>
      <c r="U34" s="175">
        <v>0</v>
      </c>
      <c r="V34" s="176">
        <v>0</v>
      </c>
      <c r="W34" s="167"/>
      <c r="X34" s="175">
        <v>435.25427500000001</v>
      </c>
      <c r="Y34" s="166">
        <v>303.87088631607998</v>
      </c>
      <c r="Z34" s="177">
        <v>573</v>
      </c>
      <c r="AA34" s="173">
        <v>0.53031568292509601</v>
      </c>
      <c r="AB34" s="174">
        <v>-460.99994414428198</v>
      </c>
      <c r="AC34" s="168"/>
      <c r="AD34" s="168"/>
      <c r="AE34" s="176">
        <v>386</v>
      </c>
      <c r="AF34" s="176">
        <v>550</v>
      </c>
      <c r="AG34" s="167"/>
      <c r="AH34" s="180">
        <v>30.3</v>
      </c>
      <c r="AI34" s="166">
        <v>21.1538137227422</v>
      </c>
      <c r="AJ34" s="181" t="s">
        <v>53</v>
      </c>
      <c r="AK34" s="173">
        <v>0.335774820995909</v>
      </c>
      <c r="AL34" s="174">
        <v>-68.241039801203797</v>
      </c>
      <c r="AM34" s="168"/>
      <c r="AN34" s="168"/>
      <c r="AO34" s="176">
        <v>60</v>
      </c>
      <c r="AP34" s="176">
        <v>78</v>
      </c>
      <c r="AQ34" s="167"/>
      <c r="AR34" s="180">
        <v>4.8</v>
      </c>
      <c r="AS34" s="166">
        <v>3.3510992036027298</v>
      </c>
      <c r="AT34" s="181" t="s">
        <v>54</v>
      </c>
      <c r="AU34" s="173">
        <v>0.209443700225171</v>
      </c>
      <c r="AV34" s="174">
        <v>-20.226295822527899</v>
      </c>
      <c r="AW34" s="168"/>
      <c r="AX34" s="168"/>
      <c r="AY34" s="176">
        <v>19</v>
      </c>
      <c r="AZ34" s="176">
        <v>23</v>
      </c>
      <c r="BA34" s="167"/>
      <c r="BB34" s="184">
        <v>27.4</v>
      </c>
      <c r="BC34" s="180">
        <v>19.129191287232299</v>
      </c>
      <c r="BD34" s="181" t="s">
        <v>55</v>
      </c>
      <c r="BE34" s="173">
        <v>0.59778722772600801</v>
      </c>
      <c r="BF34" s="174">
        <v>-22.6525916450559</v>
      </c>
      <c r="BG34" s="168"/>
      <c r="BH34" s="168"/>
      <c r="BI34" s="176">
        <v>19</v>
      </c>
      <c r="BJ34" s="176">
        <v>28</v>
      </c>
      <c r="BK34" s="169"/>
      <c r="BL34" s="185">
        <v>0.8</v>
      </c>
      <c r="BM34" s="182">
        <v>0.81</v>
      </c>
      <c r="BN34" s="186">
        <v>3.7500000000000001E-4</v>
      </c>
      <c r="BO34" s="187">
        <v>0.95</v>
      </c>
      <c r="BP34" s="178">
        <v>1</v>
      </c>
      <c r="BQ34" s="186">
        <v>2.5000000000000001E-3</v>
      </c>
    </row>
    <row r="35" spans="1:69" s="156" customFormat="1" ht="22.35" customHeight="1" x14ac:dyDescent="0.2">
      <c r="A35" s="165" t="s">
        <v>80</v>
      </c>
      <c r="B35" s="165" t="s">
        <v>81</v>
      </c>
      <c r="C35" s="165" t="s">
        <v>87</v>
      </c>
      <c r="D35" s="166">
        <v>2.4192814678888901</v>
      </c>
      <c r="E35" s="167"/>
      <c r="F35" s="168">
        <v>4.7E-2</v>
      </c>
      <c r="G35" s="168">
        <v>2.9000000000000001E-2</v>
      </c>
      <c r="H35" s="169"/>
      <c r="I35" s="170">
        <v>4</v>
      </c>
      <c r="J35" s="170">
        <v>4</v>
      </c>
      <c r="K35" s="167"/>
      <c r="L35" s="171">
        <v>1550.0249899999999</v>
      </c>
      <c r="M35" s="171">
        <v>667.13251000000002</v>
      </c>
      <c r="N35" s="171">
        <v>2217.1574999999998</v>
      </c>
      <c r="O35" s="166">
        <v>916.45289290573305</v>
      </c>
      <c r="P35" s="172">
        <v>237.21100000000001</v>
      </c>
      <c r="Q35" s="178">
        <v>3.8634502316744701</v>
      </c>
      <c r="R35" s="179">
        <v>1590.4803475029</v>
      </c>
      <c r="S35" s="168">
        <v>0.01</v>
      </c>
      <c r="T35" s="168">
        <v>0.01</v>
      </c>
      <c r="U35" s="175">
        <v>0</v>
      </c>
      <c r="V35" s="176">
        <v>0</v>
      </c>
      <c r="W35" s="167"/>
      <c r="X35" s="175">
        <v>1571.2996350000001</v>
      </c>
      <c r="Y35" s="166">
        <v>649.49021263373095</v>
      </c>
      <c r="Z35" s="177">
        <v>573</v>
      </c>
      <c r="AA35" s="178">
        <v>1.1334907724847001</v>
      </c>
      <c r="AB35" s="179">
        <v>57.516512038435401</v>
      </c>
      <c r="AC35" s="168">
        <v>0.02</v>
      </c>
      <c r="AD35" s="168">
        <v>1.2999999999999999E-2</v>
      </c>
      <c r="AE35" s="176">
        <v>0</v>
      </c>
      <c r="AF35" s="176">
        <v>93</v>
      </c>
      <c r="AG35" s="167"/>
      <c r="AH35" s="180">
        <v>161.69999999999999</v>
      </c>
      <c r="AI35" s="166">
        <v>66.838026970504799</v>
      </c>
      <c r="AJ35" s="181" t="s">
        <v>53</v>
      </c>
      <c r="AK35" s="182">
        <v>1.0609210630238901</v>
      </c>
      <c r="AL35" s="183">
        <v>-4.7368878648840704</v>
      </c>
      <c r="AM35" s="168">
        <v>1.7000000000000001E-2</v>
      </c>
      <c r="AN35" s="168">
        <v>6.0000000000000001E-3</v>
      </c>
      <c r="AO35" s="176">
        <v>0</v>
      </c>
      <c r="AP35" s="176">
        <v>22</v>
      </c>
      <c r="AQ35" s="167"/>
      <c r="AR35" s="180">
        <v>24.4</v>
      </c>
      <c r="AS35" s="166">
        <v>10.0856391965387</v>
      </c>
      <c r="AT35" s="181" t="s">
        <v>54</v>
      </c>
      <c r="AU35" s="173">
        <v>0.630352449783672</v>
      </c>
      <c r="AV35" s="174">
        <v>-17.869685806954699</v>
      </c>
      <c r="AW35" s="168"/>
      <c r="AX35" s="168"/>
      <c r="AY35" s="176">
        <v>15</v>
      </c>
      <c r="AZ35" s="176">
        <v>23</v>
      </c>
      <c r="BA35" s="167"/>
      <c r="BB35" s="184">
        <v>70.2</v>
      </c>
      <c r="BC35" s="180">
        <v>29.0168799834845</v>
      </c>
      <c r="BD35" s="181" t="s">
        <v>55</v>
      </c>
      <c r="BE35" s="188">
        <v>0.90677749948388897</v>
      </c>
      <c r="BF35" s="171">
        <v>-14.3393716139094</v>
      </c>
      <c r="BG35" s="168">
        <v>0</v>
      </c>
      <c r="BH35" s="168"/>
      <c r="BI35" s="176">
        <v>8</v>
      </c>
      <c r="BJ35" s="176">
        <v>23</v>
      </c>
      <c r="BK35" s="169"/>
      <c r="BL35" s="185">
        <v>0.8</v>
      </c>
      <c r="BM35" s="173">
        <v>0.64</v>
      </c>
      <c r="BN35" s="186"/>
      <c r="BO35" s="187">
        <v>0.95</v>
      </c>
      <c r="BP35" s="178">
        <v>1</v>
      </c>
      <c r="BQ35" s="186">
        <v>2.5000000000000001E-3</v>
      </c>
    </row>
    <row r="36" spans="1:69" s="156" customFormat="1" ht="22.35" customHeight="1" x14ac:dyDescent="0.2">
      <c r="A36" s="165" t="s">
        <v>80</v>
      </c>
      <c r="B36" s="165" t="s">
        <v>81</v>
      </c>
      <c r="C36" s="165" t="s">
        <v>88</v>
      </c>
      <c r="D36" s="166">
        <v>2.4492784859999999</v>
      </c>
      <c r="E36" s="167"/>
      <c r="F36" s="168">
        <v>0.03</v>
      </c>
      <c r="G36" s="168">
        <v>2.8000000000000001E-2</v>
      </c>
      <c r="H36" s="169"/>
      <c r="I36" s="170">
        <v>3</v>
      </c>
      <c r="J36" s="170">
        <v>3</v>
      </c>
      <c r="K36" s="167"/>
      <c r="L36" s="171">
        <v>1200.03495</v>
      </c>
      <c r="M36" s="171">
        <v>2134.3454400000001</v>
      </c>
      <c r="N36" s="171">
        <v>3334.3803899999998</v>
      </c>
      <c r="O36" s="166">
        <v>1361.3725058457901</v>
      </c>
      <c r="P36" s="172">
        <v>282.02199999999999</v>
      </c>
      <c r="Q36" s="178">
        <v>4.8271854885285199</v>
      </c>
      <c r="R36" s="179">
        <v>2580.0809344408699</v>
      </c>
      <c r="S36" s="168">
        <v>0.01</v>
      </c>
      <c r="T36" s="168">
        <v>0.01</v>
      </c>
      <c r="U36" s="175">
        <v>0</v>
      </c>
      <c r="V36" s="176">
        <v>0</v>
      </c>
      <c r="W36" s="167"/>
      <c r="X36" s="175">
        <v>1182.5286000000001</v>
      </c>
      <c r="Y36" s="166">
        <v>482.80691916386701</v>
      </c>
      <c r="Z36" s="177">
        <v>573</v>
      </c>
      <c r="AA36" s="188">
        <v>0.84259497236276903</v>
      </c>
      <c r="AB36" s="171">
        <v>-350.024137145976</v>
      </c>
      <c r="AC36" s="168"/>
      <c r="AD36" s="168"/>
      <c r="AE36" s="176">
        <v>221</v>
      </c>
      <c r="AF36" s="176">
        <v>502</v>
      </c>
      <c r="AG36" s="167"/>
      <c r="AH36" s="180">
        <v>139.9</v>
      </c>
      <c r="AI36" s="166">
        <v>57.118862064752598</v>
      </c>
      <c r="AJ36" s="181" t="s">
        <v>53</v>
      </c>
      <c r="AK36" s="188">
        <v>0.90664860420242199</v>
      </c>
      <c r="AL36" s="171">
        <v>-28.600562722856001</v>
      </c>
      <c r="AM36" s="168">
        <v>0</v>
      </c>
      <c r="AN36" s="168"/>
      <c r="AO36" s="176">
        <v>15</v>
      </c>
      <c r="AP36" s="176">
        <v>46</v>
      </c>
      <c r="AQ36" s="167"/>
      <c r="AR36" s="180">
        <v>15.6</v>
      </c>
      <c r="AS36" s="166">
        <v>6.3692226462483204</v>
      </c>
      <c r="AT36" s="181" t="s">
        <v>54</v>
      </c>
      <c r="AU36" s="173">
        <v>0.39807641539052002</v>
      </c>
      <c r="AV36" s="174">
        <v>-27.193793707392</v>
      </c>
      <c r="AW36" s="168"/>
      <c r="AX36" s="168"/>
      <c r="AY36" s="176">
        <v>24</v>
      </c>
      <c r="AZ36" s="176">
        <v>32</v>
      </c>
      <c r="BA36" s="167"/>
      <c r="BB36" s="184">
        <v>92.6</v>
      </c>
      <c r="BC36" s="180">
        <v>37.807052374525298</v>
      </c>
      <c r="BD36" s="181" t="s">
        <v>55</v>
      </c>
      <c r="BE36" s="178">
        <v>1.18147038670391</v>
      </c>
      <c r="BF36" s="179">
        <v>7.0124125852160102</v>
      </c>
      <c r="BG36" s="168">
        <v>0.02</v>
      </c>
      <c r="BH36" s="168">
        <v>1.7999999999999999E-2</v>
      </c>
      <c r="BI36" s="176">
        <v>0</v>
      </c>
      <c r="BJ36" s="176">
        <v>2</v>
      </c>
      <c r="BK36" s="169"/>
      <c r="BL36" s="185">
        <v>0.8</v>
      </c>
      <c r="BM36" s="188">
        <v>0.76</v>
      </c>
      <c r="BN36" s="186"/>
      <c r="BO36" s="187">
        <v>0.95</v>
      </c>
      <c r="BP36" s="178">
        <v>1</v>
      </c>
      <c r="BQ36" s="186">
        <v>2.5000000000000001E-3</v>
      </c>
    </row>
    <row r="37" spans="1:69" s="156" customFormat="1" ht="22.35" customHeight="1" x14ac:dyDescent="0.2">
      <c r="A37" s="165" t="s">
        <v>80</v>
      </c>
      <c r="B37" s="165" t="s">
        <v>81</v>
      </c>
      <c r="C37" s="165" t="s">
        <v>89</v>
      </c>
      <c r="D37" s="166">
        <v>3.7485407748888901</v>
      </c>
      <c r="E37" s="167"/>
      <c r="F37" s="168">
        <v>2.8000000000000001E-2</v>
      </c>
      <c r="G37" s="168">
        <v>1.7000000000000001E-2</v>
      </c>
      <c r="H37" s="169"/>
      <c r="I37" s="170">
        <v>2</v>
      </c>
      <c r="J37" s="170">
        <v>2</v>
      </c>
      <c r="K37" s="167"/>
      <c r="L37" s="171">
        <v>1043.1998000000001</v>
      </c>
      <c r="M37" s="171">
        <v>1964.2833000000001</v>
      </c>
      <c r="N37" s="171">
        <v>3007.4830999999999</v>
      </c>
      <c r="O37" s="166">
        <v>802.30769267519702</v>
      </c>
      <c r="P37" s="172">
        <v>231.66</v>
      </c>
      <c r="Q37" s="178">
        <v>3.4632983366796002</v>
      </c>
      <c r="R37" s="179">
        <v>2059.2045441454502</v>
      </c>
      <c r="S37" s="168">
        <v>0.01</v>
      </c>
      <c r="T37" s="168">
        <v>0.01</v>
      </c>
      <c r="U37" s="175">
        <v>0</v>
      </c>
      <c r="V37" s="176">
        <v>0</v>
      </c>
      <c r="W37" s="167"/>
      <c r="X37" s="175">
        <v>2298.4796999999999</v>
      </c>
      <c r="Y37" s="166">
        <v>613.16651946199795</v>
      </c>
      <c r="Z37" s="177">
        <v>573</v>
      </c>
      <c r="AA37" s="182">
        <v>1.0700986378045301</v>
      </c>
      <c r="AB37" s="183">
        <v>-47.042239500376603</v>
      </c>
      <c r="AC37" s="168">
        <v>1.7999999999999999E-2</v>
      </c>
      <c r="AD37" s="168">
        <v>7.0000000000000001E-3</v>
      </c>
      <c r="AE37" s="176">
        <v>0</v>
      </c>
      <c r="AF37" s="176">
        <v>280</v>
      </c>
      <c r="AG37" s="167"/>
      <c r="AH37" s="180">
        <v>195.2</v>
      </c>
      <c r="AI37" s="166">
        <v>52.073596559926997</v>
      </c>
      <c r="AJ37" s="181" t="s">
        <v>53</v>
      </c>
      <c r="AK37" s="188">
        <v>0.826565024760745</v>
      </c>
      <c r="AL37" s="171">
        <v>-62.684611149256099</v>
      </c>
      <c r="AM37" s="168"/>
      <c r="AN37" s="168"/>
      <c r="AO37" s="176">
        <v>41</v>
      </c>
      <c r="AP37" s="176">
        <v>89</v>
      </c>
      <c r="AQ37" s="167"/>
      <c r="AR37" s="180">
        <v>18.100000000000001</v>
      </c>
      <c r="AS37" s="166">
        <v>4.8285455826571599</v>
      </c>
      <c r="AT37" s="181" t="s">
        <v>54</v>
      </c>
      <c r="AU37" s="173">
        <v>0.301784098916072</v>
      </c>
      <c r="AV37" s="174">
        <v>-47.394504418858702</v>
      </c>
      <c r="AW37" s="168"/>
      <c r="AX37" s="168"/>
      <c r="AY37" s="176">
        <v>42</v>
      </c>
      <c r="AZ37" s="176">
        <v>54</v>
      </c>
      <c r="BA37" s="167"/>
      <c r="BB37" s="184">
        <v>95</v>
      </c>
      <c r="BC37" s="180">
        <v>25.343195047095598</v>
      </c>
      <c r="BD37" s="181" t="s">
        <v>55</v>
      </c>
      <c r="BE37" s="188">
        <v>0.791974845221737</v>
      </c>
      <c r="BF37" s="171">
        <v>-35.9890088377174</v>
      </c>
      <c r="BG37" s="168"/>
      <c r="BH37" s="168"/>
      <c r="BI37" s="176">
        <v>25</v>
      </c>
      <c r="BJ37" s="176">
        <v>49</v>
      </c>
      <c r="BK37" s="169"/>
      <c r="BL37" s="185">
        <v>0.8</v>
      </c>
      <c r="BM37" s="173">
        <v>0.67</v>
      </c>
      <c r="BN37" s="186"/>
      <c r="BO37" s="187">
        <v>0.95</v>
      </c>
      <c r="BP37" s="188">
        <v>0.94</v>
      </c>
      <c r="BQ37" s="186"/>
    </row>
    <row r="38" spans="1:69" s="156" customFormat="1" ht="22.35" customHeight="1" x14ac:dyDescent="0.2">
      <c r="A38" s="165" t="s">
        <v>80</v>
      </c>
      <c r="B38" s="165" t="s">
        <v>81</v>
      </c>
      <c r="C38" s="165" t="s">
        <v>90</v>
      </c>
      <c r="D38" s="166">
        <v>5.80392696766667</v>
      </c>
      <c r="E38" s="167"/>
      <c r="F38" s="168">
        <v>2.1000000000000001E-2</v>
      </c>
      <c r="G38" s="168">
        <v>1.0999999999999999E-2</v>
      </c>
      <c r="H38" s="169"/>
      <c r="I38" s="170">
        <v>2</v>
      </c>
      <c r="J38" s="170">
        <v>2</v>
      </c>
      <c r="K38" s="167"/>
      <c r="L38" s="171">
        <v>788.31001000000003</v>
      </c>
      <c r="M38" s="171">
        <v>1179.4201599999999</v>
      </c>
      <c r="N38" s="171">
        <v>1967.73017</v>
      </c>
      <c r="O38" s="166">
        <v>339.03427471815297</v>
      </c>
      <c r="P38" s="172">
        <v>236.59800000000001</v>
      </c>
      <c r="Q38" s="178">
        <v>1.4329549477094199</v>
      </c>
      <c r="R38" s="179">
        <v>468.19848613596901</v>
      </c>
      <c r="S38" s="168">
        <v>0.01</v>
      </c>
      <c r="T38" s="168">
        <v>0.01</v>
      </c>
      <c r="U38" s="175">
        <v>0</v>
      </c>
      <c r="V38" s="176">
        <v>0</v>
      </c>
      <c r="W38" s="167"/>
      <c r="X38" s="175">
        <v>3361.0334050000001</v>
      </c>
      <c r="Y38" s="166">
        <v>579.09643310884496</v>
      </c>
      <c r="Z38" s="177">
        <v>573</v>
      </c>
      <c r="AA38" s="182">
        <v>1.01063949931736</v>
      </c>
      <c r="AB38" s="183">
        <v>-270.57656150051798</v>
      </c>
      <c r="AC38" s="168">
        <v>1.0999999999999999E-2</v>
      </c>
      <c r="AD38" s="168">
        <v>1E-3</v>
      </c>
      <c r="AE38" s="176">
        <v>0</v>
      </c>
      <c r="AF38" s="176">
        <v>630</v>
      </c>
      <c r="AG38" s="167"/>
      <c r="AH38" s="180">
        <v>268.75</v>
      </c>
      <c r="AI38" s="166">
        <v>46.304855574026</v>
      </c>
      <c r="AJ38" s="181" t="s">
        <v>53</v>
      </c>
      <c r="AK38" s="188">
        <v>0.734997707524223</v>
      </c>
      <c r="AL38" s="171">
        <v>-130.53695966759599</v>
      </c>
      <c r="AM38" s="168"/>
      <c r="AN38" s="168"/>
      <c r="AO38" s="176">
        <v>97</v>
      </c>
      <c r="AP38" s="176">
        <v>171</v>
      </c>
      <c r="AQ38" s="167"/>
      <c r="AR38" s="180">
        <v>40.5</v>
      </c>
      <c r="AS38" s="166">
        <v>6.9780340492950899</v>
      </c>
      <c r="AT38" s="181" t="s">
        <v>54</v>
      </c>
      <c r="AU38" s="173">
        <v>0.43612712808094301</v>
      </c>
      <c r="AV38" s="174">
        <v>-60.906211979072097</v>
      </c>
      <c r="AW38" s="168"/>
      <c r="AX38" s="168"/>
      <c r="AY38" s="176">
        <v>53</v>
      </c>
      <c r="AZ38" s="176">
        <v>71</v>
      </c>
      <c r="BA38" s="167"/>
      <c r="BB38" s="184">
        <v>165.2</v>
      </c>
      <c r="BC38" s="180">
        <v>28.463487035643201</v>
      </c>
      <c r="BD38" s="181" t="s">
        <v>55</v>
      </c>
      <c r="BE38" s="188">
        <v>0.88948396986384903</v>
      </c>
      <c r="BF38" s="171">
        <v>-37.612423958144099</v>
      </c>
      <c r="BG38" s="168"/>
      <c r="BH38" s="168"/>
      <c r="BI38" s="176">
        <v>21</v>
      </c>
      <c r="BJ38" s="176">
        <v>58</v>
      </c>
      <c r="BK38" s="169"/>
      <c r="BL38" s="185">
        <v>0.8</v>
      </c>
      <c r="BM38" s="173">
        <v>0.68</v>
      </c>
      <c r="BN38" s="186"/>
      <c r="BO38" s="187">
        <v>0.95</v>
      </c>
      <c r="BP38" s="188">
        <v>0.88</v>
      </c>
      <c r="BQ38" s="186"/>
    </row>
    <row r="39" spans="1:69" s="156" customFormat="1" ht="22.35" customHeight="1" x14ac:dyDescent="0.2">
      <c r="A39" s="165" t="s">
        <v>80</v>
      </c>
      <c r="B39" s="165" t="s">
        <v>81</v>
      </c>
      <c r="C39" s="165" t="s">
        <v>91</v>
      </c>
      <c r="D39" s="166">
        <v>2.9206349206666702</v>
      </c>
      <c r="E39" s="167"/>
      <c r="F39" s="168">
        <v>2.9000000000000001E-2</v>
      </c>
      <c r="G39" s="168">
        <v>1.7999999999999999E-2</v>
      </c>
      <c r="H39" s="169"/>
      <c r="I39" s="170">
        <v>3</v>
      </c>
      <c r="J39" s="170">
        <v>3</v>
      </c>
      <c r="K39" s="167"/>
      <c r="L39" s="171">
        <v>1574.1693299999999</v>
      </c>
      <c r="M39" s="171">
        <v>1743.8178499999999</v>
      </c>
      <c r="N39" s="171">
        <v>3317.9871800000001</v>
      </c>
      <c r="O39" s="166">
        <v>1136.04995835722</v>
      </c>
      <c r="P39" s="172">
        <v>240.53200000000001</v>
      </c>
      <c r="Q39" s="178">
        <v>4.7230720168510603</v>
      </c>
      <c r="R39" s="179">
        <v>2550.8504546583299</v>
      </c>
      <c r="S39" s="168">
        <v>0.01</v>
      </c>
      <c r="T39" s="168">
        <v>0.01</v>
      </c>
      <c r="U39" s="175">
        <v>0</v>
      </c>
      <c r="V39" s="176">
        <v>0</v>
      </c>
      <c r="W39" s="167"/>
      <c r="X39" s="175">
        <v>1218.8441350000001</v>
      </c>
      <c r="Y39" s="166">
        <v>417.32163317481201</v>
      </c>
      <c r="Z39" s="177">
        <v>573</v>
      </c>
      <c r="AA39" s="188">
        <v>0.72831000554068404</v>
      </c>
      <c r="AB39" s="171">
        <v>-608.64386501986598</v>
      </c>
      <c r="AC39" s="168"/>
      <c r="AD39" s="168"/>
      <c r="AE39" s="176">
        <v>455</v>
      </c>
      <c r="AF39" s="176">
        <v>790</v>
      </c>
      <c r="AG39" s="167"/>
      <c r="AH39" s="180">
        <v>142.75</v>
      </c>
      <c r="AI39" s="166">
        <v>48.876358695120899</v>
      </c>
      <c r="AJ39" s="181" t="s">
        <v>53</v>
      </c>
      <c r="AK39" s="188">
        <v>0.77581521738287096</v>
      </c>
      <c r="AL39" s="171">
        <v>-58.178000002184199</v>
      </c>
      <c r="AM39" s="168"/>
      <c r="AN39" s="168"/>
      <c r="AO39" s="176">
        <v>42</v>
      </c>
      <c r="AP39" s="176">
        <v>79</v>
      </c>
      <c r="AQ39" s="167"/>
      <c r="AR39" s="180">
        <v>21.1</v>
      </c>
      <c r="AS39" s="166">
        <v>7.2244565216606</v>
      </c>
      <c r="AT39" s="181" t="s">
        <v>54</v>
      </c>
      <c r="AU39" s="173">
        <v>0.451528532603787</v>
      </c>
      <c r="AV39" s="174">
        <v>-29.929333333888099</v>
      </c>
      <c r="AW39" s="168"/>
      <c r="AX39" s="168"/>
      <c r="AY39" s="176">
        <v>26</v>
      </c>
      <c r="AZ39" s="176">
        <v>35</v>
      </c>
      <c r="BA39" s="167"/>
      <c r="BB39" s="184">
        <v>101.2</v>
      </c>
      <c r="BC39" s="180">
        <v>34.649999999623397</v>
      </c>
      <c r="BD39" s="181" t="s">
        <v>55</v>
      </c>
      <c r="BE39" s="182">
        <v>1.08281249998823</v>
      </c>
      <c r="BF39" s="183">
        <v>-0.85866666777610601</v>
      </c>
      <c r="BG39" s="168">
        <v>1.9E-2</v>
      </c>
      <c r="BH39" s="168">
        <v>8.0000000000000002E-3</v>
      </c>
      <c r="BI39" s="176">
        <v>0</v>
      </c>
      <c r="BJ39" s="176">
        <v>11</v>
      </c>
      <c r="BK39" s="169"/>
      <c r="BL39" s="185">
        <v>0.8</v>
      </c>
      <c r="BM39" s="173">
        <v>0.69</v>
      </c>
      <c r="BN39" s="186"/>
      <c r="BO39" s="187">
        <v>0.95</v>
      </c>
      <c r="BP39" s="178">
        <v>1</v>
      </c>
      <c r="BQ39" s="186">
        <v>2.5000000000000001E-3</v>
      </c>
    </row>
    <row r="40" spans="1:69" s="156" customFormat="1" ht="22.35" customHeight="1" x14ac:dyDescent="0.2">
      <c r="A40" s="165" t="s">
        <v>80</v>
      </c>
      <c r="B40" s="165" t="s">
        <v>81</v>
      </c>
      <c r="C40" s="165" t="s">
        <v>92</v>
      </c>
      <c r="D40" s="166">
        <v>4.1371847502222199</v>
      </c>
      <c r="E40" s="167"/>
      <c r="F40" s="168">
        <v>3.9E-2</v>
      </c>
      <c r="G40" s="168">
        <v>0.03</v>
      </c>
      <c r="H40" s="169"/>
      <c r="I40" s="170">
        <v>4</v>
      </c>
      <c r="J40" s="170">
        <v>3</v>
      </c>
      <c r="K40" s="167"/>
      <c r="L40" s="171">
        <v>1609.9491499999999</v>
      </c>
      <c r="M40" s="171">
        <v>516.51944000000003</v>
      </c>
      <c r="N40" s="171">
        <v>2126.4685899999999</v>
      </c>
      <c r="O40" s="166">
        <v>513.98927492560699</v>
      </c>
      <c r="P40" s="172">
        <v>228.25</v>
      </c>
      <c r="Q40" s="178">
        <v>2.25186976966312</v>
      </c>
      <c r="R40" s="179">
        <v>1095.27942819186</v>
      </c>
      <c r="S40" s="168">
        <v>0.01</v>
      </c>
      <c r="T40" s="168">
        <v>0.01</v>
      </c>
      <c r="U40" s="175">
        <v>0</v>
      </c>
      <c r="V40" s="176">
        <v>0</v>
      </c>
      <c r="W40" s="167"/>
      <c r="X40" s="175">
        <v>2837.3960149999998</v>
      </c>
      <c r="Y40" s="166">
        <v>685.82772738094297</v>
      </c>
      <c r="Z40" s="177">
        <v>573</v>
      </c>
      <c r="AA40" s="178">
        <v>1.1969070285880301</v>
      </c>
      <c r="AB40" s="179">
        <v>248.69332182995399</v>
      </c>
      <c r="AC40" s="168">
        <v>0.02</v>
      </c>
      <c r="AD40" s="168">
        <v>0.02</v>
      </c>
      <c r="AE40" s="176">
        <v>0</v>
      </c>
      <c r="AF40" s="176">
        <v>8</v>
      </c>
      <c r="AG40" s="167"/>
      <c r="AH40" s="180">
        <v>177.3</v>
      </c>
      <c r="AI40" s="166">
        <v>42.855229027535401</v>
      </c>
      <c r="AJ40" s="181" t="s">
        <v>53</v>
      </c>
      <c r="AK40" s="173">
        <v>0.68024173059579895</v>
      </c>
      <c r="AL40" s="174">
        <v>-107.321762076288</v>
      </c>
      <c r="AM40" s="168"/>
      <c r="AN40" s="168"/>
      <c r="AO40" s="176">
        <v>84</v>
      </c>
      <c r="AP40" s="176">
        <v>136</v>
      </c>
      <c r="AQ40" s="167"/>
      <c r="AR40" s="180">
        <v>28.8</v>
      </c>
      <c r="AS40" s="166">
        <v>6.96125547655397</v>
      </c>
      <c r="AT40" s="181" t="s">
        <v>54</v>
      </c>
      <c r="AU40" s="173">
        <v>0.43507846728462302</v>
      </c>
      <c r="AV40" s="174">
        <v>-43.484891955882603</v>
      </c>
      <c r="AW40" s="168"/>
      <c r="AX40" s="168"/>
      <c r="AY40" s="176">
        <v>38</v>
      </c>
      <c r="AZ40" s="176">
        <v>51</v>
      </c>
      <c r="BA40" s="167"/>
      <c r="BB40" s="184">
        <v>131</v>
      </c>
      <c r="BC40" s="180">
        <v>31.664044007936401</v>
      </c>
      <c r="BD40" s="181" t="s">
        <v>55</v>
      </c>
      <c r="BE40" s="182">
        <v>0.98950137524801396</v>
      </c>
      <c r="BF40" s="183">
        <v>-13.569783911765301</v>
      </c>
      <c r="BG40" s="168">
        <v>8.9999999999999993E-3</v>
      </c>
      <c r="BH40" s="168"/>
      <c r="BI40" s="176">
        <v>2</v>
      </c>
      <c r="BJ40" s="176">
        <v>28</v>
      </c>
      <c r="BK40" s="169"/>
      <c r="BL40" s="185">
        <v>0.8</v>
      </c>
      <c r="BM40" s="188">
        <v>0.72</v>
      </c>
      <c r="BN40" s="186"/>
      <c r="BO40" s="187">
        <v>0.95</v>
      </c>
      <c r="BP40" s="178">
        <v>1</v>
      </c>
      <c r="BQ40" s="186">
        <v>2.5000000000000001E-3</v>
      </c>
    </row>
    <row r="41" spans="1:69" s="156" customFormat="1" ht="22.35" customHeight="1" x14ac:dyDescent="0.2">
      <c r="A41" s="165" t="s">
        <v>80</v>
      </c>
      <c r="B41" s="165" t="s">
        <v>81</v>
      </c>
      <c r="C41" s="165" t="s">
        <v>93</v>
      </c>
      <c r="D41" s="166">
        <v>7.6785695595555596</v>
      </c>
      <c r="E41" s="167"/>
      <c r="F41" s="168">
        <v>0.04</v>
      </c>
      <c r="G41" s="168">
        <v>2.5999999999999999E-2</v>
      </c>
      <c r="H41" s="169"/>
      <c r="I41" s="170">
        <v>4</v>
      </c>
      <c r="J41" s="170">
        <v>4</v>
      </c>
      <c r="K41" s="167"/>
      <c r="L41" s="171">
        <v>5600.0351899999996</v>
      </c>
      <c r="M41" s="171">
        <v>2471.9359100000001</v>
      </c>
      <c r="N41" s="171">
        <v>8071.9710999999998</v>
      </c>
      <c r="O41" s="166">
        <v>1051.2337014587399</v>
      </c>
      <c r="P41" s="172">
        <v>287.5</v>
      </c>
      <c r="Q41" s="178">
        <v>3.6564650485521399</v>
      </c>
      <c r="R41" s="179">
        <v>5661.2841867775296</v>
      </c>
      <c r="S41" s="168">
        <v>0.01</v>
      </c>
      <c r="T41" s="168">
        <v>0.01</v>
      </c>
      <c r="U41" s="175">
        <v>0</v>
      </c>
      <c r="V41" s="176">
        <v>0</v>
      </c>
      <c r="W41" s="167"/>
      <c r="X41" s="175">
        <v>5070.1574049999999</v>
      </c>
      <c r="Y41" s="166">
        <v>660.29972974464602</v>
      </c>
      <c r="Z41" s="177">
        <v>573</v>
      </c>
      <c r="AA41" s="178">
        <v>1.1523555492925801</v>
      </c>
      <c r="AB41" s="179">
        <v>265.55357447313298</v>
      </c>
      <c r="AC41" s="168">
        <v>0.02</v>
      </c>
      <c r="AD41" s="168">
        <v>1.4999999999999999E-2</v>
      </c>
      <c r="AE41" s="176">
        <v>0</v>
      </c>
      <c r="AF41" s="176">
        <v>210</v>
      </c>
      <c r="AG41" s="167"/>
      <c r="AH41" s="180">
        <v>322.05</v>
      </c>
      <c r="AI41" s="166">
        <v>41.941405557657099</v>
      </c>
      <c r="AJ41" s="181" t="s">
        <v>53</v>
      </c>
      <c r="AK41" s="173">
        <v>0.66573659615328695</v>
      </c>
      <c r="AL41" s="174">
        <v>-206.204871419184</v>
      </c>
      <c r="AM41" s="168"/>
      <c r="AN41" s="168"/>
      <c r="AO41" s="176">
        <v>162</v>
      </c>
      <c r="AP41" s="176">
        <v>259</v>
      </c>
      <c r="AQ41" s="167"/>
      <c r="AR41" s="180">
        <v>73.400000000000006</v>
      </c>
      <c r="AS41" s="166">
        <v>9.5590720941842307</v>
      </c>
      <c r="AT41" s="181" t="s">
        <v>54</v>
      </c>
      <c r="AU41" s="173">
        <v>0.59744200588651397</v>
      </c>
      <c r="AV41" s="174">
        <v>-60.759967344554802</v>
      </c>
      <c r="AW41" s="168"/>
      <c r="AX41" s="168"/>
      <c r="AY41" s="176">
        <v>50</v>
      </c>
      <c r="AZ41" s="176">
        <v>75</v>
      </c>
      <c r="BA41" s="167"/>
      <c r="BB41" s="184">
        <v>246</v>
      </c>
      <c r="BC41" s="180">
        <v>32.037217100399502</v>
      </c>
      <c r="BD41" s="181" t="s">
        <v>55</v>
      </c>
      <c r="BE41" s="182">
        <v>1.00116303438748</v>
      </c>
      <c r="BF41" s="183">
        <v>-22.319934689109498</v>
      </c>
      <c r="BG41" s="168">
        <v>0.01</v>
      </c>
      <c r="BH41" s="168">
        <v>1E-3</v>
      </c>
      <c r="BI41" s="176">
        <v>0</v>
      </c>
      <c r="BJ41" s="176">
        <v>49</v>
      </c>
      <c r="BK41" s="169"/>
      <c r="BL41" s="185">
        <v>0.8</v>
      </c>
      <c r="BM41" s="188">
        <v>0.71</v>
      </c>
      <c r="BN41" s="186"/>
      <c r="BO41" s="187">
        <v>0.95</v>
      </c>
      <c r="BP41" s="182">
        <v>0.97</v>
      </c>
      <c r="BQ41" s="186">
        <v>1E-3</v>
      </c>
    </row>
    <row r="42" spans="1:69" s="156" customFormat="1" ht="22.35" customHeight="1" x14ac:dyDescent="0.2">
      <c r="A42" s="165" t="s">
        <v>80</v>
      </c>
      <c r="B42" s="165" t="s">
        <v>81</v>
      </c>
      <c r="C42" s="165" t="s">
        <v>94</v>
      </c>
      <c r="D42" s="166">
        <v>2.4205745912222199</v>
      </c>
      <c r="E42" s="167"/>
      <c r="F42" s="168">
        <v>0.01</v>
      </c>
      <c r="G42" s="168">
        <v>0.01</v>
      </c>
      <c r="H42" s="169"/>
      <c r="I42" s="170">
        <v>2</v>
      </c>
      <c r="J42" s="170">
        <v>2</v>
      </c>
      <c r="K42" s="167"/>
      <c r="L42" s="171">
        <v>1286.5758000000001</v>
      </c>
      <c r="M42" s="171">
        <v>1128.0840000000001</v>
      </c>
      <c r="N42" s="171">
        <v>2414.6597999999999</v>
      </c>
      <c r="O42" s="166">
        <v>997.556451578203</v>
      </c>
      <c r="P42" s="172">
        <v>276.94400000000002</v>
      </c>
      <c r="Q42" s="178">
        <v>3.6020150340076098</v>
      </c>
      <c r="R42" s="179">
        <v>1682.6227383261401</v>
      </c>
      <c r="S42" s="168">
        <v>0.01</v>
      </c>
      <c r="T42" s="168">
        <v>0.01</v>
      </c>
      <c r="U42" s="175">
        <v>0</v>
      </c>
      <c r="V42" s="176">
        <v>0</v>
      </c>
      <c r="W42" s="167"/>
      <c r="X42" s="175">
        <v>1184.9787899999999</v>
      </c>
      <c r="Y42" s="166">
        <v>489.54442234381497</v>
      </c>
      <c r="Z42" s="177">
        <v>573</v>
      </c>
      <c r="AA42" s="188">
        <v>0.85435326761573405</v>
      </c>
      <c r="AB42" s="171">
        <v>-329.61346092120198</v>
      </c>
      <c r="AC42" s="168"/>
      <c r="AD42" s="168"/>
      <c r="AE42" s="176">
        <v>203</v>
      </c>
      <c r="AF42" s="176">
        <v>480</v>
      </c>
      <c r="AG42" s="167"/>
      <c r="AH42" s="180">
        <v>100.35</v>
      </c>
      <c r="AI42" s="166">
        <v>41.457098807820699</v>
      </c>
      <c r="AJ42" s="181" t="s">
        <v>53</v>
      </c>
      <c r="AK42" s="173">
        <v>0.65804918742572605</v>
      </c>
      <c r="AL42" s="174">
        <v>-66.175849577723795</v>
      </c>
      <c r="AM42" s="168"/>
      <c r="AN42" s="168"/>
      <c r="AO42" s="176">
        <v>53</v>
      </c>
      <c r="AP42" s="176">
        <v>83</v>
      </c>
      <c r="AQ42" s="167"/>
      <c r="AR42" s="180">
        <v>9.6</v>
      </c>
      <c r="AS42" s="166">
        <v>3.96600048385729</v>
      </c>
      <c r="AT42" s="181" t="s">
        <v>54</v>
      </c>
      <c r="AU42" s="173">
        <v>0.24787503024108101</v>
      </c>
      <c r="AV42" s="174">
        <v>-32.692279257834599</v>
      </c>
      <c r="AW42" s="168"/>
      <c r="AX42" s="168"/>
      <c r="AY42" s="176">
        <v>30</v>
      </c>
      <c r="AZ42" s="176">
        <v>37</v>
      </c>
      <c r="BA42" s="167"/>
      <c r="BB42" s="184">
        <v>63.6</v>
      </c>
      <c r="BC42" s="180">
        <v>26.2747532055545</v>
      </c>
      <c r="BD42" s="181" t="s">
        <v>55</v>
      </c>
      <c r="BE42" s="188">
        <v>0.82108603767358002</v>
      </c>
      <c r="BF42" s="171">
        <v>-20.984558515669299</v>
      </c>
      <c r="BG42" s="168"/>
      <c r="BH42" s="168"/>
      <c r="BI42" s="176">
        <v>14</v>
      </c>
      <c r="BJ42" s="176">
        <v>30</v>
      </c>
      <c r="BK42" s="169"/>
      <c r="BL42" s="185">
        <v>0.8</v>
      </c>
      <c r="BM42" s="188">
        <v>0.75</v>
      </c>
      <c r="BN42" s="186"/>
      <c r="BO42" s="187">
        <v>0.95</v>
      </c>
      <c r="BP42" s="178">
        <v>1</v>
      </c>
      <c r="BQ42" s="186">
        <v>2.5000000000000001E-3</v>
      </c>
    </row>
    <row r="43" spans="1:69" s="156" customFormat="1" ht="22.35" customHeight="1" x14ac:dyDescent="0.2">
      <c r="A43" s="165" t="s">
        <v>80</v>
      </c>
      <c r="B43" s="165" t="s">
        <v>81</v>
      </c>
      <c r="C43" s="165" t="s">
        <v>95</v>
      </c>
      <c r="D43" s="166">
        <v>1.61576985288889</v>
      </c>
      <c r="E43" s="167"/>
      <c r="F43" s="168">
        <v>0.01</v>
      </c>
      <c r="G43" s="168">
        <v>0.01</v>
      </c>
      <c r="H43" s="169"/>
      <c r="I43" s="170">
        <v>2</v>
      </c>
      <c r="J43" s="170">
        <v>2</v>
      </c>
      <c r="K43" s="167"/>
      <c r="L43" s="171">
        <v>478.08506</v>
      </c>
      <c r="M43" s="171">
        <v>734.88032999999996</v>
      </c>
      <c r="N43" s="171">
        <v>1212.9653900000001</v>
      </c>
      <c r="O43" s="166">
        <v>750.70430843309703</v>
      </c>
      <c r="P43" s="172">
        <v>244.696</v>
      </c>
      <c r="Q43" s="178">
        <v>3.0679059258553298</v>
      </c>
      <c r="R43" s="179">
        <v>781.21870744463001</v>
      </c>
      <c r="S43" s="168">
        <v>0.01</v>
      </c>
      <c r="T43" s="168">
        <v>0.01</v>
      </c>
      <c r="U43" s="175">
        <v>0</v>
      </c>
      <c r="V43" s="176">
        <v>0</v>
      </c>
      <c r="W43" s="167"/>
      <c r="X43" s="175">
        <v>751.66916000000003</v>
      </c>
      <c r="Y43" s="166">
        <v>465.20806082380199</v>
      </c>
      <c r="Z43" s="177">
        <v>573</v>
      </c>
      <c r="AA43" s="188">
        <v>0.81188143250227196</v>
      </c>
      <c r="AB43" s="171">
        <v>-259.34388927022502</v>
      </c>
      <c r="AC43" s="168"/>
      <c r="AD43" s="168"/>
      <c r="AE43" s="176">
        <v>175</v>
      </c>
      <c r="AF43" s="176">
        <v>360</v>
      </c>
      <c r="AG43" s="167"/>
      <c r="AH43" s="180">
        <v>75.099999999999994</v>
      </c>
      <c r="AI43" s="166">
        <v>46.479391768404497</v>
      </c>
      <c r="AJ43" s="181" t="s">
        <v>53</v>
      </c>
      <c r="AK43" s="188">
        <v>0.73776812330800801</v>
      </c>
      <c r="AL43" s="171">
        <v>-36.058502799344097</v>
      </c>
      <c r="AM43" s="168"/>
      <c r="AN43" s="168"/>
      <c r="AO43" s="176">
        <v>27</v>
      </c>
      <c r="AP43" s="176">
        <v>48</v>
      </c>
      <c r="AQ43" s="167"/>
      <c r="AR43" s="180">
        <v>7</v>
      </c>
      <c r="AS43" s="166">
        <v>4.3323001648313104</v>
      </c>
      <c r="AT43" s="181" t="s">
        <v>54</v>
      </c>
      <c r="AU43" s="173">
        <v>0.27076876030195701</v>
      </c>
      <c r="AV43" s="174">
        <v>-21.230730869674701</v>
      </c>
      <c r="AW43" s="168"/>
      <c r="AX43" s="168"/>
      <c r="AY43" s="176">
        <v>19</v>
      </c>
      <c r="AZ43" s="176">
        <v>25</v>
      </c>
      <c r="BA43" s="167"/>
      <c r="BB43" s="184">
        <v>42</v>
      </c>
      <c r="BC43" s="180">
        <v>25.9938009889879</v>
      </c>
      <c r="BD43" s="181" t="s">
        <v>55</v>
      </c>
      <c r="BE43" s="188">
        <v>0.81230628090587098</v>
      </c>
      <c r="BF43" s="171">
        <v>-14.461461739349399</v>
      </c>
      <c r="BG43" s="168"/>
      <c r="BH43" s="168"/>
      <c r="BI43" s="176">
        <v>10</v>
      </c>
      <c r="BJ43" s="176">
        <v>21</v>
      </c>
      <c r="BK43" s="169"/>
      <c r="BL43" s="185">
        <v>0.8</v>
      </c>
      <c r="BM43" s="173">
        <v>0.68</v>
      </c>
      <c r="BN43" s="186"/>
      <c r="BO43" s="187">
        <v>0.95</v>
      </c>
      <c r="BP43" s="178">
        <v>1</v>
      </c>
      <c r="BQ43" s="186">
        <v>2.5000000000000001E-3</v>
      </c>
    </row>
    <row r="44" spans="1:69" s="156" customFormat="1" ht="22.35" customHeight="1" x14ac:dyDescent="0.2">
      <c r="A44" s="165" t="s">
        <v>80</v>
      </c>
      <c r="B44" s="165" t="s">
        <v>81</v>
      </c>
      <c r="C44" s="165" t="s">
        <v>96</v>
      </c>
      <c r="D44" s="166">
        <v>2.3852260407777801</v>
      </c>
      <c r="E44" s="167"/>
      <c r="F44" s="168">
        <v>5.1999999999999998E-2</v>
      </c>
      <c r="G44" s="168">
        <v>4.8000000000000001E-2</v>
      </c>
      <c r="H44" s="169"/>
      <c r="I44" s="170">
        <v>6</v>
      </c>
      <c r="J44" s="170">
        <v>5</v>
      </c>
      <c r="K44" s="167"/>
      <c r="L44" s="171">
        <v>733.21160999999995</v>
      </c>
      <c r="M44" s="171">
        <v>850.89484000000004</v>
      </c>
      <c r="N44" s="171">
        <v>1584.10645</v>
      </c>
      <c r="O44" s="166">
        <v>664.13263268057096</v>
      </c>
      <c r="P44" s="172">
        <v>239.304</v>
      </c>
      <c r="Q44" s="178">
        <v>2.7752675788142702</v>
      </c>
      <c r="R44" s="179">
        <v>960.799257351184</v>
      </c>
      <c r="S44" s="168">
        <v>0.01</v>
      </c>
      <c r="T44" s="168">
        <v>0.01</v>
      </c>
      <c r="U44" s="175">
        <v>0</v>
      </c>
      <c r="V44" s="176">
        <v>0</v>
      </c>
      <c r="W44" s="167"/>
      <c r="X44" s="175">
        <v>1268.2179699999999</v>
      </c>
      <c r="Y44" s="166">
        <v>531.69718438360599</v>
      </c>
      <c r="Z44" s="177">
        <v>573</v>
      </c>
      <c r="AA44" s="182">
        <v>0.927918297353588</v>
      </c>
      <c r="AB44" s="183">
        <v>-224.25612733130899</v>
      </c>
      <c r="AC44" s="168">
        <v>2E-3</v>
      </c>
      <c r="AD44" s="168"/>
      <c r="AE44" s="176">
        <v>99</v>
      </c>
      <c r="AF44" s="176">
        <v>372</v>
      </c>
      <c r="AG44" s="167"/>
      <c r="AH44" s="180">
        <v>177.1</v>
      </c>
      <c r="AI44" s="166">
        <v>74.248728201144004</v>
      </c>
      <c r="AJ44" s="181" t="s">
        <v>53</v>
      </c>
      <c r="AK44" s="178">
        <v>1.1785512412879999</v>
      </c>
      <c r="AL44" s="179">
        <v>13.0059892986518</v>
      </c>
      <c r="AM44" s="168">
        <v>0.02</v>
      </c>
      <c r="AN44" s="168">
        <v>1.7999999999999999E-2</v>
      </c>
      <c r="AO44" s="176">
        <v>0</v>
      </c>
      <c r="AP44" s="176">
        <v>4</v>
      </c>
      <c r="AQ44" s="167"/>
      <c r="AR44" s="180">
        <v>31.4</v>
      </c>
      <c r="AS44" s="166">
        <v>13.164370782133901</v>
      </c>
      <c r="AT44" s="181" t="s">
        <v>54</v>
      </c>
      <c r="AU44" s="188">
        <v>0.82277317388337101</v>
      </c>
      <c r="AV44" s="171">
        <v>-10.2746693844694</v>
      </c>
      <c r="AW44" s="168"/>
      <c r="AX44" s="168"/>
      <c r="AY44" s="176">
        <v>7</v>
      </c>
      <c r="AZ44" s="176">
        <v>15</v>
      </c>
      <c r="BA44" s="167"/>
      <c r="BB44" s="184">
        <v>111.6</v>
      </c>
      <c r="BC44" s="180">
        <v>46.788018448603403</v>
      </c>
      <c r="BD44" s="181" t="s">
        <v>55</v>
      </c>
      <c r="BE44" s="178">
        <v>1.4621255765188601</v>
      </c>
      <c r="BF44" s="179">
        <v>28.250661231061301</v>
      </c>
      <c r="BG44" s="168">
        <v>0.02</v>
      </c>
      <c r="BH44" s="168">
        <v>0.02</v>
      </c>
      <c r="BI44" s="176">
        <v>0</v>
      </c>
      <c r="BJ44" s="176">
        <v>0</v>
      </c>
      <c r="BK44" s="169"/>
      <c r="BL44" s="185">
        <v>0.8</v>
      </c>
      <c r="BM44" s="182">
        <v>0.82</v>
      </c>
      <c r="BN44" s="186">
        <v>7.5000000000000002E-4</v>
      </c>
      <c r="BO44" s="187">
        <v>0.95</v>
      </c>
      <c r="BP44" s="178">
        <v>1</v>
      </c>
      <c r="BQ44" s="186">
        <v>2.5000000000000001E-3</v>
      </c>
    </row>
    <row r="45" spans="1:69" s="156" customFormat="1" ht="22.35" customHeight="1" x14ac:dyDescent="0.2">
      <c r="A45" s="165" t="s">
        <v>80</v>
      </c>
      <c r="B45" s="165" t="s">
        <v>81</v>
      </c>
      <c r="C45" s="165" t="s">
        <v>97</v>
      </c>
      <c r="D45" s="166">
        <v>2.94060150377778</v>
      </c>
      <c r="E45" s="167"/>
      <c r="F45" s="168">
        <v>0.05</v>
      </c>
      <c r="G45" s="168">
        <v>0.04</v>
      </c>
      <c r="H45" s="169"/>
      <c r="I45" s="170">
        <v>5</v>
      </c>
      <c r="J45" s="170">
        <v>5</v>
      </c>
      <c r="K45" s="167"/>
      <c r="L45" s="171">
        <v>3012.4400599999999</v>
      </c>
      <c r="M45" s="171">
        <v>1926.6888100000001</v>
      </c>
      <c r="N45" s="171">
        <v>4939.1288699999996</v>
      </c>
      <c r="O45" s="166">
        <v>1679.63216493453</v>
      </c>
      <c r="P45" s="172">
        <v>287.5</v>
      </c>
      <c r="Q45" s="178">
        <v>5.8421988345548899</v>
      </c>
      <c r="R45" s="179">
        <v>4015.9270278889699</v>
      </c>
      <c r="S45" s="168">
        <v>0.01</v>
      </c>
      <c r="T45" s="168">
        <v>0.01</v>
      </c>
      <c r="U45" s="175">
        <v>0</v>
      </c>
      <c r="V45" s="176">
        <v>0</v>
      </c>
      <c r="W45" s="167"/>
      <c r="X45" s="175">
        <v>1857.68922</v>
      </c>
      <c r="Y45" s="166">
        <v>631.73783241742694</v>
      </c>
      <c r="Z45" s="177">
        <v>573</v>
      </c>
      <c r="AA45" s="178">
        <v>1.10250930613862</v>
      </c>
      <c r="AB45" s="179">
        <v>17.707809462182201</v>
      </c>
      <c r="AC45" s="168">
        <v>0.02</v>
      </c>
      <c r="AD45" s="168">
        <v>0.01</v>
      </c>
      <c r="AE45" s="176">
        <v>0</v>
      </c>
      <c r="AF45" s="176">
        <v>165</v>
      </c>
      <c r="AG45" s="167"/>
      <c r="AH45" s="180">
        <v>105.35</v>
      </c>
      <c r="AI45" s="166">
        <v>35.826003579423201</v>
      </c>
      <c r="AJ45" s="181" t="s">
        <v>53</v>
      </c>
      <c r="AK45" s="173">
        <v>0.56866672348290803</v>
      </c>
      <c r="AL45" s="174">
        <v>-96.951621053896204</v>
      </c>
      <c r="AM45" s="168"/>
      <c r="AN45" s="168"/>
      <c r="AO45" s="176">
        <v>80</v>
      </c>
      <c r="AP45" s="176">
        <v>117</v>
      </c>
      <c r="AQ45" s="167"/>
      <c r="AR45" s="180">
        <v>17.8</v>
      </c>
      <c r="AS45" s="166">
        <v>6.0531833290340202</v>
      </c>
      <c r="AT45" s="181" t="s">
        <v>54</v>
      </c>
      <c r="AU45" s="173">
        <v>0.37832395806462599</v>
      </c>
      <c r="AV45" s="174">
        <v>-33.578189474005399</v>
      </c>
      <c r="AW45" s="168"/>
      <c r="AX45" s="168"/>
      <c r="AY45" s="176">
        <v>30</v>
      </c>
      <c r="AZ45" s="176">
        <v>39</v>
      </c>
      <c r="BA45" s="167"/>
      <c r="BB45" s="184">
        <v>120</v>
      </c>
      <c r="BC45" s="180">
        <v>40.807977499105696</v>
      </c>
      <c r="BD45" s="181" t="s">
        <v>55</v>
      </c>
      <c r="BE45" s="178">
        <v>1.2752492968470499</v>
      </c>
      <c r="BF45" s="179">
        <v>17.243621051989201</v>
      </c>
      <c r="BG45" s="168">
        <v>0.02</v>
      </c>
      <c r="BH45" s="168">
        <v>0.02</v>
      </c>
      <c r="BI45" s="176">
        <v>0</v>
      </c>
      <c r="BJ45" s="176">
        <v>0</v>
      </c>
      <c r="BK45" s="169"/>
      <c r="BL45" s="185">
        <v>0.8</v>
      </c>
      <c r="BM45" s="182">
        <v>0.81</v>
      </c>
      <c r="BN45" s="186">
        <v>3.7500000000000001E-4</v>
      </c>
      <c r="BO45" s="187">
        <v>0.95</v>
      </c>
      <c r="BP45" s="178">
        <v>1</v>
      </c>
      <c r="BQ45" s="186">
        <v>2.5000000000000001E-3</v>
      </c>
    </row>
    <row r="46" spans="1:69" s="156" customFormat="1" ht="22.35" customHeight="1" x14ac:dyDescent="0.2">
      <c r="A46" s="165" t="s">
        <v>80</v>
      </c>
      <c r="B46" s="165" t="s">
        <v>81</v>
      </c>
      <c r="C46" s="165" t="s">
        <v>98</v>
      </c>
      <c r="D46" s="166">
        <v>8.6630214135555601</v>
      </c>
      <c r="E46" s="167"/>
      <c r="F46" s="168">
        <v>2.1999999999999999E-2</v>
      </c>
      <c r="G46" s="168">
        <v>1.2E-2</v>
      </c>
      <c r="H46" s="169"/>
      <c r="I46" s="170">
        <v>3</v>
      </c>
      <c r="J46" s="170">
        <v>3</v>
      </c>
      <c r="K46" s="167"/>
      <c r="L46" s="171">
        <v>3919.2051000000001</v>
      </c>
      <c r="M46" s="171">
        <v>4589.5854499999996</v>
      </c>
      <c r="N46" s="171">
        <v>8508.7905499999997</v>
      </c>
      <c r="O46" s="166">
        <v>982.19664292711798</v>
      </c>
      <c r="P46" s="172">
        <v>276.44</v>
      </c>
      <c r="Q46" s="178">
        <v>3.55301925527101</v>
      </c>
      <c r="R46" s="179">
        <v>5893.6627915968802</v>
      </c>
      <c r="S46" s="168">
        <v>0.01</v>
      </c>
      <c r="T46" s="168">
        <v>0.01</v>
      </c>
      <c r="U46" s="175">
        <v>0</v>
      </c>
      <c r="V46" s="176">
        <v>0</v>
      </c>
      <c r="W46" s="167"/>
      <c r="X46" s="175">
        <v>4254.8397999999997</v>
      </c>
      <c r="Y46" s="166">
        <v>491.14963439224499</v>
      </c>
      <c r="Z46" s="177">
        <v>573</v>
      </c>
      <c r="AA46" s="188">
        <v>0.85715468480321999</v>
      </c>
      <c r="AB46" s="171">
        <v>-1165.7513068043299</v>
      </c>
      <c r="AC46" s="168"/>
      <c r="AD46" s="168"/>
      <c r="AE46" s="176">
        <v>710</v>
      </c>
      <c r="AF46" s="176">
        <v>1702</v>
      </c>
      <c r="AG46" s="167"/>
      <c r="AH46" s="180">
        <v>485.25</v>
      </c>
      <c r="AI46" s="166">
        <v>56.013944423674097</v>
      </c>
      <c r="AJ46" s="181" t="s">
        <v>53</v>
      </c>
      <c r="AK46" s="188">
        <v>0.88911022894720904</v>
      </c>
      <c r="AL46" s="171">
        <v>-110.731221166968</v>
      </c>
      <c r="AM46" s="168"/>
      <c r="AN46" s="168"/>
      <c r="AO46" s="176">
        <v>61</v>
      </c>
      <c r="AP46" s="176">
        <v>170</v>
      </c>
      <c r="AQ46" s="167"/>
      <c r="AR46" s="180">
        <v>22</v>
      </c>
      <c r="AS46" s="166">
        <v>2.53952968020779</v>
      </c>
      <c r="AT46" s="181" t="s">
        <v>54</v>
      </c>
      <c r="AU46" s="173">
        <v>0.15872060501298699</v>
      </c>
      <c r="AV46" s="174">
        <v>-129.36031013764301</v>
      </c>
      <c r="AW46" s="168"/>
      <c r="AX46" s="168"/>
      <c r="AY46" s="176">
        <v>117</v>
      </c>
      <c r="AZ46" s="176">
        <v>145</v>
      </c>
      <c r="BA46" s="167"/>
      <c r="BB46" s="184">
        <v>283</v>
      </c>
      <c r="BC46" s="180">
        <v>32.667586340854797</v>
      </c>
      <c r="BD46" s="181" t="s">
        <v>55</v>
      </c>
      <c r="BE46" s="182">
        <v>1.02086207315171</v>
      </c>
      <c r="BF46" s="183">
        <v>-19.720620275285501</v>
      </c>
      <c r="BG46" s="168">
        <v>1.2E-2</v>
      </c>
      <c r="BH46" s="168">
        <v>2E-3</v>
      </c>
      <c r="BI46" s="176">
        <v>0</v>
      </c>
      <c r="BJ46" s="176">
        <v>50</v>
      </c>
      <c r="BK46" s="169"/>
      <c r="BL46" s="185">
        <v>0.8</v>
      </c>
      <c r="BM46" s="188">
        <v>0.7</v>
      </c>
      <c r="BN46" s="186"/>
      <c r="BO46" s="187">
        <v>0.95</v>
      </c>
      <c r="BP46" s="178">
        <v>1</v>
      </c>
      <c r="BQ46" s="186">
        <v>2.5000000000000001E-3</v>
      </c>
    </row>
    <row r="47" spans="1:69" s="156" customFormat="1" ht="22.35" customHeight="1" x14ac:dyDescent="0.2">
      <c r="A47" s="165" t="s">
        <v>80</v>
      </c>
      <c r="B47" s="165" t="s">
        <v>81</v>
      </c>
      <c r="C47" s="165" t="s">
        <v>99</v>
      </c>
      <c r="D47" s="166">
        <v>2.3098195907777801</v>
      </c>
      <c r="E47" s="167"/>
      <c r="F47" s="168">
        <v>0.01</v>
      </c>
      <c r="G47" s="168">
        <v>0.01</v>
      </c>
      <c r="H47" s="169"/>
      <c r="I47" s="170">
        <v>2</v>
      </c>
      <c r="J47" s="170">
        <v>2</v>
      </c>
      <c r="K47" s="167"/>
      <c r="L47" s="171">
        <v>245.21225999999999</v>
      </c>
      <c r="M47" s="171">
        <v>1143.8157200000001</v>
      </c>
      <c r="N47" s="171">
        <v>1389.0279800000001</v>
      </c>
      <c r="O47" s="166">
        <v>601.35777943258199</v>
      </c>
      <c r="P47" s="172">
        <v>236.59800000000001</v>
      </c>
      <c r="Q47" s="178">
        <v>2.5416858106686502</v>
      </c>
      <c r="R47" s="179">
        <v>792.25140447158503</v>
      </c>
      <c r="S47" s="168">
        <v>0.01</v>
      </c>
      <c r="T47" s="168">
        <v>0.01</v>
      </c>
      <c r="U47" s="175">
        <v>0</v>
      </c>
      <c r="V47" s="176">
        <v>0</v>
      </c>
      <c r="W47" s="167"/>
      <c r="X47" s="175">
        <v>1088.4898700000001</v>
      </c>
      <c r="Y47" s="166">
        <v>471.24453976662198</v>
      </c>
      <c r="Z47" s="177">
        <v>573</v>
      </c>
      <c r="AA47" s="188">
        <v>0.82241629976722797</v>
      </c>
      <c r="AB47" s="171">
        <v>-356.80120506310902</v>
      </c>
      <c r="AC47" s="168"/>
      <c r="AD47" s="168"/>
      <c r="AE47" s="176">
        <v>236</v>
      </c>
      <c r="AF47" s="176">
        <v>500</v>
      </c>
      <c r="AG47" s="167"/>
      <c r="AH47" s="180">
        <v>96.25</v>
      </c>
      <c r="AI47" s="166">
        <v>41.6699210554319</v>
      </c>
      <c r="AJ47" s="181" t="s">
        <v>53</v>
      </c>
      <c r="AK47" s="173">
        <v>0.66142731834018897</v>
      </c>
      <c r="AL47" s="174">
        <v>-62.6563485671482</v>
      </c>
      <c r="AM47" s="168"/>
      <c r="AN47" s="168"/>
      <c r="AO47" s="176">
        <v>50</v>
      </c>
      <c r="AP47" s="176">
        <v>79</v>
      </c>
      <c r="AQ47" s="167"/>
      <c r="AR47" s="180">
        <v>1</v>
      </c>
      <c r="AS47" s="166">
        <v>0.43293424473176001</v>
      </c>
      <c r="AT47" s="181" t="s">
        <v>54</v>
      </c>
      <c r="AU47" s="173">
        <v>2.7058390295735001E-2</v>
      </c>
      <c r="AV47" s="174">
        <v>-39.357167890069398</v>
      </c>
      <c r="AW47" s="168"/>
      <c r="AX47" s="168"/>
      <c r="AY47" s="176">
        <v>36</v>
      </c>
      <c r="AZ47" s="176">
        <v>44</v>
      </c>
      <c r="BA47" s="167"/>
      <c r="BB47" s="184">
        <v>63.2</v>
      </c>
      <c r="BC47" s="180">
        <v>27.361444267047201</v>
      </c>
      <c r="BD47" s="181" t="s">
        <v>55</v>
      </c>
      <c r="BE47" s="188">
        <v>0.85504513334522603</v>
      </c>
      <c r="BF47" s="171">
        <v>-17.514335780138801</v>
      </c>
      <c r="BG47" s="168"/>
      <c r="BH47" s="168"/>
      <c r="BI47" s="176">
        <v>11</v>
      </c>
      <c r="BJ47" s="176">
        <v>26</v>
      </c>
      <c r="BK47" s="169"/>
      <c r="BL47" s="185">
        <v>0.8</v>
      </c>
      <c r="BM47" s="188">
        <v>0.72</v>
      </c>
      <c r="BN47" s="186"/>
      <c r="BO47" s="187">
        <v>0.95</v>
      </c>
      <c r="BP47" s="178">
        <v>1</v>
      </c>
      <c r="BQ47" s="186">
        <v>2.5000000000000001E-3</v>
      </c>
    </row>
    <row r="48" spans="1:69" s="156" customFormat="1" ht="22.35" customHeight="1" x14ac:dyDescent="0.2">
      <c r="A48" s="165" t="s">
        <v>80</v>
      </c>
      <c r="B48" s="165" t="s">
        <v>100</v>
      </c>
      <c r="C48" s="165" t="s">
        <v>101</v>
      </c>
      <c r="D48" s="166">
        <v>2.9631336405555602</v>
      </c>
      <c r="E48" s="167"/>
      <c r="F48" s="168">
        <v>0.04</v>
      </c>
      <c r="G48" s="168">
        <v>0.04</v>
      </c>
      <c r="H48" s="169"/>
      <c r="I48" s="170">
        <v>4</v>
      </c>
      <c r="J48" s="170">
        <v>4</v>
      </c>
      <c r="K48" s="167"/>
      <c r="L48" s="171">
        <v>1553.1058599999999</v>
      </c>
      <c r="M48" s="171">
        <v>1707.2940799999999</v>
      </c>
      <c r="N48" s="171">
        <v>3260.3999399999998</v>
      </c>
      <c r="O48" s="166">
        <v>1100.32159716857</v>
      </c>
      <c r="P48" s="172">
        <v>287.5</v>
      </c>
      <c r="Q48" s="178">
        <v>3.8272055553689399</v>
      </c>
      <c r="R48" s="179">
        <v>2330.1241335475802</v>
      </c>
      <c r="S48" s="168">
        <v>0.01</v>
      </c>
      <c r="T48" s="168">
        <v>0.01</v>
      </c>
      <c r="U48" s="175">
        <v>0</v>
      </c>
      <c r="V48" s="176">
        <v>0</v>
      </c>
      <c r="W48" s="167"/>
      <c r="X48" s="175">
        <v>1500.644235</v>
      </c>
      <c r="Y48" s="166">
        <v>506.43825660142898</v>
      </c>
      <c r="Z48" s="177">
        <v>573</v>
      </c>
      <c r="AA48" s="188">
        <v>0.88383639895537303</v>
      </c>
      <c r="AB48" s="171">
        <v>-353.43589403386301</v>
      </c>
      <c r="AC48" s="168"/>
      <c r="AD48" s="168"/>
      <c r="AE48" s="176">
        <v>198</v>
      </c>
      <c r="AF48" s="176">
        <v>537</v>
      </c>
      <c r="AG48" s="167"/>
      <c r="AH48" s="180">
        <v>160.5</v>
      </c>
      <c r="AI48" s="166">
        <v>54.1656298599843</v>
      </c>
      <c r="AJ48" s="181" t="s">
        <v>53</v>
      </c>
      <c r="AK48" s="188">
        <v>0.85977190253943303</v>
      </c>
      <c r="AL48" s="171">
        <v>-43.3517419356603</v>
      </c>
      <c r="AM48" s="168"/>
      <c r="AN48" s="168"/>
      <c r="AO48" s="176">
        <v>27</v>
      </c>
      <c r="AP48" s="176">
        <v>64</v>
      </c>
      <c r="AQ48" s="167"/>
      <c r="AR48" s="180">
        <v>57.9</v>
      </c>
      <c r="AS48" s="166">
        <v>19.540124416779399</v>
      </c>
      <c r="AT48" s="181" t="s">
        <v>54</v>
      </c>
      <c r="AU48" s="178">
        <v>1.22125777604871</v>
      </c>
      <c r="AV48" s="179">
        <v>6.1281290322132396</v>
      </c>
      <c r="AW48" s="168">
        <v>0.01</v>
      </c>
      <c r="AX48" s="168">
        <v>0.01</v>
      </c>
      <c r="AY48" s="176">
        <v>0</v>
      </c>
      <c r="AZ48" s="176">
        <v>0</v>
      </c>
      <c r="BA48" s="167"/>
      <c r="BB48" s="184">
        <v>119</v>
      </c>
      <c r="BC48" s="180">
        <v>40.160186625159703</v>
      </c>
      <c r="BD48" s="181" t="s">
        <v>55</v>
      </c>
      <c r="BE48" s="178">
        <v>1.2550058320362401</v>
      </c>
      <c r="BF48" s="179">
        <v>15.4562580644265</v>
      </c>
      <c r="BG48" s="168">
        <v>0.02</v>
      </c>
      <c r="BH48" s="168">
        <v>0.02</v>
      </c>
      <c r="BI48" s="176">
        <v>0</v>
      </c>
      <c r="BJ48" s="176">
        <v>0</v>
      </c>
      <c r="BK48" s="169"/>
      <c r="BL48" s="185">
        <v>0.8</v>
      </c>
      <c r="BM48" s="173">
        <v>0.64</v>
      </c>
      <c r="BN48" s="186"/>
      <c r="BO48" s="187">
        <v>0.95</v>
      </c>
      <c r="BP48" s="178">
        <v>1</v>
      </c>
      <c r="BQ48" s="186">
        <v>2.5000000000000001E-3</v>
      </c>
    </row>
    <row r="49" spans="1:69" s="156" customFormat="1" ht="22.35" customHeight="1" x14ac:dyDescent="0.2">
      <c r="A49" s="165" t="s">
        <v>80</v>
      </c>
      <c r="B49" s="165" t="s">
        <v>100</v>
      </c>
      <c r="C49" s="165" t="s">
        <v>102</v>
      </c>
      <c r="D49" s="166">
        <v>3.6627518924444402</v>
      </c>
      <c r="E49" s="167"/>
      <c r="F49" s="168">
        <v>0.01</v>
      </c>
      <c r="G49" s="168">
        <v>0.01</v>
      </c>
      <c r="H49" s="169"/>
      <c r="I49" s="170">
        <v>2</v>
      </c>
      <c r="J49" s="170">
        <v>2</v>
      </c>
      <c r="K49" s="167"/>
      <c r="L49" s="171">
        <v>3311.2720100000001</v>
      </c>
      <c r="M49" s="171">
        <v>311.16413999999997</v>
      </c>
      <c r="N49" s="171">
        <v>3622.43615</v>
      </c>
      <c r="O49" s="166">
        <v>988.99304576768998</v>
      </c>
      <c r="P49" s="172">
        <v>265.84899999999999</v>
      </c>
      <c r="Q49" s="178">
        <v>3.7201307726103501</v>
      </c>
      <c r="R49" s="179">
        <v>2559.11324078293</v>
      </c>
      <c r="S49" s="168">
        <v>0.01</v>
      </c>
      <c r="T49" s="168">
        <v>0.01</v>
      </c>
      <c r="U49" s="175">
        <v>0</v>
      </c>
      <c r="V49" s="176">
        <v>0</v>
      </c>
      <c r="W49" s="167"/>
      <c r="X49" s="175">
        <v>1658.358365</v>
      </c>
      <c r="Y49" s="166">
        <v>452.76295356528902</v>
      </c>
      <c r="Z49" s="177">
        <v>573</v>
      </c>
      <c r="AA49" s="188">
        <v>0.79016222262703195</v>
      </c>
      <c r="AB49" s="171">
        <v>-633.48409813276498</v>
      </c>
      <c r="AC49" s="168"/>
      <c r="AD49" s="168"/>
      <c r="AE49" s="176">
        <v>441</v>
      </c>
      <c r="AF49" s="176">
        <v>861</v>
      </c>
      <c r="AG49" s="167"/>
      <c r="AH49" s="180">
        <v>124.5</v>
      </c>
      <c r="AI49" s="166">
        <v>33.990836304479103</v>
      </c>
      <c r="AJ49" s="181" t="s">
        <v>53</v>
      </c>
      <c r="AK49" s="173">
        <v>0.53953708419808</v>
      </c>
      <c r="AL49" s="174">
        <v>-127.482679192608</v>
      </c>
      <c r="AM49" s="168"/>
      <c r="AN49" s="168"/>
      <c r="AO49" s="176">
        <v>107</v>
      </c>
      <c r="AP49" s="176">
        <v>153</v>
      </c>
      <c r="AQ49" s="167"/>
      <c r="AR49" s="180">
        <v>4.8</v>
      </c>
      <c r="AS49" s="166">
        <v>1.31049007438955</v>
      </c>
      <c r="AT49" s="181" t="s">
        <v>54</v>
      </c>
      <c r="AU49" s="173">
        <v>8.1905629649346903E-2</v>
      </c>
      <c r="AV49" s="174">
        <v>-59.195601064789301</v>
      </c>
      <c r="AW49" s="168"/>
      <c r="AX49" s="168"/>
      <c r="AY49" s="176">
        <v>54</v>
      </c>
      <c r="AZ49" s="176">
        <v>66</v>
      </c>
      <c r="BA49" s="167"/>
      <c r="BB49" s="184">
        <v>93.6</v>
      </c>
      <c r="BC49" s="180">
        <v>25.554556450596301</v>
      </c>
      <c r="BD49" s="181" t="s">
        <v>55</v>
      </c>
      <c r="BE49" s="188">
        <v>0.79857988908113398</v>
      </c>
      <c r="BF49" s="171">
        <v>-34.391202129578502</v>
      </c>
      <c r="BG49" s="168"/>
      <c r="BH49" s="168"/>
      <c r="BI49" s="176">
        <v>24</v>
      </c>
      <c r="BJ49" s="176">
        <v>48</v>
      </c>
      <c r="BK49" s="169"/>
      <c r="BL49" s="185">
        <v>0.8</v>
      </c>
      <c r="BM49" s="173">
        <v>0.64</v>
      </c>
      <c r="BN49" s="186"/>
      <c r="BO49" s="187">
        <v>0.95</v>
      </c>
      <c r="BP49" s="178">
        <v>1</v>
      </c>
      <c r="BQ49" s="186">
        <v>2.5000000000000001E-3</v>
      </c>
    </row>
    <row r="50" spans="1:69" s="156" customFormat="1" ht="22.35" customHeight="1" x14ac:dyDescent="0.2">
      <c r="A50" s="165" t="s">
        <v>80</v>
      </c>
      <c r="B50" s="165" t="s">
        <v>100</v>
      </c>
      <c r="C50" s="165" t="s">
        <v>103</v>
      </c>
      <c r="D50" s="166">
        <v>4.5139963626666697</v>
      </c>
      <c r="E50" s="167"/>
      <c r="F50" s="168">
        <v>0.01</v>
      </c>
      <c r="G50" s="168">
        <v>0.01</v>
      </c>
      <c r="H50" s="169"/>
      <c r="I50" s="170">
        <v>2</v>
      </c>
      <c r="J50" s="170">
        <v>2</v>
      </c>
      <c r="K50" s="167"/>
      <c r="L50" s="171">
        <v>3301.9454799999999</v>
      </c>
      <c r="M50" s="171">
        <v>2218.41435</v>
      </c>
      <c r="N50" s="171">
        <v>5520.3598300000003</v>
      </c>
      <c r="O50" s="166">
        <v>1222.9429061256101</v>
      </c>
      <c r="P50" s="172">
        <v>287.5</v>
      </c>
      <c r="Q50" s="178">
        <v>4.2537144560890798</v>
      </c>
      <c r="R50" s="179">
        <v>4103.1906719407998</v>
      </c>
      <c r="S50" s="168">
        <v>0.01</v>
      </c>
      <c r="T50" s="168">
        <v>0.01</v>
      </c>
      <c r="U50" s="175">
        <v>0</v>
      </c>
      <c r="V50" s="176">
        <v>0</v>
      </c>
      <c r="W50" s="167"/>
      <c r="X50" s="175">
        <v>1454.83294</v>
      </c>
      <c r="Y50" s="166">
        <v>322.293777645082</v>
      </c>
      <c r="Z50" s="177">
        <v>573</v>
      </c>
      <c r="AA50" s="173">
        <v>0.56246732573312797</v>
      </c>
      <c r="AB50" s="174">
        <v>-1369.6468080623399</v>
      </c>
      <c r="AC50" s="168"/>
      <c r="AD50" s="168"/>
      <c r="AE50" s="176">
        <v>1132</v>
      </c>
      <c r="AF50" s="176">
        <v>1649</v>
      </c>
      <c r="AG50" s="167"/>
      <c r="AH50" s="180">
        <v>149.1</v>
      </c>
      <c r="AI50" s="166">
        <v>33.030598170867499</v>
      </c>
      <c r="AJ50" s="181" t="s">
        <v>53</v>
      </c>
      <c r="AK50" s="173">
        <v>0.52429520906138805</v>
      </c>
      <c r="AL50" s="174">
        <v>-161.44489376601601</v>
      </c>
      <c r="AM50" s="168"/>
      <c r="AN50" s="168"/>
      <c r="AO50" s="176">
        <v>136</v>
      </c>
      <c r="AP50" s="176">
        <v>193</v>
      </c>
      <c r="AQ50" s="167"/>
      <c r="AR50" s="180">
        <v>17.100000000000001</v>
      </c>
      <c r="AS50" s="166">
        <v>3.7882174964576398</v>
      </c>
      <c r="AT50" s="181" t="s">
        <v>54</v>
      </c>
      <c r="AU50" s="173">
        <v>0.23676359352860299</v>
      </c>
      <c r="AV50" s="174">
        <v>-61.768544448512102</v>
      </c>
      <c r="AW50" s="168"/>
      <c r="AX50" s="168"/>
      <c r="AY50" s="176">
        <v>56</v>
      </c>
      <c r="AZ50" s="176">
        <v>70</v>
      </c>
      <c r="BA50" s="167"/>
      <c r="BB50" s="184">
        <v>102.6</v>
      </c>
      <c r="BC50" s="180">
        <v>22.729304978745802</v>
      </c>
      <c r="BD50" s="181" t="s">
        <v>55</v>
      </c>
      <c r="BE50" s="173">
        <v>0.71029078058580697</v>
      </c>
      <c r="BF50" s="174">
        <v>-55.1370888970241</v>
      </c>
      <c r="BG50" s="168"/>
      <c r="BH50" s="168"/>
      <c r="BI50" s="176">
        <v>42</v>
      </c>
      <c r="BJ50" s="176">
        <v>71</v>
      </c>
      <c r="BK50" s="169"/>
      <c r="BL50" s="185">
        <v>0.8</v>
      </c>
      <c r="BM50" s="173">
        <v>0.68</v>
      </c>
      <c r="BN50" s="186"/>
      <c r="BO50" s="187">
        <v>0.95</v>
      </c>
      <c r="BP50" s="178">
        <v>1</v>
      </c>
      <c r="BQ50" s="186">
        <v>2.5000000000000001E-3</v>
      </c>
    </row>
    <row r="51" spans="1:69" s="156" customFormat="1" ht="22.35" customHeight="1" x14ac:dyDescent="0.2">
      <c r="A51" s="165" t="s">
        <v>80</v>
      </c>
      <c r="B51" s="165" t="s">
        <v>100</v>
      </c>
      <c r="C51" s="165" t="s">
        <v>104</v>
      </c>
      <c r="D51" s="166">
        <v>2.2098362645555598</v>
      </c>
      <c r="E51" s="167"/>
      <c r="F51" s="168">
        <v>4.4999999999999998E-2</v>
      </c>
      <c r="G51" s="168">
        <v>3.5000000000000003E-2</v>
      </c>
      <c r="H51" s="169"/>
      <c r="I51" s="170">
        <v>4</v>
      </c>
      <c r="J51" s="170">
        <v>4</v>
      </c>
      <c r="K51" s="167"/>
      <c r="L51" s="171">
        <v>-422.94718999999998</v>
      </c>
      <c r="M51" s="171">
        <v>2136.6299100000001</v>
      </c>
      <c r="N51" s="171">
        <v>1713.68272</v>
      </c>
      <c r="O51" s="166">
        <v>775.47949931243295</v>
      </c>
      <c r="P51" s="172">
        <v>287.5</v>
      </c>
      <c r="Q51" s="178">
        <v>2.6973199976084601</v>
      </c>
      <c r="R51" s="179">
        <v>1019.90462474278</v>
      </c>
      <c r="S51" s="168">
        <v>0.01</v>
      </c>
      <c r="T51" s="168">
        <v>0.01</v>
      </c>
      <c r="U51" s="175">
        <v>0</v>
      </c>
      <c r="V51" s="176">
        <v>0</v>
      </c>
      <c r="W51" s="167"/>
      <c r="X51" s="175">
        <v>1133.7021549999999</v>
      </c>
      <c r="Y51" s="166">
        <v>513.02540970292705</v>
      </c>
      <c r="Z51" s="177">
        <v>573</v>
      </c>
      <c r="AA51" s="188">
        <v>0.89533230314647005</v>
      </c>
      <c r="AB51" s="171">
        <v>-249.02775311264699</v>
      </c>
      <c r="AC51" s="168"/>
      <c r="AD51" s="168"/>
      <c r="AE51" s="176">
        <v>133</v>
      </c>
      <c r="AF51" s="176">
        <v>386</v>
      </c>
      <c r="AG51" s="167"/>
      <c r="AH51" s="180">
        <v>145.94999999999999</v>
      </c>
      <c r="AI51" s="166">
        <v>66.045617198409801</v>
      </c>
      <c r="AJ51" s="181" t="s">
        <v>53</v>
      </c>
      <c r="AK51" s="182">
        <v>1.04834313013349</v>
      </c>
      <c r="AL51" s="183">
        <v>-6.0778956563642899</v>
      </c>
      <c r="AM51" s="168">
        <v>1.4999999999999999E-2</v>
      </c>
      <c r="AN51" s="168">
        <v>5.0000000000000001E-3</v>
      </c>
      <c r="AO51" s="176">
        <v>0</v>
      </c>
      <c r="AP51" s="176">
        <v>22</v>
      </c>
      <c r="AQ51" s="167"/>
      <c r="AR51" s="180">
        <v>9.3000000000000007</v>
      </c>
      <c r="AS51" s="166">
        <v>4.2084565943488199</v>
      </c>
      <c r="AT51" s="181" t="s">
        <v>54</v>
      </c>
      <c r="AU51" s="173">
        <v>0.26302853714680102</v>
      </c>
      <c r="AV51" s="174">
        <v>-29.310259214314701</v>
      </c>
      <c r="AW51" s="168"/>
      <c r="AX51" s="168"/>
      <c r="AY51" s="176">
        <v>27</v>
      </c>
      <c r="AZ51" s="176">
        <v>34</v>
      </c>
      <c r="BA51" s="167"/>
      <c r="BB51" s="184">
        <v>104.6</v>
      </c>
      <c r="BC51" s="180">
        <v>47.333823631063098</v>
      </c>
      <c r="BD51" s="181" t="s">
        <v>55</v>
      </c>
      <c r="BE51" s="178">
        <v>1.47918198847072</v>
      </c>
      <c r="BF51" s="179">
        <v>27.379481571370501</v>
      </c>
      <c r="BG51" s="168">
        <v>0.02</v>
      </c>
      <c r="BH51" s="168">
        <v>0.02</v>
      </c>
      <c r="BI51" s="176">
        <v>0</v>
      </c>
      <c r="BJ51" s="176">
        <v>0</v>
      </c>
      <c r="BK51" s="169"/>
      <c r="BL51" s="185">
        <v>0.8</v>
      </c>
      <c r="BM51" s="188">
        <v>0.73</v>
      </c>
      <c r="BN51" s="186"/>
      <c r="BO51" s="187">
        <v>0.95</v>
      </c>
      <c r="BP51" s="178">
        <v>1</v>
      </c>
      <c r="BQ51" s="186">
        <v>2.5000000000000001E-3</v>
      </c>
    </row>
    <row r="52" spans="1:69" s="156" customFormat="1" ht="22.35" customHeight="1" x14ac:dyDescent="0.2">
      <c r="A52" s="165" t="s">
        <v>80</v>
      </c>
      <c r="B52" s="165" t="s">
        <v>100</v>
      </c>
      <c r="C52" s="165" t="s">
        <v>105</v>
      </c>
      <c r="D52" s="166">
        <v>7.7514398572222198</v>
      </c>
      <c r="E52" s="167"/>
      <c r="F52" s="168">
        <v>3.5999999999999997E-2</v>
      </c>
      <c r="G52" s="168">
        <v>1.6E-2</v>
      </c>
      <c r="H52" s="169"/>
      <c r="I52" s="170">
        <v>4</v>
      </c>
      <c r="J52" s="170">
        <v>4</v>
      </c>
      <c r="K52" s="167"/>
      <c r="L52" s="171">
        <v>6012.0926799999997</v>
      </c>
      <c r="M52" s="171">
        <v>3592.7775299999998</v>
      </c>
      <c r="N52" s="171">
        <v>9604.8702099999991</v>
      </c>
      <c r="O52" s="166">
        <v>1239.1078802025299</v>
      </c>
      <c r="P52" s="172">
        <v>287.5</v>
      </c>
      <c r="Q52" s="178">
        <v>4.3099404528783696</v>
      </c>
      <c r="R52" s="179">
        <v>7171.3056668250802</v>
      </c>
      <c r="S52" s="168">
        <v>0.01</v>
      </c>
      <c r="T52" s="168">
        <v>0.01</v>
      </c>
      <c r="U52" s="175">
        <v>0</v>
      </c>
      <c r="V52" s="176">
        <v>0</v>
      </c>
      <c r="W52" s="167"/>
      <c r="X52" s="175">
        <v>4666.10826</v>
      </c>
      <c r="Y52" s="166">
        <v>601.96664696462301</v>
      </c>
      <c r="Z52" s="177">
        <v>573</v>
      </c>
      <c r="AA52" s="182">
        <v>1.0505526125037099</v>
      </c>
      <c r="AB52" s="183">
        <v>-184.09168170165901</v>
      </c>
      <c r="AC52" s="168">
        <v>1.4999999999999999E-2</v>
      </c>
      <c r="AD52" s="168">
        <v>5.0000000000000001E-3</v>
      </c>
      <c r="AE52" s="176">
        <v>0</v>
      </c>
      <c r="AF52" s="176">
        <v>664</v>
      </c>
      <c r="AG52" s="167"/>
      <c r="AH52" s="180">
        <v>428.2</v>
      </c>
      <c r="AI52" s="166">
        <v>55.241349721759697</v>
      </c>
      <c r="AJ52" s="181" t="s">
        <v>53</v>
      </c>
      <c r="AK52" s="188">
        <v>0.87684682098031297</v>
      </c>
      <c r="AL52" s="171">
        <v>-105.06805641746</v>
      </c>
      <c r="AM52" s="168"/>
      <c r="AN52" s="168"/>
      <c r="AO52" s="176">
        <v>61</v>
      </c>
      <c r="AP52" s="176">
        <v>158</v>
      </c>
      <c r="AQ52" s="167"/>
      <c r="AR52" s="180">
        <v>80.599999999999994</v>
      </c>
      <c r="AS52" s="166">
        <v>10.3980681634139</v>
      </c>
      <c r="AT52" s="181" t="s">
        <v>54</v>
      </c>
      <c r="AU52" s="173">
        <v>0.64987926021336895</v>
      </c>
      <c r="AV52" s="174">
        <v>-54.833157185386597</v>
      </c>
      <c r="AW52" s="168"/>
      <c r="AX52" s="168"/>
      <c r="AY52" s="176">
        <v>44</v>
      </c>
      <c r="AZ52" s="176">
        <v>69</v>
      </c>
      <c r="BA52" s="167"/>
      <c r="BB52" s="184">
        <v>251.6</v>
      </c>
      <c r="BC52" s="180">
        <v>32.4584857309546</v>
      </c>
      <c r="BD52" s="181" t="s">
        <v>55</v>
      </c>
      <c r="BE52" s="182">
        <v>1.0143276790923299</v>
      </c>
      <c r="BF52" s="183">
        <v>-19.266314370773301</v>
      </c>
      <c r="BG52" s="168">
        <v>1.0999999999999999E-2</v>
      </c>
      <c r="BH52" s="168">
        <v>1E-3</v>
      </c>
      <c r="BI52" s="176">
        <v>0</v>
      </c>
      <c r="BJ52" s="176">
        <v>47</v>
      </c>
      <c r="BK52" s="169"/>
      <c r="BL52" s="185">
        <v>0.8</v>
      </c>
      <c r="BM52" s="188">
        <v>0.73</v>
      </c>
      <c r="BN52" s="186"/>
      <c r="BO52" s="187">
        <v>0.95</v>
      </c>
      <c r="BP52" s="178">
        <v>1</v>
      </c>
      <c r="BQ52" s="186">
        <v>2.5000000000000001E-3</v>
      </c>
    </row>
    <row r="53" spans="1:69" s="156" customFormat="1" ht="22.35" customHeight="1" x14ac:dyDescent="0.2">
      <c r="A53" s="165" t="s">
        <v>80</v>
      </c>
      <c r="B53" s="165" t="s">
        <v>100</v>
      </c>
      <c r="C53" s="165" t="s">
        <v>106</v>
      </c>
      <c r="D53" s="166">
        <v>4.7798890690000002</v>
      </c>
      <c r="E53" s="167"/>
      <c r="F53" s="168">
        <v>2.5999999999999999E-2</v>
      </c>
      <c r="G53" s="168">
        <v>1.6E-2</v>
      </c>
      <c r="H53" s="169"/>
      <c r="I53" s="170">
        <v>3</v>
      </c>
      <c r="J53" s="170">
        <v>3</v>
      </c>
      <c r="K53" s="167"/>
      <c r="L53" s="171">
        <v>942.15089999999998</v>
      </c>
      <c r="M53" s="171">
        <v>1492.1940099999999</v>
      </c>
      <c r="N53" s="171">
        <v>2434.3449099999998</v>
      </c>
      <c r="O53" s="166">
        <v>509.28899705810301</v>
      </c>
      <c r="P53" s="172">
        <v>284.87700000000001</v>
      </c>
      <c r="Q53" s="178">
        <v>1.7877504925217</v>
      </c>
      <c r="R53" s="179">
        <v>947.38984952601197</v>
      </c>
      <c r="S53" s="168">
        <v>0.01</v>
      </c>
      <c r="T53" s="168">
        <v>0.01</v>
      </c>
      <c r="U53" s="175">
        <v>0</v>
      </c>
      <c r="V53" s="176">
        <v>0</v>
      </c>
      <c r="W53" s="167"/>
      <c r="X53" s="175">
        <v>2332.0972750000001</v>
      </c>
      <c r="Y53" s="166">
        <v>487.897782006037</v>
      </c>
      <c r="Z53" s="177">
        <v>573</v>
      </c>
      <c r="AA53" s="188">
        <v>0.85147954974875495</v>
      </c>
      <c r="AB53" s="171">
        <v>-658.75579369840398</v>
      </c>
      <c r="AC53" s="168"/>
      <c r="AD53" s="168"/>
      <c r="AE53" s="176">
        <v>407</v>
      </c>
      <c r="AF53" s="176">
        <v>955</v>
      </c>
      <c r="AG53" s="167"/>
      <c r="AH53" s="180">
        <v>167.15</v>
      </c>
      <c r="AI53" s="166">
        <v>34.969430793708597</v>
      </c>
      <c r="AJ53" s="181" t="s">
        <v>53</v>
      </c>
      <c r="AK53" s="173">
        <v>0.55507033005886697</v>
      </c>
      <c r="AL53" s="174">
        <v>-161.687248390924</v>
      </c>
      <c r="AM53" s="168"/>
      <c r="AN53" s="168"/>
      <c r="AO53" s="176">
        <v>134</v>
      </c>
      <c r="AP53" s="176">
        <v>195</v>
      </c>
      <c r="AQ53" s="167"/>
      <c r="AR53" s="180">
        <v>24.2</v>
      </c>
      <c r="AS53" s="166">
        <v>5.0628790021402903</v>
      </c>
      <c r="AT53" s="181" t="s">
        <v>54</v>
      </c>
      <c r="AU53" s="173">
        <v>0.31642993763376798</v>
      </c>
      <c r="AV53" s="174">
        <v>-59.314221813567997</v>
      </c>
      <c r="AW53" s="168"/>
      <c r="AX53" s="168"/>
      <c r="AY53" s="176">
        <v>53</v>
      </c>
      <c r="AZ53" s="176">
        <v>68</v>
      </c>
      <c r="BA53" s="167"/>
      <c r="BB53" s="184">
        <v>161.80000000000001</v>
      </c>
      <c r="BC53" s="180">
        <v>33.850157956458602</v>
      </c>
      <c r="BD53" s="181" t="s">
        <v>55</v>
      </c>
      <c r="BE53" s="182">
        <v>1.05781743613933</v>
      </c>
      <c r="BF53" s="183">
        <v>-5.22844362713602</v>
      </c>
      <c r="BG53" s="168">
        <v>1.6E-2</v>
      </c>
      <c r="BH53" s="168">
        <v>6.0000000000000001E-3</v>
      </c>
      <c r="BI53" s="176">
        <v>0</v>
      </c>
      <c r="BJ53" s="176">
        <v>22</v>
      </c>
      <c r="BK53" s="169"/>
      <c r="BL53" s="185">
        <v>0.8</v>
      </c>
      <c r="BM53" s="188">
        <v>0.7</v>
      </c>
      <c r="BN53" s="186"/>
      <c r="BO53" s="187">
        <v>0.95</v>
      </c>
      <c r="BP53" s="178">
        <v>1</v>
      </c>
      <c r="BQ53" s="186">
        <v>2.5000000000000001E-3</v>
      </c>
    </row>
    <row r="54" spans="1:69" s="156" customFormat="1" ht="22.35" customHeight="1" x14ac:dyDescent="0.2">
      <c r="A54" s="165" t="s">
        <v>80</v>
      </c>
      <c r="B54" s="165" t="s">
        <v>100</v>
      </c>
      <c r="C54" s="165" t="s">
        <v>107</v>
      </c>
      <c r="D54" s="166">
        <v>2.5187938062222202</v>
      </c>
      <c r="E54" s="167"/>
      <c r="F54" s="168">
        <v>6.7000000000000004E-2</v>
      </c>
      <c r="G54" s="168">
        <v>5.0999999999999997E-2</v>
      </c>
      <c r="H54" s="169"/>
      <c r="I54" s="170">
        <v>5</v>
      </c>
      <c r="J54" s="170">
        <v>5</v>
      </c>
      <c r="K54" s="167"/>
      <c r="L54" s="171">
        <v>1242.9356600000001</v>
      </c>
      <c r="M54" s="171">
        <v>-186.79929999999999</v>
      </c>
      <c r="N54" s="171">
        <v>1056.13636</v>
      </c>
      <c r="O54" s="166">
        <v>419.30242856362702</v>
      </c>
      <c r="P54" s="172">
        <v>239.02500000000001</v>
      </c>
      <c r="Q54" s="178">
        <v>1.7542199709805599</v>
      </c>
      <c r="R54" s="179">
        <v>398.69263903076501</v>
      </c>
      <c r="S54" s="168">
        <v>0.01</v>
      </c>
      <c r="T54" s="168">
        <v>0.01</v>
      </c>
      <c r="U54" s="175">
        <v>0</v>
      </c>
      <c r="V54" s="176">
        <v>0</v>
      </c>
      <c r="W54" s="167"/>
      <c r="X54" s="175">
        <v>1728.5798649999999</v>
      </c>
      <c r="Y54" s="166">
        <v>686.27287423442795</v>
      </c>
      <c r="Z54" s="177">
        <v>573</v>
      </c>
      <c r="AA54" s="178">
        <v>1.1976838991874801</v>
      </c>
      <c r="AB54" s="179">
        <v>152.530279745857</v>
      </c>
      <c r="AC54" s="168">
        <v>0.02</v>
      </c>
      <c r="AD54" s="168">
        <v>0.02</v>
      </c>
      <c r="AE54" s="176">
        <v>0</v>
      </c>
      <c r="AF54" s="176">
        <v>4</v>
      </c>
      <c r="AG54" s="167"/>
      <c r="AH54" s="180">
        <v>168.8</v>
      </c>
      <c r="AI54" s="166">
        <v>67.016204177972099</v>
      </c>
      <c r="AJ54" s="181" t="s">
        <v>53</v>
      </c>
      <c r="AK54" s="182">
        <v>1.0637492726662201</v>
      </c>
      <c r="AL54" s="183">
        <v>-4.4829386928638497</v>
      </c>
      <c r="AM54" s="168">
        <v>1.7000000000000001E-2</v>
      </c>
      <c r="AN54" s="168">
        <v>6.0000000000000001E-3</v>
      </c>
      <c r="AO54" s="176">
        <v>0</v>
      </c>
      <c r="AP54" s="176">
        <v>22</v>
      </c>
      <c r="AQ54" s="167"/>
      <c r="AR54" s="180">
        <v>15.8</v>
      </c>
      <c r="AS54" s="166">
        <v>6.2728437559950203</v>
      </c>
      <c r="AT54" s="181" t="s">
        <v>54</v>
      </c>
      <c r="AU54" s="173">
        <v>0.39205273474968899</v>
      </c>
      <c r="AV54" s="174">
        <v>-28.2083653823146</v>
      </c>
      <c r="AW54" s="168"/>
      <c r="AX54" s="168"/>
      <c r="AY54" s="176">
        <v>25</v>
      </c>
      <c r="AZ54" s="176">
        <v>33</v>
      </c>
      <c r="BA54" s="167"/>
      <c r="BB54" s="184">
        <v>92.8</v>
      </c>
      <c r="BC54" s="180">
        <v>36.843031680780904</v>
      </c>
      <c r="BD54" s="181" t="s">
        <v>55</v>
      </c>
      <c r="BE54" s="178">
        <v>1.1513447400243999</v>
      </c>
      <c r="BF54" s="179">
        <v>4.78326923537072</v>
      </c>
      <c r="BG54" s="168">
        <v>0.02</v>
      </c>
      <c r="BH54" s="168">
        <v>1.4999999999999999E-2</v>
      </c>
      <c r="BI54" s="176">
        <v>0</v>
      </c>
      <c r="BJ54" s="176">
        <v>4</v>
      </c>
      <c r="BK54" s="169"/>
      <c r="BL54" s="185">
        <v>0.8</v>
      </c>
      <c r="BM54" s="188">
        <v>0.7</v>
      </c>
      <c r="BN54" s="186"/>
      <c r="BO54" s="187">
        <v>0.95</v>
      </c>
      <c r="BP54" s="178">
        <v>1</v>
      </c>
      <c r="BQ54" s="186">
        <v>2.5000000000000001E-3</v>
      </c>
    </row>
    <row r="55" spans="1:69" s="156" customFormat="1" ht="22.35" customHeight="1" x14ac:dyDescent="0.2">
      <c r="A55" s="165" t="s">
        <v>80</v>
      </c>
      <c r="B55" s="165" t="s">
        <v>100</v>
      </c>
      <c r="C55" s="165" t="s">
        <v>108</v>
      </c>
      <c r="D55" s="166">
        <v>2.56970437377778</v>
      </c>
      <c r="E55" s="167"/>
      <c r="F55" s="168">
        <v>0.01</v>
      </c>
      <c r="G55" s="168">
        <v>0.01</v>
      </c>
      <c r="H55" s="169"/>
      <c r="I55" s="170">
        <v>2</v>
      </c>
      <c r="J55" s="170">
        <v>2</v>
      </c>
      <c r="K55" s="167"/>
      <c r="L55" s="171">
        <v>466.75184999999999</v>
      </c>
      <c r="M55" s="171">
        <v>407.60933999999997</v>
      </c>
      <c r="N55" s="171">
        <v>874.36118999999997</v>
      </c>
      <c r="O55" s="166">
        <v>340.257501571896</v>
      </c>
      <c r="P55" s="172">
        <v>273.43799999999999</v>
      </c>
      <c r="Q55" s="178">
        <v>1.24436801604713</v>
      </c>
      <c r="R55" s="179">
        <v>107.062121583703</v>
      </c>
      <c r="S55" s="168">
        <v>0.01</v>
      </c>
      <c r="T55" s="168">
        <v>0.01</v>
      </c>
      <c r="U55" s="175">
        <v>0</v>
      </c>
      <c r="V55" s="176">
        <v>0</v>
      </c>
      <c r="W55" s="167"/>
      <c r="X55" s="175">
        <v>1020.32716</v>
      </c>
      <c r="Y55" s="166">
        <v>397.06013283543399</v>
      </c>
      <c r="Z55" s="177">
        <v>573</v>
      </c>
      <c r="AA55" s="173">
        <v>0.69294962100424795</v>
      </c>
      <c r="AB55" s="174">
        <v>-587.57798194273698</v>
      </c>
      <c r="AC55" s="168"/>
      <c r="AD55" s="168"/>
      <c r="AE55" s="176">
        <v>453</v>
      </c>
      <c r="AF55" s="176">
        <v>747</v>
      </c>
      <c r="AG55" s="167"/>
      <c r="AH55" s="180">
        <v>96.1</v>
      </c>
      <c r="AI55" s="166">
        <v>37.397297907354698</v>
      </c>
      <c r="AJ55" s="181" t="s">
        <v>53</v>
      </c>
      <c r="AK55" s="173">
        <v>0.59360790329134505</v>
      </c>
      <c r="AL55" s="174">
        <v>-80.685382098416198</v>
      </c>
      <c r="AM55" s="168"/>
      <c r="AN55" s="168"/>
      <c r="AO55" s="176">
        <v>66</v>
      </c>
      <c r="AP55" s="176">
        <v>99</v>
      </c>
      <c r="AQ55" s="167"/>
      <c r="AR55" s="180">
        <v>7</v>
      </c>
      <c r="AS55" s="166">
        <v>2.7240487549582002</v>
      </c>
      <c r="AT55" s="181" t="s">
        <v>54</v>
      </c>
      <c r="AU55" s="173">
        <v>0.17025304718488701</v>
      </c>
      <c r="AV55" s="174">
        <v>-37.897874818645398</v>
      </c>
      <c r="AW55" s="168"/>
      <c r="AX55" s="168"/>
      <c r="AY55" s="176">
        <v>35</v>
      </c>
      <c r="AZ55" s="176">
        <v>43</v>
      </c>
      <c r="BA55" s="167"/>
      <c r="BB55" s="184">
        <v>59.4</v>
      </c>
      <c r="BC55" s="180">
        <v>23.115499434930999</v>
      </c>
      <c r="BD55" s="181" t="s">
        <v>55</v>
      </c>
      <c r="BE55" s="173">
        <v>0.72235935734159396</v>
      </c>
      <c r="BF55" s="174">
        <v>-30.395749637290798</v>
      </c>
      <c r="BG55" s="168"/>
      <c r="BH55" s="168"/>
      <c r="BI55" s="176">
        <v>23</v>
      </c>
      <c r="BJ55" s="176">
        <v>40</v>
      </c>
      <c r="BK55" s="169"/>
      <c r="BL55" s="185">
        <v>0.8</v>
      </c>
      <c r="BM55" s="188">
        <v>0.74</v>
      </c>
      <c r="BN55" s="186"/>
      <c r="BO55" s="187">
        <v>0.95</v>
      </c>
      <c r="BP55" s="178">
        <v>1</v>
      </c>
      <c r="BQ55" s="186">
        <v>2.5000000000000001E-3</v>
      </c>
    </row>
    <row r="56" spans="1:69" s="156" customFormat="1" ht="22.35" customHeight="1" x14ac:dyDescent="0.2">
      <c r="A56" s="165" t="s">
        <v>80</v>
      </c>
      <c r="B56" s="165" t="s">
        <v>100</v>
      </c>
      <c r="C56" s="165" t="s">
        <v>109</v>
      </c>
      <c r="D56" s="166">
        <v>5.2395012254444397</v>
      </c>
      <c r="E56" s="167"/>
      <c r="F56" s="168">
        <v>2.8000000000000001E-2</v>
      </c>
      <c r="G56" s="168">
        <v>1.7999999999999999E-2</v>
      </c>
      <c r="H56" s="169"/>
      <c r="I56" s="170">
        <v>3</v>
      </c>
      <c r="J56" s="170">
        <v>3</v>
      </c>
      <c r="K56" s="167"/>
      <c r="L56" s="171">
        <v>2040.5803000000001</v>
      </c>
      <c r="M56" s="171">
        <v>1292.06933</v>
      </c>
      <c r="N56" s="171">
        <v>3332.6496299999999</v>
      </c>
      <c r="O56" s="166">
        <v>636.06238200990299</v>
      </c>
      <c r="P56" s="172">
        <v>287.5</v>
      </c>
      <c r="Q56" s="178">
        <v>2.2123908939474899</v>
      </c>
      <c r="R56" s="179">
        <v>1687.7082202717199</v>
      </c>
      <c r="S56" s="168">
        <v>0.01</v>
      </c>
      <c r="T56" s="168">
        <v>0.01</v>
      </c>
      <c r="U56" s="175">
        <v>0</v>
      </c>
      <c r="V56" s="176">
        <v>0</v>
      </c>
      <c r="W56" s="167"/>
      <c r="X56" s="175">
        <v>2274.1187</v>
      </c>
      <c r="Y56" s="166">
        <v>434.03343221989502</v>
      </c>
      <c r="Z56" s="177">
        <v>573</v>
      </c>
      <c r="AA56" s="188">
        <v>0.75747544890034102</v>
      </c>
      <c r="AB56" s="171">
        <v>-1004.32104878019</v>
      </c>
      <c r="AC56" s="168"/>
      <c r="AD56" s="168"/>
      <c r="AE56" s="176">
        <v>729</v>
      </c>
      <c r="AF56" s="176">
        <v>1329</v>
      </c>
      <c r="AG56" s="167"/>
      <c r="AH56" s="180">
        <v>148.80000000000001</v>
      </c>
      <c r="AI56" s="166">
        <v>28.399649813495</v>
      </c>
      <c r="AJ56" s="181" t="s">
        <v>53</v>
      </c>
      <c r="AK56" s="173">
        <v>0.450788092277698</v>
      </c>
      <c r="AL56" s="174">
        <v>-211.65672630567599</v>
      </c>
      <c r="AM56" s="168"/>
      <c r="AN56" s="168"/>
      <c r="AO56" s="176">
        <v>182</v>
      </c>
      <c r="AP56" s="176">
        <v>248</v>
      </c>
      <c r="AQ56" s="167"/>
      <c r="AR56" s="180">
        <v>26.3</v>
      </c>
      <c r="AS56" s="166">
        <v>5.0195617613905803</v>
      </c>
      <c r="AT56" s="181" t="s">
        <v>54</v>
      </c>
      <c r="AU56" s="173">
        <v>0.31372261008691099</v>
      </c>
      <c r="AV56" s="174">
        <v>-65.244565410965293</v>
      </c>
      <c r="AW56" s="168"/>
      <c r="AX56" s="168"/>
      <c r="AY56" s="176">
        <v>58</v>
      </c>
      <c r="AZ56" s="176">
        <v>75</v>
      </c>
      <c r="BA56" s="167"/>
      <c r="BB56" s="184">
        <v>180.8</v>
      </c>
      <c r="BC56" s="180">
        <v>34.507101386289598</v>
      </c>
      <c r="BD56" s="181" t="s">
        <v>55</v>
      </c>
      <c r="BE56" s="182">
        <v>1.0783469183215499</v>
      </c>
      <c r="BF56" s="183">
        <v>-2.28913082193051</v>
      </c>
      <c r="BG56" s="168">
        <v>1.7999999999999999E-2</v>
      </c>
      <c r="BH56" s="168">
        <v>8.0000000000000002E-3</v>
      </c>
      <c r="BI56" s="176">
        <v>0</v>
      </c>
      <c r="BJ56" s="176">
        <v>21</v>
      </c>
      <c r="BK56" s="169"/>
      <c r="BL56" s="185">
        <v>0.8</v>
      </c>
      <c r="BM56" s="188">
        <v>0.7</v>
      </c>
      <c r="BN56" s="186"/>
      <c r="BO56" s="187">
        <v>0.95</v>
      </c>
      <c r="BP56" s="178">
        <v>1</v>
      </c>
      <c r="BQ56" s="186">
        <v>2.5000000000000001E-3</v>
      </c>
    </row>
    <row r="57" spans="1:69" s="156" customFormat="1" ht="22.35" customHeight="1" x14ac:dyDescent="0.2">
      <c r="A57" s="165" t="s">
        <v>80</v>
      </c>
      <c r="B57" s="165" t="s">
        <v>100</v>
      </c>
      <c r="C57" s="165" t="s">
        <v>110</v>
      </c>
      <c r="D57" s="166">
        <v>2.6352440239999999</v>
      </c>
      <c r="E57" s="167"/>
      <c r="F57" s="168">
        <v>0.06</v>
      </c>
      <c r="G57" s="168">
        <v>0.06</v>
      </c>
      <c r="H57" s="169"/>
      <c r="I57" s="170">
        <v>5</v>
      </c>
      <c r="J57" s="170">
        <v>5</v>
      </c>
      <c r="K57" s="167"/>
      <c r="L57" s="171">
        <v>1834.59843</v>
      </c>
      <c r="M57" s="171">
        <v>2636.83941</v>
      </c>
      <c r="N57" s="171">
        <v>4471.4378399999996</v>
      </c>
      <c r="O57" s="166">
        <v>1696.7832197994601</v>
      </c>
      <c r="P57" s="172">
        <v>269.755</v>
      </c>
      <c r="Q57" s="178">
        <v>6.2900899697853996</v>
      </c>
      <c r="R57" s="179">
        <v>3695.1675251500201</v>
      </c>
      <c r="S57" s="168">
        <v>0.01</v>
      </c>
      <c r="T57" s="168">
        <v>0.01</v>
      </c>
      <c r="U57" s="175">
        <v>0</v>
      </c>
      <c r="V57" s="176">
        <v>0</v>
      </c>
      <c r="W57" s="167"/>
      <c r="X57" s="175">
        <v>1869.7637400000001</v>
      </c>
      <c r="Y57" s="166">
        <v>709.52204918082396</v>
      </c>
      <c r="Z57" s="177">
        <v>573</v>
      </c>
      <c r="AA57" s="178">
        <v>1.23825837553372</v>
      </c>
      <c r="AB57" s="179">
        <v>220.849390278816</v>
      </c>
      <c r="AC57" s="168">
        <v>0.02</v>
      </c>
      <c r="AD57" s="168">
        <v>0.02</v>
      </c>
      <c r="AE57" s="176">
        <v>0</v>
      </c>
      <c r="AF57" s="176">
        <v>0</v>
      </c>
      <c r="AG57" s="167"/>
      <c r="AH57" s="180">
        <v>147.94999999999999</v>
      </c>
      <c r="AI57" s="166">
        <v>56.142808276035403</v>
      </c>
      <c r="AJ57" s="181" t="s">
        <v>53</v>
      </c>
      <c r="AK57" s="188">
        <v>0.89115568692119596</v>
      </c>
      <c r="AL57" s="171">
        <v>-33.344247875104003</v>
      </c>
      <c r="AM57" s="168"/>
      <c r="AN57" s="168"/>
      <c r="AO57" s="176">
        <v>19</v>
      </c>
      <c r="AP57" s="176">
        <v>52</v>
      </c>
      <c r="AQ57" s="167"/>
      <c r="AR57" s="180">
        <v>63.4</v>
      </c>
      <c r="AS57" s="166">
        <v>24.058493036165199</v>
      </c>
      <c r="AT57" s="181" t="s">
        <v>54</v>
      </c>
      <c r="AU57" s="178">
        <v>1.5036558147603301</v>
      </c>
      <c r="AV57" s="179">
        <v>17.357016412671999</v>
      </c>
      <c r="AW57" s="168">
        <v>0.01</v>
      </c>
      <c r="AX57" s="168">
        <v>0.01</v>
      </c>
      <c r="AY57" s="176">
        <v>0</v>
      </c>
      <c r="AZ57" s="176">
        <v>0</v>
      </c>
      <c r="BA57" s="167"/>
      <c r="BB57" s="184">
        <v>134.80000000000001</v>
      </c>
      <c r="BC57" s="180">
        <v>51.152758064275602</v>
      </c>
      <c r="BD57" s="181" t="s">
        <v>55</v>
      </c>
      <c r="BE57" s="178">
        <v>1.5985236895086099</v>
      </c>
      <c r="BF57" s="179">
        <v>42.714032825343999</v>
      </c>
      <c r="BG57" s="168">
        <v>0.02</v>
      </c>
      <c r="BH57" s="168">
        <v>0.02</v>
      </c>
      <c r="BI57" s="176">
        <v>0</v>
      </c>
      <c r="BJ57" s="176">
        <v>0</v>
      </c>
      <c r="BK57" s="169"/>
      <c r="BL57" s="185">
        <v>0.8</v>
      </c>
      <c r="BM57" s="188">
        <v>0.73</v>
      </c>
      <c r="BN57" s="186"/>
      <c r="BO57" s="187">
        <v>0.95</v>
      </c>
      <c r="BP57" s="178">
        <v>1</v>
      </c>
      <c r="BQ57" s="186">
        <v>2.5000000000000001E-3</v>
      </c>
    </row>
    <row r="58" spans="1:69" s="156" customFormat="1" ht="22.35" customHeight="1" x14ac:dyDescent="0.2">
      <c r="A58" s="165" t="s">
        <v>80</v>
      </c>
      <c r="B58" s="165" t="s">
        <v>100</v>
      </c>
      <c r="C58" s="165" t="s">
        <v>111</v>
      </c>
      <c r="D58" s="166">
        <v>5.3559300766666702</v>
      </c>
      <c r="E58" s="167"/>
      <c r="F58" s="168">
        <v>0.03</v>
      </c>
      <c r="G58" s="168">
        <v>2.5999999999999999E-2</v>
      </c>
      <c r="H58" s="169"/>
      <c r="I58" s="170">
        <v>3</v>
      </c>
      <c r="J58" s="170">
        <v>3</v>
      </c>
      <c r="K58" s="167"/>
      <c r="L58" s="171">
        <v>3012.1510400000002</v>
      </c>
      <c r="M58" s="171">
        <v>1264.44965</v>
      </c>
      <c r="N58" s="171">
        <v>4276.6006900000002</v>
      </c>
      <c r="O58" s="166">
        <v>798.47955981187795</v>
      </c>
      <c r="P58" s="172">
        <v>280.08499999999998</v>
      </c>
      <c r="Q58" s="178">
        <v>2.85084727783308</v>
      </c>
      <c r="R58" s="179">
        <v>2638.4743723286801</v>
      </c>
      <c r="S58" s="168">
        <v>0.01</v>
      </c>
      <c r="T58" s="168">
        <v>0.01</v>
      </c>
      <c r="U58" s="175">
        <v>0</v>
      </c>
      <c r="V58" s="176">
        <v>0</v>
      </c>
      <c r="W58" s="167"/>
      <c r="X58" s="175">
        <v>1920.2623349999999</v>
      </c>
      <c r="Y58" s="166">
        <v>358.53013529166498</v>
      </c>
      <c r="Z58" s="177">
        <v>573</v>
      </c>
      <c r="AA58" s="173">
        <v>0.62570704239383101</v>
      </c>
      <c r="AB58" s="174">
        <v>-1431.0288088515599</v>
      </c>
      <c r="AC58" s="168"/>
      <c r="AD58" s="168"/>
      <c r="AE58" s="176">
        <v>1149</v>
      </c>
      <c r="AF58" s="176">
        <v>1763</v>
      </c>
      <c r="AG58" s="167"/>
      <c r="AH58" s="180">
        <v>236.2</v>
      </c>
      <c r="AI58" s="166">
        <v>44.100650422793102</v>
      </c>
      <c r="AJ58" s="181" t="s">
        <v>53</v>
      </c>
      <c r="AK58" s="173">
        <v>0.70001032417131803</v>
      </c>
      <c r="AL58" s="174">
        <v>-132.26656555436</v>
      </c>
      <c r="AM58" s="168"/>
      <c r="AN58" s="168"/>
      <c r="AO58" s="176">
        <v>102</v>
      </c>
      <c r="AP58" s="176">
        <v>169</v>
      </c>
      <c r="AQ58" s="167"/>
      <c r="AR58" s="180">
        <v>26.9</v>
      </c>
      <c r="AS58" s="166">
        <v>5.0224703487431599</v>
      </c>
      <c r="AT58" s="181" t="s">
        <v>54</v>
      </c>
      <c r="AU58" s="173">
        <v>0.31390439679644699</v>
      </c>
      <c r="AV58" s="174">
        <v>-66.678810299520094</v>
      </c>
      <c r="AW58" s="168"/>
      <c r="AX58" s="168"/>
      <c r="AY58" s="176">
        <v>59</v>
      </c>
      <c r="AZ58" s="176">
        <v>76</v>
      </c>
      <c r="BA58" s="167"/>
      <c r="BB58" s="184">
        <v>199.2</v>
      </c>
      <c r="BC58" s="180">
        <v>37.192419831584999</v>
      </c>
      <c r="BD58" s="181" t="s">
        <v>55</v>
      </c>
      <c r="BE58" s="178">
        <v>1.1622631197370299</v>
      </c>
      <c r="BF58" s="179">
        <v>12.0423794009599</v>
      </c>
      <c r="BG58" s="168">
        <v>0.02</v>
      </c>
      <c r="BH58" s="168">
        <v>1.6E-2</v>
      </c>
      <c r="BI58" s="176">
        <v>0</v>
      </c>
      <c r="BJ58" s="176">
        <v>7</v>
      </c>
      <c r="BK58" s="169"/>
      <c r="BL58" s="185">
        <v>0.8</v>
      </c>
      <c r="BM58" s="173">
        <v>0.65</v>
      </c>
      <c r="BN58" s="186"/>
      <c r="BO58" s="187">
        <v>0.95</v>
      </c>
      <c r="BP58" s="178">
        <v>1</v>
      </c>
      <c r="BQ58" s="186">
        <v>2.5000000000000001E-3</v>
      </c>
    </row>
    <row r="59" spans="1:69" s="156" customFormat="1" ht="22.35" customHeight="1" x14ac:dyDescent="0.2">
      <c r="A59" s="165" t="s">
        <v>80</v>
      </c>
      <c r="B59" s="165" t="s">
        <v>100</v>
      </c>
      <c r="C59" s="165" t="s">
        <v>112</v>
      </c>
      <c r="D59" s="166">
        <v>1.38279080044444</v>
      </c>
      <c r="E59" s="167"/>
      <c r="F59" s="168">
        <v>0.01</v>
      </c>
      <c r="G59" s="168">
        <v>0.01</v>
      </c>
      <c r="H59" s="169"/>
      <c r="I59" s="170">
        <v>2</v>
      </c>
      <c r="J59" s="170">
        <v>2</v>
      </c>
      <c r="K59" s="167"/>
      <c r="L59" s="171">
        <v>155.45249000000001</v>
      </c>
      <c r="M59" s="171">
        <v>1450.7616700000001</v>
      </c>
      <c r="N59" s="171">
        <v>1606.21416</v>
      </c>
      <c r="O59" s="166">
        <v>1161.5742305226099</v>
      </c>
      <c r="P59" s="172">
        <v>280.08499999999998</v>
      </c>
      <c r="Q59" s="178">
        <v>4.1472204170969897</v>
      </c>
      <c r="R59" s="179">
        <v>1183.28369421401</v>
      </c>
      <c r="S59" s="168">
        <v>0.01</v>
      </c>
      <c r="T59" s="168">
        <v>0.01</v>
      </c>
      <c r="U59" s="175">
        <v>0</v>
      </c>
      <c r="V59" s="176">
        <v>0</v>
      </c>
      <c r="W59" s="167"/>
      <c r="X59" s="175">
        <v>699.18479000000002</v>
      </c>
      <c r="Y59" s="166">
        <v>505.63309343342002</v>
      </c>
      <c r="Z59" s="177">
        <v>573</v>
      </c>
      <c r="AA59" s="188">
        <v>0.88243122763249604</v>
      </c>
      <c r="AB59" s="171">
        <v>-166.04953849089301</v>
      </c>
      <c r="AC59" s="168"/>
      <c r="AD59" s="168"/>
      <c r="AE59" s="176">
        <v>94</v>
      </c>
      <c r="AF59" s="176">
        <v>252</v>
      </c>
      <c r="AG59" s="167"/>
      <c r="AH59" s="180">
        <v>61.3</v>
      </c>
      <c r="AI59" s="166">
        <v>44.330639154019202</v>
      </c>
      <c r="AJ59" s="181" t="s">
        <v>53</v>
      </c>
      <c r="AK59" s="173">
        <v>0.703660938952685</v>
      </c>
      <c r="AL59" s="174">
        <v>-33.8304759073757</v>
      </c>
      <c r="AM59" s="168"/>
      <c r="AN59" s="168"/>
      <c r="AO59" s="176">
        <v>26</v>
      </c>
      <c r="AP59" s="176">
        <v>44</v>
      </c>
      <c r="AQ59" s="167"/>
      <c r="AR59" s="180">
        <v>5</v>
      </c>
      <c r="AS59" s="166">
        <v>3.61587595057253</v>
      </c>
      <c r="AT59" s="181" t="s">
        <v>54</v>
      </c>
      <c r="AU59" s="173">
        <v>0.22599224691078301</v>
      </c>
      <c r="AV59" s="174">
        <v>-19.1601208653653</v>
      </c>
      <c r="AW59" s="168"/>
      <c r="AX59" s="168"/>
      <c r="AY59" s="176">
        <v>18</v>
      </c>
      <c r="AZ59" s="176">
        <v>22</v>
      </c>
      <c r="BA59" s="167"/>
      <c r="BB59" s="184">
        <v>34</v>
      </c>
      <c r="BC59" s="180">
        <v>24.5879564638932</v>
      </c>
      <c r="BD59" s="181" t="s">
        <v>55</v>
      </c>
      <c r="BE59" s="188">
        <v>0.76837363949666104</v>
      </c>
      <c r="BF59" s="171">
        <v>-14.320241730730499</v>
      </c>
      <c r="BG59" s="168"/>
      <c r="BH59" s="168"/>
      <c r="BI59" s="176">
        <v>11</v>
      </c>
      <c r="BJ59" s="176">
        <v>20</v>
      </c>
      <c r="BK59" s="169"/>
      <c r="BL59" s="185">
        <v>0.8</v>
      </c>
      <c r="BM59" s="188">
        <v>0.75</v>
      </c>
      <c r="BN59" s="186"/>
      <c r="BO59" s="187">
        <v>0.95</v>
      </c>
      <c r="BP59" s="178">
        <v>1</v>
      </c>
      <c r="BQ59" s="186">
        <v>2.5000000000000001E-3</v>
      </c>
    </row>
    <row r="60" spans="1:69" s="156" customFormat="1" ht="22.35" customHeight="1" x14ac:dyDescent="0.2">
      <c r="A60" s="165" t="s">
        <v>80</v>
      </c>
      <c r="B60" s="165" t="s">
        <v>100</v>
      </c>
      <c r="C60" s="165" t="s">
        <v>113</v>
      </c>
      <c r="D60" s="166">
        <v>3.0026688585555599</v>
      </c>
      <c r="E60" s="167"/>
      <c r="F60" s="168">
        <v>0.05</v>
      </c>
      <c r="G60" s="168">
        <v>4.7E-2</v>
      </c>
      <c r="H60" s="169"/>
      <c r="I60" s="170">
        <v>4</v>
      </c>
      <c r="J60" s="170">
        <v>4</v>
      </c>
      <c r="K60" s="167"/>
      <c r="L60" s="171">
        <v>1197.3513600000001</v>
      </c>
      <c r="M60" s="171">
        <v>785.22547999999995</v>
      </c>
      <c r="N60" s="171">
        <v>1982.5768399999999</v>
      </c>
      <c r="O60" s="166">
        <v>660.27155620274596</v>
      </c>
      <c r="P60" s="172">
        <v>239.26400000000001</v>
      </c>
      <c r="Q60" s="178">
        <v>2.7595942398469702</v>
      </c>
      <c r="R60" s="179">
        <v>1198.05066654341</v>
      </c>
      <c r="S60" s="168">
        <v>0.01</v>
      </c>
      <c r="T60" s="168">
        <v>0.01</v>
      </c>
      <c r="U60" s="175">
        <v>0</v>
      </c>
      <c r="V60" s="176">
        <v>0</v>
      </c>
      <c r="W60" s="167"/>
      <c r="X60" s="175">
        <v>2018.4277300000001</v>
      </c>
      <c r="Y60" s="166">
        <v>672.21123110157805</v>
      </c>
      <c r="Z60" s="177">
        <v>573</v>
      </c>
      <c r="AA60" s="178">
        <v>1.17314350977588</v>
      </c>
      <c r="AB60" s="179">
        <v>139.60978250004899</v>
      </c>
      <c r="AC60" s="168">
        <v>0.02</v>
      </c>
      <c r="AD60" s="168">
        <v>1.7000000000000001E-2</v>
      </c>
      <c r="AE60" s="176">
        <v>0</v>
      </c>
      <c r="AF60" s="176">
        <v>47</v>
      </c>
      <c r="AG60" s="167"/>
      <c r="AH60" s="180">
        <v>169.8</v>
      </c>
      <c r="AI60" s="166">
        <v>56.549692289972597</v>
      </c>
      <c r="AJ60" s="181" t="s">
        <v>53</v>
      </c>
      <c r="AK60" s="188">
        <v>0.89761416333289901</v>
      </c>
      <c r="AL60" s="171">
        <v>-36.771606793188298</v>
      </c>
      <c r="AM60" s="168"/>
      <c r="AN60" s="168"/>
      <c r="AO60" s="176">
        <v>20</v>
      </c>
      <c r="AP60" s="176">
        <v>58</v>
      </c>
      <c r="AQ60" s="167"/>
      <c r="AR60" s="180">
        <v>31.5</v>
      </c>
      <c r="AS60" s="166">
        <v>10.4906672976098</v>
      </c>
      <c r="AT60" s="181" t="s">
        <v>54</v>
      </c>
      <c r="AU60" s="173">
        <v>0.65566670610060995</v>
      </c>
      <c r="AV60" s="174">
        <v>-20.9626302966828</v>
      </c>
      <c r="AW60" s="168"/>
      <c r="AX60" s="168"/>
      <c r="AY60" s="176">
        <v>17</v>
      </c>
      <c r="AZ60" s="176">
        <v>27</v>
      </c>
      <c r="BA60" s="167"/>
      <c r="BB60" s="184">
        <v>130.80000000000001</v>
      </c>
      <c r="BC60" s="180">
        <v>43.561247064360501</v>
      </c>
      <c r="BD60" s="181" t="s">
        <v>55</v>
      </c>
      <c r="BE60" s="178">
        <v>1.3612889707612701</v>
      </c>
      <c r="BF60" s="179">
        <v>25.8747394066345</v>
      </c>
      <c r="BG60" s="168">
        <v>0.02</v>
      </c>
      <c r="BH60" s="168">
        <v>0.02</v>
      </c>
      <c r="BI60" s="176">
        <v>0</v>
      </c>
      <c r="BJ60" s="176">
        <v>0</v>
      </c>
      <c r="BK60" s="169"/>
      <c r="BL60" s="185">
        <v>0.8</v>
      </c>
      <c r="BM60" s="188">
        <v>0.73</v>
      </c>
      <c r="BN60" s="186"/>
      <c r="BO60" s="187">
        <v>0.95</v>
      </c>
      <c r="BP60" s="178">
        <v>1</v>
      </c>
      <c r="BQ60" s="186">
        <v>2.5000000000000001E-3</v>
      </c>
    </row>
    <row r="61" spans="1:69" s="156" customFormat="1" ht="22.35" customHeight="1" x14ac:dyDescent="0.2">
      <c r="A61" s="165" t="s">
        <v>80</v>
      </c>
      <c r="B61" s="165" t="s">
        <v>100</v>
      </c>
      <c r="C61" s="165" t="s">
        <v>114</v>
      </c>
      <c r="D61" s="166">
        <v>8.0969419465555603</v>
      </c>
      <c r="E61" s="167"/>
      <c r="F61" s="168">
        <v>4.4999999999999998E-2</v>
      </c>
      <c r="G61" s="168">
        <v>2.9000000000000001E-2</v>
      </c>
      <c r="H61" s="169"/>
      <c r="I61" s="170">
        <v>4</v>
      </c>
      <c r="J61" s="170">
        <v>4</v>
      </c>
      <c r="K61" s="167"/>
      <c r="L61" s="171">
        <v>4538.8215399999999</v>
      </c>
      <c r="M61" s="171">
        <v>3400.4379800000002</v>
      </c>
      <c r="N61" s="171">
        <v>7939.2595199999996</v>
      </c>
      <c r="O61" s="166">
        <v>980.52568147377701</v>
      </c>
      <c r="P61" s="172">
        <v>262.83</v>
      </c>
      <c r="Q61" s="178">
        <v>3.7306459744845601</v>
      </c>
      <c r="R61" s="179">
        <v>5615.3532970199904</v>
      </c>
      <c r="S61" s="168">
        <v>0.01</v>
      </c>
      <c r="T61" s="168">
        <v>0.01</v>
      </c>
      <c r="U61" s="175">
        <v>0</v>
      </c>
      <c r="V61" s="176">
        <v>0</v>
      </c>
      <c r="W61" s="167"/>
      <c r="X61" s="175">
        <v>4865.2485100000004</v>
      </c>
      <c r="Y61" s="166">
        <v>600.87481695106896</v>
      </c>
      <c r="Z61" s="177">
        <v>573</v>
      </c>
      <c r="AA61" s="182">
        <v>1.0486471500018699</v>
      </c>
      <c r="AB61" s="183">
        <v>-201.13761703096</v>
      </c>
      <c r="AC61" s="168">
        <v>1.4999999999999999E-2</v>
      </c>
      <c r="AD61" s="168">
        <v>5.0000000000000001E-3</v>
      </c>
      <c r="AE61" s="176">
        <v>0</v>
      </c>
      <c r="AF61" s="176">
        <v>703</v>
      </c>
      <c r="AG61" s="167"/>
      <c r="AH61" s="180">
        <v>415.3</v>
      </c>
      <c r="AI61" s="166">
        <v>51.290969200621298</v>
      </c>
      <c r="AJ61" s="181" t="s">
        <v>53</v>
      </c>
      <c r="AK61" s="188">
        <v>0.81414236826383102</v>
      </c>
      <c r="AL61" s="171">
        <v>-141.73721815523601</v>
      </c>
      <c r="AM61" s="168"/>
      <c r="AN61" s="168"/>
      <c r="AO61" s="176">
        <v>95</v>
      </c>
      <c r="AP61" s="176">
        <v>197</v>
      </c>
      <c r="AQ61" s="167"/>
      <c r="AR61" s="180">
        <v>35.9</v>
      </c>
      <c r="AS61" s="166">
        <v>4.43377268071829</v>
      </c>
      <c r="AT61" s="181" t="s">
        <v>54</v>
      </c>
      <c r="AU61" s="173">
        <v>0.27711079254489301</v>
      </c>
      <c r="AV61" s="174">
        <v>-105.569769690219</v>
      </c>
      <c r="AW61" s="168"/>
      <c r="AX61" s="168"/>
      <c r="AY61" s="176">
        <v>94</v>
      </c>
      <c r="AZ61" s="176">
        <v>120</v>
      </c>
      <c r="BA61" s="167"/>
      <c r="BB61" s="184">
        <v>294.60000000000002</v>
      </c>
      <c r="BC61" s="180">
        <v>36.384106733693798</v>
      </c>
      <c r="BD61" s="181" t="s">
        <v>55</v>
      </c>
      <c r="BE61" s="178">
        <v>1.1370033354279301</v>
      </c>
      <c r="BF61" s="179">
        <v>11.6604606195625</v>
      </c>
      <c r="BG61" s="168">
        <v>0.02</v>
      </c>
      <c r="BH61" s="168">
        <v>1.4E-2</v>
      </c>
      <c r="BI61" s="176">
        <v>0</v>
      </c>
      <c r="BJ61" s="176">
        <v>17</v>
      </c>
      <c r="BK61" s="169"/>
      <c r="BL61" s="185">
        <v>0.8</v>
      </c>
      <c r="BM61" s="173">
        <v>0.68</v>
      </c>
      <c r="BN61" s="186"/>
      <c r="BO61" s="187">
        <v>0.95</v>
      </c>
      <c r="BP61" s="178">
        <v>1</v>
      </c>
      <c r="BQ61" s="186">
        <v>2.5000000000000001E-3</v>
      </c>
    </row>
    <row r="62" spans="1:69" s="156" customFormat="1" ht="22.35" customHeight="1" x14ac:dyDescent="0.2">
      <c r="A62" s="165" t="s">
        <v>80</v>
      </c>
      <c r="B62" s="165" t="s">
        <v>100</v>
      </c>
      <c r="C62" s="165" t="s">
        <v>115</v>
      </c>
      <c r="D62" s="166">
        <v>1.895420369</v>
      </c>
      <c r="E62" s="167"/>
      <c r="F62" s="168">
        <v>5.8000000000000003E-2</v>
      </c>
      <c r="G62" s="168">
        <v>4.3999999999999997E-2</v>
      </c>
      <c r="H62" s="169"/>
      <c r="I62" s="170">
        <v>5</v>
      </c>
      <c r="J62" s="170">
        <v>4</v>
      </c>
      <c r="K62" s="167"/>
      <c r="L62" s="171">
        <v>2330.3993599999999</v>
      </c>
      <c r="M62" s="171">
        <v>412.32677999999999</v>
      </c>
      <c r="N62" s="171">
        <v>2742.7261400000002</v>
      </c>
      <c r="O62" s="166">
        <v>1447.0278914682301</v>
      </c>
      <c r="P62" s="172">
        <v>248.27199999999999</v>
      </c>
      <c r="Q62" s="178">
        <v>5.8283974490406898</v>
      </c>
      <c r="R62" s="179">
        <v>2228.8529920092101</v>
      </c>
      <c r="S62" s="168">
        <v>0.01</v>
      </c>
      <c r="T62" s="168">
        <v>0.01</v>
      </c>
      <c r="U62" s="175">
        <v>0</v>
      </c>
      <c r="V62" s="176">
        <v>0</v>
      </c>
      <c r="W62" s="167"/>
      <c r="X62" s="175">
        <v>1069.90086</v>
      </c>
      <c r="Y62" s="166">
        <v>564.46626695505302</v>
      </c>
      <c r="Z62" s="177">
        <v>573</v>
      </c>
      <c r="AA62" s="182">
        <v>0.98510692313272896</v>
      </c>
      <c r="AB62" s="183">
        <v>-116.093991609204</v>
      </c>
      <c r="AC62" s="168">
        <v>8.0000000000000002E-3</v>
      </c>
      <c r="AD62" s="168"/>
      <c r="AE62" s="176">
        <v>17</v>
      </c>
      <c r="AF62" s="176">
        <v>234</v>
      </c>
      <c r="AG62" s="167"/>
      <c r="AH62" s="180">
        <v>135.9</v>
      </c>
      <c r="AI62" s="166">
        <v>71.699134515315507</v>
      </c>
      <c r="AJ62" s="181" t="s">
        <v>53</v>
      </c>
      <c r="AK62" s="178">
        <v>1.1380815002431</v>
      </c>
      <c r="AL62" s="179">
        <v>5.5026602942759801</v>
      </c>
      <c r="AM62" s="168">
        <v>0.02</v>
      </c>
      <c r="AN62" s="168">
        <v>1.4E-2</v>
      </c>
      <c r="AO62" s="176">
        <v>0</v>
      </c>
      <c r="AP62" s="176">
        <v>8</v>
      </c>
      <c r="AQ62" s="167"/>
      <c r="AR62" s="180">
        <v>26.9</v>
      </c>
      <c r="AS62" s="166">
        <v>14.1921024169388</v>
      </c>
      <c r="AT62" s="181" t="s">
        <v>54</v>
      </c>
      <c r="AU62" s="188">
        <v>0.88700640105867701</v>
      </c>
      <c r="AV62" s="171">
        <v>-6.2167846871680004</v>
      </c>
      <c r="AW62" s="168"/>
      <c r="AX62" s="168"/>
      <c r="AY62" s="176">
        <v>4</v>
      </c>
      <c r="AZ62" s="176">
        <v>10</v>
      </c>
      <c r="BA62" s="167"/>
      <c r="BB62" s="184">
        <v>82</v>
      </c>
      <c r="BC62" s="180">
        <v>43.262170936393503</v>
      </c>
      <c r="BD62" s="181" t="s">
        <v>55</v>
      </c>
      <c r="BE62" s="178">
        <v>1.3519428417623001</v>
      </c>
      <c r="BF62" s="179">
        <v>15.766430625664</v>
      </c>
      <c r="BG62" s="168">
        <v>0.02</v>
      </c>
      <c r="BH62" s="168">
        <v>0.02</v>
      </c>
      <c r="BI62" s="176">
        <v>0</v>
      </c>
      <c r="BJ62" s="176">
        <v>0</v>
      </c>
      <c r="BK62" s="169"/>
      <c r="BL62" s="185">
        <v>0.8</v>
      </c>
      <c r="BM62" s="188">
        <v>0.8</v>
      </c>
      <c r="BN62" s="186">
        <v>0</v>
      </c>
      <c r="BO62" s="187">
        <v>0.95</v>
      </c>
      <c r="BP62" s="178">
        <v>1</v>
      </c>
      <c r="BQ62" s="186">
        <v>2.5000000000000001E-3</v>
      </c>
    </row>
    <row r="63" spans="1:69" s="156" customFormat="1" ht="22.35" customHeight="1" x14ac:dyDescent="0.2">
      <c r="A63" s="165" t="s">
        <v>80</v>
      </c>
      <c r="B63" s="165" t="s">
        <v>100</v>
      </c>
      <c r="C63" s="165" t="s">
        <v>116</v>
      </c>
      <c r="D63" s="166">
        <v>2.1204174575555599</v>
      </c>
      <c r="E63" s="167"/>
      <c r="F63" s="168">
        <v>5.3999999999999999E-2</v>
      </c>
      <c r="G63" s="168">
        <v>3.5000000000000003E-2</v>
      </c>
      <c r="H63" s="169"/>
      <c r="I63" s="170">
        <v>4</v>
      </c>
      <c r="J63" s="170">
        <v>3</v>
      </c>
      <c r="K63" s="167"/>
      <c r="L63" s="171">
        <v>230.20095000000001</v>
      </c>
      <c r="M63" s="171">
        <v>717.09532000000002</v>
      </c>
      <c r="N63" s="171">
        <v>947.29627000000005</v>
      </c>
      <c r="O63" s="166">
        <v>446.74989192555302</v>
      </c>
      <c r="P63" s="172">
        <v>256.27100000000002</v>
      </c>
      <c r="Q63" s="178">
        <v>1.7432713491794001</v>
      </c>
      <c r="R63" s="179">
        <v>353.901829526379</v>
      </c>
      <c r="S63" s="168">
        <v>0.01</v>
      </c>
      <c r="T63" s="168">
        <v>0.01</v>
      </c>
      <c r="U63" s="175">
        <v>0</v>
      </c>
      <c r="V63" s="176">
        <v>0</v>
      </c>
      <c r="W63" s="167"/>
      <c r="X63" s="175">
        <v>1199.2255</v>
      </c>
      <c r="Y63" s="166">
        <v>565.56103880718001</v>
      </c>
      <c r="Z63" s="177">
        <v>573</v>
      </c>
      <c r="AA63" s="182">
        <v>0.98701751973329899</v>
      </c>
      <c r="AB63" s="183">
        <v>-127.553629871835</v>
      </c>
      <c r="AC63" s="168">
        <v>8.0000000000000002E-3</v>
      </c>
      <c r="AD63" s="168"/>
      <c r="AE63" s="176">
        <v>16</v>
      </c>
      <c r="AF63" s="176">
        <v>259</v>
      </c>
      <c r="AG63" s="167"/>
      <c r="AH63" s="180">
        <v>140.5</v>
      </c>
      <c r="AI63" s="166">
        <v>66.2605372821115</v>
      </c>
      <c r="AJ63" s="181" t="s">
        <v>53</v>
      </c>
      <c r="AK63" s="182">
        <v>1.0517545600335201</v>
      </c>
      <c r="AL63" s="183">
        <v>-5.3762394099923103</v>
      </c>
      <c r="AM63" s="168">
        <v>1.6E-2</v>
      </c>
      <c r="AN63" s="168">
        <v>5.0000000000000001E-3</v>
      </c>
      <c r="AO63" s="176">
        <v>0</v>
      </c>
      <c r="AP63" s="176">
        <v>20</v>
      </c>
      <c r="AQ63" s="167"/>
      <c r="AR63" s="180">
        <v>12.8</v>
      </c>
      <c r="AS63" s="166">
        <v>6.0365471687617598</v>
      </c>
      <c r="AT63" s="181" t="s">
        <v>54</v>
      </c>
      <c r="AU63" s="173">
        <v>0.37728419804760999</v>
      </c>
      <c r="AV63" s="174">
        <v>-24.247933818410701</v>
      </c>
      <c r="AW63" s="168"/>
      <c r="AX63" s="168"/>
      <c r="AY63" s="176">
        <v>22</v>
      </c>
      <c r="AZ63" s="176">
        <v>28</v>
      </c>
      <c r="BA63" s="167"/>
      <c r="BB63" s="184">
        <v>89.8</v>
      </c>
      <c r="BC63" s="180">
        <v>42.350151230844197</v>
      </c>
      <c r="BD63" s="181" t="s">
        <v>55</v>
      </c>
      <c r="BE63" s="178">
        <v>1.3234422259638801</v>
      </c>
      <c r="BF63" s="179">
        <v>15.7041323631785</v>
      </c>
      <c r="BG63" s="168">
        <v>0.02</v>
      </c>
      <c r="BH63" s="168">
        <v>0.02</v>
      </c>
      <c r="BI63" s="176">
        <v>0</v>
      </c>
      <c r="BJ63" s="176">
        <v>0</v>
      </c>
      <c r="BK63" s="169"/>
      <c r="BL63" s="185">
        <v>0.8</v>
      </c>
      <c r="BM63" s="188">
        <v>0.73</v>
      </c>
      <c r="BN63" s="186"/>
      <c r="BO63" s="187">
        <v>0.95</v>
      </c>
      <c r="BP63" s="173">
        <v>0.71</v>
      </c>
      <c r="BQ63" s="186"/>
    </row>
    <row r="64" spans="1:69" s="156" customFormat="1" ht="22.35" customHeight="1" x14ac:dyDescent="0.2">
      <c r="A64" s="165" t="s">
        <v>80</v>
      </c>
      <c r="B64" s="165" t="s">
        <v>100</v>
      </c>
      <c r="C64" s="165" t="s">
        <v>117</v>
      </c>
      <c r="D64" s="166">
        <v>2.5505437582222199</v>
      </c>
      <c r="E64" s="167"/>
      <c r="F64" s="168">
        <v>0.05</v>
      </c>
      <c r="G64" s="168">
        <v>0.05</v>
      </c>
      <c r="H64" s="169"/>
      <c r="I64" s="170">
        <v>4</v>
      </c>
      <c r="J64" s="170">
        <v>4</v>
      </c>
      <c r="K64" s="167"/>
      <c r="L64" s="171">
        <v>1358.1736599999999</v>
      </c>
      <c r="M64" s="171">
        <v>2832.5041000000001</v>
      </c>
      <c r="N64" s="171">
        <v>4190.6777599999996</v>
      </c>
      <c r="O64" s="166">
        <v>1643.05268101771</v>
      </c>
      <c r="P64" s="172">
        <v>273.43799999999999</v>
      </c>
      <c r="Q64" s="178">
        <v>6.0088673886501098</v>
      </c>
      <c r="R64" s="179">
        <v>3429.0999420964399</v>
      </c>
      <c r="S64" s="168">
        <v>0.01</v>
      </c>
      <c r="T64" s="168">
        <v>0.01</v>
      </c>
      <c r="U64" s="175">
        <v>0</v>
      </c>
      <c r="V64" s="176">
        <v>0</v>
      </c>
      <c r="W64" s="167"/>
      <c r="X64" s="175">
        <v>1775.12745</v>
      </c>
      <c r="Y64" s="166">
        <v>695.98000202015601</v>
      </c>
      <c r="Z64" s="177">
        <v>573</v>
      </c>
      <c r="AA64" s="178">
        <v>1.2146247853754899</v>
      </c>
      <c r="AB64" s="179">
        <v>179.21141178022501</v>
      </c>
      <c r="AC64" s="168">
        <v>0.02</v>
      </c>
      <c r="AD64" s="168">
        <v>0.02</v>
      </c>
      <c r="AE64" s="176">
        <v>0</v>
      </c>
      <c r="AF64" s="176">
        <v>0</v>
      </c>
      <c r="AG64" s="167"/>
      <c r="AH64" s="180">
        <v>125.45</v>
      </c>
      <c r="AI64" s="166">
        <v>49.185590168992398</v>
      </c>
      <c r="AJ64" s="181" t="s">
        <v>53</v>
      </c>
      <c r="AK64" s="188">
        <v>0.78072365347607098</v>
      </c>
      <c r="AL64" s="171">
        <v>-50.017208390655902</v>
      </c>
      <c r="AM64" s="168"/>
      <c r="AN64" s="168"/>
      <c r="AO64" s="176">
        <v>36</v>
      </c>
      <c r="AP64" s="176">
        <v>68</v>
      </c>
      <c r="AQ64" s="167"/>
      <c r="AR64" s="180">
        <v>10.6</v>
      </c>
      <c r="AS64" s="166">
        <v>4.1559765308196104</v>
      </c>
      <c r="AT64" s="181" t="s">
        <v>54</v>
      </c>
      <c r="AU64" s="173">
        <v>0.25974853317622598</v>
      </c>
      <c r="AV64" s="174">
        <v>-33.963100543658598</v>
      </c>
      <c r="AW64" s="168"/>
      <c r="AX64" s="168"/>
      <c r="AY64" s="176">
        <v>31</v>
      </c>
      <c r="AZ64" s="176">
        <v>39</v>
      </c>
      <c r="BA64" s="167"/>
      <c r="BB64" s="184">
        <v>100.8</v>
      </c>
      <c r="BC64" s="180">
        <v>39.520984368548703</v>
      </c>
      <c r="BD64" s="181" t="s">
        <v>55</v>
      </c>
      <c r="BE64" s="178">
        <v>1.2350307615171501</v>
      </c>
      <c r="BF64" s="179">
        <v>11.673798912682701</v>
      </c>
      <c r="BG64" s="168">
        <v>0.02</v>
      </c>
      <c r="BH64" s="168">
        <v>0.02</v>
      </c>
      <c r="BI64" s="176">
        <v>0</v>
      </c>
      <c r="BJ64" s="176">
        <v>0</v>
      </c>
      <c r="BK64" s="169"/>
      <c r="BL64" s="185">
        <v>0.8</v>
      </c>
      <c r="BM64" s="173">
        <v>0.66</v>
      </c>
      <c r="BN64" s="186"/>
      <c r="BO64" s="187">
        <v>0.95</v>
      </c>
      <c r="BP64" s="178">
        <v>1</v>
      </c>
      <c r="BQ64" s="186">
        <v>2.5000000000000001E-3</v>
      </c>
    </row>
    <row r="65" spans="1:69" s="156" customFormat="1" ht="22.35" customHeight="1" x14ac:dyDescent="0.2">
      <c r="A65" s="165" t="s">
        <v>80</v>
      </c>
      <c r="B65" s="165" t="s">
        <v>118</v>
      </c>
      <c r="C65" s="165" t="s">
        <v>119</v>
      </c>
      <c r="D65" s="166">
        <v>2.7952903572222199</v>
      </c>
      <c r="E65" s="167"/>
      <c r="F65" s="168">
        <v>0.03</v>
      </c>
      <c r="G65" s="168">
        <v>0.03</v>
      </c>
      <c r="H65" s="169"/>
      <c r="I65" s="170">
        <v>2</v>
      </c>
      <c r="J65" s="170">
        <v>2</v>
      </c>
      <c r="K65" s="167"/>
      <c r="L65" s="171">
        <v>2630.0652</v>
      </c>
      <c r="M65" s="171">
        <v>880.678</v>
      </c>
      <c r="N65" s="171">
        <v>3510.7431999999999</v>
      </c>
      <c r="O65" s="166">
        <v>1255.9493831934999</v>
      </c>
      <c r="P65" s="172">
        <v>264.72899999999998</v>
      </c>
      <c r="Q65" s="178">
        <v>4.7442833357641199</v>
      </c>
      <c r="R65" s="179">
        <v>2702.6692922930301</v>
      </c>
      <c r="S65" s="168">
        <v>0.01</v>
      </c>
      <c r="T65" s="168">
        <v>0.01</v>
      </c>
      <c r="U65" s="175">
        <v>0</v>
      </c>
      <c r="V65" s="176">
        <v>0</v>
      </c>
      <c r="W65" s="167"/>
      <c r="X65" s="175">
        <v>1389.47047</v>
      </c>
      <c r="Y65" s="166">
        <v>497.07554222766498</v>
      </c>
      <c r="Z65" s="177">
        <v>573</v>
      </c>
      <c r="AA65" s="188">
        <v>0.86749658329435397</v>
      </c>
      <c r="AB65" s="171">
        <v>-359.58743115965899</v>
      </c>
      <c r="AC65" s="168"/>
      <c r="AD65" s="168"/>
      <c r="AE65" s="176">
        <v>213</v>
      </c>
      <c r="AF65" s="176">
        <v>533</v>
      </c>
      <c r="AG65" s="167"/>
      <c r="AH65" s="180">
        <v>150.75</v>
      </c>
      <c r="AI65" s="166">
        <v>53.929996792821697</v>
      </c>
      <c r="AJ65" s="181" t="s">
        <v>53</v>
      </c>
      <c r="AK65" s="188">
        <v>0.856031695124154</v>
      </c>
      <c r="AL65" s="171">
        <v>-41.5547954154599</v>
      </c>
      <c r="AM65" s="168"/>
      <c r="AN65" s="168"/>
      <c r="AO65" s="176">
        <v>26</v>
      </c>
      <c r="AP65" s="176">
        <v>61</v>
      </c>
      <c r="AQ65" s="167"/>
      <c r="AR65" s="180">
        <v>14</v>
      </c>
      <c r="AS65" s="166">
        <v>5.0084242460995299</v>
      </c>
      <c r="AT65" s="181" t="s">
        <v>54</v>
      </c>
      <c r="AU65" s="173">
        <v>0.313026515381221</v>
      </c>
      <c r="AV65" s="174">
        <v>-34.839313121386603</v>
      </c>
      <c r="AW65" s="168"/>
      <c r="AX65" s="168"/>
      <c r="AY65" s="176">
        <v>31</v>
      </c>
      <c r="AZ65" s="176">
        <v>40</v>
      </c>
      <c r="BA65" s="167"/>
      <c r="BB65" s="184">
        <v>124.2</v>
      </c>
      <c r="BC65" s="180">
        <v>44.431877954683003</v>
      </c>
      <c r="BD65" s="181" t="s">
        <v>55</v>
      </c>
      <c r="BE65" s="178">
        <v>1.3884961860838401</v>
      </c>
      <c r="BF65" s="179">
        <v>26.521373757226701</v>
      </c>
      <c r="BG65" s="168">
        <v>0.02</v>
      </c>
      <c r="BH65" s="168">
        <v>0.02</v>
      </c>
      <c r="BI65" s="176">
        <v>0</v>
      </c>
      <c r="BJ65" s="176">
        <v>0</v>
      </c>
      <c r="BK65" s="169"/>
      <c r="BL65" s="185">
        <v>0.8</v>
      </c>
      <c r="BM65" s="173">
        <v>0.68</v>
      </c>
      <c r="BN65" s="186"/>
      <c r="BO65" s="187">
        <v>0.95</v>
      </c>
      <c r="BP65" s="188">
        <v>0.9</v>
      </c>
      <c r="BQ65" s="186"/>
    </row>
    <row r="66" spans="1:69" s="156" customFormat="1" ht="22.35" customHeight="1" x14ac:dyDescent="0.2">
      <c r="A66" s="165" t="s">
        <v>80</v>
      </c>
      <c r="B66" s="165" t="s">
        <v>118</v>
      </c>
      <c r="C66" s="165" t="s">
        <v>120</v>
      </c>
      <c r="D66" s="166">
        <v>1.42108807377778</v>
      </c>
      <c r="E66" s="167"/>
      <c r="F66" s="168">
        <v>0.03</v>
      </c>
      <c r="G66" s="168">
        <v>0.03</v>
      </c>
      <c r="H66" s="169"/>
      <c r="I66" s="170">
        <v>3</v>
      </c>
      <c r="J66" s="170">
        <v>3</v>
      </c>
      <c r="K66" s="167"/>
      <c r="L66" s="171">
        <v>2098.7774300000001</v>
      </c>
      <c r="M66" s="171">
        <v>1270.84374</v>
      </c>
      <c r="N66" s="171">
        <v>3369.6211699999999</v>
      </c>
      <c r="O66" s="166">
        <v>2371.1557588702399</v>
      </c>
      <c r="P66" s="172">
        <v>287.5</v>
      </c>
      <c r="Q66" s="178">
        <v>8.2474982917225699</v>
      </c>
      <c r="R66" s="179">
        <v>2923.47056923747</v>
      </c>
      <c r="S66" s="168">
        <v>0.01</v>
      </c>
      <c r="T66" s="168">
        <v>0.01</v>
      </c>
      <c r="U66" s="175">
        <v>0</v>
      </c>
      <c r="V66" s="176">
        <v>0</v>
      </c>
      <c r="W66" s="167"/>
      <c r="X66" s="175">
        <v>981.08911000000001</v>
      </c>
      <c r="Y66" s="166">
        <v>690.37882176570702</v>
      </c>
      <c r="Z66" s="177">
        <v>573</v>
      </c>
      <c r="AA66" s="178">
        <v>1.20484960168535</v>
      </c>
      <c r="AB66" s="179">
        <v>91.891564828062798</v>
      </c>
      <c r="AC66" s="168">
        <v>0.02</v>
      </c>
      <c r="AD66" s="168">
        <v>0.02</v>
      </c>
      <c r="AE66" s="176">
        <v>0</v>
      </c>
      <c r="AF66" s="176">
        <v>0</v>
      </c>
      <c r="AG66" s="167"/>
      <c r="AH66" s="180">
        <v>61.2</v>
      </c>
      <c r="AI66" s="166">
        <v>43.065592576051799</v>
      </c>
      <c r="AJ66" s="181" t="s">
        <v>53</v>
      </c>
      <c r="AK66" s="173">
        <v>0.683580834540504</v>
      </c>
      <c r="AL66" s="174">
        <v>-36.5651751236161</v>
      </c>
      <c r="AM66" s="168"/>
      <c r="AN66" s="168"/>
      <c r="AO66" s="176">
        <v>29</v>
      </c>
      <c r="AP66" s="176">
        <v>47</v>
      </c>
      <c r="AQ66" s="167"/>
      <c r="AR66" s="180">
        <v>10.6</v>
      </c>
      <c r="AS66" s="166">
        <v>7.4590732239566799</v>
      </c>
      <c r="AT66" s="181" t="s">
        <v>54</v>
      </c>
      <c r="AU66" s="173">
        <v>0.466192076497292</v>
      </c>
      <c r="AV66" s="174">
        <v>-14.2292508250454</v>
      </c>
      <c r="AW66" s="168"/>
      <c r="AX66" s="168"/>
      <c r="AY66" s="176">
        <v>13</v>
      </c>
      <c r="AZ66" s="176">
        <v>17</v>
      </c>
      <c r="BA66" s="167"/>
      <c r="BB66" s="184">
        <v>40.6</v>
      </c>
      <c r="BC66" s="180">
        <v>28.569657820060499</v>
      </c>
      <c r="BD66" s="181" t="s">
        <v>55</v>
      </c>
      <c r="BE66" s="188">
        <v>0.89280180687689004</v>
      </c>
      <c r="BF66" s="171">
        <v>-9.05850165009074</v>
      </c>
      <c r="BG66" s="168"/>
      <c r="BH66" s="168"/>
      <c r="BI66" s="176">
        <v>5</v>
      </c>
      <c r="BJ66" s="176">
        <v>14</v>
      </c>
      <c r="BK66" s="169"/>
      <c r="BL66" s="185">
        <v>0.8</v>
      </c>
      <c r="BM66" s="188">
        <v>0.75</v>
      </c>
      <c r="BN66" s="186"/>
      <c r="BO66" s="187">
        <v>0.95</v>
      </c>
      <c r="BP66" s="178">
        <v>1</v>
      </c>
      <c r="BQ66" s="186">
        <v>2.5000000000000001E-3</v>
      </c>
    </row>
    <row r="67" spans="1:69" s="156" customFormat="1" ht="22.35" customHeight="1" x14ac:dyDescent="0.2">
      <c r="A67" s="165" t="s">
        <v>80</v>
      </c>
      <c r="B67" s="165" t="s">
        <v>118</v>
      </c>
      <c r="C67" s="165" t="s">
        <v>121</v>
      </c>
      <c r="D67" s="166">
        <v>4.3565891625555597</v>
      </c>
      <c r="E67" s="167"/>
      <c r="F67" s="168">
        <v>0.03</v>
      </c>
      <c r="G67" s="168">
        <v>0.03</v>
      </c>
      <c r="H67" s="169"/>
      <c r="I67" s="170">
        <v>3</v>
      </c>
      <c r="J67" s="170">
        <v>3</v>
      </c>
      <c r="K67" s="167"/>
      <c r="L67" s="171">
        <v>3638.6355400000002</v>
      </c>
      <c r="M67" s="171">
        <v>2011.29115</v>
      </c>
      <c r="N67" s="171">
        <v>5649.9266900000002</v>
      </c>
      <c r="O67" s="166">
        <v>1296.8692890668999</v>
      </c>
      <c r="P67" s="172">
        <v>287.5</v>
      </c>
      <c r="Q67" s="178">
        <v>4.5108497011022601</v>
      </c>
      <c r="R67" s="179">
        <v>4282.1755224156796</v>
      </c>
      <c r="S67" s="168">
        <v>0.01</v>
      </c>
      <c r="T67" s="168">
        <v>0.01</v>
      </c>
      <c r="U67" s="175">
        <v>0</v>
      </c>
      <c r="V67" s="176">
        <v>0</v>
      </c>
      <c r="W67" s="167"/>
      <c r="X67" s="175">
        <v>1955.762305</v>
      </c>
      <c r="Y67" s="166">
        <v>448.92052751027802</v>
      </c>
      <c r="Z67" s="177">
        <v>573</v>
      </c>
      <c r="AA67" s="188">
        <v>0.78345641799350396</v>
      </c>
      <c r="AB67" s="171">
        <v>-770.22523943761496</v>
      </c>
      <c r="AC67" s="168"/>
      <c r="AD67" s="168"/>
      <c r="AE67" s="176">
        <v>541</v>
      </c>
      <c r="AF67" s="176">
        <v>1040</v>
      </c>
      <c r="AG67" s="167"/>
      <c r="AH67" s="180">
        <v>153.9</v>
      </c>
      <c r="AI67" s="166">
        <v>35.325800587935902</v>
      </c>
      <c r="AJ67" s="181" t="s">
        <v>53</v>
      </c>
      <c r="AK67" s="173">
        <v>0.56072699345929899</v>
      </c>
      <c r="AL67" s="174">
        <v>-145.81590802717199</v>
      </c>
      <c r="AM67" s="168"/>
      <c r="AN67" s="168"/>
      <c r="AO67" s="176">
        <v>121</v>
      </c>
      <c r="AP67" s="176">
        <v>176</v>
      </c>
      <c r="AQ67" s="167"/>
      <c r="AR67" s="180">
        <v>45.4</v>
      </c>
      <c r="AS67" s="166">
        <v>10.420996404758201</v>
      </c>
      <c r="AT67" s="181" t="s">
        <v>54</v>
      </c>
      <c r="AU67" s="173">
        <v>0.651312275297387</v>
      </c>
      <c r="AV67" s="174">
        <v>-30.7183258481707</v>
      </c>
      <c r="AW67" s="168"/>
      <c r="AX67" s="168"/>
      <c r="AY67" s="176">
        <v>25</v>
      </c>
      <c r="AZ67" s="176">
        <v>39</v>
      </c>
      <c r="BA67" s="167"/>
      <c r="BB67" s="184">
        <v>193.6</v>
      </c>
      <c r="BC67" s="180">
        <v>44.438434007955699</v>
      </c>
      <c r="BD67" s="181" t="s">
        <v>55</v>
      </c>
      <c r="BE67" s="178">
        <v>1.38870106274862</v>
      </c>
      <c r="BF67" s="179">
        <v>41.363348303658498</v>
      </c>
      <c r="BG67" s="168">
        <v>0.02</v>
      </c>
      <c r="BH67" s="168">
        <v>0.02</v>
      </c>
      <c r="BI67" s="176">
        <v>0</v>
      </c>
      <c r="BJ67" s="176">
        <v>0</v>
      </c>
      <c r="BK67" s="169"/>
      <c r="BL67" s="185">
        <v>0.8</v>
      </c>
      <c r="BM67" s="188">
        <v>0.75</v>
      </c>
      <c r="BN67" s="186"/>
      <c r="BO67" s="187">
        <v>0.95</v>
      </c>
      <c r="BP67" s="178">
        <v>1</v>
      </c>
      <c r="BQ67" s="186">
        <v>2.5000000000000001E-3</v>
      </c>
    </row>
    <row r="68" spans="1:69" s="156" customFormat="1" ht="22.35" customHeight="1" x14ac:dyDescent="0.2">
      <c r="A68" s="165" t="s">
        <v>80</v>
      </c>
      <c r="B68" s="165" t="s">
        <v>118</v>
      </c>
      <c r="C68" s="165" t="s">
        <v>122</v>
      </c>
      <c r="D68" s="166">
        <v>4.5469934366666704</v>
      </c>
      <c r="E68" s="167"/>
      <c r="F68" s="168">
        <v>5.6000000000000001E-2</v>
      </c>
      <c r="G68" s="168">
        <v>3.6999999999999998E-2</v>
      </c>
      <c r="H68" s="169"/>
      <c r="I68" s="170">
        <v>5</v>
      </c>
      <c r="J68" s="170">
        <v>5</v>
      </c>
      <c r="K68" s="167"/>
      <c r="L68" s="171">
        <v>4450.64534</v>
      </c>
      <c r="M68" s="171">
        <v>1574.8201200000001</v>
      </c>
      <c r="N68" s="171">
        <v>6025.4654600000003</v>
      </c>
      <c r="O68" s="166">
        <v>1325.15376235449</v>
      </c>
      <c r="P68" s="172">
        <v>287.5</v>
      </c>
      <c r="Q68" s="178">
        <v>4.6092304777547497</v>
      </c>
      <c r="R68" s="179">
        <v>4597.9368705585002</v>
      </c>
      <c r="S68" s="168">
        <v>0.01</v>
      </c>
      <c r="T68" s="168">
        <v>0.01</v>
      </c>
      <c r="U68" s="175">
        <v>0</v>
      </c>
      <c r="V68" s="176">
        <v>0</v>
      </c>
      <c r="W68" s="167"/>
      <c r="X68" s="175">
        <v>2752.2470450000001</v>
      </c>
      <c r="Y68" s="166">
        <v>605.28942549291003</v>
      </c>
      <c r="Z68" s="177">
        <v>573</v>
      </c>
      <c r="AA68" s="182">
        <v>1.05635152791084</v>
      </c>
      <c r="AB68" s="183">
        <v>-92.879500217322004</v>
      </c>
      <c r="AC68" s="168">
        <v>1.6E-2</v>
      </c>
      <c r="AD68" s="168">
        <v>6.0000000000000001E-3</v>
      </c>
      <c r="AE68" s="176">
        <v>0</v>
      </c>
      <c r="AF68" s="176">
        <v>375</v>
      </c>
      <c r="AG68" s="167"/>
      <c r="AH68" s="180">
        <v>287.05</v>
      </c>
      <c r="AI68" s="166">
        <v>63.129627081765101</v>
      </c>
      <c r="AJ68" s="181" t="s">
        <v>53</v>
      </c>
      <c r="AK68" s="182">
        <v>1.00205757272643</v>
      </c>
      <c r="AL68" s="183">
        <v>-25.764960468920201</v>
      </c>
      <c r="AM68" s="168">
        <v>0.01</v>
      </c>
      <c r="AN68" s="168">
        <v>1E-3</v>
      </c>
      <c r="AO68" s="176">
        <v>0</v>
      </c>
      <c r="AP68" s="176">
        <v>57</v>
      </c>
      <c r="AQ68" s="167"/>
      <c r="AR68" s="180">
        <v>40.200000000000003</v>
      </c>
      <c r="AS68" s="166">
        <v>8.8410068235044594</v>
      </c>
      <c r="AT68" s="181" t="s">
        <v>54</v>
      </c>
      <c r="AU68" s="173">
        <v>0.55256292646902905</v>
      </c>
      <c r="AV68" s="174">
        <v>-39.245069325440099</v>
      </c>
      <c r="AW68" s="168"/>
      <c r="AX68" s="168"/>
      <c r="AY68" s="176">
        <v>33</v>
      </c>
      <c r="AZ68" s="176">
        <v>48</v>
      </c>
      <c r="BA68" s="167"/>
      <c r="BB68" s="184">
        <v>211.8</v>
      </c>
      <c r="BC68" s="180">
        <v>46.580229980553298</v>
      </c>
      <c r="BD68" s="181" t="s">
        <v>55</v>
      </c>
      <c r="BE68" s="178">
        <v>1.4556321868922899</v>
      </c>
      <c r="BF68" s="179">
        <v>52.9098613491199</v>
      </c>
      <c r="BG68" s="168">
        <v>0.02</v>
      </c>
      <c r="BH68" s="168">
        <v>0.02</v>
      </c>
      <c r="BI68" s="176">
        <v>0</v>
      </c>
      <c r="BJ68" s="176">
        <v>0</v>
      </c>
      <c r="BK68" s="169"/>
      <c r="BL68" s="185">
        <v>0.8</v>
      </c>
      <c r="BM68" s="188">
        <v>0.77</v>
      </c>
      <c r="BN68" s="186"/>
      <c r="BO68" s="187">
        <v>0.95</v>
      </c>
      <c r="BP68" s="178">
        <v>1</v>
      </c>
      <c r="BQ68" s="186">
        <v>2.5000000000000001E-3</v>
      </c>
    </row>
    <row r="69" spans="1:69" s="156" customFormat="1" ht="22.35" customHeight="1" x14ac:dyDescent="0.2">
      <c r="A69" s="165" t="s">
        <v>80</v>
      </c>
      <c r="B69" s="165" t="s">
        <v>118</v>
      </c>
      <c r="C69" s="165" t="s">
        <v>123</v>
      </c>
      <c r="D69" s="166">
        <v>1.5103209235555599</v>
      </c>
      <c r="E69" s="167"/>
      <c r="F69" s="168">
        <v>3.5999999999999997E-2</v>
      </c>
      <c r="G69" s="168">
        <v>1.2500000000000001E-2</v>
      </c>
      <c r="H69" s="169"/>
      <c r="I69" s="170">
        <v>4</v>
      </c>
      <c r="J69" s="170">
        <v>3</v>
      </c>
      <c r="K69" s="167"/>
      <c r="L69" s="171">
        <v>542.33698000000004</v>
      </c>
      <c r="M69" s="171">
        <v>-323.46710999999999</v>
      </c>
      <c r="N69" s="171">
        <v>218.86986999999999</v>
      </c>
      <c r="O69" s="166">
        <v>144.91613443634401</v>
      </c>
      <c r="P69" s="172">
        <v>287.5</v>
      </c>
      <c r="Q69" s="173">
        <v>0.504056119778588</v>
      </c>
      <c r="R69" s="174">
        <v>-255.29538395026799</v>
      </c>
      <c r="S69" s="168"/>
      <c r="T69" s="168"/>
      <c r="U69" s="175">
        <v>216</v>
      </c>
      <c r="V69" s="176">
        <v>303</v>
      </c>
      <c r="W69" s="167"/>
      <c r="X69" s="175">
        <v>620.82729500000005</v>
      </c>
      <c r="Y69" s="166">
        <v>411.05654124056298</v>
      </c>
      <c r="Z69" s="177">
        <v>573</v>
      </c>
      <c r="AA69" s="173">
        <v>0.71737616272349602</v>
      </c>
      <c r="AB69" s="174">
        <v>-324.204672003491</v>
      </c>
      <c r="AC69" s="168"/>
      <c r="AD69" s="168"/>
      <c r="AE69" s="176">
        <v>245</v>
      </c>
      <c r="AF69" s="176">
        <v>418</v>
      </c>
      <c r="AG69" s="167"/>
      <c r="AH69" s="180">
        <v>93.65</v>
      </c>
      <c r="AI69" s="166">
        <v>62.006689134340903</v>
      </c>
      <c r="AJ69" s="181" t="s">
        <v>53</v>
      </c>
      <c r="AK69" s="182">
        <v>0.98423316086255397</v>
      </c>
      <c r="AL69" s="183">
        <v>-10.2540382569283</v>
      </c>
      <c r="AM69" s="168">
        <v>8.0000000000000002E-3</v>
      </c>
      <c r="AN69" s="168"/>
      <c r="AO69" s="176">
        <v>2</v>
      </c>
      <c r="AP69" s="176">
        <v>21</v>
      </c>
      <c r="AQ69" s="167"/>
      <c r="AR69" s="180">
        <v>25.4</v>
      </c>
      <c r="AS69" s="166">
        <v>16.817617768417101</v>
      </c>
      <c r="AT69" s="181" t="s">
        <v>54</v>
      </c>
      <c r="AU69" s="182">
        <v>1.0511011105260699</v>
      </c>
      <c r="AV69" s="183">
        <v>-0.98832717636274103</v>
      </c>
      <c r="AW69" s="168">
        <v>8.0000000000000002E-3</v>
      </c>
      <c r="AX69" s="168">
        <v>2.5000000000000001E-3</v>
      </c>
      <c r="AY69" s="176">
        <v>0</v>
      </c>
      <c r="AZ69" s="176">
        <v>4</v>
      </c>
      <c r="BA69" s="167"/>
      <c r="BB69" s="184">
        <v>53.4</v>
      </c>
      <c r="BC69" s="180">
        <v>35.356723969821701</v>
      </c>
      <c r="BD69" s="181" t="s">
        <v>55</v>
      </c>
      <c r="BE69" s="178">
        <v>1.1048976240569299</v>
      </c>
      <c r="BF69" s="179">
        <v>0.62334564727451203</v>
      </c>
      <c r="BG69" s="168">
        <v>0.02</v>
      </c>
      <c r="BH69" s="168">
        <v>0.01</v>
      </c>
      <c r="BI69" s="176">
        <v>0</v>
      </c>
      <c r="BJ69" s="176">
        <v>5</v>
      </c>
      <c r="BK69" s="169"/>
      <c r="BL69" s="185">
        <v>0.8</v>
      </c>
      <c r="BM69" s="173">
        <v>0.65</v>
      </c>
      <c r="BN69" s="186"/>
      <c r="BO69" s="187">
        <v>0.95</v>
      </c>
      <c r="BP69" s="178">
        <v>1</v>
      </c>
      <c r="BQ69" s="186">
        <v>2.5000000000000001E-3</v>
      </c>
    </row>
    <row r="70" spans="1:69" s="156" customFormat="1" ht="22.35" customHeight="1" x14ac:dyDescent="0.2">
      <c r="A70" s="165" t="s">
        <v>80</v>
      </c>
      <c r="B70" s="165" t="s">
        <v>118</v>
      </c>
      <c r="C70" s="165" t="s">
        <v>124</v>
      </c>
      <c r="D70" s="166">
        <v>3.0536943671111101</v>
      </c>
      <c r="E70" s="167"/>
      <c r="F70" s="168">
        <v>3.4500000000000003E-2</v>
      </c>
      <c r="G70" s="168">
        <v>0.03</v>
      </c>
      <c r="H70" s="169"/>
      <c r="I70" s="170">
        <v>4</v>
      </c>
      <c r="J70" s="170">
        <v>3</v>
      </c>
      <c r="K70" s="167"/>
      <c r="L70" s="171">
        <v>2768.2326800000001</v>
      </c>
      <c r="M70" s="171">
        <v>697.54173000000003</v>
      </c>
      <c r="N70" s="171">
        <v>3465.77441</v>
      </c>
      <c r="O70" s="166">
        <v>1134.94475653067</v>
      </c>
      <c r="P70" s="172">
        <v>253.321</v>
      </c>
      <c r="Q70" s="178">
        <v>4.4802632096457504</v>
      </c>
      <c r="R70" s="179">
        <v>2621.0415274381198</v>
      </c>
      <c r="S70" s="168">
        <v>0.01</v>
      </c>
      <c r="T70" s="168">
        <v>0.01</v>
      </c>
      <c r="U70" s="175">
        <v>0</v>
      </c>
      <c r="V70" s="176">
        <v>0</v>
      </c>
      <c r="W70" s="167"/>
      <c r="X70" s="175">
        <v>1468.09015</v>
      </c>
      <c r="Y70" s="166">
        <v>480.75870519709503</v>
      </c>
      <c r="Z70" s="177">
        <v>573</v>
      </c>
      <c r="AA70" s="188">
        <v>0.83902042791814102</v>
      </c>
      <c r="AB70" s="171">
        <v>-442.655274611295</v>
      </c>
      <c r="AC70" s="168"/>
      <c r="AD70" s="168"/>
      <c r="AE70" s="176">
        <v>282</v>
      </c>
      <c r="AF70" s="176">
        <v>632</v>
      </c>
      <c r="AG70" s="167"/>
      <c r="AH70" s="180">
        <v>121.3</v>
      </c>
      <c r="AI70" s="166">
        <v>39.722377362457998</v>
      </c>
      <c r="AJ70" s="181" t="s">
        <v>53</v>
      </c>
      <c r="AK70" s="173">
        <v>0.63051392638822301</v>
      </c>
      <c r="AL70" s="174">
        <v>-88.7819576797759</v>
      </c>
      <c r="AM70" s="168"/>
      <c r="AN70" s="168"/>
      <c r="AO70" s="176">
        <v>72</v>
      </c>
      <c r="AP70" s="176">
        <v>110</v>
      </c>
      <c r="AQ70" s="167"/>
      <c r="AR70" s="180">
        <v>48.6</v>
      </c>
      <c r="AS70" s="166">
        <v>15.9151487206551</v>
      </c>
      <c r="AT70" s="181" t="s">
        <v>54</v>
      </c>
      <c r="AU70" s="182">
        <v>0.99469679504094199</v>
      </c>
      <c r="AV70" s="183">
        <v>-4.7541479821653096</v>
      </c>
      <c r="AW70" s="168">
        <v>4.4999999999999997E-3</v>
      </c>
      <c r="AX70" s="168"/>
      <c r="AY70" s="176">
        <v>1</v>
      </c>
      <c r="AZ70" s="176">
        <v>11</v>
      </c>
      <c r="BA70" s="167"/>
      <c r="BB70" s="184">
        <v>164</v>
      </c>
      <c r="BC70" s="180">
        <v>53.705440127313402</v>
      </c>
      <c r="BD70" s="181" t="s">
        <v>55</v>
      </c>
      <c r="BE70" s="178">
        <v>1.67829500397854</v>
      </c>
      <c r="BF70" s="179">
        <v>57.291704035669397</v>
      </c>
      <c r="BG70" s="168">
        <v>0.02</v>
      </c>
      <c r="BH70" s="168">
        <v>0.02</v>
      </c>
      <c r="BI70" s="176">
        <v>0</v>
      </c>
      <c r="BJ70" s="176">
        <v>0</v>
      </c>
      <c r="BK70" s="169"/>
      <c r="BL70" s="185">
        <v>0.8</v>
      </c>
      <c r="BM70" s="173">
        <v>0.62</v>
      </c>
      <c r="BN70" s="186"/>
      <c r="BO70" s="187">
        <v>0.95</v>
      </c>
      <c r="BP70" s="178">
        <v>1</v>
      </c>
      <c r="BQ70" s="186">
        <v>2.5000000000000001E-3</v>
      </c>
    </row>
    <row r="71" spans="1:69" s="156" customFormat="1" ht="22.35" customHeight="1" x14ac:dyDescent="0.2">
      <c r="A71" s="165" t="s">
        <v>80</v>
      </c>
      <c r="B71" s="165" t="s">
        <v>118</v>
      </c>
      <c r="C71" s="165" t="s">
        <v>125</v>
      </c>
      <c r="D71" s="166">
        <v>2.1938047859999998</v>
      </c>
      <c r="E71" s="167"/>
      <c r="F71" s="168">
        <v>4.4999999999999998E-2</v>
      </c>
      <c r="G71" s="168">
        <v>3.5000000000000003E-2</v>
      </c>
      <c r="H71" s="169"/>
      <c r="I71" s="170">
        <v>4</v>
      </c>
      <c r="J71" s="170">
        <v>4</v>
      </c>
      <c r="K71" s="167"/>
      <c r="L71" s="171">
        <v>1984.3654300000001</v>
      </c>
      <c r="M71" s="171">
        <v>220.25617</v>
      </c>
      <c r="N71" s="171">
        <v>2204.6215999999999</v>
      </c>
      <c r="O71" s="166">
        <v>1004.93061828884</v>
      </c>
      <c r="P71" s="172">
        <v>252.24799999999999</v>
      </c>
      <c r="Q71" s="178">
        <v>3.9838992510895599</v>
      </c>
      <c r="R71" s="179">
        <v>1600.32750633245</v>
      </c>
      <c r="S71" s="168">
        <v>0.01</v>
      </c>
      <c r="T71" s="168">
        <v>0.01</v>
      </c>
      <c r="U71" s="175">
        <v>0</v>
      </c>
      <c r="V71" s="176">
        <v>0</v>
      </c>
      <c r="W71" s="167"/>
      <c r="X71" s="175">
        <v>1317.896555</v>
      </c>
      <c r="Y71" s="166">
        <v>600.73556380690695</v>
      </c>
      <c r="Z71" s="177">
        <v>573</v>
      </c>
      <c r="AA71" s="182">
        <v>1.0484041253174601</v>
      </c>
      <c r="AB71" s="183">
        <v>-54.802200476775901</v>
      </c>
      <c r="AC71" s="168">
        <v>1.4999999999999999E-2</v>
      </c>
      <c r="AD71" s="168">
        <v>5.0000000000000001E-3</v>
      </c>
      <c r="AE71" s="176">
        <v>0</v>
      </c>
      <c r="AF71" s="176">
        <v>191</v>
      </c>
      <c r="AG71" s="167"/>
      <c r="AH71" s="180">
        <v>118.9</v>
      </c>
      <c r="AI71" s="166">
        <v>54.198076674266098</v>
      </c>
      <c r="AJ71" s="181" t="s">
        <v>53</v>
      </c>
      <c r="AK71" s="188">
        <v>0.86028693133755796</v>
      </c>
      <c r="AL71" s="171">
        <v>-32.024994057656002</v>
      </c>
      <c r="AM71" s="168"/>
      <c r="AN71" s="168"/>
      <c r="AO71" s="176">
        <v>20</v>
      </c>
      <c r="AP71" s="176">
        <v>47</v>
      </c>
      <c r="AQ71" s="167"/>
      <c r="AR71" s="180">
        <v>24.8</v>
      </c>
      <c r="AS71" s="166">
        <v>11.304560988408699</v>
      </c>
      <c r="AT71" s="181" t="s">
        <v>54</v>
      </c>
      <c r="AU71" s="173">
        <v>0.70653506177554604</v>
      </c>
      <c r="AV71" s="174">
        <v>-13.530157220992001</v>
      </c>
      <c r="AW71" s="168"/>
      <c r="AX71" s="168"/>
      <c r="AY71" s="176">
        <v>11</v>
      </c>
      <c r="AZ71" s="176">
        <v>18</v>
      </c>
      <c r="BA71" s="167"/>
      <c r="BB71" s="184">
        <v>85.4</v>
      </c>
      <c r="BC71" s="180">
        <v>38.927802758471998</v>
      </c>
      <c r="BD71" s="181" t="s">
        <v>55</v>
      </c>
      <c r="BE71" s="178">
        <v>1.2164938362022499</v>
      </c>
      <c r="BF71" s="179">
        <v>8.73968555801601</v>
      </c>
      <c r="BG71" s="168">
        <v>0.02</v>
      </c>
      <c r="BH71" s="168">
        <v>0.02</v>
      </c>
      <c r="BI71" s="176">
        <v>0</v>
      </c>
      <c r="BJ71" s="176">
        <v>0</v>
      </c>
      <c r="BK71" s="169"/>
      <c r="BL71" s="185">
        <v>0.8</v>
      </c>
      <c r="BM71" s="188">
        <v>0.74</v>
      </c>
      <c r="BN71" s="186"/>
      <c r="BO71" s="187">
        <v>0.95</v>
      </c>
      <c r="BP71" s="178">
        <v>1</v>
      </c>
      <c r="BQ71" s="186">
        <v>2.5000000000000001E-3</v>
      </c>
    </row>
    <row r="72" spans="1:69" s="156" customFormat="1" ht="22.35" customHeight="1" x14ac:dyDescent="0.2">
      <c r="A72" s="165" t="s">
        <v>80</v>
      </c>
      <c r="B72" s="165" t="s">
        <v>118</v>
      </c>
      <c r="C72" s="165" t="s">
        <v>126</v>
      </c>
      <c r="D72" s="166">
        <v>4.5919046557777801</v>
      </c>
      <c r="E72" s="167"/>
      <c r="F72" s="168">
        <v>0.08</v>
      </c>
      <c r="G72" s="168">
        <v>6.9500000000000006E-2</v>
      </c>
      <c r="H72" s="169"/>
      <c r="I72" s="170">
        <v>6</v>
      </c>
      <c r="J72" s="170">
        <v>6</v>
      </c>
      <c r="K72" s="167"/>
      <c r="L72" s="171">
        <v>2959.4050900000002</v>
      </c>
      <c r="M72" s="171">
        <v>1029.2330199999999</v>
      </c>
      <c r="N72" s="171">
        <v>3988.6381099999999</v>
      </c>
      <c r="O72" s="166">
        <v>868.623895529121</v>
      </c>
      <c r="P72" s="172">
        <v>287.5</v>
      </c>
      <c r="Q72" s="178">
        <v>3.0213005061882501</v>
      </c>
      <c r="R72" s="179">
        <v>2547.0096433185699</v>
      </c>
      <c r="S72" s="168">
        <v>0.01</v>
      </c>
      <c r="T72" s="168">
        <v>0.01</v>
      </c>
      <c r="U72" s="175">
        <v>0</v>
      </c>
      <c r="V72" s="176">
        <v>0</v>
      </c>
      <c r="W72" s="167"/>
      <c r="X72" s="175">
        <v>2932.2169349999999</v>
      </c>
      <c r="Y72" s="166">
        <v>638.56224264380796</v>
      </c>
      <c r="Z72" s="177">
        <v>573</v>
      </c>
      <c r="AA72" s="178">
        <v>1.1144192716296799</v>
      </c>
      <c r="AB72" s="179">
        <v>58.988721405351001</v>
      </c>
      <c r="AC72" s="168">
        <v>0.02</v>
      </c>
      <c r="AD72" s="168">
        <v>1.0999999999999999E-2</v>
      </c>
      <c r="AE72" s="176">
        <v>0</v>
      </c>
      <c r="AF72" s="176">
        <v>226</v>
      </c>
      <c r="AG72" s="167"/>
      <c r="AH72" s="180">
        <v>367.75</v>
      </c>
      <c r="AI72" s="166">
        <v>80.086593160700204</v>
      </c>
      <c r="AJ72" s="181" t="s">
        <v>53</v>
      </c>
      <c r="AK72" s="178">
        <v>1.2712157644555599</v>
      </c>
      <c r="AL72" s="179">
        <v>51.845327301111901</v>
      </c>
      <c r="AM72" s="168">
        <v>0.02</v>
      </c>
      <c r="AN72" s="168">
        <v>0.02</v>
      </c>
      <c r="AO72" s="176">
        <v>0</v>
      </c>
      <c r="AP72" s="176">
        <v>0</v>
      </c>
      <c r="AQ72" s="167"/>
      <c r="AR72" s="180">
        <v>86</v>
      </c>
      <c r="AS72" s="166">
        <v>18.728611860829901</v>
      </c>
      <c r="AT72" s="181" t="s">
        <v>54</v>
      </c>
      <c r="AU72" s="178">
        <v>1.1705382413018699</v>
      </c>
      <c r="AV72" s="179">
        <v>5.7702418542506404</v>
      </c>
      <c r="AW72" s="168">
        <v>0.01</v>
      </c>
      <c r="AX72" s="168">
        <v>8.5000000000000006E-3</v>
      </c>
      <c r="AY72" s="176">
        <v>0</v>
      </c>
      <c r="AZ72" s="176">
        <v>3</v>
      </c>
      <c r="BA72" s="167"/>
      <c r="BB72" s="184">
        <v>232.8</v>
      </c>
      <c r="BC72" s="180">
        <v>50.697916758153603</v>
      </c>
      <c r="BD72" s="181" t="s">
        <v>55</v>
      </c>
      <c r="BE72" s="178">
        <v>1.5843098986923001</v>
      </c>
      <c r="BF72" s="179">
        <v>72.340483708501296</v>
      </c>
      <c r="BG72" s="168">
        <v>0.02</v>
      </c>
      <c r="BH72" s="168">
        <v>0.02</v>
      </c>
      <c r="BI72" s="176">
        <v>0</v>
      </c>
      <c r="BJ72" s="176">
        <v>0</v>
      </c>
      <c r="BK72" s="169"/>
      <c r="BL72" s="185">
        <v>0.8</v>
      </c>
      <c r="BM72" s="173">
        <v>0.62</v>
      </c>
      <c r="BN72" s="186"/>
      <c r="BO72" s="187">
        <v>0.95</v>
      </c>
      <c r="BP72" s="182">
        <v>0.96</v>
      </c>
      <c r="BQ72" s="186">
        <v>5.0000000000000001E-4</v>
      </c>
    </row>
    <row r="73" spans="1:69" s="156" customFormat="1" ht="22.35" customHeight="1" x14ac:dyDescent="0.2">
      <c r="A73" s="165" t="s">
        <v>80</v>
      </c>
      <c r="B73" s="165" t="s">
        <v>118</v>
      </c>
      <c r="C73" s="165" t="s">
        <v>127</v>
      </c>
      <c r="D73" s="166">
        <v>2.7606706158888898</v>
      </c>
      <c r="E73" s="167"/>
      <c r="F73" s="168">
        <v>5.1999999999999998E-2</v>
      </c>
      <c r="G73" s="168">
        <v>0.04</v>
      </c>
      <c r="H73" s="169"/>
      <c r="I73" s="170">
        <v>5</v>
      </c>
      <c r="J73" s="170">
        <v>4</v>
      </c>
      <c r="K73" s="167"/>
      <c r="L73" s="171">
        <v>2026.9544699999999</v>
      </c>
      <c r="M73" s="171">
        <v>982.22915</v>
      </c>
      <c r="N73" s="171">
        <v>3009.1836199999998</v>
      </c>
      <c r="O73" s="166">
        <v>1090.0190709752901</v>
      </c>
      <c r="P73" s="172">
        <v>276.39800000000002</v>
      </c>
      <c r="Q73" s="178">
        <v>3.94365759149954</v>
      </c>
      <c r="R73" s="179">
        <v>2175.93975011562</v>
      </c>
      <c r="S73" s="168">
        <v>0.01</v>
      </c>
      <c r="T73" s="168">
        <v>0.01</v>
      </c>
      <c r="U73" s="175">
        <v>0</v>
      </c>
      <c r="V73" s="176">
        <v>0</v>
      </c>
      <c r="W73" s="167"/>
      <c r="X73" s="175">
        <v>1765.9622449999999</v>
      </c>
      <c r="Y73" s="166">
        <v>639.68596428567002</v>
      </c>
      <c r="Z73" s="177">
        <v>573</v>
      </c>
      <c r="AA73" s="178">
        <v>1.11638039142351</v>
      </c>
      <c r="AB73" s="179">
        <v>38.566469908467496</v>
      </c>
      <c r="AC73" s="168">
        <v>0.02</v>
      </c>
      <c r="AD73" s="168">
        <v>1.2E-2</v>
      </c>
      <c r="AE73" s="176">
        <v>0</v>
      </c>
      <c r="AF73" s="176">
        <v>133</v>
      </c>
      <c r="AG73" s="167"/>
      <c r="AH73" s="180">
        <v>160.9</v>
      </c>
      <c r="AI73" s="166">
        <v>58.282940048678299</v>
      </c>
      <c r="AJ73" s="181" t="s">
        <v>53</v>
      </c>
      <c r="AK73" s="182">
        <v>0.92512603251870396</v>
      </c>
      <c r="AL73" s="183">
        <v>-29.023095690692099</v>
      </c>
      <c r="AM73" s="168">
        <v>2E-3</v>
      </c>
      <c r="AN73" s="168"/>
      <c r="AO73" s="176">
        <v>14</v>
      </c>
      <c r="AP73" s="176">
        <v>48</v>
      </c>
      <c r="AQ73" s="167"/>
      <c r="AR73" s="180">
        <v>29.8</v>
      </c>
      <c r="AS73" s="166">
        <v>10.7944786417067</v>
      </c>
      <c r="AT73" s="181" t="s">
        <v>54</v>
      </c>
      <c r="AU73" s="173">
        <v>0.67465491510667097</v>
      </c>
      <c r="AV73" s="174">
        <v>-18.4344370008107</v>
      </c>
      <c r="AW73" s="168"/>
      <c r="AX73" s="168"/>
      <c r="AY73" s="176">
        <v>15</v>
      </c>
      <c r="AZ73" s="176">
        <v>24</v>
      </c>
      <c r="BA73" s="167"/>
      <c r="BB73" s="184">
        <v>104</v>
      </c>
      <c r="BC73" s="180">
        <v>37.672005997902701</v>
      </c>
      <c r="BD73" s="181" t="s">
        <v>55</v>
      </c>
      <c r="BE73" s="178">
        <v>1.1772501874344601</v>
      </c>
      <c r="BF73" s="179">
        <v>7.5311259983786298</v>
      </c>
      <c r="BG73" s="168">
        <v>0.02</v>
      </c>
      <c r="BH73" s="168">
        <v>1.7999999999999999E-2</v>
      </c>
      <c r="BI73" s="176">
        <v>0</v>
      </c>
      <c r="BJ73" s="176">
        <v>3</v>
      </c>
      <c r="BK73" s="169"/>
      <c r="BL73" s="185">
        <v>0.8</v>
      </c>
      <c r="BM73" s="188">
        <v>0.72</v>
      </c>
      <c r="BN73" s="186"/>
      <c r="BO73" s="187">
        <v>0.95</v>
      </c>
      <c r="BP73" s="178">
        <v>1</v>
      </c>
      <c r="BQ73" s="186">
        <v>2.5000000000000001E-3</v>
      </c>
    </row>
    <row r="74" spans="1:69" s="156" customFormat="1" ht="22.35" customHeight="1" x14ac:dyDescent="0.2">
      <c r="A74" s="165" t="s">
        <v>80</v>
      </c>
      <c r="B74" s="165" t="s">
        <v>118</v>
      </c>
      <c r="C74" s="165" t="s">
        <v>128</v>
      </c>
      <c r="D74" s="166">
        <v>5.5965996495555599</v>
      </c>
      <c r="E74" s="167"/>
      <c r="F74" s="168">
        <v>0.04</v>
      </c>
      <c r="G74" s="168">
        <v>3.5499999999999997E-2</v>
      </c>
      <c r="H74" s="169"/>
      <c r="I74" s="170">
        <v>4</v>
      </c>
      <c r="J74" s="170">
        <v>4</v>
      </c>
      <c r="K74" s="167"/>
      <c r="L74" s="171">
        <v>2613.0964100000001</v>
      </c>
      <c r="M74" s="171">
        <v>1459.00397</v>
      </c>
      <c r="N74" s="171">
        <v>4072.1003799999999</v>
      </c>
      <c r="O74" s="166">
        <v>727.60258638893004</v>
      </c>
      <c r="P74" s="172">
        <v>242.33799999999999</v>
      </c>
      <c r="Q74" s="178">
        <v>3.0024287828938498</v>
      </c>
      <c r="R74" s="179">
        <v>2591.0548876655998</v>
      </c>
      <c r="S74" s="168">
        <v>0.01</v>
      </c>
      <c r="T74" s="168">
        <v>0.01</v>
      </c>
      <c r="U74" s="175">
        <v>0</v>
      </c>
      <c r="V74" s="176">
        <v>0</v>
      </c>
      <c r="W74" s="167"/>
      <c r="X74" s="175">
        <v>2075.1427800000001</v>
      </c>
      <c r="Y74" s="166">
        <v>370.78635420434199</v>
      </c>
      <c r="Z74" s="177">
        <v>573</v>
      </c>
      <c r="AA74" s="173">
        <v>0.64709660419605897</v>
      </c>
      <c r="AB74" s="174">
        <v>-1426.73916632131</v>
      </c>
      <c r="AC74" s="168"/>
      <c r="AD74" s="168"/>
      <c r="AE74" s="176">
        <v>1132</v>
      </c>
      <c r="AF74" s="176">
        <v>1774</v>
      </c>
      <c r="AG74" s="167"/>
      <c r="AH74" s="180">
        <v>275.8</v>
      </c>
      <c r="AI74" s="166">
        <v>49.279923037178897</v>
      </c>
      <c r="AJ74" s="181" t="s">
        <v>53</v>
      </c>
      <c r="AK74" s="188">
        <v>0.78222100059014099</v>
      </c>
      <c r="AL74" s="171">
        <v>-109.22366949082399</v>
      </c>
      <c r="AM74" s="168"/>
      <c r="AN74" s="168"/>
      <c r="AO74" s="176">
        <v>77</v>
      </c>
      <c r="AP74" s="176">
        <v>148</v>
      </c>
      <c r="AQ74" s="167"/>
      <c r="AR74" s="180">
        <v>99.5</v>
      </c>
      <c r="AS74" s="166">
        <v>17.7786524372708</v>
      </c>
      <c r="AT74" s="181" t="s">
        <v>54</v>
      </c>
      <c r="AU74" s="178">
        <v>1.1111657773294299</v>
      </c>
      <c r="AV74" s="179">
        <v>1.71621092296526</v>
      </c>
      <c r="AW74" s="168">
        <v>0.01</v>
      </c>
      <c r="AX74" s="168">
        <v>5.4999999999999997E-3</v>
      </c>
      <c r="AY74" s="176">
        <v>0</v>
      </c>
      <c r="AZ74" s="176">
        <v>8</v>
      </c>
      <c r="BA74" s="167"/>
      <c r="BB74" s="184">
        <v>264.60000000000002</v>
      </c>
      <c r="BC74" s="180">
        <v>47.2787078884609</v>
      </c>
      <c r="BD74" s="181" t="s">
        <v>55</v>
      </c>
      <c r="BE74" s="178">
        <v>1.4774596215144</v>
      </c>
      <c r="BF74" s="179">
        <v>69.0324218459305</v>
      </c>
      <c r="BG74" s="168">
        <v>0.02</v>
      </c>
      <c r="BH74" s="168">
        <v>0.02</v>
      </c>
      <c r="BI74" s="176">
        <v>0</v>
      </c>
      <c r="BJ74" s="176">
        <v>0</v>
      </c>
      <c r="BK74" s="169"/>
      <c r="BL74" s="185">
        <v>0.8</v>
      </c>
      <c r="BM74" s="173">
        <v>0.69</v>
      </c>
      <c r="BN74" s="186"/>
      <c r="BO74" s="187">
        <v>0.95</v>
      </c>
      <c r="BP74" s="178">
        <v>1</v>
      </c>
      <c r="BQ74" s="186">
        <v>2.5000000000000001E-3</v>
      </c>
    </row>
    <row r="75" spans="1:69" s="156" customFormat="1" ht="22.35" customHeight="1" x14ac:dyDescent="0.2">
      <c r="A75" s="165" t="s">
        <v>80</v>
      </c>
      <c r="B75" s="165" t="s">
        <v>118</v>
      </c>
      <c r="C75" s="165" t="s">
        <v>129</v>
      </c>
      <c r="D75" s="166">
        <v>4.2868855297777797</v>
      </c>
      <c r="E75" s="167"/>
      <c r="F75" s="168">
        <v>3.0000000000000001E-3</v>
      </c>
      <c r="G75" s="168"/>
      <c r="H75" s="169"/>
      <c r="I75" s="170">
        <v>1</v>
      </c>
      <c r="J75" s="170">
        <v>0</v>
      </c>
      <c r="K75" s="167"/>
      <c r="L75" s="171">
        <v>1191.4129499999999</v>
      </c>
      <c r="M75" s="171">
        <v>-1389.83674</v>
      </c>
      <c r="N75" s="171">
        <v>-198.42379</v>
      </c>
      <c r="O75" s="166">
        <v>-46.286234755208397</v>
      </c>
      <c r="P75" s="172">
        <v>275.59500000000003</v>
      </c>
      <c r="Q75" s="173">
        <v>-0.167950197772849</v>
      </c>
      <c r="R75" s="174">
        <v>-1488.5608755963899</v>
      </c>
      <c r="S75" s="168"/>
      <c r="T75" s="168"/>
      <c r="U75" s="175">
        <v>1380</v>
      </c>
      <c r="V75" s="176">
        <v>1617</v>
      </c>
      <c r="W75" s="167"/>
      <c r="X75" s="175">
        <v>2294.0540299999998</v>
      </c>
      <c r="Y75" s="166">
        <v>535.13302701108501</v>
      </c>
      <c r="Z75" s="177">
        <v>573</v>
      </c>
      <c r="AA75" s="182">
        <v>0.93391453230555799</v>
      </c>
      <c r="AB75" s="183">
        <v>-388.31883615043398</v>
      </c>
      <c r="AC75" s="168">
        <v>3.0000000000000001E-3</v>
      </c>
      <c r="AD75" s="168"/>
      <c r="AE75" s="176">
        <v>163</v>
      </c>
      <c r="AF75" s="176">
        <v>654</v>
      </c>
      <c r="AG75" s="167"/>
      <c r="AH75" s="180">
        <v>164.4</v>
      </c>
      <c r="AI75" s="166">
        <v>38.3495194490351</v>
      </c>
      <c r="AJ75" s="181" t="s">
        <v>53</v>
      </c>
      <c r="AK75" s="173">
        <v>0.60872253093706497</v>
      </c>
      <c r="AL75" s="174">
        <v>-130.520576906592</v>
      </c>
      <c r="AM75" s="168"/>
      <c r="AN75" s="168"/>
      <c r="AO75" s="176">
        <v>106</v>
      </c>
      <c r="AP75" s="176">
        <v>160</v>
      </c>
      <c r="AQ75" s="167"/>
      <c r="AR75" s="180">
        <v>9</v>
      </c>
      <c r="AS75" s="166">
        <v>2.0994262472099501</v>
      </c>
      <c r="AT75" s="181" t="s">
        <v>54</v>
      </c>
      <c r="AU75" s="173">
        <v>0.13121414045062199</v>
      </c>
      <c r="AV75" s="174">
        <v>-65.900463976277393</v>
      </c>
      <c r="AW75" s="168"/>
      <c r="AX75" s="168"/>
      <c r="AY75" s="176">
        <v>60</v>
      </c>
      <c r="AZ75" s="176">
        <v>74</v>
      </c>
      <c r="BA75" s="167"/>
      <c r="BB75" s="184">
        <v>123.4</v>
      </c>
      <c r="BC75" s="180">
        <v>28.785466545078599</v>
      </c>
      <c r="BD75" s="181" t="s">
        <v>55</v>
      </c>
      <c r="BE75" s="188">
        <v>0.89954582953370799</v>
      </c>
      <c r="BF75" s="171">
        <v>-26.400927952554799</v>
      </c>
      <c r="BG75" s="168"/>
      <c r="BH75" s="168"/>
      <c r="BI75" s="176">
        <v>14</v>
      </c>
      <c r="BJ75" s="176">
        <v>42</v>
      </c>
      <c r="BK75" s="169"/>
      <c r="BL75" s="185">
        <v>0.8</v>
      </c>
      <c r="BM75" s="188">
        <v>0.72</v>
      </c>
      <c r="BN75" s="186"/>
      <c r="BO75" s="187">
        <v>0.95</v>
      </c>
      <c r="BP75" s="188">
        <v>0.9</v>
      </c>
      <c r="BQ75" s="186"/>
    </row>
    <row r="76" spans="1:69" s="156" customFormat="1" ht="22.35" customHeight="1" x14ac:dyDescent="0.2">
      <c r="A76" s="165" t="s">
        <v>80</v>
      </c>
      <c r="B76" s="165" t="s">
        <v>118</v>
      </c>
      <c r="C76" s="165" t="s">
        <v>130</v>
      </c>
      <c r="D76" s="166">
        <v>5.9599043151111104</v>
      </c>
      <c r="E76" s="167"/>
      <c r="F76" s="168">
        <v>3.6999999999999998E-2</v>
      </c>
      <c r="G76" s="168">
        <v>1.7999999999999999E-2</v>
      </c>
      <c r="H76" s="169"/>
      <c r="I76" s="170">
        <v>4</v>
      </c>
      <c r="J76" s="170">
        <v>3</v>
      </c>
      <c r="K76" s="167"/>
      <c r="L76" s="171">
        <v>5538.96191</v>
      </c>
      <c r="M76" s="171">
        <v>4870.9960499999997</v>
      </c>
      <c r="N76" s="171">
        <v>10409.95796</v>
      </c>
      <c r="O76" s="166">
        <v>1746.66528346872</v>
      </c>
      <c r="P76" s="172">
        <v>283.69400000000002</v>
      </c>
      <c r="Q76" s="178">
        <v>6.1568636751877701</v>
      </c>
      <c r="R76" s="179">
        <v>8563.6162685099298</v>
      </c>
      <c r="S76" s="168">
        <v>0.01</v>
      </c>
      <c r="T76" s="168">
        <v>0.01</v>
      </c>
      <c r="U76" s="175">
        <v>0</v>
      </c>
      <c r="V76" s="176">
        <v>0</v>
      </c>
      <c r="W76" s="167"/>
      <c r="X76" s="175">
        <v>3350.6094199999998</v>
      </c>
      <c r="Y76" s="166">
        <v>562.19181430558501</v>
      </c>
      <c r="Z76" s="177">
        <v>573</v>
      </c>
      <c r="AA76" s="182">
        <v>0.98113754678112597</v>
      </c>
      <c r="AB76" s="183">
        <v>-378.59806843406301</v>
      </c>
      <c r="AC76" s="168">
        <v>8.0000000000000002E-3</v>
      </c>
      <c r="AD76" s="168"/>
      <c r="AE76" s="176">
        <v>65</v>
      </c>
      <c r="AF76" s="176">
        <v>748</v>
      </c>
      <c r="AG76" s="167"/>
      <c r="AH76" s="180">
        <v>257</v>
      </c>
      <c r="AI76" s="166">
        <v>43.121497663710201</v>
      </c>
      <c r="AJ76" s="181" t="s">
        <v>53</v>
      </c>
      <c r="AK76" s="173">
        <v>0.68446821688428905</v>
      </c>
      <c r="AL76" s="174">
        <v>-153.01757726238401</v>
      </c>
      <c r="AM76" s="168"/>
      <c r="AN76" s="168"/>
      <c r="AO76" s="176">
        <v>119</v>
      </c>
      <c r="AP76" s="176">
        <v>194</v>
      </c>
      <c r="AQ76" s="167"/>
      <c r="AR76" s="180">
        <v>31.8</v>
      </c>
      <c r="AS76" s="166">
        <v>5.3356561311516897</v>
      </c>
      <c r="AT76" s="181" t="s">
        <v>54</v>
      </c>
      <c r="AU76" s="173">
        <v>0.33347850819698099</v>
      </c>
      <c r="AV76" s="174">
        <v>-72.331448193621299</v>
      </c>
      <c r="AW76" s="168"/>
      <c r="AX76" s="168"/>
      <c r="AY76" s="176">
        <v>64</v>
      </c>
      <c r="AZ76" s="176">
        <v>83</v>
      </c>
      <c r="BA76" s="167"/>
      <c r="BB76" s="184">
        <v>206</v>
      </c>
      <c r="BC76" s="180">
        <v>34.564313302429198</v>
      </c>
      <c r="BD76" s="181" t="s">
        <v>55</v>
      </c>
      <c r="BE76" s="182">
        <v>1.08013479070091</v>
      </c>
      <c r="BF76" s="183">
        <v>-2.2628963872426202</v>
      </c>
      <c r="BG76" s="168">
        <v>1.9E-2</v>
      </c>
      <c r="BH76" s="168">
        <v>8.0000000000000002E-3</v>
      </c>
      <c r="BI76" s="176">
        <v>0</v>
      </c>
      <c r="BJ76" s="176">
        <v>23</v>
      </c>
      <c r="BK76" s="169"/>
      <c r="BL76" s="185">
        <v>0.8</v>
      </c>
      <c r="BM76" s="173">
        <v>0.62</v>
      </c>
      <c r="BN76" s="186"/>
      <c r="BO76" s="187">
        <v>0.95</v>
      </c>
      <c r="BP76" s="178">
        <v>1</v>
      </c>
      <c r="BQ76" s="186">
        <v>2.5000000000000001E-3</v>
      </c>
    </row>
    <row r="77" spans="1:69" s="156" customFormat="1" ht="22.35" customHeight="1" x14ac:dyDescent="0.2">
      <c r="A77" s="165" t="s">
        <v>80</v>
      </c>
      <c r="B77" s="165" t="s">
        <v>118</v>
      </c>
      <c r="C77" s="165" t="s">
        <v>131</v>
      </c>
      <c r="D77" s="166">
        <v>8.4737407848888893</v>
      </c>
      <c r="E77" s="167"/>
      <c r="F77" s="168">
        <v>4.2000000000000003E-2</v>
      </c>
      <c r="G77" s="168">
        <v>3.0499999999999999E-2</v>
      </c>
      <c r="H77" s="169"/>
      <c r="I77" s="170">
        <v>5</v>
      </c>
      <c r="J77" s="170">
        <v>4</v>
      </c>
      <c r="K77" s="167"/>
      <c r="L77" s="171">
        <v>12506.70824</v>
      </c>
      <c r="M77" s="171">
        <v>6411.7211600000001</v>
      </c>
      <c r="N77" s="171">
        <v>18918.429400000001</v>
      </c>
      <c r="O77" s="166">
        <v>2232.5947748764002</v>
      </c>
      <c r="P77" s="172">
        <v>248.64599999999999</v>
      </c>
      <c r="Q77" s="178">
        <v>8.9790094144945005</v>
      </c>
      <c r="R77" s="179">
        <v>16617.6271676902</v>
      </c>
      <c r="S77" s="168">
        <v>0.01</v>
      </c>
      <c r="T77" s="168">
        <v>0.01</v>
      </c>
      <c r="U77" s="175">
        <v>0</v>
      </c>
      <c r="V77" s="176">
        <v>0</v>
      </c>
      <c r="W77" s="167"/>
      <c r="X77" s="175">
        <v>3411.2687799999999</v>
      </c>
      <c r="Y77" s="166">
        <v>402.56940430409099</v>
      </c>
      <c r="Z77" s="177">
        <v>573</v>
      </c>
      <c r="AA77" s="173">
        <v>0.70256440541726195</v>
      </c>
      <c r="AB77" s="174">
        <v>-1890.88640895754</v>
      </c>
      <c r="AC77" s="168"/>
      <c r="AD77" s="168"/>
      <c r="AE77" s="176">
        <v>1445</v>
      </c>
      <c r="AF77" s="176">
        <v>2416</v>
      </c>
      <c r="AG77" s="167"/>
      <c r="AH77" s="180">
        <v>517.6</v>
      </c>
      <c r="AI77" s="166">
        <v>61.082821995573603</v>
      </c>
      <c r="AJ77" s="181" t="s">
        <v>53</v>
      </c>
      <c r="AK77" s="182">
        <v>0.96956860310434201</v>
      </c>
      <c r="AL77" s="183">
        <v>-65.359471037216096</v>
      </c>
      <c r="AM77" s="168">
        <v>7.0000000000000001E-3</v>
      </c>
      <c r="AN77" s="168"/>
      <c r="AO77" s="176">
        <v>17</v>
      </c>
      <c r="AP77" s="176">
        <v>124</v>
      </c>
      <c r="AQ77" s="167"/>
      <c r="AR77" s="180">
        <v>135.80000000000001</v>
      </c>
      <c r="AS77" s="166">
        <v>16.025979959426</v>
      </c>
      <c r="AT77" s="181" t="s">
        <v>54</v>
      </c>
      <c r="AU77" s="182">
        <v>1.0016237474641201</v>
      </c>
      <c r="AV77" s="183">
        <v>-12.2531989935787</v>
      </c>
      <c r="AW77" s="168">
        <v>5.0000000000000001E-3</v>
      </c>
      <c r="AX77" s="168">
        <v>5.0000000000000001E-4</v>
      </c>
      <c r="AY77" s="176">
        <v>0</v>
      </c>
      <c r="AZ77" s="176">
        <v>27</v>
      </c>
      <c r="BA77" s="167"/>
      <c r="BB77" s="184">
        <v>674.8</v>
      </c>
      <c r="BC77" s="180">
        <v>79.634250932405394</v>
      </c>
      <c r="BD77" s="181" t="s">
        <v>55</v>
      </c>
      <c r="BE77" s="178">
        <v>2.4885703416376699</v>
      </c>
      <c r="BF77" s="179">
        <v>378.69360201284297</v>
      </c>
      <c r="BG77" s="168">
        <v>0.02</v>
      </c>
      <c r="BH77" s="168">
        <v>0.02</v>
      </c>
      <c r="BI77" s="176">
        <v>0</v>
      </c>
      <c r="BJ77" s="176">
        <v>0</v>
      </c>
      <c r="BK77" s="169"/>
      <c r="BL77" s="185">
        <v>0.8</v>
      </c>
      <c r="BM77" s="173">
        <v>0.57999999999999996</v>
      </c>
      <c r="BN77" s="186"/>
      <c r="BO77" s="187">
        <v>0.95</v>
      </c>
      <c r="BP77" s="178">
        <v>1</v>
      </c>
      <c r="BQ77" s="186">
        <v>2.5000000000000001E-3</v>
      </c>
    </row>
    <row r="78" spans="1:69" s="156" customFormat="1" ht="22.35" customHeight="1" x14ac:dyDescent="0.2">
      <c r="A78" s="165" t="s">
        <v>80</v>
      </c>
      <c r="B78" s="165" t="s">
        <v>118</v>
      </c>
      <c r="C78" s="165" t="s">
        <v>132</v>
      </c>
      <c r="D78" s="166">
        <v>2.7902579681111099</v>
      </c>
      <c r="E78" s="167"/>
      <c r="F78" s="168">
        <v>1.7000000000000001E-2</v>
      </c>
      <c r="G78" s="168">
        <v>7.0000000000000001E-3</v>
      </c>
      <c r="H78" s="169"/>
      <c r="I78" s="170">
        <v>1</v>
      </c>
      <c r="J78" s="170">
        <v>1</v>
      </c>
      <c r="K78" s="167"/>
      <c r="L78" s="171">
        <v>866.89889000000005</v>
      </c>
      <c r="M78" s="171">
        <v>-848.05146999999999</v>
      </c>
      <c r="N78" s="171">
        <v>18.84742</v>
      </c>
      <c r="O78" s="166">
        <v>6.7547231171456596</v>
      </c>
      <c r="P78" s="172">
        <v>256.80599999999998</v>
      </c>
      <c r="Q78" s="173">
        <v>2.6302824377723501E-2</v>
      </c>
      <c r="R78" s="174">
        <v>-763.63062663254595</v>
      </c>
      <c r="S78" s="168"/>
      <c r="T78" s="168"/>
      <c r="U78" s="175">
        <v>698</v>
      </c>
      <c r="V78" s="176">
        <v>842</v>
      </c>
      <c r="W78" s="167"/>
      <c r="X78" s="175">
        <v>630.70265500000005</v>
      </c>
      <c r="Y78" s="166">
        <v>226.03739948351799</v>
      </c>
      <c r="Z78" s="177">
        <v>573</v>
      </c>
      <c r="AA78" s="173">
        <v>0.39448062737088602</v>
      </c>
      <c r="AB78" s="174">
        <v>-1115.20639977461</v>
      </c>
      <c r="AC78" s="168"/>
      <c r="AD78" s="168"/>
      <c r="AE78" s="176">
        <v>969</v>
      </c>
      <c r="AF78" s="176">
        <v>1288</v>
      </c>
      <c r="AG78" s="167"/>
      <c r="AH78" s="180">
        <v>129.94999999999999</v>
      </c>
      <c r="AI78" s="166">
        <v>46.5727547363553</v>
      </c>
      <c r="AJ78" s="181" t="s">
        <v>53</v>
      </c>
      <c r="AK78" s="188">
        <v>0.73925007518024299</v>
      </c>
      <c r="AL78" s="171">
        <v>-62.0085871741719</v>
      </c>
      <c r="AM78" s="168"/>
      <c r="AN78" s="168"/>
      <c r="AO78" s="176">
        <v>46</v>
      </c>
      <c r="AP78" s="176">
        <v>81</v>
      </c>
      <c r="AQ78" s="167"/>
      <c r="AR78" s="180">
        <v>14.3</v>
      </c>
      <c r="AS78" s="166">
        <v>5.1249741649086697</v>
      </c>
      <c r="AT78" s="181" t="s">
        <v>54</v>
      </c>
      <c r="AU78" s="173">
        <v>0.32031088530679203</v>
      </c>
      <c r="AV78" s="174">
        <v>-34.451387218837297</v>
      </c>
      <c r="AW78" s="168"/>
      <c r="AX78" s="168"/>
      <c r="AY78" s="176">
        <v>31</v>
      </c>
      <c r="AZ78" s="176">
        <v>40</v>
      </c>
      <c r="BA78" s="167"/>
      <c r="BB78" s="184">
        <v>95.4</v>
      </c>
      <c r="BC78" s="180">
        <v>34.190387086173899</v>
      </c>
      <c r="BD78" s="181" t="s">
        <v>55</v>
      </c>
      <c r="BE78" s="182">
        <v>1.0684495964429299</v>
      </c>
      <c r="BF78" s="183">
        <v>-2.10277443767463</v>
      </c>
      <c r="BG78" s="168">
        <v>1.7000000000000001E-2</v>
      </c>
      <c r="BH78" s="168">
        <v>7.0000000000000001E-3</v>
      </c>
      <c r="BI78" s="176">
        <v>0</v>
      </c>
      <c r="BJ78" s="176">
        <v>12</v>
      </c>
      <c r="BK78" s="169"/>
      <c r="BL78" s="185">
        <v>0.8</v>
      </c>
      <c r="BM78" s="188">
        <v>0.73</v>
      </c>
      <c r="BN78" s="186"/>
      <c r="BO78" s="187">
        <v>0.95</v>
      </c>
      <c r="BP78" s="188">
        <v>0.88</v>
      </c>
      <c r="BQ78" s="186"/>
    </row>
    <row r="79" spans="1:69" s="156" customFormat="1" ht="22.35" customHeight="1" x14ac:dyDescent="0.2">
      <c r="A79" s="165" t="s">
        <v>80</v>
      </c>
      <c r="B79" s="165" t="s">
        <v>118</v>
      </c>
      <c r="C79" s="165" t="s">
        <v>133</v>
      </c>
      <c r="D79" s="166">
        <v>2.4499054332222201</v>
      </c>
      <c r="E79" s="167"/>
      <c r="F79" s="168">
        <v>6.0499999999999998E-2</v>
      </c>
      <c r="G79" s="168">
        <v>0.06</v>
      </c>
      <c r="H79" s="169"/>
      <c r="I79" s="170">
        <v>5</v>
      </c>
      <c r="J79" s="170">
        <v>4</v>
      </c>
      <c r="K79" s="167"/>
      <c r="L79" s="171">
        <v>1040.02478</v>
      </c>
      <c r="M79" s="171">
        <v>-479.82504</v>
      </c>
      <c r="N79" s="171">
        <v>560.19974000000002</v>
      </c>
      <c r="O79" s="166">
        <v>228.66178114605901</v>
      </c>
      <c r="P79" s="172">
        <v>249.55500000000001</v>
      </c>
      <c r="Q79" s="182">
        <v>0.91627809960152495</v>
      </c>
      <c r="R79" s="183">
        <v>-107.433936223446</v>
      </c>
      <c r="S79" s="168">
        <v>5.0000000000000001E-4</v>
      </c>
      <c r="T79" s="168"/>
      <c r="U79" s="175">
        <v>52</v>
      </c>
      <c r="V79" s="176">
        <v>174</v>
      </c>
      <c r="W79" s="167"/>
      <c r="X79" s="175">
        <v>1695.3282300000001</v>
      </c>
      <c r="Y79" s="166">
        <v>691.99741631260895</v>
      </c>
      <c r="Z79" s="177">
        <v>573</v>
      </c>
      <c r="AA79" s="178">
        <v>1.2076743740185101</v>
      </c>
      <c r="AB79" s="179">
        <v>162.383201945926</v>
      </c>
      <c r="AC79" s="168">
        <v>0.02</v>
      </c>
      <c r="AD79" s="168">
        <v>0.02</v>
      </c>
      <c r="AE79" s="176">
        <v>0</v>
      </c>
      <c r="AF79" s="176">
        <v>0</v>
      </c>
      <c r="AG79" s="167"/>
      <c r="AH79" s="180">
        <v>205.9</v>
      </c>
      <c r="AI79" s="166">
        <v>84.044060316724696</v>
      </c>
      <c r="AJ79" s="181" t="s">
        <v>53</v>
      </c>
      <c r="AK79" s="178">
        <v>1.3340327034400701</v>
      </c>
      <c r="AL79" s="179">
        <v>37.356305816044198</v>
      </c>
      <c r="AM79" s="168">
        <v>0.02</v>
      </c>
      <c r="AN79" s="168">
        <v>0.02</v>
      </c>
      <c r="AO79" s="176">
        <v>0</v>
      </c>
      <c r="AP79" s="176">
        <v>0</v>
      </c>
      <c r="AQ79" s="167"/>
      <c r="AR79" s="180">
        <v>17.8</v>
      </c>
      <c r="AS79" s="166">
        <v>7.2655865645347202</v>
      </c>
      <c r="AT79" s="181" t="s">
        <v>54</v>
      </c>
      <c r="AU79" s="173">
        <v>0.45409916028342001</v>
      </c>
      <c r="AV79" s="174">
        <v>-25.0047477292586</v>
      </c>
      <c r="AW79" s="168"/>
      <c r="AX79" s="168"/>
      <c r="AY79" s="176">
        <v>22</v>
      </c>
      <c r="AZ79" s="176">
        <v>30</v>
      </c>
      <c r="BA79" s="167"/>
      <c r="BB79" s="184">
        <v>140</v>
      </c>
      <c r="BC79" s="180">
        <v>57.145062867127002</v>
      </c>
      <c r="BD79" s="181" t="s">
        <v>55</v>
      </c>
      <c r="BE79" s="178">
        <v>1.7857832145977199</v>
      </c>
      <c r="BF79" s="179">
        <v>54.390504541482798</v>
      </c>
      <c r="BG79" s="168">
        <v>0.02</v>
      </c>
      <c r="BH79" s="168">
        <v>0.02</v>
      </c>
      <c r="BI79" s="176">
        <v>0</v>
      </c>
      <c r="BJ79" s="176">
        <v>0</v>
      </c>
      <c r="BK79" s="169"/>
      <c r="BL79" s="185">
        <v>0.8</v>
      </c>
      <c r="BM79" s="173">
        <v>0.67</v>
      </c>
      <c r="BN79" s="186"/>
      <c r="BO79" s="187">
        <v>0.95</v>
      </c>
      <c r="BP79" s="178">
        <v>1</v>
      </c>
      <c r="BQ79" s="186">
        <v>2.5000000000000001E-3</v>
      </c>
    </row>
    <row r="80" spans="1:69" s="156" customFormat="1" ht="22.35" customHeight="1" x14ac:dyDescent="0.2">
      <c r="A80" s="165" t="s">
        <v>80</v>
      </c>
      <c r="B80" s="165" t="s">
        <v>118</v>
      </c>
      <c r="C80" s="165" t="s">
        <v>134</v>
      </c>
      <c r="D80" s="166">
        <v>2.67748065066667</v>
      </c>
      <c r="E80" s="167"/>
      <c r="F80" s="168">
        <v>5.5E-2</v>
      </c>
      <c r="G80" s="168">
        <v>4.4999999999999998E-2</v>
      </c>
      <c r="H80" s="169"/>
      <c r="I80" s="170">
        <v>5</v>
      </c>
      <c r="J80" s="170">
        <v>4</v>
      </c>
      <c r="K80" s="167"/>
      <c r="L80" s="171">
        <v>1331.5432599999999</v>
      </c>
      <c r="M80" s="171">
        <v>573.57988</v>
      </c>
      <c r="N80" s="171">
        <v>1905.1231399999999</v>
      </c>
      <c r="O80" s="166">
        <v>711.53572651426703</v>
      </c>
      <c r="P80" s="172">
        <v>236.18299999999999</v>
      </c>
      <c r="Q80" s="178">
        <v>3.0126458149581801</v>
      </c>
      <c r="R80" s="179">
        <v>1214.5691895320799</v>
      </c>
      <c r="S80" s="168">
        <v>0.01</v>
      </c>
      <c r="T80" s="168">
        <v>0.01</v>
      </c>
      <c r="U80" s="175">
        <v>0</v>
      </c>
      <c r="V80" s="176">
        <v>0</v>
      </c>
      <c r="W80" s="167"/>
      <c r="X80" s="175">
        <v>1459.97866</v>
      </c>
      <c r="Y80" s="166">
        <v>545.28075100616695</v>
      </c>
      <c r="Z80" s="177">
        <v>573</v>
      </c>
      <c r="AA80" s="182">
        <v>0.951624347305701</v>
      </c>
      <c r="AB80" s="183">
        <v>-215.363822812546</v>
      </c>
      <c r="AC80" s="168">
        <v>5.0000000000000001E-3</v>
      </c>
      <c r="AD80" s="168"/>
      <c r="AE80" s="176">
        <v>75</v>
      </c>
      <c r="AF80" s="176">
        <v>382</v>
      </c>
      <c r="AG80" s="167"/>
      <c r="AH80" s="180">
        <v>193.55</v>
      </c>
      <c r="AI80" s="166">
        <v>72.288104099578803</v>
      </c>
      <c r="AJ80" s="181" t="s">
        <v>53</v>
      </c>
      <c r="AK80" s="178">
        <v>1.14743022380284</v>
      </c>
      <c r="AL80" s="179">
        <v>9.3500411567357293</v>
      </c>
      <c r="AM80" s="168">
        <v>0.02</v>
      </c>
      <c r="AN80" s="168">
        <v>1.4999999999999999E-2</v>
      </c>
      <c r="AO80" s="176">
        <v>0</v>
      </c>
      <c r="AP80" s="176">
        <v>9</v>
      </c>
      <c r="AQ80" s="167"/>
      <c r="AR80" s="180">
        <v>33.200000000000003</v>
      </c>
      <c r="AS80" s="166">
        <v>12.399716125579999</v>
      </c>
      <c r="AT80" s="181" t="s">
        <v>54</v>
      </c>
      <c r="AU80" s="188">
        <v>0.77498225784875197</v>
      </c>
      <c r="AV80" s="171">
        <v>-13.5809419284481</v>
      </c>
      <c r="AW80" s="168"/>
      <c r="AX80" s="168"/>
      <c r="AY80" s="176">
        <v>10</v>
      </c>
      <c r="AZ80" s="176">
        <v>19</v>
      </c>
      <c r="BA80" s="167"/>
      <c r="BB80" s="184">
        <v>134.6</v>
      </c>
      <c r="BC80" s="180">
        <v>50.271138268164798</v>
      </c>
      <c r="BD80" s="181" t="s">
        <v>55</v>
      </c>
      <c r="BE80" s="178">
        <v>1.5709730708801499</v>
      </c>
      <c r="BF80" s="179">
        <v>41.038116143103899</v>
      </c>
      <c r="BG80" s="168">
        <v>0.02</v>
      </c>
      <c r="BH80" s="168">
        <v>0.02</v>
      </c>
      <c r="BI80" s="176">
        <v>0</v>
      </c>
      <c r="BJ80" s="176">
        <v>0</v>
      </c>
      <c r="BK80" s="169"/>
      <c r="BL80" s="185">
        <v>0.8</v>
      </c>
      <c r="BM80" s="173">
        <v>0.68</v>
      </c>
      <c r="BN80" s="186"/>
      <c r="BO80" s="187">
        <v>0.95</v>
      </c>
      <c r="BP80" s="178">
        <v>1</v>
      </c>
      <c r="BQ80" s="186">
        <v>2.5000000000000001E-3</v>
      </c>
    </row>
    <row r="81" spans="1:69" s="156" customFormat="1" ht="22.35" customHeight="1" x14ac:dyDescent="0.2">
      <c r="A81" s="165" t="s">
        <v>80</v>
      </c>
      <c r="B81" s="165" t="s">
        <v>118</v>
      </c>
      <c r="C81" s="165" t="s">
        <v>135</v>
      </c>
      <c r="D81" s="166">
        <v>5.56134457377778</v>
      </c>
      <c r="E81" s="167"/>
      <c r="F81" s="168">
        <v>0.03</v>
      </c>
      <c r="G81" s="168">
        <v>0.03</v>
      </c>
      <c r="H81" s="169"/>
      <c r="I81" s="170">
        <v>3</v>
      </c>
      <c r="J81" s="170">
        <v>3</v>
      </c>
      <c r="K81" s="167"/>
      <c r="L81" s="171">
        <v>3887.80377</v>
      </c>
      <c r="M81" s="171">
        <v>483.76064000000002</v>
      </c>
      <c r="N81" s="171">
        <v>4371.56441</v>
      </c>
      <c r="O81" s="166">
        <v>786.06249837715598</v>
      </c>
      <c r="P81" s="172">
        <v>255.63</v>
      </c>
      <c r="Q81" s="178">
        <v>3.0750009716275701</v>
      </c>
      <c r="R81" s="179">
        <v>2819.12641737286</v>
      </c>
      <c r="S81" s="168">
        <v>0.01</v>
      </c>
      <c r="T81" s="168">
        <v>0.01</v>
      </c>
      <c r="U81" s="175">
        <v>0</v>
      </c>
      <c r="V81" s="176">
        <v>0</v>
      </c>
      <c r="W81" s="167"/>
      <c r="X81" s="175">
        <v>2342.6053449999999</v>
      </c>
      <c r="Y81" s="166">
        <v>421.23003060187801</v>
      </c>
      <c r="Z81" s="177">
        <v>573</v>
      </c>
      <c r="AA81" s="188">
        <v>0.73513094345877406</v>
      </c>
      <c r="AB81" s="171">
        <v>-1137.21693632594</v>
      </c>
      <c r="AC81" s="168"/>
      <c r="AD81" s="168"/>
      <c r="AE81" s="176">
        <v>845</v>
      </c>
      <c r="AF81" s="176">
        <v>1482</v>
      </c>
      <c r="AG81" s="167"/>
      <c r="AH81" s="180">
        <v>255</v>
      </c>
      <c r="AI81" s="166">
        <v>45.8522209183634</v>
      </c>
      <c r="AJ81" s="181" t="s">
        <v>53</v>
      </c>
      <c r="AK81" s="188">
        <v>0.72781303045021195</v>
      </c>
      <c r="AL81" s="171">
        <v>-127.59826129761601</v>
      </c>
      <c r="AM81" s="168"/>
      <c r="AN81" s="168"/>
      <c r="AO81" s="176">
        <v>96</v>
      </c>
      <c r="AP81" s="176">
        <v>166</v>
      </c>
      <c r="AQ81" s="167"/>
      <c r="AR81" s="180">
        <v>42.8</v>
      </c>
      <c r="AS81" s="166">
        <v>7.6959806090429499</v>
      </c>
      <c r="AT81" s="181" t="s">
        <v>54</v>
      </c>
      <c r="AU81" s="173">
        <v>0.48099878806518398</v>
      </c>
      <c r="AV81" s="174">
        <v>-54.367812393045398</v>
      </c>
      <c r="AW81" s="168"/>
      <c r="AX81" s="168"/>
      <c r="AY81" s="176">
        <v>47</v>
      </c>
      <c r="AZ81" s="176">
        <v>64</v>
      </c>
      <c r="BA81" s="167"/>
      <c r="BB81" s="184">
        <v>219.2</v>
      </c>
      <c r="BC81" s="180">
        <v>39.414928726687201</v>
      </c>
      <c r="BD81" s="181" t="s">
        <v>55</v>
      </c>
      <c r="BE81" s="178">
        <v>1.2317165227089799</v>
      </c>
      <c r="BF81" s="179">
        <v>24.864375213909302</v>
      </c>
      <c r="BG81" s="168">
        <v>0.02</v>
      </c>
      <c r="BH81" s="168">
        <v>0.02</v>
      </c>
      <c r="BI81" s="176">
        <v>0</v>
      </c>
      <c r="BJ81" s="176">
        <v>0</v>
      </c>
      <c r="BK81" s="169"/>
      <c r="BL81" s="185">
        <v>0.8</v>
      </c>
      <c r="BM81" s="173">
        <v>0.62</v>
      </c>
      <c r="BN81" s="186"/>
      <c r="BO81" s="187">
        <v>0.95</v>
      </c>
      <c r="BP81" s="178">
        <v>1</v>
      </c>
      <c r="BQ81" s="186">
        <v>2.5000000000000001E-3</v>
      </c>
    </row>
    <row r="82" spans="1:69" s="156" customFormat="1" ht="22.35" customHeight="1" x14ac:dyDescent="0.2">
      <c r="A82" s="165" t="s">
        <v>80</v>
      </c>
      <c r="B82" s="165" t="s">
        <v>118</v>
      </c>
      <c r="C82" s="165" t="s">
        <v>136</v>
      </c>
      <c r="D82" s="166">
        <v>4.6816910714444404</v>
      </c>
      <c r="E82" s="167"/>
      <c r="F82" s="168">
        <v>0.03</v>
      </c>
      <c r="G82" s="168">
        <v>0.03</v>
      </c>
      <c r="H82" s="169"/>
      <c r="I82" s="170">
        <v>3</v>
      </c>
      <c r="J82" s="170">
        <v>3</v>
      </c>
      <c r="K82" s="167"/>
      <c r="L82" s="171">
        <v>5057.3916200000003</v>
      </c>
      <c r="M82" s="171">
        <v>1785.21137</v>
      </c>
      <c r="N82" s="171">
        <v>6842.6029900000003</v>
      </c>
      <c r="O82" s="166">
        <v>1461.5665334553701</v>
      </c>
      <c r="P82" s="172">
        <v>287.5</v>
      </c>
      <c r="Q82" s="178">
        <v>5.0837096815839002</v>
      </c>
      <c r="R82" s="179">
        <v>5372.7860781200197</v>
      </c>
      <c r="S82" s="168">
        <v>0.01</v>
      </c>
      <c r="T82" s="168">
        <v>0.01</v>
      </c>
      <c r="U82" s="175">
        <v>0</v>
      </c>
      <c r="V82" s="176">
        <v>0</v>
      </c>
      <c r="W82" s="167"/>
      <c r="X82" s="175">
        <v>2291.9000900000001</v>
      </c>
      <c r="Y82" s="166">
        <v>489.54534911097397</v>
      </c>
      <c r="Z82" s="177">
        <v>573</v>
      </c>
      <c r="AA82" s="188">
        <v>0.854354885010426</v>
      </c>
      <c r="AB82" s="171">
        <v>-637.50892045992896</v>
      </c>
      <c r="AC82" s="168"/>
      <c r="AD82" s="168"/>
      <c r="AE82" s="176">
        <v>391</v>
      </c>
      <c r="AF82" s="176">
        <v>928</v>
      </c>
      <c r="AG82" s="167"/>
      <c r="AH82" s="180">
        <v>189.2</v>
      </c>
      <c r="AI82" s="166">
        <v>40.4127476829918</v>
      </c>
      <c r="AJ82" s="181" t="s">
        <v>53</v>
      </c>
      <c r="AK82" s="173">
        <v>0.64147218544431495</v>
      </c>
      <c r="AL82" s="174">
        <v>-132.88161895109201</v>
      </c>
      <c r="AM82" s="168"/>
      <c r="AN82" s="168"/>
      <c r="AO82" s="176">
        <v>106</v>
      </c>
      <c r="AP82" s="176">
        <v>165</v>
      </c>
      <c r="AQ82" s="167"/>
      <c r="AR82" s="180">
        <v>58</v>
      </c>
      <c r="AS82" s="166">
        <v>12.3886858647649</v>
      </c>
      <c r="AT82" s="181" t="s">
        <v>54</v>
      </c>
      <c r="AU82" s="188">
        <v>0.77429286654780805</v>
      </c>
      <c r="AV82" s="171">
        <v>-23.798506400277201</v>
      </c>
      <c r="AW82" s="168"/>
      <c r="AX82" s="168"/>
      <c r="AY82" s="176">
        <v>17</v>
      </c>
      <c r="AZ82" s="176">
        <v>32</v>
      </c>
      <c r="BA82" s="167"/>
      <c r="BB82" s="184">
        <v>209.2</v>
      </c>
      <c r="BC82" s="180">
        <v>44.684708326014203</v>
      </c>
      <c r="BD82" s="181" t="s">
        <v>55</v>
      </c>
      <c r="BE82" s="178">
        <v>1.3963971351879401</v>
      </c>
      <c r="BF82" s="179">
        <v>45.602987199445501</v>
      </c>
      <c r="BG82" s="168">
        <v>0.02</v>
      </c>
      <c r="BH82" s="168">
        <v>0.02</v>
      </c>
      <c r="BI82" s="176">
        <v>0</v>
      </c>
      <c r="BJ82" s="176">
        <v>0</v>
      </c>
      <c r="BK82" s="169"/>
      <c r="BL82" s="185">
        <v>0.8</v>
      </c>
      <c r="BM82" s="173">
        <v>0.65</v>
      </c>
      <c r="BN82" s="186"/>
      <c r="BO82" s="187">
        <v>0.95</v>
      </c>
      <c r="BP82" s="178">
        <v>1</v>
      </c>
      <c r="BQ82" s="186">
        <v>2.5000000000000001E-3</v>
      </c>
    </row>
    <row r="83" spans="1:69" s="156" customFormat="1" ht="22.35" customHeight="1" x14ac:dyDescent="0.2">
      <c r="A83" s="165" t="s">
        <v>80</v>
      </c>
      <c r="B83" s="165" t="s">
        <v>118</v>
      </c>
      <c r="C83" s="165" t="s">
        <v>137</v>
      </c>
      <c r="D83" s="166">
        <v>2.8572871573333298</v>
      </c>
      <c r="E83" s="167"/>
      <c r="F83" s="168">
        <v>0.03</v>
      </c>
      <c r="G83" s="168">
        <v>0.03</v>
      </c>
      <c r="H83" s="169"/>
      <c r="I83" s="170">
        <v>3</v>
      </c>
      <c r="J83" s="170">
        <v>3</v>
      </c>
      <c r="K83" s="167"/>
      <c r="L83" s="171">
        <v>572.47702000000004</v>
      </c>
      <c r="M83" s="171">
        <v>691.70268999999996</v>
      </c>
      <c r="N83" s="171">
        <v>1264.1797099999999</v>
      </c>
      <c r="O83" s="166">
        <v>442.440553010374</v>
      </c>
      <c r="P83" s="172">
        <v>255.63</v>
      </c>
      <c r="Q83" s="178">
        <v>1.73078493529857</v>
      </c>
      <c r="R83" s="179">
        <v>466.57382889620197</v>
      </c>
      <c r="S83" s="168">
        <v>0.01</v>
      </c>
      <c r="T83" s="168">
        <v>0.01</v>
      </c>
      <c r="U83" s="175">
        <v>0</v>
      </c>
      <c r="V83" s="176">
        <v>0</v>
      </c>
      <c r="W83" s="167"/>
      <c r="X83" s="175">
        <v>604.84105</v>
      </c>
      <c r="Y83" s="166">
        <v>211.683676401811</v>
      </c>
      <c r="Z83" s="177">
        <v>573</v>
      </c>
      <c r="AA83" s="173">
        <v>0.36943049982864101</v>
      </c>
      <c r="AB83" s="174">
        <v>-1183.0092409379799</v>
      </c>
      <c r="AC83" s="168"/>
      <c r="AD83" s="168"/>
      <c r="AE83" s="176">
        <v>1033</v>
      </c>
      <c r="AF83" s="176">
        <v>1360</v>
      </c>
      <c r="AG83" s="167"/>
      <c r="AH83" s="180">
        <v>145.1</v>
      </c>
      <c r="AI83" s="166">
        <v>50.782435229723198</v>
      </c>
      <c r="AJ83" s="181" t="s">
        <v>53</v>
      </c>
      <c r="AK83" s="188">
        <v>0.80607040047179701</v>
      </c>
      <c r="AL83" s="171">
        <v>-51.4699272759038</v>
      </c>
      <c r="AM83" s="168"/>
      <c r="AN83" s="168"/>
      <c r="AO83" s="176">
        <v>35</v>
      </c>
      <c r="AP83" s="176">
        <v>71</v>
      </c>
      <c r="AQ83" s="167"/>
      <c r="AR83" s="180">
        <v>15.6</v>
      </c>
      <c r="AS83" s="166">
        <v>5.4597242562624597</v>
      </c>
      <c r="AT83" s="181" t="s">
        <v>54</v>
      </c>
      <c r="AU83" s="173">
        <v>0.34123276601640401</v>
      </c>
      <c r="AV83" s="174">
        <v>-34.322521212927903</v>
      </c>
      <c r="AW83" s="168"/>
      <c r="AX83" s="168"/>
      <c r="AY83" s="176">
        <v>31</v>
      </c>
      <c r="AZ83" s="176">
        <v>40</v>
      </c>
      <c r="BA83" s="167"/>
      <c r="BB83" s="184">
        <v>118.4</v>
      </c>
      <c r="BC83" s="180">
        <v>41.437907175735603</v>
      </c>
      <c r="BD83" s="181" t="s">
        <v>55</v>
      </c>
      <c r="BE83" s="178">
        <v>1.29493459924174</v>
      </c>
      <c r="BF83" s="179">
        <v>18.554957574144101</v>
      </c>
      <c r="BG83" s="168">
        <v>0.02</v>
      </c>
      <c r="BH83" s="168">
        <v>0.02</v>
      </c>
      <c r="BI83" s="176">
        <v>0</v>
      </c>
      <c r="BJ83" s="176">
        <v>0</v>
      </c>
      <c r="BK83" s="169"/>
      <c r="BL83" s="185">
        <v>0.8</v>
      </c>
      <c r="BM83" s="173">
        <v>0.66</v>
      </c>
      <c r="BN83" s="186"/>
      <c r="BO83" s="187">
        <v>0.95</v>
      </c>
      <c r="BP83" s="178">
        <v>1</v>
      </c>
      <c r="BQ83" s="186">
        <v>2.5000000000000001E-3</v>
      </c>
    </row>
    <row r="84" spans="1:69" s="156" customFormat="1" ht="22.35" customHeight="1" x14ac:dyDescent="0.2">
      <c r="A84" s="165" t="s">
        <v>80</v>
      </c>
      <c r="B84" s="165" t="s">
        <v>118</v>
      </c>
      <c r="C84" s="165" t="s">
        <v>138</v>
      </c>
      <c r="D84" s="166">
        <v>3.2583336913333301</v>
      </c>
      <c r="E84" s="167"/>
      <c r="F84" s="168">
        <v>0.01</v>
      </c>
      <c r="G84" s="168">
        <v>0.01</v>
      </c>
      <c r="H84" s="169"/>
      <c r="I84" s="170">
        <v>1</v>
      </c>
      <c r="J84" s="170">
        <v>1</v>
      </c>
      <c r="K84" s="167"/>
      <c r="L84" s="171">
        <v>3569.1160399999999</v>
      </c>
      <c r="M84" s="171">
        <v>1225.3152399999999</v>
      </c>
      <c r="N84" s="171">
        <v>4794.4312799999998</v>
      </c>
      <c r="O84" s="166">
        <v>1471.4365483045699</v>
      </c>
      <c r="P84" s="172">
        <v>287.5</v>
      </c>
      <c r="Q84" s="178">
        <v>5.1180401680158996</v>
      </c>
      <c r="R84" s="179">
        <v>3771.4774176059</v>
      </c>
      <c r="S84" s="168">
        <v>0.01</v>
      </c>
      <c r="T84" s="168">
        <v>0.01</v>
      </c>
      <c r="U84" s="175">
        <v>0</v>
      </c>
      <c r="V84" s="176">
        <v>0</v>
      </c>
      <c r="W84" s="167"/>
      <c r="X84" s="175">
        <v>1271.31799</v>
      </c>
      <c r="Y84" s="166">
        <v>390.17427631230998</v>
      </c>
      <c r="Z84" s="177">
        <v>573</v>
      </c>
      <c r="AA84" s="173">
        <v>0.68093241939321003</v>
      </c>
      <c r="AB84" s="174">
        <v>-767.47353400632596</v>
      </c>
      <c r="AC84" s="168"/>
      <c r="AD84" s="168"/>
      <c r="AE84" s="176">
        <v>596</v>
      </c>
      <c r="AF84" s="176">
        <v>970</v>
      </c>
      <c r="AG84" s="167"/>
      <c r="AH84" s="180">
        <v>63.05</v>
      </c>
      <c r="AI84" s="166">
        <v>19.350381505646101</v>
      </c>
      <c r="AJ84" s="181" t="s">
        <v>53</v>
      </c>
      <c r="AK84" s="173">
        <v>0.30714891278803302</v>
      </c>
      <c r="AL84" s="174">
        <v>-161.11032462896799</v>
      </c>
      <c r="AM84" s="168"/>
      <c r="AN84" s="168"/>
      <c r="AO84" s="176">
        <v>143</v>
      </c>
      <c r="AP84" s="176">
        <v>184</v>
      </c>
      <c r="AQ84" s="167"/>
      <c r="AR84" s="180">
        <v>14.6</v>
      </c>
      <c r="AS84" s="166">
        <v>4.4808179220052704</v>
      </c>
      <c r="AT84" s="181" t="s">
        <v>54</v>
      </c>
      <c r="AU84" s="173">
        <v>0.28005112012532901</v>
      </c>
      <c r="AV84" s="174">
        <v>-42.3296062549759</v>
      </c>
      <c r="AW84" s="168"/>
      <c r="AX84" s="168"/>
      <c r="AY84" s="176">
        <v>38</v>
      </c>
      <c r="AZ84" s="176">
        <v>48</v>
      </c>
      <c r="BA84" s="167"/>
      <c r="BB84" s="184">
        <v>81.2</v>
      </c>
      <c r="BC84" s="180">
        <v>24.9207133744403</v>
      </c>
      <c r="BD84" s="181" t="s">
        <v>55</v>
      </c>
      <c r="BE84" s="188">
        <v>0.77877229295125905</v>
      </c>
      <c r="BF84" s="171">
        <v>-32.6592125099519</v>
      </c>
      <c r="BG84" s="168"/>
      <c r="BH84" s="168"/>
      <c r="BI84" s="176">
        <v>24</v>
      </c>
      <c r="BJ84" s="176">
        <v>44</v>
      </c>
      <c r="BK84" s="169"/>
      <c r="BL84" s="185">
        <v>0.8</v>
      </c>
      <c r="BM84" s="173">
        <v>0.64</v>
      </c>
      <c r="BN84" s="186"/>
      <c r="BO84" s="187">
        <v>0.95</v>
      </c>
      <c r="BP84" s="173">
        <v>0.8</v>
      </c>
      <c r="BQ84" s="186"/>
    </row>
    <row r="85" spans="1:69" s="156" customFormat="1" ht="22.35" customHeight="1" x14ac:dyDescent="0.2">
      <c r="A85" s="165" t="s">
        <v>139</v>
      </c>
      <c r="B85" s="165" t="s">
        <v>140</v>
      </c>
      <c r="C85" s="165" t="s">
        <v>141</v>
      </c>
      <c r="D85" s="166">
        <v>3.7189131554444401</v>
      </c>
      <c r="E85" s="167"/>
      <c r="F85" s="168">
        <v>2.9000000000000001E-2</v>
      </c>
      <c r="G85" s="168">
        <v>1.6E-2</v>
      </c>
      <c r="H85" s="169"/>
      <c r="I85" s="170">
        <v>4</v>
      </c>
      <c r="J85" s="170">
        <v>3</v>
      </c>
      <c r="K85" s="167"/>
      <c r="L85" s="171">
        <v>10981.78997</v>
      </c>
      <c r="M85" s="171">
        <v>2755.01757</v>
      </c>
      <c r="N85" s="171">
        <v>13736.80754</v>
      </c>
      <c r="O85" s="166">
        <v>3693.7693798763398</v>
      </c>
      <c r="P85" s="172">
        <v>287.5</v>
      </c>
      <c r="Q85" s="178">
        <v>12.847893495222101</v>
      </c>
      <c r="R85" s="179">
        <v>12569.2547548482</v>
      </c>
      <c r="S85" s="168">
        <v>0.01</v>
      </c>
      <c r="T85" s="168">
        <v>0.01</v>
      </c>
      <c r="U85" s="175">
        <v>0</v>
      </c>
      <c r="V85" s="176">
        <v>0</v>
      </c>
      <c r="W85" s="167"/>
      <c r="X85" s="175">
        <v>2262.3280650000002</v>
      </c>
      <c r="Y85" s="166">
        <v>608.33043699554503</v>
      </c>
      <c r="Z85" s="177">
        <v>573</v>
      </c>
      <c r="AA85" s="182">
        <v>1.06165870330811</v>
      </c>
      <c r="AB85" s="183">
        <v>-64.655398972072803</v>
      </c>
      <c r="AC85" s="168">
        <v>1.7000000000000001E-2</v>
      </c>
      <c r="AD85" s="168">
        <v>6.0000000000000001E-3</v>
      </c>
      <c r="AE85" s="176">
        <v>0</v>
      </c>
      <c r="AF85" s="176">
        <v>295</v>
      </c>
      <c r="AG85" s="167"/>
      <c r="AH85" s="180">
        <v>161.4</v>
      </c>
      <c r="AI85" s="166">
        <v>43.399776562061497</v>
      </c>
      <c r="AJ85" s="181" t="s">
        <v>53</v>
      </c>
      <c r="AK85" s="173">
        <v>0.68888534225494402</v>
      </c>
      <c r="AL85" s="174">
        <v>-94.446349441955704</v>
      </c>
      <c r="AM85" s="168"/>
      <c r="AN85" s="168"/>
      <c r="AO85" s="176">
        <v>73</v>
      </c>
      <c r="AP85" s="176">
        <v>120</v>
      </c>
      <c r="AQ85" s="167"/>
      <c r="AR85" s="180">
        <v>20.2</v>
      </c>
      <c r="AS85" s="166">
        <v>5.4316944643967897</v>
      </c>
      <c r="AT85" s="181" t="s">
        <v>54</v>
      </c>
      <c r="AU85" s="173">
        <v>0.33948090402479902</v>
      </c>
      <c r="AV85" s="174">
        <v>-44.776850651925301</v>
      </c>
      <c r="AW85" s="168"/>
      <c r="AX85" s="168"/>
      <c r="AY85" s="176">
        <v>40</v>
      </c>
      <c r="AZ85" s="176">
        <v>52</v>
      </c>
      <c r="BA85" s="167"/>
      <c r="BB85" s="184">
        <v>110.4</v>
      </c>
      <c r="BC85" s="180">
        <v>29.686092518287399</v>
      </c>
      <c r="BD85" s="181" t="s">
        <v>55</v>
      </c>
      <c r="BE85" s="182">
        <v>0.927690391196482</v>
      </c>
      <c r="BF85" s="183">
        <v>-19.553701303850499</v>
      </c>
      <c r="BG85" s="168">
        <v>2E-3</v>
      </c>
      <c r="BH85" s="168"/>
      <c r="BI85" s="176">
        <v>9</v>
      </c>
      <c r="BJ85" s="176">
        <v>33</v>
      </c>
      <c r="BK85" s="169"/>
      <c r="BL85" s="185">
        <v>0.8</v>
      </c>
      <c r="BM85" s="188">
        <v>0.73</v>
      </c>
      <c r="BN85" s="186"/>
      <c r="BO85" s="187">
        <v>0.95</v>
      </c>
      <c r="BP85" s="178">
        <v>1</v>
      </c>
      <c r="BQ85" s="186">
        <v>2.5000000000000001E-3</v>
      </c>
    </row>
    <row r="86" spans="1:69" s="156" customFormat="1" ht="22.35" customHeight="1" x14ac:dyDescent="0.2">
      <c r="A86" s="165" t="s">
        <v>139</v>
      </c>
      <c r="B86" s="165" t="s">
        <v>140</v>
      </c>
      <c r="C86" s="165" t="s">
        <v>142</v>
      </c>
      <c r="D86" s="166">
        <v>8.0608712013333292</v>
      </c>
      <c r="E86" s="167"/>
      <c r="F86" s="168">
        <v>0.03</v>
      </c>
      <c r="G86" s="168">
        <v>2.1999999999999999E-2</v>
      </c>
      <c r="H86" s="169"/>
      <c r="I86" s="170">
        <v>3</v>
      </c>
      <c r="J86" s="170">
        <v>3</v>
      </c>
      <c r="K86" s="167"/>
      <c r="L86" s="171">
        <v>3791.7838099999999</v>
      </c>
      <c r="M86" s="171">
        <v>4343.76602</v>
      </c>
      <c r="N86" s="171">
        <v>8135.5498299999999</v>
      </c>
      <c r="O86" s="166">
        <v>1009.26433716672</v>
      </c>
      <c r="P86" s="172">
        <v>287.5</v>
      </c>
      <c r="Q86" s="178">
        <v>3.5104846510146799</v>
      </c>
      <c r="R86" s="179">
        <v>5604.8393163414003</v>
      </c>
      <c r="S86" s="168">
        <v>0.01</v>
      </c>
      <c r="T86" s="168">
        <v>0.01</v>
      </c>
      <c r="U86" s="175">
        <v>0</v>
      </c>
      <c r="V86" s="176">
        <v>0</v>
      </c>
      <c r="W86" s="167"/>
      <c r="X86" s="175">
        <v>2734.83212</v>
      </c>
      <c r="Y86" s="166">
        <v>339.27252423381202</v>
      </c>
      <c r="Z86" s="177">
        <v>573</v>
      </c>
      <c r="AA86" s="173">
        <v>0.592098646132307</v>
      </c>
      <c r="AB86" s="174">
        <v>-2308.9839646134901</v>
      </c>
      <c r="AC86" s="168"/>
      <c r="AD86" s="168"/>
      <c r="AE86" s="176">
        <v>1885</v>
      </c>
      <c r="AF86" s="176">
        <v>2808</v>
      </c>
      <c r="AG86" s="167"/>
      <c r="AH86" s="180">
        <v>293.39999999999998</v>
      </c>
      <c r="AI86" s="166">
        <v>36.398050864709198</v>
      </c>
      <c r="AJ86" s="181" t="s">
        <v>53</v>
      </c>
      <c r="AK86" s="173">
        <v>0.57774683912236802</v>
      </c>
      <c r="AL86" s="174">
        <v>-261.15569516692801</v>
      </c>
      <c r="AM86" s="168"/>
      <c r="AN86" s="168"/>
      <c r="AO86" s="176">
        <v>215</v>
      </c>
      <c r="AP86" s="176">
        <v>317</v>
      </c>
      <c r="AQ86" s="167"/>
      <c r="AR86" s="180">
        <v>52.6</v>
      </c>
      <c r="AS86" s="166">
        <v>6.5253492688606096</v>
      </c>
      <c r="AT86" s="181" t="s">
        <v>54</v>
      </c>
      <c r="AU86" s="173">
        <v>0.40783432930378799</v>
      </c>
      <c r="AV86" s="174">
        <v>-88.239541629695907</v>
      </c>
      <c r="AW86" s="168"/>
      <c r="AX86" s="168"/>
      <c r="AY86" s="176">
        <v>77</v>
      </c>
      <c r="AZ86" s="176">
        <v>103</v>
      </c>
      <c r="BA86" s="167"/>
      <c r="BB86" s="184">
        <v>288.39999999999998</v>
      </c>
      <c r="BC86" s="180">
        <v>35.777770515958203</v>
      </c>
      <c r="BD86" s="181" t="s">
        <v>55</v>
      </c>
      <c r="BE86" s="178">
        <v>1.1180553286236901</v>
      </c>
      <c r="BF86" s="179">
        <v>6.7209167406081702</v>
      </c>
      <c r="BG86" s="168">
        <v>0.02</v>
      </c>
      <c r="BH86" s="168">
        <v>1.2E-2</v>
      </c>
      <c r="BI86" s="176">
        <v>0</v>
      </c>
      <c r="BJ86" s="176">
        <v>22</v>
      </c>
      <c r="BK86" s="169"/>
      <c r="BL86" s="185">
        <v>0.8</v>
      </c>
      <c r="BM86" s="173">
        <v>0.6</v>
      </c>
      <c r="BN86" s="186"/>
      <c r="BO86" s="187">
        <v>0.95</v>
      </c>
      <c r="BP86" s="178">
        <v>1</v>
      </c>
      <c r="BQ86" s="186">
        <v>2.5000000000000001E-3</v>
      </c>
    </row>
    <row r="87" spans="1:69" s="156" customFormat="1" ht="22.35" customHeight="1" x14ac:dyDescent="0.2">
      <c r="A87" s="165" t="s">
        <v>139</v>
      </c>
      <c r="B87" s="165" t="s">
        <v>140</v>
      </c>
      <c r="C87" s="165" t="s">
        <v>143</v>
      </c>
      <c r="D87" s="166">
        <v>6.5973797197777797</v>
      </c>
      <c r="E87" s="167"/>
      <c r="F87" s="168">
        <v>0.03</v>
      </c>
      <c r="G87" s="168">
        <v>2.9000000000000001E-2</v>
      </c>
      <c r="H87" s="169"/>
      <c r="I87" s="170">
        <v>3</v>
      </c>
      <c r="J87" s="170">
        <v>3</v>
      </c>
      <c r="K87" s="167"/>
      <c r="L87" s="171">
        <v>12123.340889999999</v>
      </c>
      <c r="M87" s="171">
        <v>1955.39708</v>
      </c>
      <c r="N87" s="171">
        <v>14078.73797</v>
      </c>
      <c r="O87" s="166">
        <v>2133.9893363716001</v>
      </c>
      <c r="P87" s="172">
        <v>271.31</v>
      </c>
      <c r="Q87" s="178">
        <v>7.8655019585404098</v>
      </c>
      <c r="R87" s="179">
        <v>12124.128849784</v>
      </c>
      <c r="S87" s="168">
        <v>0.01</v>
      </c>
      <c r="T87" s="168">
        <v>0.01</v>
      </c>
      <c r="U87" s="175">
        <v>0</v>
      </c>
      <c r="V87" s="176">
        <v>0</v>
      </c>
      <c r="W87" s="167"/>
      <c r="X87" s="175">
        <v>3078.0458199999998</v>
      </c>
      <c r="Y87" s="166">
        <v>466.55580711423403</v>
      </c>
      <c r="Z87" s="177">
        <v>573</v>
      </c>
      <c r="AA87" s="188">
        <v>0.81423352026916895</v>
      </c>
      <c r="AB87" s="171">
        <v>-1050.04022874047</v>
      </c>
      <c r="AC87" s="168"/>
      <c r="AD87" s="168"/>
      <c r="AE87" s="176">
        <v>703</v>
      </c>
      <c r="AF87" s="176">
        <v>1459</v>
      </c>
      <c r="AG87" s="167"/>
      <c r="AH87" s="180">
        <v>306.8</v>
      </c>
      <c r="AI87" s="166">
        <v>46.503310864504002</v>
      </c>
      <c r="AJ87" s="181" t="s">
        <v>53</v>
      </c>
      <c r="AK87" s="188">
        <v>0.73814779150006304</v>
      </c>
      <c r="AL87" s="171">
        <v>-147.07333520183201</v>
      </c>
      <c r="AM87" s="168"/>
      <c r="AN87" s="168"/>
      <c r="AO87" s="176">
        <v>109</v>
      </c>
      <c r="AP87" s="176">
        <v>192</v>
      </c>
      <c r="AQ87" s="167"/>
      <c r="AR87" s="180">
        <v>49.4</v>
      </c>
      <c r="AS87" s="166">
        <v>7.4878212408947</v>
      </c>
      <c r="AT87" s="181" t="s">
        <v>54</v>
      </c>
      <c r="AU87" s="173">
        <v>0.46798882755591897</v>
      </c>
      <c r="AV87" s="174">
        <v>-65.869418463957402</v>
      </c>
      <c r="AW87" s="168"/>
      <c r="AX87" s="168"/>
      <c r="AY87" s="176">
        <v>57</v>
      </c>
      <c r="AZ87" s="176">
        <v>78</v>
      </c>
      <c r="BA87" s="167"/>
      <c r="BB87" s="184">
        <v>250.4</v>
      </c>
      <c r="BC87" s="180">
        <v>37.954462322267901</v>
      </c>
      <c r="BD87" s="181" t="s">
        <v>55</v>
      </c>
      <c r="BE87" s="178">
        <v>1.1860769475708699</v>
      </c>
      <c r="BF87" s="179">
        <v>19.861163072085201</v>
      </c>
      <c r="BG87" s="168">
        <v>0.02</v>
      </c>
      <c r="BH87" s="168">
        <v>1.9E-2</v>
      </c>
      <c r="BI87" s="176">
        <v>0</v>
      </c>
      <c r="BJ87" s="176">
        <v>3</v>
      </c>
      <c r="BK87" s="169"/>
      <c r="BL87" s="185">
        <v>0.8</v>
      </c>
      <c r="BM87" s="188">
        <v>0.74</v>
      </c>
      <c r="BN87" s="186"/>
      <c r="BO87" s="187">
        <v>0.95</v>
      </c>
      <c r="BP87" s="178">
        <v>1</v>
      </c>
      <c r="BQ87" s="186">
        <v>2.5000000000000001E-3</v>
      </c>
    </row>
    <row r="88" spans="1:69" s="156" customFormat="1" ht="22.35" customHeight="1" x14ac:dyDescent="0.2">
      <c r="A88" s="165" t="s">
        <v>139</v>
      </c>
      <c r="B88" s="165" t="s">
        <v>140</v>
      </c>
      <c r="C88" s="165" t="s">
        <v>144</v>
      </c>
      <c r="D88" s="166">
        <v>1.00891054722222</v>
      </c>
      <c r="E88" s="167"/>
      <c r="F88" s="168">
        <v>0.02</v>
      </c>
      <c r="G88" s="168">
        <v>0.02</v>
      </c>
      <c r="H88" s="169"/>
      <c r="I88" s="170">
        <v>2</v>
      </c>
      <c r="J88" s="170">
        <v>2</v>
      </c>
      <c r="K88" s="167"/>
      <c r="L88" s="171">
        <v>-8790.1266300000007</v>
      </c>
      <c r="M88" s="171">
        <v>-1747.70876</v>
      </c>
      <c r="N88" s="171">
        <v>-10537.83539</v>
      </c>
      <c r="O88" s="166">
        <v>-10444.766802184</v>
      </c>
      <c r="P88" s="172">
        <v>287.5</v>
      </c>
      <c r="Q88" s="173">
        <v>-36.329623659770597</v>
      </c>
      <c r="R88" s="174">
        <v>-10854.5828563004</v>
      </c>
      <c r="S88" s="168"/>
      <c r="T88" s="168"/>
      <c r="U88" s="175">
        <v>10828</v>
      </c>
      <c r="V88" s="176">
        <v>10886</v>
      </c>
      <c r="W88" s="167"/>
      <c r="X88" s="175">
        <v>354.96262000000002</v>
      </c>
      <c r="Y88" s="166">
        <v>351.82764317143801</v>
      </c>
      <c r="Z88" s="177">
        <v>573</v>
      </c>
      <c r="AA88" s="173">
        <v>0.61400984846673201</v>
      </c>
      <c r="AB88" s="174">
        <v>-276.32885196569902</v>
      </c>
      <c r="AC88" s="168"/>
      <c r="AD88" s="168"/>
      <c r="AE88" s="176">
        <v>224</v>
      </c>
      <c r="AF88" s="176">
        <v>339</v>
      </c>
      <c r="AG88" s="167"/>
      <c r="AH88" s="180">
        <v>23.6</v>
      </c>
      <c r="AI88" s="166">
        <v>23.3915683258308</v>
      </c>
      <c r="AJ88" s="181" t="s">
        <v>53</v>
      </c>
      <c r="AK88" s="173">
        <v>0.371294735330648</v>
      </c>
      <c r="AL88" s="174">
        <v>-45.8090100066998</v>
      </c>
      <c r="AM88" s="168"/>
      <c r="AN88" s="168"/>
      <c r="AO88" s="176">
        <v>40</v>
      </c>
      <c r="AP88" s="176">
        <v>53</v>
      </c>
      <c r="AQ88" s="167"/>
      <c r="AR88" s="180"/>
      <c r="AS88" s="166" t="s">
        <v>145</v>
      </c>
      <c r="AT88" s="181" t="s">
        <v>54</v>
      </c>
      <c r="AU88" s="173"/>
      <c r="AV88" s="174"/>
      <c r="AW88" s="168"/>
      <c r="AX88" s="168"/>
      <c r="AY88" s="176">
        <v>17</v>
      </c>
      <c r="AZ88" s="176">
        <v>20</v>
      </c>
      <c r="BA88" s="167"/>
      <c r="BB88" s="184">
        <v>60.4</v>
      </c>
      <c r="BC88" s="180">
        <v>59.866556223736602</v>
      </c>
      <c r="BD88" s="181" t="s">
        <v>55</v>
      </c>
      <c r="BE88" s="178">
        <v>1.8708298819917699</v>
      </c>
      <c r="BF88" s="179">
        <v>25.144629837866699</v>
      </c>
      <c r="BG88" s="168">
        <v>0.02</v>
      </c>
      <c r="BH88" s="168">
        <v>0.02</v>
      </c>
      <c r="BI88" s="176">
        <v>0</v>
      </c>
      <c r="BJ88" s="176">
        <v>0</v>
      </c>
      <c r="BK88" s="169"/>
      <c r="BL88" s="185">
        <v>0.8</v>
      </c>
      <c r="BM88" s="173"/>
      <c r="BN88" s="186"/>
      <c r="BO88" s="187">
        <v>0.95</v>
      </c>
      <c r="BP88" s="178">
        <v>1</v>
      </c>
      <c r="BQ88" s="186">
        <v>2.5000000000000001E-3</v>
      </c>
    </row>
    <row r="89" spans="1:69" s="156" customFormat="1" ht="22.35" customHeight="1" x14ac:dyDescent="0.2">
      <c r="A89" s="165" t="s">
        <v>139</v>
      </c>
      <c r="B89" s="165" t="s">
        <v>140</v>
      </c>
      <c r="C89" s="165" t="s">
        <v>146</v>
      </c>
      <c r="D89" s="166">
        <v>1.63022700111111</v>
      </c>
      <c r="E89" s="167"/>
      <c r="F89" s="168"/>
      <c r="G89" s="168"/>
      <c r="H89" s="169"/>
      <c r="I89" s="170">
        <v>2</v>
      </c>
      <c r="J89" s="170">
        <v>2</v>
      </c>
      <c r="K89" s="167"/>
      <c r="L89" s="171">
        <v>-7930.2476800000004</v>
      </c>
      <c r="M89" s="171">
        <v>-1204.0251499999999</v>
      </c>
      <c r="N89" s="171">
        <v>-9134.2728299999999</v>
      </c>
      <c r="O89" s="166">
        <v>-5603.0680535743604</v>
      </c>
      <c r="P89" s="172">
        <v>264.70999999999998</v>
      </c>
      <c r="Q89" s="173">
        <v>-21.166816718576399</v>
      </c>
      <c r="R89" s="174">
        <v>-9605.5116592948198</v>
      </c>
      <c r="S89" s="168"/>
      <c r="T89" s="168"/>
      <c r="U89" s="175">
        <v>9566</v>
      </c>
      <c r="V89" s="176">
        <v>9653</v>
      </c>
      <c r="W89" s="167"/>
      <c r="X89" s="175">
        <v>368.50261</v>
      </c>
      <c r="Y89" s="166">
        <v>226.04374099364099</v>
      </c>
      <c r="Z89" s="177">
        <v>573</v>
      </c>
      <c r="AA89" s="173">
        <v>0.39449169457877997</v>
      </c>
      <c r="AB89" s="174">
        <v>-651.55650822723896</v>
      </c>
      <c r="AC89" s="168"/>
      <c r="AD89" s="168"/>
      <c r="AE89" s="176">
        <v>566</v>
      </c>
      <c r="AF89" s="176">
        <v>753</v>
      </c>
      <c r="AG89" s="167"/>
      <c r="AH89" s="180">
        <v>65.2</v>
      </c>
      <c r="AI89" s="166">
        <v>39.994430196262101</v>
      </c>
      <c r="AJ89" s="181" t="s">
        <v>53</v>
      </c>
      <c r="AK89" s="173">
        <v>0.63483222533749295</v>
      </c>
      <c r="AL89" s="174">
        <v>-46.953096768439899</v>
      </c>
      <c r="AM89" s="168"/>
      <c r="AN89" s="168"/>
      <c r="AO89" s="176">
        <v>38</v>
      </c>
      <c r="AP89" s="176">
        <v>59</v>
      </c>
      <c r="AQ89" s="167"/>
      <c r="AR89" s="180">
        <v>1.8</v>
      </c>
      <c r="AS89" s="166">
        <v>1.1041407109397501</v>
      </c>
      <c r="AT89" s="181" t="s">
        <v>54</v>
      </c>
      <c r="AU89" s="173">
        <v>6.9008794433734394E-2</v>
      </c>
      <c r="AV89" s="174">
        <v>-26.683326163413302</v>
      </c>
      <c r="AW89" s="168"/>
      <c r="AX89" s="168"/>
      <c r="AY89" s="176">
        <v>25</v>
      </c>
      <c r="AZ89" s="176">
        <v>30</v>
      </c>
      <c r="BA89" s="167"/>
      <c r="BB89" s="184">
        <v>26</v>
      </c>
      <c r="BC89" s="180">
        <v>15.9486991580186</v>
      </c>
      <c r="BD89" s="181" t="s">
        <v>55</v>
      </c>
      <c r="BE89" s="173">
        <v>0.49839684868808198</v>
      </c>
      <c r="BF89" s="174">
        <v>-30.966652326826601</v>
      </c>
      <c r="BG89" s="168"/>
      <c r="BH89" s="168"/>
      <c r="BI89" s="176">
        <v>27</v>
      </c>
      <c r="BJ89" s="176">
        <v>37</v>
      </c>
      <c r="BK89" s="169"/>
      <c r="BL89" s="185">
        <v>0.8</v>
      </c>
      <c r="BM89" s="178">
        <v>1</v>
      </c>
      <c r="BN89" s="186">
        <v>7.4999999999999997E-3</v>
      </c>
      <c r="BO89" s="187">
        <v>0.95</v>
      </c>
      <c r="BP89" s="178">
        <v>1</v>
      </c>
      <c r="BQ89" s="186">
        <v>2.5000000000000001E-3</v>
      </c>
    </row>
    <row r="90" spans="1:69" s="156" customFormat="1" ht="22.35" customHeight="1" x14ac:dyDescent="0.2">
      <c r="A90" s="165" t="s">
        <v>139</v>
      </c>
      <c r="B90" s="165" t="s">
        <v>140</v>
      </c>
      <c r="C90" s="165" t="s">
        <v>147</v>
      </c>
      <c r="D90" s="166">
        <v>4.5991464215555604</v>
      </c>
      <c r="E90" s="167"/>
      <c r="F90" s="168">
        <v>3.1E-2</v>
      </c>
      <c r="G90" s="168">
        <v>2.4E-2</v>
      </c>
      <c r="H90" s="169"/>
      <c r="I90" s="170">
        <v>4</v>
      </c>
      <c r="J90" s="170">
        <v>3</v>
      </c>
      <c r="K90" s="167"/>
      <c r="L90" s="171">
        <v>1382.64159</v>
      </c>
      <c r="M90" s="171">
        <v>3871.95037</v>
      </c>
      <c r="N90" s="171">
        <v>5254.5919599999997</v>
      </c>
      <c r="O90" s="166">
        <v>1142.5146056173501</v>
      </c>
      <c r="P90" s="172">
        <v>265.83499999999998</v>
      </c>
      <c r="Q90" s="178">
        <v>4.29783363972897</v>
      </c>
      <c r="R90" s="179">
        <v>3919.4973748401499</v>
      </c>
      <c r="S90" s="168">
        <v>0.01</v>
      </c>
      <c r="T90" s="168">
        <v>0.01</v>
      </c>
      <c r="U90" s="175">
        <v>0</v>
      </c>
      <c r="V90" s="176">
        <v>0</v>
      </c>
      <c r="W90" s="167"/>
      <c r="X90" s="175">
        <v>2314.3428950000002</v>
      </c>
      <c r="Y90" s="166">
        <v>503.21139682637602</v>
      </c>
      <c r="Z90" s="177">
        <v>573</v>
      </c>
      <c r="AA90" s="188">
        <v>0.87820488102334404</v>
      </c>
      <c r="AB90" s="171">
        <v>-563.416607310058</v>
      </c>
      <c r="AC90" s="168"/>
      <c r="AD90" s="168"/>
      <c r="AE90" s="176">
        <v>321</v>
      </c>
      <c r="AF90" s="176">
        <v>849</v>
      </c>
      <c r="AG90" s="167"/>
      <c r="AH90" s="180">
        <v>264.39999999999998</v>
      </c>
      <c r="AI90" s="166">
        <v>57.488928545695799</v>
      </c>
      <c r="AJ90" s="181" t="s">
        <v>53</v>
      </c>
      <c r="AK90" s="182">
        <v>0.91252267532850495</v>
      </c>
      <c r="AL90" s="183">
        <v>-52.002877217336298</v>
      </c>
      <c r="AM90" s="168">
        <v>1E-3</v>
      </c>
      <c r="AN90" s="168"/>
      <c r="AO90" s="176">
        <v>26</v>
      </c>
      <c r="AP90" s="176">
        <v>84</v>
      </c>
      <c r="AQ90" s="167"/>
      <c r="AR90" s="180">
        <v>57</v>
      </c>
      <c r="AS90" s="166">
        <v>12.393604111590999</v>
      </c>
      <c r="AT90" s="181" t="s">
        <v>54</v>
      </c>
      <c r="AU90" s="188">
        <v>0.77460025697443702</v>
      </c>
      <c r="AV90" s="171">
        <v>-23.3562862774187</v>
      </c>
      <c r="AW90" s="168"/>
      <c r="AX90" s="168"/>
      <c r="AY90" s="176">
        <v>17</v>
      </c>
      <c r="AZ90" s="176">
        <v>32</v>
      </c>
      <c r="BA90" s="167"/>
      <c r="BB90" s="184">
        <v>168.4</v>
      </c>
      <c r="BC90" s="180">
        <v>36.615490041963596</v>
      </c>
      <c r="BD90" s="181" t="s">
        <v>55</v>
      </c>
      <c r="BE90" s="178">
        <v>1.1442340638113599</v>
      </c>
      <c r="BF90" s="179">
        <v>7.68742744516251</v>
      </c>
      <c r="BG90" s="168">
        <v>0.02</v>
      </c>
      <c r="BH90" s="168">
        <v>1.4E-2</v>
      </c>
      <c r="BI90" s="176">
        <v>0</v>
      </c>
      <c r="BJ90" s="176">
        <v>9</v>
      </c>
      <c r="BK90" s="169"/>
      <c r="BL90" s="185">
        <v>0.8</v>
      </c>
      <c r="BM90" s="188">
        <v>0.74</v>
      </c>
      <c r="BN90" s="186"/>
      <c r="BO90" s="187">
        <v>0.95</v>
      </c>
      <c r="BP90" s="178">
        <v>1</v>
      </c>
      <c r="BQ90" s="186">
        <v>2.5000000000000001E-3</v>
      </c>
    </row>
    <row r="91" spans="1:69" s="156" customFormat="1" ht="22.35" customHeight="1" x14ac:dyDescent="0.2">
      <c r="A91" s="165" t="s">
        <v>139</v>
      </c>
      <c r="B91" s="165" t="s">
        <v>140</v>
      </c>
      <c r="C91" s="165" t="s">
        <v>148</v>
      </c>
      <c r="D91" s="166">
        <v>5.8587699798888897</v>
      </c>
      <c r="E91" s="167"/>
      <c r="F91" s="168">
        <v>0.02</v>
      </c>
      <c r="G91" s="168">
        <v>0.02</v>
      </c>
      <c r="H91" s="169"/>
      <c r="I91" s="170">
        <v>2</v>
      </c>
      <c r="J91" s="170">
        <v>2</v>
      </c>
      <c r="K91" s="167"/>
      <c r="L91" s="171">
        <v>-3443.7293399999999</v>
      </c>
      <c r="M91" s="171">
        <v>3350.1190299999998</v>
      </c>
      <c r="N91" s="171">
        <v>-93.610309999999998</v>
      </c>
      <c r="O91" s="166">
        <v>-15.9778093902528</v>
      </c>
      <c r="P91" s="172">
        <v>266.37799999999999</v>
      </c>
      <c r="Q91" s="173">
        <v>-5.9981715420390602E-2</v>
      </c>
      <c r="R91" s="174">
        <v>-1797.8373032355</v>
      </c>
      <c r="S91" s="168"/>
      <c r="T91" s="168"/>
      <c r="U91" s="175">
        <v>1655</v>
      </c>
      <c r="V91" s="176">
        <v>1967</v>
      </c>
      <c r="W91" s="167"/>
      <c r="X91" s="175">
        <v>2473.6033050000001</v>
      </c>
      <c r="Y91" s="166">
        <v>422.20522626609602</v>
      </c>
      <c r="Z91" s="177">
        <v>573</v>
      </c>
      <c r="AA91" s="188">
        <v>0.73683285561273304</v>
      </c>
      <c r="AB91" s="171">
        <v>-1192.32281173616</v>
      </c>
      <c r="AC91" s="168"/>
      <c r="AD91" s="168"/>
      <c r="AE91" s="176">
        <v>884</v>
      </c>
      <c r="AF91" s="176">
        <v>1555</v>
      </c>
      <c r="AG91" s="167"/>
      <c r="AH91" s="180">
        <v>290.7</v>
      </c>
      <c r="AI91" s="166">
        <v>49.617923386286101</v>
      </c>
      <c r="AJ91" s="181" t="s">
        <v>53</v>
      </c>
      <c r="AK91" s="188">
        <v>0.78758608549660503</v>
      </c>
      <c r="AL91" s="171">
        <v>-112.359939536436</v>
      </c>
      <c r="AM91" s="168"/>
      <c r="AN91" s="168"/>
      <c r="AO91" s="176">
        <v>79</v>
      </c>
      <c r="AP91" s="176">
        <v>153</v>
      </c>
      <c r="AQ91" s="167"/>
      <c r="AR91" s="180">
        <v>22.4</v>
      </c>
      <c r="AS91" s="166">
        <v>3.8233281178287202</v>
      </c>
      <c r="AT91" s="181" t="s">
        <v>54</v>
      </c>
      <c r="AU91" s="173">
        <v>0.23895800736429501</v>
      </c>
      <c r="AV91" s="174">
        <v>-79.964429088618701</v>
      </c>
      <c r="AW91" s="168"/>
      <c r="AX91" s="168"/>
      <c r="AY91" s="176">
        <v>72</v>
      </c>
      <c r="AZ91" s="176">
        <v>91</v>
      </c>
      <c r="BA91" s="167"/>
      <c r="BB91" s="184">
        <v>229</v>
      </c>
      <c r="BC91" s="180">
        <v>39.086702633159703</v>
      </c>
      <c r="BD91" s="181" t="s">
        <v>55</v>
      </c>
      <c r="BE91" s="178">
        <v>1.2214594572862401</v>
      </c>
      <c r="BF91" s="179">
        <v>24.271141822762601</v>
      </c>
      <c r="BG91" s="168">
        <v>0.02</v>
      </c>
      <c r="BH91" s="168">
        <v>0.02</v>
      </c>
      <c r="BI91" s="176">
        <v>0</v>
      </c>
      <c r="BJ91" s="176">
        <v>0</v>
      </c>
      <c r="BK91" s="169"/>
      <c r="BL91" s="185">
        <v>0.8</v>
      </c>
      <c r="BM91" s="188">
        <v>0.72</v>
      </c>
      <c r="BN91" s="186"/>
      <c r="BO91" s="187">
        <v>0.95</v>
      </c>
      <c r="BP91" s="178">
        <v>1</v>
      </c>
      <c r="BQ91" s="186">
        <v>2.5000000000000001E-3</v>
      </c>
    </row>
    <row r="92" spans="1:69" s="156" customFormat="1" ht="22.35" customHeight="1" x14ac:dyDescent="0.2">
      <c r="A92" s="165" t="s">
        <v>139</v>
      </c>
      <c r="B92" s="165" t="s">
        <v>140</v>
      </c>
      <c r="C92" s="165" t="s">
        <v>149</v>
      </c>
      <c r="D92" s="166">
        <v>3.2458373859999998</v>
      </c>
      <c r="E92" s="167"/>
      <c r="F92" s="168">
        <v>0.04</v>
      </c>
      <c r="G92" s="168">
        <v>0.03</v>
      </c>
      <c r="H92" s="169"/>
      <c r="I92" s="170">
        <v>5</v>
      </c>
      <c r="J92" s="170">
        <v>3</v>
      </c>
      <c r="K92" s="167"/>
      <c r="L92" s="171">
        <v>1648.2810899999999</v>
      </c>
      <c r="M92" s="171">
        <v>2332.2622299999998</v>
      </c>
      <c r="N92" s="171">
        <v>3980.5433200000002</v>
      </c>
      <c r="O92" s="166">
        <v>1226.35327856193</v>
      </c>
      <c r="P92" s="172">
        <v>247.02500000000001</v>
      </c>
      <c r="Q92" s="178">
        <v>4.9644905518143103</v>
      </c>
      <c r="R92" s="179">
        <v>3104.9744655379</v>
      </c>
      <c r="S92" s="168">
        <v>0.01</v>
      </c>
      <c r="T92" s="168">
        <v>0.01</v>
      </c>
      <c r="U92" s="175">
        <v>0</v>
      </c>
      <c r="V92" s="176">
        <v>0</v>
      </c>
      <c r="W92" s="167"/>
      <c r="X92" s="175">
        <v>1780.5033900000001</v>
      </c>
      <c r="Y92" s="166">
        <v>548.54978184665003</v>
      </c>
      <c r="Z92" s="177">
        <v>573</v>
      </c>
      <c r="AA92" s="182">
        <v>0.95732946221055804</v>
      </c>
      <c r="AB92" s="183">
        <v>-250.46899581837599</v>
      </c>
      <c r="AC92" s="168">
        <v>5.0000000000000001E-3</v>
      </c>
      <c r="AD92" s="168"/>
      <c r="AE92" s="176">
        <v>80</v>
      </c>
      <c r="AF92" s="176">
        <v>452</v>
      </c>
      <c r="AG92" s="167"/>
      <c r="AH92" s="180">
        <v>195.8</v>
      </c>
      <c r="AI92" s="166">
        <v>60.323416337653804</v>
      </c>
      <c r="AJ92" s="181" t="s">
        <v>53</v>
      </c>
      <c r="AK92" s="182">
        <v>0.95751454504212397</v>
      </c>
      <c r="AL92" s="183">
        <v>-27.500628807256</v>
      </c>
      <c r="AM92" s="168">
        <v>5.0000000000000001E-3</v>
      </c>
      <c r="AN92" s="168"/>
      <c r="AO92" s="176">
        <v>9</v>
      </c>
      <c r="AP92" s="176">
        <v>50</v>
      </c>
      <c r="AQ92" s="167"/>
      <c r="AR92" s="180">
        <v>26.6</v>
      </c>
      <c r="AS92" s="166">
        <v>8.1951117190071106</v>
      </c>
      <c r="AT92" s="181" t="s">
        <v>54</v>
      </c>
      <c r="AU92" s="173">
        <v>0.51219448243794397</v>
      </c>
      <c r="AV92" s="174">
        <v>-30.111270808192</v>
      </c>
      <c r="AW92" s="168"/>
      <c r="AX92" s="168"/>
      <c r="AY92" s="176">
        <v>26</v>
      </c>
      <c r="AZ92" s="176">
        <v>36</v>
      </c>
      <c r="BA92" s="167"/>
      <c r="BB92" s="184">
        <v>142.6</v>
      </c>
      <c r="BC92" s="180">
        <v>43.9331928996396</v>
      </c>
      <c r="BD92" s="181" t="s">
        <v>55</v>
      </c>
      <c r="BE92" s="178">
        <v>1.3729122781137399</v>
      </c>
      <c r="BF92" s="179">
        <v>29.177458383615999</v>
      </c>
      <c r="BG92" s="168">
        <v>0.02</v>
      </c>
      <c r="BH92" s="168">
        <v>0.02</v>
      </c>
      <c r="BI92" s="176">
        <v>0</v>
      </c>
      <c r="BJ92" s="176">
        <v>0</v>
      </c>
      <c r="BK92" s="169"/>
      <c r="BL92" s="185">
        <v>0.8</v>
      </c>
      <c r="BM92" s="188">
        <v>0.72</v>
      </c>
      <c r="BN92" s="186"/>
      <c r="BO92" s="187">
        <v>0.95</v>
      </c>
      <c r="BP92" s="178">
        <v>1</v>
      </c>
      <c r="BQ92" s="186">
        <v>2.5000000000000001E-3</v>
      </c>
    </row>
    <row r="93" spans="1:69" s="156" customFormat="1" ht="22.35" customHeight="1" x14ac:dyDescent="0.2">
      <c r="A93" s="165" t="s">
        <v>139</v>
      </c>
      <c r="B93" s="165" t="s">
        <v>140</v>
      </c>
      <c r="C93" s="165" t="s">
        <v>150</v>
      </c>
      <c r="D93" s="166">
        <v>5.9735728475555598</v>
      </c>
      <c r="E93" s="167"/>
      <c r="F93" s="168">
        <v>0.01</v>
      </c>
      <c r="G93" s="168">
        <v>0.01</v>
      </c>
      <c r="H93" s="169"/>
      <c r="I93" s="170">
        <v>2</v>
      </c>
      <c r="J93" s="170">
        <v>2</v>
      </c>
      <c r="K93" s="167"/>
      <c r="L93" s="171">
        <v>3828.3200099999999</v>
      </c>
      <c r="M93" s="171">
        <v>3035.2281499999999</v>
      </c>
      <c r="N93" s="171">
        <v>6863.5481600000003</v>
      </c>
      <c r="O93" s="166">
        <v>1148.9854288474301</v>
      </c>
      <c r="P93" s="172">
        <v>287.5</v>
      </c>
      <c r="Q93" s="178">
        <v>3.9964710568606301</v>
      </c>
      <c r="R93" s="179">
        <v>4988.1449645099301</v>
      </c>
      <c r="S93" s="168">
        <v>0.01</v>
      </c>
      <c r="T93" s="168">
        <v>0.01</v>
      </c>
      <c r="U93" s="175">
        <v>0</v>
      </c>
      <c r="V93" s="176">
        <v>0</v>
      </c>
      <c r="W93" s="167"/>
      <c r="X93" s="175">
        <v>2211.465655</v>
      </c>
      <c r="Y93" s="166">
        <v>370.20820059220603</v>
      </c>
      <c r="Z93" s="177">
        <v>573</v>
      </c>
      <c r="AA93" s="173">
        <v>0.64608761010856097</v>
      </c>
      <c r="AB93" s="174">
        <v>-1526.2944528810699</v>
      </c>
      <c r="AC93" s="168"/>
      <c r="AD93" s="168"/>
      <c r="AE93" s="176">
        <v>1212</v>
      </c>
      <c r="AF93" s="176">
        <v>1896</v>
      </c>
      <c r="AG93" s="167"/>
      <c r="AH93" s="180">
        <v>320.60000000000002</v>
      </c>
      <c r="AI93" s="166">
        <v>53.669722991859501</v>
      </c>
      <c r="AJ93" s="181" t="s">
        <v>53</v>
      </c>
      <c r="AK93" s="188">
        <v>0.85190036495014998</v>
      </c>
      <c r="AL93" s="171">
        <v>-90.357917620432303</v>
      </c>
      <c r="AM93" s="168"/>
      <c r="AN93" s="168"/>
      <c r="AO93" s="176">
        <v>56</v>
      </c>
      <c r="AP93" s="176">
        <v>132</v>
      </c>
      <c r="AQ93" s="167"/>
      <c r="AR93" s="180">
        <v>32.4</v>
      </c>
      <c r="AS93" s="166">
        <v>5.4238896598136197</v>
      </c>
      <c r="AT93" s="181" t="s">
        <v>54</v>
      </c>
      <c r="AU93" s="173">
        <v>0.33899310373835101</v>
      </c>
      <c r="AV93" s="174">
        <v>-71.970264792490795</v>
      </c>
      <c r="AW93" s="168"/>
      <c r="AX93" s="168"/>
      <c r="AY93" s="176">
        <v>64</v>
      </c>
      <c r="AZ93" s="176">
        <v>83</v>
      </c>
      <c r="BA93" s="167"/>
      <c r="BB93" s="184">
        <v>143.19999999999999</v>
      </c>
      <c r="BC93" s="180">
        <v>23.9722530643614</v>
      </c>
      <c r="BD93" s="181" t="s">
        <v>55</v>
      </c>
      <c r="BE93" s="188">
        <v>0.74913290826129497</v>
      </c>
      <c r="BF93" s="171">
        <v>-65.540529584981499</v>
      </c>
      <c r="BG93" s="168"/>
      <c r="BH93" s="168"/>
      <c r="BI93" s="176">
        <v>48</v>
      </c>
      <c r="BJ93" s="176">
        <v>87</v>
      </c>
      <c r="BK93" s="169"/>
      <c r="BL93" s="185">
        <v>0.8</v>
      </c>
      <c r="BM93" s="188">
        <v>0.76</v>
      </c>
      <c r="BN93" s="186"/>
      <c r="BO93" s="187">
        <v>0.95</v>
      </c>
      <c r="BP93" s="178">
        <v>1</v>
      </c>
      <c r="BQ93" s="186">
        <v>2.5000000000000001E-3</v>
      </c>
    </row>
    <row r="94" spans="1:69" s="156" customFormat="1" ht="22.35" customHeight="1" x14ac:dyDescent="0.2">
      <c r="A94" s="165" t="s">
        <v>139</v>
      </c>
      <c r="B94" s="165" t="s">
        <v>140</v>
      </c>
      <c r="C94" s="165" t="s">
        <v>151</v>
      </c>
      <c r="D94" s="166">
        <v>5.3472902687777797</v>
      </c>
      <c r="E94" s="167"/>
      <c r="F94" s="168">
        <v>0.01</v>
      </c>
      <c r="G94" s="168">
        <v>6.0000000000000001E-3</v>
      </c>
      <c r="H94" s="169"/>
      <c r="I94" s="170">
        <v>2</v>
      </c>
      <c r="J94" s="170">
        <v>2</v>
      </c>
      <c r="K94" s="167"/>
      <c r="L94" s="171">
        <v>2720.60277</v>
      </c>
      <c r="M94" s="171">
        <v>-1001.14422</v>
      </c>
      <c r="N94" s="171">
        <v>1719.4585500000001</v>
      </c>
      <c r="O94" s="166">
        <v>321.55698747826</v>
      </c>
      <c r="P94" s="172">
        <v>287.5</v>
      </c>
      <c r="Q94" s="178">
        <v>1.1184590868809099</v>
      </c>
      <c r="R94" s="179">
        <v>40.676770117216201</v>
      </c>
      <c r="S94" s="168">
        <v>0.01</v>
      </c>
      <c r="T94" s="168">
        <v>6.0000000000000001E-3</v>
      </c>
      <c r="U94" s="175">
        <v>0</v>
      </c>
      <c r="V94" s="176">
        <v>126</v>
      </c>
      <c r="W94" s="167"/>
      <c r="X94" s="175">
        <v>2406.7459749999998</v>
      </c>
      <c r="Y94" s="166">
        <v>450.08702614344998</v>
      </c>
      <c r="Z94" s="177">
        <v>573</v>
      </c>
      <c r="AA94" s="188">
        <v>0.78549219222242594</v>
      </c>
      <c r="AB94" s="171">
        <v>-939.13910281855703</v>
      </c>
      <c r="AC94" s="168"/>
      <c r="AD94" s="168"/>
      <c r="AE94" s="176">
        <v>658</v>
      </c>
      <c r="AF94" s="176">
        <v>1271</v>
      </c>
      <c r="AG94" s="167"/>
      <c r="AH94" s="180">
        <v>302.45</v>
      </c>
      <c r="AI94" s="166">
        <v>56.561358145446398</v>
      </c>
      <c r="AJ94" s="181" t="s">
        <v>53</v>
      </c>
      <c r="AK94" s="188">
        <v>0.89779933564200598</v>
      </c>
      <c r="AL94" s="171">
        <v>-65.422181330836196</v>
      </c>
      <c r="AM94" s="168"/>
      <c r="AN94" s="168"/>
      <c r="AO94" s="176">
        <v>35</v>
      </c>
      <c r="AP94" s="176">
        <v>102</v>
      </c>
      <c r="AQ94" s="167"/>
      <c r="AR94" s="180">
        <v>18.100000000000001</v>
      </c>
      <c r="AS94" s="166">
        <v>3.38489199018872</v>
      </c>
      <c r="AT94" s="181" t="s">
        <v>54</v>
      </c>
      <c r="AU94" s="173">
        <v>0.211555749386795</v>
      </c>
      <c r="AV94" s="174">
        <v>-75.327855576085398</v>
      </c>
      <c r="AW94" s="168"/>
      <c r="AX94" s="168"/>
      <c r="AY94" s="176">
        <v>68</v>
      </c>
      <c r="AZ94" s="176">
        <v>85</v>
      </c>
      <c r="BA94" s="167"/>
      <c r="BB94" s="184">
        <v>142</v>
      </c>
      <c r="BC94" s="180">
        <v>26.555506221370099</v>
      </c>
      <c r="BD94" s="181" t="s">
        <v>55</v>
      </c>
      <c r="BE94" s="188">
        <v>0.82985956941781502</v>
      </c>
      <c r="BF94" s="171">
        <v>-44.855711152170798</v>
      </c>
      <c r="BG94" s="168"/>
      <c r="BH94" s="168"/>
      <c r="BI94" s="176">
        <v>30</v>
      </c>
      <c r="BJ94" s="176">
        <v>64</v>
      </c>
      <c r="BK94" s="169"/>
      <c r="BL94" s="185">
        <v>0.8</v>
      </c>
      <c r="BM94" s="188">
        <v>0.7</v>
      </c>
      <c r="BN94" s="186"/>
      <c r="BO94" s="187">
        <v>0.95</v>
      </c>
      <c r="BP94" s="178">
        <v>1</v>
      </c>
      <c r="BQ94" s="186">
        <v>2.5000000000000001E-3</v>
      </c>
    </row>
    <row r="95" spans="1:69" s="156" customFormat="1" ht="22.35" customHeight="1" x14ac:dyDescent="0.2">
      <c r="A95" s="165" t="s">
        <v>139</v>
      </c>
      <c r="B95" s="165" t="s">
        <v>140</v>
      </c>
      <c r="C95" s="165" t="s">
        <v>152</v>
      </c>
      <c r="D95" s="166">
        <v>1.85767322355556</v>
      </c>
      <c r="E95" s="167"/>
      <c r="F95" s="168">
        <v>4.1000000000000002E-2</v>
      </c>
      <c r="G95" s="168">
        <v>3.1E-2</v>
      </c>
      <c r="H95" s="169"/>
      <c r="I95" s="170">
        <v>4</v>
      </c>
      <c r="J95" s="170">
        <v>4</v>
      </c>
      <c r="K95" s="167"/>
      <c r="L95" s="171">
        <v>1523.68885</v>
      </c>
      <c r="M95" s="171">
        <v>740.89972</v>
      </c>
      <c r="N95" s="171">
        <v>2264.5885699999999</v>
      </c>
      <c r="O95" s="166">
        <v>1219.0457079774301</v>
      </c>
      <c r="P95" s="172">
        <v>247.02500000000001</v>
      </c>
      <c r="Q95" s="178">
        <v>4.9349082399653099</v>
      </c>
      <c r="R95" s="179">
        <v>1763.4788029706999</v>
      </c>
      <c r="S95" s="168">
        <v>0.01</v>
      </c>
      <c r="T95" s="168">
        <v>0.01</v>
      </c>
      <c r="U95" s="175">
        <v>0</v>
      </c>
      <c r="V95" s="176">
        <v>0</v>
      </c>
      <c r="W95" s="167"/>
      <c r="X95" s="175">
        <v>1074.056</v>
      </c>
      <c r="Y95" s="166">
        <v>578.17273047854701</v>
      </c>
      <c r="Z95" s="177">
        <v>573</v>
      </c>
      <c r="AA95" s="182">
        <v>1.0090274528421399</v>
      </c>
      <c r="AB95" s="183">
        <v>-88.319858750290706</v>
      </c>
      <c r="AC95" s="168">
        <v>1.0999999999999999E-2</v>
      </c>
      <c r="AD95" s="168">
        <v>1E-3</v>
      </c>
      <c r="AE95" s="176">
        <v>0</v>
      </c>
      <c r="AF95" s="176">
        <v>204</v>
      </c>
      <c r="AG95" s="167"/>
      <c r="AH95" s="180">
        <v>100.7</v>
      </c>
      <c r="AI95" s="166">
        <v>54.207596213968102</v>
      </c>
      <c r="AJ95" s="181" t="s">
        <v>53</v>
      </c>
      <c r="AK95" s="188">
        <v>0.86043803514234996</v>
      </c>
      <c r="AL95" s="171">
        <v>-27.1004870877283</v>
      </c>
      <c r="AM95" s="168"/>
      <c r="AN95" s="168"/>
      <c r="AO95" s="176">
        <v>17</v>
      </c>
      <c r="AP95" s="176">
        <v>40</v>
      </c>
      <c r="AQ95" s="167"/>
      <c r="AR95" s="180">
        <v>25.9</v>
      </c>
      <c r="AS95" s="166">
        <v>13.942172213920299</v>
      </c>
      <c r="AT95" s="181" t="s">
        <v>54</v>
      </c>
      <c r="AU95" s="188">
        <v>0.87138576337001705</v>
      </c>
      <c r="AV95" s="171">
        <v>-6.5572665619627504</v>
      </c>
      <c r="AW95" s="168"/>
      <c r="AX95" s="168"/>
      <c r="AY95" s="176">
        <v>4</v>
      </c>
      <c r="AZ95" s="176">
        <v>10</v>
      </c>
      <c r="BA95" s="167"/>
      <c r="BB95" s="184">
        <v>93</v>
      </c>
      <c r="BC95" s="180">
        <v>50.062626096316102</v>
      </c>
      <c r="BD95" s="181" t="s">
        <v>55</v>
      </c>
      <c r="BE95" s="178">
        <v>1.56445706550988</v>
      </c>
      <c r="BF95" s="179">
        <v>28.085466876074499</v>
      </c>
      <c r="BG95" s="168">
        <v>0.02</v>
      </c>
      <c r="BH95" s="168">
        <v>0.02</v>
      </c>
      <c r="BI95" s="176">
        <v>0</v>
      </c>
      <c r="BJ95" s="176">
        <v>0</v>
      </c>
      <c r="BK95" s="169"/>
      <c r="BL95" s="185">
        <v>0.8</v>
      </c>
      <c r="BM95" s="188">
        <v>0.77</v>
      </c>
      <c r="BN95" s="186"/>
      <c r="BO95" s="187">
        <v>0.95</v>
      </c>
      <c r="BP95" s="178">
        <v>1</v>
      </c>
      <c r="BQ95" s="186">
        <v>2.5000000000000001E-3</v>
      </c>
    </row>
    <row r="96" spans="1:69" s="156" customFormat="1" ht="22.35" customHeight="1" x14ac:dyDescent="0.2">
      <c r="A96" s="165" t="s">
        <v>139</v>
      </c>
      <c r="B96" s="165" t="s">
        <v>140</v>
      </c>
      <c r="C96" s="165" t="s">
        <v>153</v>
      </c>
      <c r="D96" s="166">
        <v>3.3075077187777802</v>
      </c>
      <c r="E96" s="167"/>
      <c r="F96" s="168">
        <v>5.8999999999999997E-2</v>
      </c>
      <c r="G96" s="168">
        <v>3.9E-2</v>
      </c>
      <c r="H96" s="169"/>
      <c r="I96" s="170">
        <v>5</v>
      </c>
      <c r="J96" s="170">
        <v>5</v>
      </c>
      <c r="K96" s="167"/>
      <c r="L96" s="171">
        <v>1446.9458999999999</v>
      </c>
      <c r="M96" s="171">
        <v>1103.84086</v>
      </c>
      <c r="N96" s="171">
        <v>2550.78676</v>
      </c>
      <c r="O96" s="166">
        <v>771.21112840292699</v>
      </c>
      <c r="P96" s="172">
        <v>248.167</v>
      </c>
      <c r="Q96" s="178">
        <v>3.10762965423657</v>
      </c>
      <c r="R96" s="179">
        <v>1654.4575792938499</v>
      </c>
      <c r="S96" s="168">
        <v>0.01</v>
      </c>
      <c r="T96" s="168">
        <v>0.01</v>
      </c>
      <c r="U96" s="175">
        <v>0</v>
      </c>
      <c r="V96" s="176">
        <v>0</v>
      </c>
      <c r="W96" s="167"/>
      <c r="X96" s="175">
        <v>2022.3403000000001</v>
      </c>
      <c r="Y96" s="166">
        <v>611.43932892991495</v>
      </c>
      <c r="Z96" s="177">
        <v>573</v>
      </c>
      <c r="AA96" s="182">
        <v>1.0670843436822299</v>
      </c>
      <c r="AB96" s="183">
        <v>-47.220199762757403</v>
      </c>
      <c r="AC96" s="168">
        <v>1.7000000000000001E-2</v>
      </c>
      <c r="AD96" s="168">
        <v>7.0000000000000001E-3</v>
      </c>
      <c r="AE96" s="176">
        <v>0</v>
      </c>
      <c r="AF96" s="176">
        <v>252</v>
      </c>
      <c r="AG96" s="167"/>
      <c r="AH96" s="180">
        <v>212.75</v>
      </c>
      <c r="AI96" s="166">
        <v>64.323357067966995</v>
      </c>
      <c r="AJ96" s="181" t="s">
        <v>53</v>
      </c>
      <c r="AK96" s="182">
        <v>1.0210056677455099</v>
      </c>
      <c r="AL96" s="183">
        <v>-14.7933010210362</v>
      </c>
      <c r="AM96" s="168">
        <v>1.2E-2</v>
      </c>
      <c r="AN96" s="168">
        <v>2E-3</v>
      </c>
      <c r="AO96" s="176">
        <v>0</v>
      </c>
      <c r="AP96" s="176">
        <v>38</v>
      </c>
      <c r="AQ96" s="167"/>
      <c r="AR96" s="180">
        <v>14.6</v>
      </c>
      <c r="AS96" s="166">
        <v>4.4141998269909202</v>
      </c>
      <c r="AT96" s="181" t="s">
        <v>54</v>
      </c>
      <c r="AU96" s="173">
        <v>0.27588748918693301</v>
      </c>
      <c r="AV96" s="174">
        <v>-43.188774862485403</v>
      </c>
      <c r="AW96" s="168"/>
      <c r="AX96" s="168"/>
      <c r="AY96" s="176">
        <v>39</v>
      </c>
      <c r="AZ96" s="176">
        <v>49</v>
      </c>
      <c r="BA96" s="167"/>
      <c r="BB96" s="184">
        <v>129.6</v>
      </c>
      <c r="BC96" s="180">
        <v>39.183582025892001</v>
      </c>
      <c r="BD96" s="181" t="s">
        <v>55</v>
      </c>
      <c r="BE96" s="178">
        <v>1.2244869383091299</v>
      </c>
      <c r="BF96" s="179">
        <v>14.0224502750292</v>
      </c>
      <c r="BG96" s="168">
        <v>0.02</v>
      </c>
      <c r="BH96" s="168">
        <v>0.02</v>
      </c>
      <c r="BI96" s="176">
        <v>0</v>
      </c>
      <c r="BJ96" s="176">
        <v>0</v>
      </c>
      <c r="BK96" s="169"/>
      <c r="BL96" s="185">
        <v>0.8</v>
      </c>
      <c r="BM96" s="188">
        <v>0.71</v>
      </c>
      <c r="BN96" s="186"/>
      <c r="BO96" s="187">
        <v>0.95</v>
      </c>
      <c r="BP96" s="178">
        <v>1</v>
      </c>
      <c r="BQ96" s="186">
        <v>2.5000000000000001E-3</v>
      </c>
    </row>
    <row r="97" spans="1:69" s="156" customFormat="1" ht="22.35" customHeight="1" x14ac:dyDescent="0.2">
      <c r="A97" s="165" t="s">
        <v>139</v>
      </c>
      <c r="B97" s="165" t="s">
        <v>140</v>
      </c>
      <c r="C97" s="165" t="s">
        <v>154</v>
      </c>
      <c r="D97" s="166">
        <v>3.0547893162222199</v>
      </c>
      <c r="E97" s="167"/>
      <c r="F97" s="168">
        <v>1.2999999999999999E-2</v>
      </c>
      <c r="G97" s="168">
        <v>0.01</v>
      </c>
      <c r="H97" s="169"/>
      <c r="I97" s="170">
        <v>3</v>
      </c>
      <c r="J97" s="170">
        <v>2</v>
      </c>
      <c r="K97" s="167"/>
      <c r="L97" s="171">
        <v>1886.5208700000001</v>
      </c>
      <c r="M97" s="171">
        <v>1447.41742</v>
      </c>
      <c r="N97" s="171">
        <v>3333.9382900000001</v>
      </c>
      <c r="O97" s="166">
        <v>1091.3807614473999</v>
      </c>
      <c r="P97" s="172">
        <v>285.53899999999999</v>
      </c>
      <c r="Q97" s="178">
        <v>3.8221775710057102</v>
      </c>
      <c r="R97" s="179">
        <v>2381.4287466712599</v>
      </c>
      <c r="S97" s="168">
        <v>0.01</v>
      </c>
      <c r="T97" s="168">
        <v>0.01</v>
      </c>
      <c r="U97" s="175">
        <v>0</v>
      </c>
      <c r="V97" s="176">
        <v>0</v>
      </c>
      <c r="W97" s="167"/>
      <c r="X97" s="175">
        <v>1066.3833299999999</v>
      </c>
      <c r="Y97" s="166">
        <v>349.08572068687499</v>
      </c>
      <c r="Z97" s="177">
        <v>573</v>
      </c>
      <c r="AA97" s="173">
        <v>0.60922464343259097</v>
      </c>
      <c r="AB97" s="174">
        <v>-845.04722178930194</v>
      </c>
      <c r="AC97" s="168"/>
      <c r="AD97" s="168"/>
      <c r="AE97" s="176">
        <v>685</v>
      </c>
      <c r="AF97" s="176">
        <v>1035</v>
      </c>
      <c r="AG97" s="167"/>
      <c r="AH97" s="180">
        <v>141.5</v>
      </c>
      <c r="AI97" s="166">
        <v>46.320706717342198</v>
      </c>
      <c r="AJ97" s="181" t="s">
        <v>53</v>
      </c>
      <c r="AK97" s="188">
        <v>0.73524931297368601</v>
      </c>
      <c r="AL97" s="171">
        <v>-68.657285798823906</v>
      </c>
      <c r="AM97" s="168"/>
      <c r="AN97" s="168"/>
      <c r="AO97" s="176">
        <v>51</v>
      </c>
      <c r="AP97" s="176">
        <v>90</v>
      </c>
      <c r="AQ97" s="167"/>
      <c r="AR97" s="180">
        <v>17.399999999999999</v>
      </c>
      <c r="AS97" s="166">
        <v>5.69597382955304</v>
      </c>
      <c r="AT97" s="181" t="s">
        <v>54</v>
      </c>
      <c r="AU97" s="173">
        <v>0.355998364347065</v>
      </c>
      <c r="AV97" s="174">
        <v>-35.973278933034599</v>
      </c>
      <c r="AW97" s="168"/>
      <c r="AX97" s="168"/>
      <c r="AY97" s="176">
        <v>32</v>
      </c>
      <c r="AZ97" s="176">
        <v>42</v>
      </c>
      <c r="BA97" s="167"/>
      <c r="BB97" s="184">
        <v>91.6</v>
      </c>
      <c r="BC97" s="180">
        <v>29.985701309601001</v>
      </c>
      <c r="BD97" s="181" t="s">
        <v>55</v>
      </c>
      <c r="BE97" s="182">
        <v>0.93705316592503296</v>
      </c>
      <c r="BF97" s="183">
        <v>-15.146557866069299</v>
      </c>
      <c r="BG97" s="168">
        <v>3.0000000000000001E-3</v>
      </c>
      <c r="BH97" s="168"/>
      <c r="BI97" s="176">
        <v>7</v>
      </c>
      <c r="BJ97" s="176">
        <v>26</v>
      </c>
      <c r="BK97" s="169"/>
      <c r="BL97" s="185">
        <v>0.8</v>
      </c>
      <c r="BM97" s="188">
        <v>0.78</v>
      </c>
      <c r="BN97" s="186"/>
      <c r="BO97" s="187">
        <v>0.95</v>
      </c>
      <c r="BP97" s="178">
        <v>1</v>
      </c>
      <c r="BQ97" s="186">
        <v>2.5000000000000001E-3</v>
      </c>
    </row>
    <row r="98" spans="1:69" s="156" customFormat="1" ht="22.35" customHeight="1" x14ac:dyDescent="0.2">
      <c r="A98" s="165" t="s">
        <v>139</v>
      </c>
      <c r="B98" s="165" t="s">
        <v>140</v>
      </c>
      <c r="C98" s="165" t="s">
        <v>155</v>
      </c>
      <c r="D98" s="166">
        <v>2.7451908808888899</v>
      </c>
      <c r="E98" s="167"/>
      <c r="F98" s="168">
        <v>3.7999999999999999E-2</v>
      </c>
      <c r="G98" s="168">
        <v>2.9000000000000001E-2</v>
      </c>
      <c r="H98" s="169"/>
      <c r="I98" s="170">
        <v>4</v>
      </c>
      <c r="J98" s="170">
        <v>3</v>
      </c>
      <c r="K98" s="167"/>
      <c r="L98" s="171">
        <v>413.00596999999999</v>
      </c>
      <c r="M98" s="171">
        <v>619.86054000000001</v>
      </c>
      <c r="N98" s="171">
        <v>1032.8665100000001</v>
      </c>
      <c r="O98" s="166">
        <v>376.245789387716</v>
      </c>
      <c r="P98" s="172">
        <v>287.5</v>
      </c>
      <c r="Q98" s="178">
        <v>1.30868100656597</v>
      </c>
      <c r="R98" s="179">
        <v>171.013832944933</v>
      </c>
      <c r="S98" s="168">
        <v>0.01</v>
      </c>
      <c r="T98" s="168">
        <v>0.01</v>
      </c>
      <c r="U98" s="175">
        <v>0</v>
      </c>
      <c r="V98" s="176">
        <v>0</v>
      </c>
      <c r="W98" s="167"/>
      <c r="X98" s="175">
        <v>699.65944000000002</v>
      </c>
      <c r="Y98" s="166">
        <v>254.867319016247</v>
      </c>
      <c r="Z98" s="177">
        <v>573</v>
      </c>
      <c r="AA98" s="173">
        <v>0.444794623065003</v>
      </c>
      <c r="AB98" s="174">
        <v>-1018.05041722627</v>
      </c>
      <c r="AC98" s="168"/>
      <c r="AD98" s="168"/>
      <c r="AE98" s="176">
        <v>874</v>
      </c>
      <c r="AF98" s="176">
        <v>1188</v>
      </c>
      <c r="AG98" s="167"/>
      <c r="AH98" s="180">
        <v>169.4</v>
      </c>
      <c r="AI98" s="166">
        <v>61.7079129831396</v>
      </c>
      <c r="AJ98" s="181" t="s">
        <v>53</v>
      </c>
      <c r="AK98" s="182">
        <v>0.97949068227205804</v>
      </c>
      <c r="AL98" s="183">
        <v>-19.458151841632102</v>
      </c>
      <c r="AM98" s="168">
        <v>8.0000000000000002E-3</v>
      </c>
      <c r="AN98" s="168"/>
      <c r="AO98" s="176">
        <v>4</v>
      </c>
      <c r="AP98" s="176">
        <v>39</v>
      </c>
      <c r="AQ98" s="167"/>
      <c r="AR98" s="180">
        <v>23.6</v>
      </c>
      <c r="AS98" s="166">
        <v>8.5968521039084695</v>
      </c>
      <c r="AT98" s="181" t="s">
        <v>54</v>
      </c>
      <c r="AU98" s="173">
        <v>0.53730325649427901</v>
      </c>
      <c r="AV98" s="174">
        <v>-24.363975070890699</v>
      </c>
      <c r="AW98" s="168"/>
      <c r="AX98" s="168"/>
      <c r="AY98" s="176">
        <v>21</v>
      </c>
      <c r="AZ98" s="176">
        <v>30</v>
      </c>
      <c r="BA98" s="167"/>
      <c r="BB98" s="184">
        <v>104.4</v>
      </c>
      <c r="BC98" s="180">
        <v>38.030142357968003</v>
      </c>
      <c r="BD98" s="181" t="s">
        <v>55</v>
      </c>
      <c r="BE98" s="178">
        <v>1.1884419486865001</v>
      </c>
      <c r="BF98" s="179">
        <v>8.4720498582186092</v>
      </c>
      <c r="BG98" s="168">
        <v>0.02</v>
      </c>
      <c r="BH98" s="168">
        <v>1.9E-2</v>
      </c>
      <c r="BI98" s="176">
        <v>0</v>
      </c>
      <c r="BJ98" s="176">
        <v>2</v>
      </c>
      <c r="BK98" s="169"/>
      <c r="BL98" s="185">
        <v>0.8</v>
      </c>
      <c r="BM98" s="188">
        <v>0.7</v>
      </c>
      <c r="BN98" s="186"/>
      <c r="BO98" s="187">
        <v>0.95</v>
      </c>
      <c r="BP98" s="178">
        <v>1</v>
      </c>
      <c r="BQ98" s="186">
        <v>2.5000000000000001E-3</v>
      </c>
    </row>
    <row r="99" spans="1:69" s="156" customFormat="1" ht="22.35" customHeight="1" x14ac:dyDescent="0.2">
      <c r="A99" s="165" t="s">
        <v>139</v>
      </c>
      <c r="B99" s="165" t="s">
        <v>140</v>
      </c>
      <c r="C99" s="165" t="s">
        <v>156</v>
      </c>
      <c r="D99" s="166">
        <v>3.756503602</v>
      </c>
      <c r="E99" s="167"/>
      <c r="F99" s="168">
        <v>4.2999999999999997E-2</v>
      </c>
      <c r="G99" s="168">
        <v>3.2000000000000001E-2</v>
      </c>
      <c r="H99" s="169"/>
      <c r="I99" s="170">
        <v>5</v>
      </c>
      <c r="J99" s="170">
        <v>4</v>
      </c>
      <c r="K99" s="167"/>
      <c r="L99" s="171">
        <v>1727.7213099999999</v>
      </c>
      <c r="M99" s="171">
        <v>29.659949999999998</v>
      </c>
      <c r="N99" s="171">
        <v>1757.3812600000001</v>
      </c>
      <c r="O99" s="166">
        <v>467.82365896424301</v>
      </c>
      <c r="P99" s="172">
        <v>261.89100000000002</v>
      </c>
      <c r="Q99" s="178">
        <v>1.7863296522761101</v>
      </c>
      <c r="R99" s="179">
        <v>683.07768256413101</v>
      </c>
      <c r="S99" s="168">
        <v>0.01</v>
      </c>
      <c r="T99" s="168">
        <v>0.01</v>
      </c>
      <c r="U99" s="175">
        <v>0</v>
      </c>
      <c r="V99" s="176">
        <v>0</v>
      </c>
      <c r="W99" s="167"/>
      <c r="X99" s="175">
        <v>2194.4523450000002</v>
      </c>
      <c r="Y99" s="166">
        <v>584.1741623332</v>
      </c>
      <c r="Z99" s="177">
        <v>573</v>
      </c>
      <c r="AA99" s="182">
        <v>1.0195011559043601</v>
      </c>
      <c r="AB99" s="183">
        <v>-156.052062829032</v>
      </c>
      <c r="AC99" s="168">
        <v>1.2E-2</v>
      </c>
      <c r="AD99" s="168">
        <v>2E-3</v>
      </c>
      <c r="AE99" s="176">
        <v>0</v>
      </c>
      <c r="AF99" s="176">
        <v>389</v>
      </c>
      <c r="AG99" s="167"/>
      <c r="AH99" s="180">
        <v>217.85</v>
      </c>
      <c r="AI99" s="166">
        <v>57.992756850815901</v>
      </c>
      <c r="AJ99" s="181" t="s">
        <v>53</v>
      </c>
      <c r="AK99" s="182">
        <v>0.92051995001294995</v>
      </c>
      <c r="AL99" s="183">
        <v>-40.582421803191998</v>
      </c>
      <c r="AM99" s="168">
        <v>1E-3</v>
      </c>
      <c r="AN99" s="168"/>
      <c r="AO99" s="176">
        <v>19</v>
      </c>
      <c r="AP99" s="176">
        <v>67</v>
      </c>
      <c r="AQ99" s="167"/>
      <c r="AR99" s="180">
        <v>24</v>
      </c>
      <c r="AS99" s="166">
        <v>6.3889197356877698</v>
      </c>
      <c r="AT99" s="181" t="s">
        <v>54</v>
      </c>
      <c r="AU99" s="173">
        <v>0.399307483480486</v>
      </c>
      <c r="AV99" s="174">
        <v>-41.633630934144001</v>
      </c>
      <c r="AW99" s="168"/>
      <c r="AX99" s="168"/>
      <c r="AY99" s="176">
        <v>37</v>
      </c>
      <c r="AZ99" s="176">
        <v>49</v>
      </c>
      <c r="BA99" s="167"/>
      <c r="BB99" s="184">
        <v>154</v>
      </c>
      <c r="BC99" s="180">
        <v>40.9955683039965</v>
      </c>
      <c r="BD99" s="181" t="s">
        <v>55</v>
      </c>
      <c r="BE99" s="178">
        <v>1.2811115094998899</v>
      </c>
      <c r="BF99" s="179">
        <v>22.732738131712001</v>
      </c>
      <c r="BG99" s="168">
        <v>0.02</v>
      </c>
      <c r="BH99" s="168">
        <v>0.02</v>
      </c>
      <c r="BI99" s="176">
        <v>0</v>
      </c>
      <c r="BJ99" s="176">
        <v>0</v>
      </c>
      <c r="BK99" s="169"/>
      <c r="BL99" s="185">
        <v>0.8</v>
      </c>
      <c r="BM99" s="188">
        <v>0.71</v>
      </c>
      <c r="BN99" s="186"/>
      <c r="BO99" s="187">
        <v>0.95</v>
      </c>
      <c r="BP99" s="178">
        <v>1</v>
      </c>
      <c r="BQ99" s="186">
        <v>2.5000000000000001E-3</v>
      </c>
    </row>
    <row r="100" spans="1:69" s="156" customFormat="1" ht="22.35" customHeight="1" x14ac:dyDescent="0.2">
      <c r="A100" s="165" t="s">
        <v>139</v>
      </c>
      <c r="B100" s="165" t="s">
        <v>140</v>
      </c>
      <c r="C100" s="165" t="s">
        <v>157</v>
      </c>
      <c r="D100" s="166">
        <v>2.8448773448888902</v>
      </c>
      <c r="E100" s="167"/>
      <c r="F100" s="168">
        <v>0.01</v>
      </c>
      <c r="G100" s="168">
        <v>0.01</v>
      </c>
      <c r="H100" s="169"/>
      <c r="I100" s="170">
        <v>2</v>
      </c>
      <c r="J100" s="170">
        <v>2</v>
      </c>
      <c r="K100" s="167"/>
      <c r="L100" s="171">
        <v>1494.0301099999999</v>
      </c>
      <c r="M100" s="171">
        <v>-154.24280999999999</v>
      </c>
      <c r="N100" s="171">
        <v>1339.7873</v>
      </c>
      <c r="O100" s="166">
        <v>470.94729845104399</v>
      </c>
      <c r="P100" s="172">
        <v>228.56200000000001</v>
      </c>
      <c r="Q100" s="178">
        <v>2.0604794254996199</v>
      </c>
      <c r="R100" s="179">
        <v>629.735205572876</v>
      </c>
      <c r="S100" s="168">
        <v>0.01</v>
      </c>
      <c r="T100" s="168">
        <v>0.01</v>
      </c>
      <c r="U100" s="175">
        <v>0</v>
      </c>
      <c r="V100" s="176">
        <v>0</v>
      </c>
      <c r="W100" s="167"/>
      <c r="X100" s="175">
        <v>952.90559499999995</v>
      </c>
      <c r="Y100" s="166">
        <v>334.95489593320798</v>
      </c>
      <c r="Z100" s="177">
        <v>573</v>
      </c>
      <c r="AA100" s="173">
        <v>0.58456351820804298</v>
      </c>
      <c r="AB100" s="174">
        <v>-827.17967773449698</v>
      </c>
      <c r="AC100" s="168"/>
      <c r="AD100" s="168"/>
      <c r="AE100" s="176">
        <v>678</v>
      </c>
      <c r="AF100" s="176">
        <v>1004</v>
      </c>
      <c r="AG100" s="167"/>
      <c r="AH100" s="180">
        <v>106.3</v>
      </c>
      <c r="AI100" s="166">
        <v>37.3654070503176</v>
      </c>
      <c r="AJ100" s="181" t="s">
        <v>53</v>
      </c>
      <c r="AK100" s="173">
        <v>0.59310169921139</v>
      </c>
      <c r="AL100" s="174">
        <v>-89.416181818976099</v>
      </c>
      <c r="AM100" s="168"/>
      <c r="AN100" s="168"/>
      <c r="AO100" s="176">
        <v>73</v>
      </c>
      <c r="AP100" s="176">
        <v>109</v>
      </c>
      <c r="AQ100" s="167"/>
      <c r="AR100" s="180">
        <v>1</v>
      </c>
      <c r="AS100" s="166">
        <v>0.35150900329555601</v>
      </c>
      <c r="AT100" s="181" t="s">
        <v>54</v>
      </c>
      <c r="AU100" s="173">
        <v>2.1969312705972199E-2</v>
      </c>
      <c r="AV100" s="174">
        <v>-48.705696969898703</v>
      </c>
      <c r="AW100" s="168"/>
      <c r="AX100" s="168"/>
      <c r="AY100" s="176">
        <v>45</v>
      </c>
      <c r="AZ100" s="176">
        <v>54</v>
      </c>
      <c r="BA100" s="167"/>
      <c r="BB100" s="184">
        <v>49.4</v>
      </c>
      <c r="BC100" s="180">
        <v>17.364544762800399</v>
      </c>
      <c r="BD100" s="181" t="s">
        <v>55</v>
      </c>
      <c r="BE100" s="173">
        <v>0.54264202383751403</v>
      </c>
      <c r="BF100" s="174">
        <v>-50.011393939797401</v>
      </c>
      <c r="BG100" s="168"/>
      <c r="BH100" s="168"/>
      <c r="BI100" s="176">
        <v>42</v>
      </c>
      <c r="BJ100" s="176">
        <v>60</v>
      </c>
      <c r="BK100" s="169"/>
      <c r="BL100" s="185">
        <v>0.8</v>
      </c>
      <c r="BM100" s="188">
        <v>0.75</v>
      </c>
      <c r="BN100" s="186"/>
      <c r="BO100" s="187">
        <v>0.95</v>
      </c>
      <c r="BP100" s="178">
        <v>1</v>
      </c>
      <c r="BQ100" s="186">
        <v>2.5000000000000001E-3</v>
      </c>
    </row>
    <row r="101" spans="1:69" s="156" customFormat="1" ht="22.35" customHeight="1" x14ac:dyDescent="0.2">
      <c r="A101" s="165" t="s">
        <v>139</v>
      </c>
      <c r="B101" s="165" t="s">
        <v>140</v>
      </c>
      <c r="C101" s="165" t="s">
        <v>158</v>
      </c>
      <c r="D101" s="166">
        <v>2.4566604814444402</v>
      </c>
      <c r="E101" s="167"/>
      <c r="F101" s="168">
        <v>0.01</v>
      </c>
      <c r="G101" s="168">
        <v>0.01</v>
      </c>
      <c r="H101" s="169"/>
      <c r="I101" s="170">
        <v>2</v>
      </c>
      <c r="J101" s="170">
        <v>2</v>
      </c>
      <c r="K101" s="167"/>
      <c r="L101" s="171">
        <v>1398.3889799999999</v>
      </c>
      <c r="M101" s="171">
        <v>353.37722000000002</v>
      </c>
      <c r="N101" s="171">
        <v>1751.7662</v>
      </c>
      <c r="O101" s="166">
        <v>713.06809110635095</v>
      </c>
      <c r="P101" s="172">
        <v>287.5</v>
      </c>
      <c r="Q101" s="178">
        <v>2.4802368386307898</v>
      </c>
      <c r="R101" s="179">
        <v>980.49764185051799</v>
      </c>
      <c r="S101" s="168">
        <v>0.01</v>
      </c>
      <c r="T101" s="168">
        <v>0.01</v>
      </c>
      <c r="U101" s="175">
        <v>0</v>
      </c>
      <c r="V101" s="176">
        <v>0</v>
      </c>
      <c r="W101" s="167"/>
      <c r="X101" s="175">
        <v>740.01513499999999</v>
      </c>
      <c r="Y101" s="166">
        <v>301.22808609063202</v>
      </c>
      <c r="Z101" s="177">
        <v>573</v>
      </c>
      <c r="AA101" s="173">
        <v>0.525703466126757</v>
      </c>
      <c r="AB101" s="174">
        <v>-797.15663480748901</v>
      </c>
      <c r="AC101" s="168"/>
      <c r="AD101" s="168"/>
      <c r="AE101" s="176">
        <v>668</v>
      </c>
      <c r="AF101" s="176">
        <v>950</v>
      </c>
      <c r="AG101" s="167"/>
      <c r="AH101" s="180">
        <v>87.3</v>
      </c>
      <c r="AI101" s="166">
        <v>35.536046050885403</v>
      </c>
      <c r="AJ101" s="181" t="s">
        <v>53</v>
      </c>
      <c r="AK101" s="173">
        <v>0.56406422302992598</v>
      </c>
      <c r="AL101" s="174">
        <v>-81.708414481451697</v>
      </c>
      <c r="AM101" s="168"/>
      <c r="AN101" s="168"/>
      <c r="AO101" s="176">
        <v>68</v>
      </c>
      <c r="AP101" s="176">
        <v>99</v>
      </c>
      <c r="AQ101" s="167"/>
      <c r="AR101" s="180">
        <v>1.5</v>
      </c>
      <c r="AS101" s="166">
        <v>0.61058498369218805</v>
      </c>
      <c r="AT101" s="181" t="s">
        <v>54</v>
      </c>
      <c r="AU101" s="173">
        <v>3.8161561480761802E-2</v>
      </c>
      <c r="AV101" s="174">
        <v>-41.4227719317973</v>
      </c>
      <c r="AW101" s="168"/>
      <c r="AX101" s="168"/>
      <c r="AY101" s="176">
        <v>38</v>
      </c>
      <c r="AZ101" s="176">
        <v>46</v>
      </c>
      <c r="BA101" s="167"/>
      <c r="BB101" s="184">
        <v>68.400000000000006</v>
      </c>
      <c r="BC101" s="180">
        <v>27.842675256363801</v>
      </c>
      <c r="BD101" s="181" t="s">
        <v>55</v>
      </c>
      <c r="BE101" s="188">
        <v>0.87008360176136901</v>
      </c>
      <c r="BF101" s="171">
        <v>-17.445543863594501</v>
      </c>
      <c r="BG101" s="168"/>
      <c r="BH101" s="168"/>
      <c r="BI101" s="176">
        <v>11</v>
      </c>
      <c r="BJ101" s="176">
        <v>26</v>
      </c>
      <c r="BK101" s="169"/>
      <c r="BL101" s="185">
        <v>0.8</v>
      </c>
      <c r="BM101" s="188">
        <v>0.77</v>
      </c>
      <c r="BN101" s="186"/>
      <c r="BO101" s="187">
        <v>0.95</v>
      </c>
      <c r="BP101" s="178">
        <v>1</v>
      </c>
      <c r="BQ101" s="186">
        <v>2.5000000000000001E-3</v>
      </c>
    </row>
    <row r="102" spans="1:69" s="156" customFormat="1" ht="22.35" customHeight="1" x14ac:dyDescent="0.2">
      <c r="A102" s="165" t="s">
        <v>139</v>
      </c>
      <c r="B102" s="165" t="s">
        <v>159</v>
      </c>
      <c r="C102" s="165" t="s">
        <v>160</v>
      </c>
      <c r="D102" s="166">
        <v>3.9968760643333301</v>
      </c>
      <c r="E102" s="167"/>
      <c r="F102" s="168">
        <v>0.01</v>
      </c>
      <c r="G102" s="168">
        <v>0.01</v>
      </c>
      <c r="H102" s="169"/>
      <c r="I102" s="170">
        <v>2</v>
      </c>
      <c r="J102" s="170">
        <v>2</v>
      </c>
      <c r="K102" s="167"/>
      <c r="L102" s="171">
        <v>6038.06945</v>
      </c>
      <c r="M102" s="171">
        <v>-242.11984000000001</v>
      </c>
      <c r="N102" s="171">
        <v>5795.9496099999997</v>
      </c>
      <c r="O102" s="166">
        <v>1450.1199228369701</v>
      </c>
      <c r="P102" s="172">
        <v>274.60399999999998</v>
      </c>
      <c r="Q102" s="178">
        <v>5.2807676612029297</v>
      </c>
      <c r="R102" s="179">
        <v>4597.4161049909499</v>
      </c>
      <c r="S102" s="168">
        <v>0.01</v>
      </c>
      <c r="T102" s="168">
        <v>0.01</v>
      </c>
      <c r="U102" s="175">
        <v>0</v>
      </c>
      <c r="V102" s="176">
        <v>0</v>
      </c>
      <c r="W102" s="167"/>
      <c r="X102" s="175">
        <v>1696.637375</v>
      </c>
      <c r="Y102" s="166">
        <v>424.49086428778099</v>
      </c>
      <c r="Z102" s="177">
        <v>573</v>
      </c>
      <c r="AA102" s="188">
        <v>0.74082175268373596</v>
      </c>
      <c r="AB102" s="171">
        <v>-804.27192847039396</v>
      </c>
      <c r="AC102" s="168"/>
      <c r="AD102" s="168"/>
      <c r="AE102" s="176">
        <v>594</v>
      </c>
      <c r="AF102" s="176">
        <v>1052</v>
      </c>
      <c r="AG102" s="167"/>
      <c r="AH102" s="180">
        <v>128.30000000000001</v>
      </c>
      <c r="AI102" s="166">
        <v>32.100069638111201</v>
      </c>
      <c r="AJ102" s="181" t="s">
        <v>53</v>
      </c>
      <c r="AK102" s="173">
        <v>0.50952491489065499</v>
      </c>
      <c r="AL102" s="174">
        <v>-146.669085721876</v>
      </c>
      <c r="AM102" s="168"/>
      <c r="AN102" s="168"/>
      <c r="AO102" s="176">
        <v>124</v>
      </c>
      <c r="AP102" s="176">
        <v>174</v>
      </c>
      <c r="AQ102" s="167"/>
      <c r="AR102" s="180">
        <v>8</v>
      </c>
      <c r="AS102" s="166">
        <v>2.0015631886585301</v>
      </c>
      <c r="AT102" s="181" t="s">
        <v>54</v>
      </c>
      <c r="AU102" s="173">
        <v>0.12509769929115799</v>
      </c>
      <c r="AV102" s="174">
        <v>-61.833418596031997</v>
      </c>
      <c r="AW102" s="168"/>
      <c r="AX102" s="168"/>
      <c r="AY102" s="176">
        <v>56</v>
      </c>
      <c r="AZ102" s="176">
        <v>69</v>
      </c>
      <c r="BA102" s="167"/>
      <c r="BB102" s="184">
        <v>97.2</v>
      </c>
      <c r="BC102" s="180">
        <v>24.3189927422012</v>
      </c>
      <c r="BD102" s="181" t="s">
        <v>55</v>
      </c>
      <c r="BE102" s="188">
        <v>0.75996852319378705</v>
      </c>
      <c r="BF102" s="171">
        <v>-42.466837192063899</v>
      </c>
      <c r="BG102" s="168"/>
      <c r="BH102" s="168"/>
      <c r="BI102" s="176">
        <v>31</v>
      </c>
      <c r="BJ102" s="176">
        <v>57</v>
      </c>
      <c r="BK102" s="169"/>
      <c r="BL102" s="185">
        <v>0.8</v>
      </c>
      <c r="BM102" s="188">
        <v>0.71</v>
      </c>
      <c r="BN102" s="186"/>
      <c r="BO102" s="187">
        <v>0.95</v>
      </c>
      <c r="BP102" s="178">
        <v>1</v>
      </c>
      <c r="BQ102" s="186">
        <v>2.5000000000000001E-3</v>
      </c>
    </row>
    <row r="103" spans="1:69" s="156" customFormat="1" ht="22.35" customHeight="1" x14ac:dyDescent="0.2">
      <c r="A103" s="165" t="s">
        <v>139</v>
      </c>
      <c r="B103" s="165" t="s">
        <v>159</v>
      </c>
      <c r="C103" s="165" t="s">
        <v>161</v>
      </c>
      <c r="D103" s="166">
        <v>3.1170158208888901</v>
      </c>
      <c r="E103" s="167"/>
      <c r="F103" s="168">
        <v>2.1000000000000001E-2</v>
      </c>
      <c r="G103" s="168">
        <v>1.0999999999999999E-2</v>
      </c>
      <c r="H103" s="169"/>
      <c r="I103" s="170">
        <v>3</v>
      </c>
      <c r="J103" s="170">
        <v>3</v>
      </c>
      <c r="K103" s="167"/>
      <c r="L103" s="171">
        <v>3009.7157299999999</v>
      </c>
      <c r="M103" s="171">
        <v>1623.58644</v>
      </c>
      <c r="N103" s="171">
        <v>4633.3021699999999</v>
      </c>
      <c r="O103" s="166">
        <v>1486.4544924506399</v>
      </c>
      <c r="P103" s="172">
        <v>254.25200000000001</v>
      </c>
      <c r="Q103" s="178">
        <v>5.8463826929606801</v>
      </c>
      <c r="R103" s="179">
        <v>3767.88397291003</v>
      </c>
      <c r="S103" s="168">
        <v>0.01</v>
      </c>
      <c r="T103" s="168">
        <v>0.01</v>
      </c>
      <c r="U103" s="175">
        <v>0</v>
      </c>
      <c r="V103" s="176">
        <v>0</v>
      </c>
      <c r="W103" s="167"/>
      <c r="X103" s="175">
        <v>1388.4493050000001</v>
      </c>
      <c r="Y103" s="166">
        <v>445.44185361370802</v>
      </c>
      <c r="Z103" s="177">
        <v>573</v>
      </c>
      <c r="AA103" s="188">
        <v>0.77738543388081704</v>
      </c>
      <c r="AB103" s="171">
        <v>-561.91736638331304</v>
      </c>
      <c r="AC103" s="168"/>
      <c r="AD103" s="168"/>
      <c r="AE103" s="176">
        <v>398</v>
      </c>
      <c r="AF103" s="176">
        <v>755</v>
      </c>
      <c r="AG103" s="167"/>
      <c r="AH103" s="180">
        <v>99.8</v>
      </c>
      <c r="AI103" s="166">
        <v>32.017803480875401</v>
      </c>
      <c r="AJ103" s="181" t="s">
        <v>53</v>
      </c>
      <c r="AK103" s="173">
        <v>0.508219102871038</v>
      </c>
      <c r="AL103" s="174">
        <v>-114.63822041387201</v>
      </c>
      <c r="AM103" s="168"/>
      <c r="AN103" s="168"/>
      <c r="AO103" s="176">
        <v>97</v>
      </c>
      <c r="AP103" s="176">
        <v>136</v>
      </c>
      <c r="AQ103" s="167"/>
      <c r="AR103" s="180">
        <v>32.4</v>
      </c>
      <c r="AS103" s="166">
        <v>10.394557442689001</v>
      </c>
      <c r="AT103" s="181" t="s">
        <v>54</v>
      </c>
      <c r="AU103" s="173">
        <v>0.649659840168063</v>
      </c>
      <c r="AV103" s="174">
        <v>-22.060500422570701</v>
      </c>
      <c r="AW103" s="168"/>
      <c r="AX103" s="168"/>
      <c r="AY103" s="176">
        <v>18</v>
      </c>
      <c r="AZ103" s="176">
        <v>28</v>
      </c>
      <c r="BA103" s="167"/>
      <c r="BB103" s="184">
        <v>100.8</v>
      </c>
      <c r="BC103" s="180">
        <v>32.338623155032501</v>
      </c>
      <c r="BD103" s="181" t="s">
        <v>55</v>
      </c>
      <c r="BE103" s="182">
        <v>1.0105819735947701</v>
      </c>
      <c r="BF103" s="183">
        <v>-8.1210008451413795</v>
      </c>
      <c r="BG103" s="168">
        <v>1.0999999999999999E-2</v>
      </c>
      <c r="BH103" s="168">
        <v>1E-3</v>
      </c>
      <c r="BI103" s="176">
        <v>0</v>
      </c>
      <c r="BJ103" s="176">
        <v>19</v>
      </c>
      <c r="BK103" s="169"/>
      <c r="BL103" s="185">
        <v>0.8</v>
      </c>
      <c r="BM103" s="188">
        <v>0.74</v>
      </c>
      <c r="BN103" s="186"/>
      <c r="BO103" s="187">
        <v>0.95</v>
      </c>
      <c r="BP103" s="178">
        <v>1</v>
      </c>
      <c r="BQ103" s="186">
        <v>2.5000000000000001E-3</v>
      </c>
    </row>
    <row r="104" spans="1:69" s="156" customFormat="1" ht="22.35" customHeight="1" x14ac:dyDescent="0.2">
      <c r="A104" s="165" t="s">
        <v>139</v>
      </c>
      <c r="B104" s="165" t="s">
        <v>159</v>
      </c>
      <c r="C104" s="165" t="s">
        <v>162</v>
      </c>
      <c r="D104" s="166">
        <v>3.5189073529999999</v>
      </c>
      <c r="E104" s="167"/>
      <c r="F104" s="168">
        <v>0.05</v>
      </c>
      <c r="G104" s="168">
        <v>3.4000000000000002E-2</v>
      </c>
      <c r="H104" s="169"/>
      <c r="I104" s="170">
        <v>5</v>
      </c>
      <c r="J104" s="170">
        <v>4</v>
      </c>
      <c r="K104" s="167"/>
      <c r="L104" s="171">
        <v>1311.7811899999999</v>
      </c>
      <c r="M104" s="171">
        <v>1365.7141999999999</v>
      </c>
      <c r="N104" s="171">
        <v>2677.49539</v>
      </c>
      <c r="O104" s="166">
        <v>760.88828758658099</v>
      </c>
      <c r="P104" s="172">
        <v>274.60399999999998</v>
      </c>
      <c r="Q104" s="178">
        <v>2.7708565337233999</v>
      </c>
      <c r="R104" s="179">
        <v>1622.28920003857</v>
      </c>
      <c r="S104" s="168">
        <v>0.01</v>
      </c>
      <c r="T104" s="168">
        <v>0.01</v>
      </c>
      <c r="U104" s="175">
        <v>0</v>
      </c>
      <c r="V104" s="176">
        <v>0</v>
      </c>
      <c r="W104" s="167"/>
      <c r="X104" s="175">
        <v>2348.4531550000002</v>
      </c>
      <c r="Y104" s="166">
        <v>667.38135432802903</v>
      </c>
      <c r="Z104" s="177">
        <v>573</v>
      </c>
      <c r="AA104" s="178">
        <v>1.1647144054590399</v>
      </c>
      <c r="AB104" s="179">
        <v>146.61652171025199</v>
      </c>
      <c r="AC104" s="168">
        <v>0.02</v>
      </c>
      <c r="AD104" s="168">
        <v>1.6E-2</v>
      </c>
      <c r="AE104" s="176">
        <v>0</v>
      </c>
      <c r="AF104" s="176">
        <v>72</v>
      </c>
      <c r="AG104" s="167"/>
      <c r="AH104" s="180">
        <v>205.4</v>
      </c>
      <c r="AI104" s="166">
        <v>58.370391543525201</v>
      </c>
      <c r="AJ104" s="181" t="s">
        <v>53</v>
      </c>
      <c r="AK104" s="182">
        <v>0.92651415148452698</v>
      </c>
      <c r="AL104" s="183">
        <v>-36.686750256987999</v>
      </c>
      <c r="AM104" s="168">
        <v>2E-3</v>
      </c>
      <c r="AN104" s="168"/>
      <c r="AO104" s="176">
        <v>17</v>
      </c>
      <c r="AP104" s="176">
        <v>61</v>
      </c>
      <c r="AQ104" s="167"/>
      <c r="AR104" s="180">
        <v>23.5</v>
      </c>
      <c r="AS104" s="166">
        <v>6.6782093538113099</v>
      </c>
      <c r="AT104" s="181" t="s">
        <v>54</v>
      </c>
      <c r="AU104" s="173">
        <v>0.41738808461320698</v>
      </c>
      <c r="AV104" s="174">
        <v>-37.982349271616002</v>
      </c>
      <c r="AW104" s="168"/>
      <c r="AX104" s="168"/>
      <c r="AY104" s="176">
        <v>33</v>
      </c>
      <c r="AZ104" s="176">
        <v>45</v>
      </c>
      <c r="BA104" s="167"/>
      <c r="BB104" s="184">
        <v>121.4</v>
      </c>
      <c r="BC104" s="180">
        <v>34.499345342667802</v>
      </c>
      <c r="BD104" s="181" t="s">
        <v>55</v>
      </c>
      <c r="BE104" s="182">
        <v>1.0781045419583699</v>
      </c>
      <c r="BF104" s="183">
        <v>-1.56469854323201</v>
      </c>
      <c r="BG104" s="168">
        <v>1.7999999999999999E-2</v>
      </c>
      <c r="BH104" s="168">
        <v>8.0000000000000002E-3</v>
      </c>
      <c r="BI104" s="176">
        <v>0</v>
      </c>
      <c r="BJ104" s="176">
        <v>14</v>
      </c>
      <c r="BK104" s="169"/>
      <c r="BL104" s="185">
        <v>0.8</v>
      </c>
      <c r="BM104" s="173">
        <v>0.68</v>
      </c>
      <c r="BN104" s="186"/>
      <c r="BO104" s="187">
        <v>0.95</v>
      </c>
      <c r="BP104" s="178">
        <v>1</v>
      </c>
      <c r="BQ104" s="186">
        <v>2.5000000000000001E-3</v>
      </c>
    </row>
    <row r="105" spans="1:69" s="156" customFormat="1" ht="22.35" customHeight="1" x14ac:dyDescent="0.2">
      <c r="A105" s="165" t="s">
        <v>139</v>
      </c>
      <c r="B105" s="165" t="s">
        <v>159</v>
      </c>
      <c r="C105" s="165" t="s">
        <v>163</v>
      </c>
      <c r="D105" s="166">
        <v>3.27682426844444</v>
      </c>
      <c r="E105" s="167"/>
      <c r="F105" s="168">
        <v>3.3000000000000002E-2</v>
      </c>
      <c r="G105" s="168">
        <v>1.4999999999999999E-2</v>
      </c>
      <c r="H105" s="169"/>
      <c r="I105" s="170">
        <v>4</v>
      </c>
      <c r="J105" s="170">
        <v>3</v>
      </c>
      <c r="K105" s="167"/>
      <c r="L105" s="171">
        <v>2728.6725000000001</v>
      </c>
      <c r="M105" s="171">
        <v>2489.6818199999998</v>
      </c>
      <c r="N105" s="171">
        <v>5218.3543200000004</v>
      </c>
      <c r="O105" s="166">
        <v>1592.5035621386</v>
      </c>
      <c r="P105" s="172">
        <v>246.58500000000001</v>
      </c>
      <c r="Q105" s="178">
        <v>6.4582337211857999</v>
      </c>
      <c r="R105" s="179">
        <v>4336.0011622400698</v>
      </c>
      <c r="S105" s="168">
        <v>0.01</v>
      </c>
      <c r="T105" s="168">
        <v>0.01</v>
      </c>
      <c r="U105" s="175">
        <v>0</v>
      </c>
      <c r="V105" s="176">
        <v>0</v>
      </c>
      <c r="W105" s="167"/>
      <c r="X105" s="175">
        <v>1847.4322500000001</v>
      </c>
      <c r="Y105" s="166">
        <v>563.78740471090396</v>
      </c>
      <c r="Z105" s="177">
        <v>573</v>
      </c>
      <c r="AA105" s="182">
        <v>0.98392217227033896</v>
      </c>
      <c r="AB105" s="183">
        <v>-202.92912395398099</v>
      </c>
      <c r="AC105" s="168">
        <v>8.0000000000000002E-3</v>
      </c>
      <c r="AD105" s="168"/>
      <c r="AE105" s="176">
        <v>31</v>
      </c>
      <c r="AF105" s="176">
        <v>406</v>
      </c>
      <c r="AG105" s="167"/>
      <c r="AH105" s="180">
        <v>126.8</v>
      </c>
      <c r="AI105" s="166">
        <v>38.6960024744305</v>
      </c>
      <c r="AJ105" s="181" t="s">
        <v>53</v>
      </c>
      <c r="AK105" s="173">
        <v>0.61422226149889603</v>
      </c>
      <c r="AL105" s="174">
        <v>-98.632402371903694</v>
      </c>
      <c r="AM105" s="168"/>
      <c r="AN105" s="168"/>
      <c r="AO105" s="176">
        <v>80</v>
      </c>
      <c r="AP105" s="176">
        <v>121</v>
      </c>
      <c r="AQ105" s="167"/>
      <c r="AR105" s="180">
        <v>12.8</v>
      </c>
      <c r="AS105" s="166">
        <v>3.9062210699740501</v>
      </c>
      <c r="AT105" s="181" t="s">
        <v>54</v>
      </c>
      <c r="AU105" s="173">
        <v>0.24413881687337799</v>
      </c>
      <c r="AV105" s="174">
        <v>-44.452673618261301</v>
      </c>
      <c r="AW105" s="168"/>
      <c r="AX105" s="168"/>
      <c r="AY105" s="176">
        <v>40</v>
      </c>
      <c r="AZ105" s="176">
        <v>51</v>
      </c>
      <c r="BA105" s="167"/>
      <c r="BB105" s="184">
        <v>110</v>
      </c>
      <c r="BC105" s="180">
        <v>33.569087320089501</v>
      </c>
      <c r="BD105" s="181" t="s">
        <v>55</v>
      </c>
      <c r="BE105" s="182">
        <v>1.0490339787528</v>
      </c>
      <c r="BF105" s="183">
        <v>-4.5053472365225202</v>
      </c>
      <c r="BG105" s="168">
        <v>1.4999999999999999E-2</v>
      </c>
      <c r="BH105" s="168">
        <v>5.0000000000000001E-3</v>
      </c>
      <c r="BI105" s="176">
        <v>0</v>
      </c>
      <c r="BJ105" s="176">
        <v>16</v>
      </c>
      <c r="BK105" s="169"/>
      <c r="BL105" s="185">
        <v>0.8</v>
      </c>
      <c r="BM105" s="188">
        <v>0.75</v>
      </c>
      <c r="BN105" s="186"/>
      <c r="BO105" s="187">
        <v>0.95</v>
      </c>
      <c r="BP105" s="178">
        <v>1</v>
      </c>
      <c r="BQ105" s="186">
        <v>2.5000000000000001E-3</v>
      </c>
    </row>
    <row r="106" spans="1:69" s="156" customFormat="1" ht="22.35" customHeight="1" x14ac:dyDescent="0.2">
      <c r="A106" s="165" t="s">
        <v>139</v>
      </c>
      <c r="B106" s="165" t="s">
        <v>159</v>
      </c>
      <c r="C106" s="165" t="s">
        <v>164</v>
      </c>
      <c r="D106" s="166">
        <v>2.5224867724444402</v>
      </c>
      <c r="E106" s="167"/>
      <c r="F106" s="168">
        <v>0.01</v>
      </c>
      <c r="G106" s="168">
        <v>0.01</v>
      </c>
      <c r="H106" s="169"/>
      <c r="I106" s="170">
        <v>2</v>
      </c>
      <c r="J106" s="170">
        <v>2</v>
      </c>
      <c r="K106" s="167"/>
      <c r="L106" s="171">
        <v>1082.65724</v>
      </c>
      <c r="M106" s="171">
        <v>351.87522000000001</v>
      </c>
      <c r="N106" s="171">
        <v>1434.5324599999999</v>
      </c>
      <c r="O106" s="166">
        <v>568.69771357010904</v>
      </c>
      <c r="P106" s="172">
        <v>260.82400000000001</v>
      </c>
      <c r="Q106" s="178">
        <v>2.1803887432525699</v>
      </c>
      <c r="R106" s="179">
        <v>716.07826178983498</v>
      </c>
      <c r="S106" s="168">
        <v>0.01</v>
      </c>
      <c r="T106" s="168">
        <v>0.01</v>
      </c>
      <c r="U106" s="175">
        <v>0</v>
      </c>
      <c r="V106" s="176">
        <v>0</v>
      </c>
      <c r="W106" s="167"/>
      <c r="X106" s="175">
        <v>1236.1225099999999</v>
      </c>
      <c r="Y106" s="166">
        <v>490.04122578693301</v>
      </c>
      <c r="Z106" s="177">
        <v>573</v>
      </c>
      <c r="AA106" s="188">
        <v>0.85522028933147098</v>
      </c>
      <c r="AB106" s="171">
        <v>-342.23782330684497</v>
      </c>
      <c r="AC106" s="168"/>
      <c r="AD106" s="168"/>
      <c r="AE106" s="176">
        <v>210</v>
      </c>
      <c r="AF106" s="176">
        <v>499</v>
      </c>
      <c r="AG106" s="167"/>
      <c r="AH106" s="180">
        <v>109.7</v>
      </c>
      <c r="AI106" s="166">
        <v>43.488830624746498</v>
      </c>
      <c r="AJ106" s="181" t="s">
        <v>53</v>
      </c>
      <c r="AK106" s="173">
        <v>0.69029889880549999</v>
      </c>
      <c r="AL106" s="174">
        <v>-63.836999997087702</v>
      </c>
      <c r="AM106" s="168"/>
      <c r="AN106" s="168"/>
      <c r="AO106" s="176">
        <v>50</v>
      </c>
      <c r="AP106" s="176">
        <v>81</v>
      </c>
      <c r="AQ106" s="167"/>
      <c r="AR106" s="180">
        <v>5</v>
      </c>
      <c r="AS106" s="166">
        <v>1.9821709491680299</v>
      </c>
      <c r="AT106" s="181" t="s">
        <v>54</v>
      </c>
      <c r="AU106" s="173">
        <v>0.123885684323002</v>
      </c>
      <c r="AV106" s="174">
        <v>-39.072888888149301</v>
      </c>
      <c r="AW106" s="168"/>
      <c r="AX106" s="168"/>
      <c r="AY106" s="176">
        <v>36</v>
      </c>
      <c r="AZ106" s="176">
        <v>44</v>
      </c>
      <c r="BA106" s="167"/>
      <c r="BB106" s="184">
        <v>36.6</v>
      </c>
      <c r="BC106" s="180">
        <v>14.50949134791</v>
      </c>
      <c r="BD106" s="181" t="s">
        <v>55</v>
      </c>
      <c r="BE106" s="173">
        <v>0.453421604622186</v>
      </c>
      <c r="BF106" s="174">
        <v>-51.5457777762985</v>
      </c>
      <c r="BG106" s="168"/>
      <c r="BH106" s="168"/>
      <c r="BI106" s="176">
        <v>45</v>
      </c>
      <c r="BJ106" s="176">
        <v>61</v>
      </c>
      <c r="BK106" s="169"/>
      <c r="BL106" s="185">
        <v>0.8</v>
      </c>
      <c r="BM106" s="188">
        <v>0.77</v>
      </c>
      <c r="BN106" s="186"/>
      <c r="BO106" s="187">
        <v>0.95</v>
      </c>
      <c r="BP106" s="178">
        <v>1</v>
      </c>
      <c r="BQ106" s="186">
        <v>2.5000000000000001E-3</v>
      </c>
    </row>
    <row r="107" spans="1:69" s="156" customFormat="1" ht="22.35" customHeight="1" x14ac:dyDescent="0.2">
      <c r="A107" s="165" t="s">
        <v>139</v>
      </c>
      <c r="B107" s="165" t="s">
        <v>159</v>
      </c>
      <c r="C107" s="165" t="s">
        <v>165</v>
      </c>
      <c r="D107" s="166">
        <v>5.5385385716666704</v>
      </c>
      <c r="E107" s="167"/>
      <c r="F107" s="168">
        <v>2.4E-2</v>
      </c>
      <c r="G107" s="168">
        <v>1.4E-2</v>
      </c>
      <c r="H107" s="169"/>
      <c r="I107" s="170">
        <v>3</v>
      </c>
      <c r="J107" s="170">
        <v>3</v>
      </c>
      <c r="K107" s="167"/>
      <c r="L107" s="171">
        <v>4064.3967200000002</v>
      </c>
      <c r="M107" s="171">
        <v>-1735.76657</v>
      </c>
      <c r="N107" s="171">
        <v>2328.63015</v>
      </c>
      <c r="O107" s="166">
        <v>420.44126259452298</v>
      </c>
      <c r="P107" s="172">
        <v>236.32499999999999</v>
      </c>
      <c r="Q107" s="178">
        <v>1.77908076841013</v>
      </c>
      <c r="R107" s="179">
        <v>899.31667027955405</v>
      </c>
      <c r="S107" s="168">
        <v>0.01</v>
      </c>
      <c r="T107" s="168">
        <v>0.01</v>
      </c>
      <c r="U107" s="175">
        <v>0</v>
      </c>
      <c r="V107" s="176">
        <v>0</v>
      </c>
      <c r="W107" s="167"/>
      <c r="X107" s="175">
        <v>2088.0927799999999</v>
      </c>
      <c r="Y107" s="166">
        <v>377.01150817690302</v>
      </c>
      <c r="Z107" s="177">
        <v>573</v>
      </c>
      <c r="AA107" s="173">
        <v>0.65796074725463005</v>
      </c>
      <c r="AB107" s="174">
        <v>-1377.4594209089801</v>
      </c>
      <c r="AC107" s="168"/>
      <c r="AD107" s="168"/>
      <c r="AE107" s="176">
        <v>1086</v>
      </c>
      <c r="AF107" s="176">
        <v>1721</v>
      </c>
      <c r="AG107" s="167"/>
      <c r="AH107" s="180">
        <v>201.5</v>
      </c>
      <c r="AI107" s="166">
        <v>36.381438423270602</v>
      </c>
      <c r="AJ107" s="181" t="s">
        <v>53</v>
      </c>
      <c r="AK107" s="173">
        <v>0.577483149575724</v>
      </c>
      <c r="AL107" s="174">
        <v>-179.52929957638</v>
      </c>
      <c r="AM107" s="168"/>
      <c r="AN107" s="168"/>
      <c r="AO107" s="176">
        <v>148</v>
      </c>
      <c r="AP107" s="176">
        <v>218</v>
      </c>
      <c r="AQ107" s="167"/>
      <c r="AR107" s="180">
        <v>37.6</v>
      </c>
      <c r="AS107" s="166">
        <v>6.7887944650867196</v>
      </c>
      <c r="AT107" s="181" t="s">
        <v>54</v>
      </c>
      <c r="AU107" s="173">
        <v>0.42429965406791997</v>
      </c>
      <c r="AV107" s="174">
        <v>-59.169345924160098</v>
      </c>
      <c r="AW107" s="168"/>
      <c r="AX107" s="168"/>
      <c r="AY107" s="176">
        <v>52</v>
      </c>
      <c r="AZ107" s="176">
        <v>69</v>
      </c>
      <c r="BA107" s="167"/>
      <c r="BB107" s="184">
        <v>184.6</v>
      </c>
      <c r="BC107" s="180">
        <v>33.330091974867301</v>
      </c>
      <c r="BD107" s="181" t="s">
        <v>55</v>
      </c>
      <c r="BE107" s="182">
        <v>1.0415653742146</v>
      </c>
      <c r="BF107" s="183">
        <v>-8.9386918483201292</v>
      </c>
      <c r="BG107" s="168">
        <v>1.4E-2</v>
      </c>
      <c r="BH107" s="168">
        <v>4.0000000000000001E-3</v>
      </c>
      <c r="BI107" s="176">
        <v>0</v>
      </c>
      <c r="BJ107" s="176">
        <v>29</v>
      </c>
      <c r="BK107" s="169"/>
      <c r="BL107" s="185">
        <v>0.8</v>
      </c>
      <c r="BM107" s="188">
        <v>0.71</v>
      </c>
      <c r="BN107" s="186"/>
      <c r="BO107" s="187">
        <v>0.95</v>
      </c>
      <c r="BP107" s="178">
        <v>1</v>
      </c>
      <c r="BQ107" s="186">
        <v>2.5000000000000001E-3</v>
      </c>
    </row>
    <row r="108" spans="1:69" s="156" customFormat="1" ht="22.35" customHeight="1" x14ac:dyDescent="0.2">
      <c r="A108" s="165" t="s">
        <v>139</v>
      </c>
      <c r="B108" s="165" t="s">
        <v>159</v>
      </c>
      <c r="C108" s="165" t="s">
        <v>166</v>
      </c>
      <c r="D108" s="166">
        <v>4.7470153233333301</v>
      </c>
      <c r="E108" s="167"/>
      <c r="F108" s="168">
        <v>0.02</v>
      </c>
      <c r="G108" s="168">
        <v>1.7000000000000001E-2</v>
      </c>
      <c r="H108" s="169"/>
      <c r="I108" s="170">
        <v>2</v>
      </c>
      <c r="J108" s="170">
        <v>2</v>
      </c>
      <c r="K108" s="167"/>
      <c r="L108" s="171">
        <v>2972.81342</v>
      </c>
      <c r="M108" s="171">
        <v>-2522.2708299999999</v>
      </c>
      <c r="N108" s="171">
        <v>450.54259000000002</v>
      </c>
      <c r="O108" s="166">
        <v>94.910709006018294</v>
      </c>
      <c r="P108" s="172">
        <v>287.5</v>
      </c>
      <c r="Q108" s="173">
        <v>0.33012420523832497</v>
      </c>
      <c r="R108" s="174">
        <v>-1039.7828707604999</v>
      </c>
      <c r="S108" s="168"/>
      <c r="T108" s="168"/>
      <c r="U108" s="175">
        <v>915</v>
      </c>
      <c r="V108" s="176">
        <v>1188</v>
      </c>
      <c r="W108" s="167"/>
      <c r="X108" s="175">
        <v>1974.17869</v>
      </c>
      <c r="Y108" s="166">
        <v>415.87788442480502</v>
      </c>
      <c r="Z108" s="177">
        <v>573</v>
      </c>
      <c r="AA108" s="188">
        <v>0.72579037421432002</v>
      </c>
      <c r="AB108" s="171">
        <v>-996.10475005483795</v>
      </c>
      <c r="AC108" s="168"/>
      <c r="AD108" s="168"/>
      <c r="AE108" s="176">
        <v>746</v>
      </c>
      <c r="AF108" s="176">
        <v>1290</v>
      </c>
      <c r="AG108" s="167"/>
      <c r="AH108" s="180">
        <v>205.3</v>
      </c>
      <c r="AI108" s="166">
        <v>43.248227784493302</v>
      </c>
      <c r="AJ108" s="181" t="s">
        <v>53</v>
      </c>
      <c r="AK108" s="173">
        <v>0.68647980610306802</v>
      </c>
      <c r="AL108" s="174">
        <v>-121.27566618404001</v>
      </c>
      <c r="AM108" s="168"/>
      <c r="AN108" s="168"/>
      <c r="AO108" s="176">
        <v>94</v>
      </c>
      <c r="AP108" s="176">
        <v>154</v>
      </c>
      <c r="AQ108" s="167"/>
      <c r="AR108" s="180">
        <v>39.700000000000003</v>
      </c>
      <c r="AS108" s="166">
        <v>8.3631497469283094</v>
      </c>
      <c r="AT108" s="181" t="s">
        <v>54</v>
      </c>
      <c r="AU108" s="173">
        <v>0.522696859183019</v>
      </c>
      <c r="AV108" s="174">
        <v>-43.239851729279998</v>
      </c>
      <c r="AW108" s="168"/>
      <c r="AX108" s="168"/>
      <c r="AY108" s="176">
        <v>37</v>
      </c>
      <c r="AZ108" s="176">
        <v>52</v>
      </c>
      <c r="BA108" s="167"/>
      <c r="BB108" s="184">
        <v>177.8</v>
      </c>
      <c r="BC108" s="180">
        <v>37.455113979945999</v>
      </c>
      <c r="BD108" s="181" t="s">
        <v>55</v>
      </c>
      <c r="BE108" s="178">
        <v>1.17047231187331</v>
      </c>
      <c r="BF108" s="179">
        <v>11.9202965414401</v>
      </c>
      <c r="BG108" s="168">
        <v>0.02</v>
      </c>
      <c r="BH108" s="168">
        <v>1.7000000000000001E-2</v>
      </c>
      <c r="BI108" s="176">
        <v>0</v>
      </c>
      <c r="BJ108" s="176">
        <v>5</v>
      </c>
      <c r="BK108" s="169"/>
      <c r="BL108" s="185">
        <v>0.8</v>
      </c>
      <c r="BM108" s="173">
        <v>0.64</v>
      </c>
      <c r="BN108" s="186"/>
      <c r="BO108" s="187">
        <v>0.95</v>
      </c>
      <c r="BP108" s="178">
        <v>1</v>
      </c>
      <c r="BQ108" s="186">
        <v>2.5000000000000001E-3</v>
      </c>
    </row>
    <row r="109" spans="1:69" s="156" customFormat="1" ht="22.35" customHeight="1" x14ac:dyDescent="0.2">
      <c r="A109" s="165" t="s">
        <v>139</v>
      </c>
      <c r="B109" s="165" t="s">
        <v>159</v>
      </c>
      <c r="C109" s="165" t="s">
        <v>167</v>
      </c>
      <c r="D109" s="166">
        <v>5.8254724778888898</v>
      </c>
      <c r="E109" s="167"/>
      <c r="F109" s="168">
        <v>1E-3</v>
      </c>
      <c r="G109" s="168"/>
      <c r="H109" s="169"/>
      <c r="I109" s="170">
        <v>2</v>
      </c>
      <c r="J109" s="170">
        <v>1</v>
      </c>
      <c r="K109" s="167"/>
      <c r="L109" s="171">
        <v>1640.1132500000001</v>
      </c>
      <c r="M109" s="171">
        <v>-687.83163000000002</v>
      </c>
      <c r="N109" s="171">
        <v>952.28161999999998</v>
      </c>
      <c r="O109" s="166">
        <v>163.468563900091</v>
      </c>
      <c r="P109" s="172">
        <v>236.41900000000001</v>
      </c>
      <c r="Q109" s="173">
        <v>0.69143581480376204</v>
      </c>
      <c r="R109" s="174">
        <v>-551.67797650301395</v>
      </c>
      <c r="S109" s="168"/>
      <c r="T109" s="168"/>
      <c r="U109" s="175">
        <v>425</v>
      </c>
      <c r="V109" s="176">
        <v>701</v>
      </c>
      <c r="W109" s="167"/>
      <c r="X109" s="175">
        <v>2752.7860599999999</v>
      </c>
      <c r="Y109" s="166">
        <v>472.54296890912298</v>
      </c>
      <c r="Z109" s="177">
        <v>573</v>
      </c>
      <c r="AA109" s="188">
        <v>0.82468231921312896</v>
      </c>
      <c r="AB109" s="171">
        <v>-892.30527697472405</v>
      </c>
      <c r="AC109" s="168"/>
      <c r="AD109" s="168"/>
      <c r="AE109" s="176">
        <v>586</v>
      </c>
      <c r="AF109" s="176">
        <v>1253</v>
      </c>
      <c r="AG109" s="167"/>
      <c r="AH109" s="180">
        <v>268</v>
      </c>
      <c r="AI109" s="166">
        <v>46.004852141558999</v>
      </c>
      <c r="AJ109" s="181" t="s">
        <v>53</v>
      </c>
      <c r="AK109" s="188">
        <v>0.73023574827871496</v>
      </c>
      <c r="AL109" s="171">
        <v>-132.76920458884399</v>
      </c>
      <c r="AM109" s="168"/>
      <c r="AN109" s="168"/>
      <c r="AO109" s="176">
        <v>100</v>
      </c>
      <c r="AP109" s="176">
        <v>173</v>
      </c>
      <c r="AQ109" s="167"/>
      <c r="AR109" s="180">
        <v>19.399999999999999</v>
      </c>
      <c r="AS109" s="166">
        <v>3.3302019833815102</v>
      </c>
      <c r="AT109" s="181" t="s">
        <v>54</v>
      </c>
      <c r="AU109" s="173">
        <v>0.208137623961344</v>
      </c>
      <c r="AV109" s="174">
        <v>-82.382655133674703</v>
      </c>
      <c r="AW109" s="168"/>
      <c r="AX109" s="168"/>
      <c r="AY109" s="176">
        <v>74</v>
      </c>
      <c r="AZ109" s="176">
        <v>93</v>
      </c>
      <c r="BA109" s="167"/>
      <c r="BB109" s="184">
        <v>171.4</v>
      </c>
      <c r="BC109" s="180">
        <v>29.4225061830717</v>
      </c>
      <c r="BD109" s="181" t="s">
        <v>55</v>
      </c>
      <c r="BE109" s="182">
        <v>0.91945331822099097</v>
      </c>
      <c r="BF109" s="183">
        <v>-32.165310267349398</v>
      </c>
      <c r="BG109" s="168">
        <v>1E-3</v>
      </c>
      <c r="BH109" s="168"/>
      <c r="BI109" s="176">
        <v>16</v>
      </c>
      <c r="BJ109" s="176">
        <v>53</v>
      </c>
      <c r="BK109" s="169"/>
      <c r="BL109" s="185">
        <v>0.8</v>
      </c>
      <c r="BM109" s="173">
        <v>0.63</v>
      </c>
      <c r="BN109" s="186"/>
      <c r="BO109" s="187">
        <v>0.95</v>
      </c>
      <c r="BP109" s="178">
        <v>1</v>
      </c>
      <c r="BQ109" s="186">
        <v>2.5000000000000001E-3</v>
      </c>
    </row>
    <row r="110" spans="1:69" s="156" customFormat="1" ht="22.35" customHeight="1" x14ac:dyDescent="0.2">
      <c r="A110" s="165" t="s">
        <v>139</v>
      </c>
      <c r="B110" s="165" t="s">
        <v>159</v>
      </c>
      <c r="C110" s="165" t="s">
        <v>168</v>
      </c>
      <c r="D110" s="166">
        <v>2.9978898042222202</v>
      </c>
      <c r="E110" s="167"/>
      <c r="F110" s="168">
        <v>4.2999999999999997E-2</v>
      </c>
      <c r="G110" s="168">
        <v>2.1000000000000001E-2</v>
      </c>
      <c r="H110" s="169"/>
      <c r="I110" s="170">
        <v>4</v>
      </c>
      <c r="J110" s="170">
        <v>4</v>
      </c>
      <c r="K110" s="167"/>
      <c r="L110" s="171">
        <v>1634.88858</v>
      </c>
      <c r="M110" s="171">
        <v>-587.90138000000002</v>
      </c>
      <c r="N110" s="171">
        <v>1046.9872</v>
      </c>
      <c r="O110" s="166">
        <v>349.24138923499601</v>
      </c>
      <c r="P110" s="172">
        <v>244.03100000000001</v>
      </c>
      <c r="Q110" s="178">
        <v>1.43113534442344</v>
      </c>
      <c r="R110" s="179">
        <v>248.103972878945</v>
      </c>
      <c r="S110" s="168">
        <v>0.01</v>
      </c>
      <c r="T110" s="168">
        <v>0.01</v>
      </c>
      <c r="U110" s="175">
        <v>0</v>
      </c>
      <c r="V110" s="176">
        <v>0</v>
      </c>
      <c r="W110" s="167"/>
      <c r="X110" s="175">
        <v>1843.8243199999999</v>
      </c>
      <c r="Y110" s="166">
        <v>615.04072544733299</v>
      </c>
      <c r="Z110" s="177">
        <v>573</v>
      </c>
      <c r="AA110" s="182">
        <v>1.07336950339849</v>
      </c>
      <c r="AB110" s="183">
        <v>-32.003296738710297</v>
      </c>
      <c r="AC110" s="168">
        <v>1.7999999999999999E-2</v>
      </c>
      <c r="AD110" s="168">
        <v>7.0000000000000001E-3</v>
      </c>
      <c r="AE110" s="176">
        <v>0</v>
      </c>
      <c r="AF110" s="176">
        <v>218</v>
      </c>
      <c r="AG110" s="167"/>
      <c r="AH110" s="180">
        <v>124.85</v>
      </c>
      <c r="AI110" s="166">
        <v>41.6459603765827</v>
      </c>
      <c r="AJ110" s="181" t="s">
        <v>53</v>
      </c>
      <c r="AK110" s="173">
        <v>0.66104699010448797</v>
      </c>
      <c r="AL110" s="174">
        <v>-81.392826971271802</v>
      </c>
      <c r="AM110" s="168"/>
      <c r="AN110" s="168"/>
      <c r="AO110" s="176">
        <v>65</v>
      </c>
      <c r="AP110" s="176">
        <v>102</v>
      </c>
      <c r="AQ110" s="167"/>
      <c r="AR110" s="180">
        <v>6.8</v>
      </c>
      <c r="AS110" s="166">
        <v>2.2682621590769898</v>
      </c>
      <c r="AT110" s="181" t="s">
        <v>54</v>
      </c>
      <c r="AU110" s="173">
        <v>0.141766384942312</v>
      </c>
      <c r="AV110" s="174">
        <v>-45.579130659370598</v>
      </c>
      <c r="AW110" s="168"/>
      <c r="AX110" s="168"/>
      <c r="AY110" s="176">
        <v>42</v>
      </c>
      <c r="AZ110" s="176">
        <v>51</v>
      </c>
      <c r="BA110" s="167"/>
      <c r="BB110" s="184">
        <v>100.2</v>
      </c>
      <c r="BC110" s="180">
        <v>33.423510049928602</v>
      </c>
      <c r="BD110" s="181" t="s">
        <v>55</v>
      </c>
      <c r="BE110" s="182">
        <v>1.0444846890602699</v>
      </c>
      <c r="BF110" s="183">
        <v>-4.5582613187412404</v>
      </c>
      <c r="BG110" s="168">
        <v>1.4999999999999999E-2</v>
      </c>
      <c r="BH110" s="168">
        <v>4.0000000000000001E-3</v>
      </c>
      <c r="BI110" s="176">
        <v>0</v>
      </c>
      <c r="BJ110" s="176">
        <v>15</v>
      </c>
      <c r="BK110" s="169"/>
      <c r="BL110" s="185">
        <v>0.8</v>
      </c>
      <c r="BM110" s="188">
        <v>0.72</v>
      </c>
      <c r="BN110" s="186"/>
      <c r="BO110" s="187">
        <v>0.95</v>
      </c>
      <c r="BP110" s="178">
        <v>1</v>
      </c>
      <c r="BQ110" s="186">
        <v>2.5000000000000001E-3</v>
      </c>
    </row>
    <row r="111" spans="1:69" s="156" customFormat="1" ht="22.35" customHeight="1" x14ac:dyDescent="0.2">
      <c r="A111" s="165" t="s">
        <v>139</v>
      </c>
      <c r="B111" s="165" t="s">
        <v>159</v>
      </c>
      <c r="C111" s="165" t="s">
        <v>169</v>
      </c>
      <c r="D111" s="166">
        <v>3.5180638414444401</v>
      </c>
      <c r="E111" s="167"/>
      <c r="F111" s="168">
        <v>2.7E-2</v>
      </c>
      <c r="G111" s="168">
        <v>1.7000000000000001E-2</v>
      </c>
      <c r="H111" s="169"/>
      <c r="I111" s="170">
        <v>3</v>
      </c>
      <c r="J111" s="170">
        <v>3</v>
      </c>
      <c r="K111" s="167"/>
      <c r="L111" s="171">
        <v>3068.3685300000002</v>
      </c>
      <c r="M111" s="171">
        <v>765.98181999999997</v>
      </c>
      <c r="N111" s="171">
        <v>3834.3503500000002</v>
      </c>
      <c r="O111" s="166">
        <v>1089.90357276339</v>
      </c>
      <c r="P111" s="172">
        <v>287.5</v>
      </c>
      <c r="Q111" s="178">
        <v>3.79096894874223</v>
      </c>
      <c r="R111" s="179">
        <v>2729.8542069785199</v>
      </c>
      <c r="S111" s="168">
        <v>0.01</v>
      </c>
      <c r="T111" s="168">
        <v>0.01</v>
      </c>
      <c r="U111" s="175">
        <v>0</v>
      </c>
      <c r="V111" s="176">
        <v>0</v>
      </c>
      <c r="W111" s="167"/>
      <c r="X111" s="175">
        <v>1643.4824900000001</v>
      </c>
      <c r="Y111" s="166">
        <v>467.15539116687</v>
      </c>
      <c r="Z111" s="177">
        <v>573</v>
      </c>
      <c r="AA111" s="188">
        <v>0.81527991477638695</v>
      </c>
      <c r="AB111" s="171">
        <v>-557.82634461324903</v>
      </c>
      <c r="AC111" s="168"/>
      <c r="AD111" s="168"/>
      <c r="AE111" s="176">
        <v>373</v>
      </c>
      <c r="AF111" s="176">
        <v>776</v>
      </c>
      <c r="AG111" s="167"/>
      <c r="AH111" s="180">
        <v>162</v>
      </c>
      <c r="AI111" s="166">
        <v>46.0480557776024</v>
      </c>
      <c r="AJ111" s="181" t="s">
        <v>53</v>
      </c>
      <c r="AK111" s="188">
        <v>0.73092152027940305</v>
      </c>
      <c r="AL111" s="171">
        <v>-80.028720036011705</v>
      </c>
      <c r="AM111" s="168"/>
      <c r="AN111" s="168"/>
      <c r="AO111" s="176">
        <v>60</v>
      </c>
      <c r="AP111" s="176">
        <v>104</v>
      </c>
      <c r="AQ111" s="167"/>
      <c r="AR111" s="180">
        <v>39.700000000000003</v>
      </c>
      <c r="AS111" s="166">
        <v>11.284616138091399</v>
      </c>
      <c r="AT111" s="181" t="s">
        <v>54</v>
      </c>
      <c r="AU111" s="173">
        <v>0.70528850863071602</v>
      </c>
      <c r="AV111" s="174">
        <v>-21.7676114377172</v>
      </c>
      <c r="AW111" s="168"/>
      <c r="AX111" s="168"/>
      <c r="AY111" s="176">
        <v>17</v>
      </c>
      <c r="AZ111" s="176">
        <v>28</v>
      </c>
      <c r="BA111" s="167"/>
      <c r="BB111" s="184">
        <v>120</v>
      </c>
      <c r="BC111" s="180">
        <v>34.109670946372198</v>
      </c>
      <c r="BD111" s="181" t="s">
        <v>55</v>
      </c>
      <c r="BE111" s="182">
        <v>1.0659272170741301</v>
      </c>
      <c r="BF111" s="183">
        <v>-2.9352228754345</v>
      </c>
      <c r="BG111" s="168">
        <v>1.7000000000000001E-2</v>
      </c>
      <c r="BH111" s="168">
        <v>7.0000000000000001E-3</v>
      </c>
      <c r="BI111" s="176">
        <v>0</v>
      </c>
      <c r="BJ111" s="176">
        <v>16</v>
      </c>
      <c r="BK111" s="169"/>
      <c r="BL111" s="185">
        <v>0.8</v>
      </c>
      <c r="BM111" s="188">
        <v>0.76</v>
      </c>
      <c r="BN111" s="186"/>
      <c r="BO111" s="187">
        <v>0.95</v>
      </c>
      <c r="BP111" s="178">
        <v>1</v>
      </c>
      <c r="BQ111" s="186">
        <v>2.5000000000000001E-3</v>
      </c>
    </row>
    <row r="112" spans="1:69" s="156" customFormat="1" ht="22.35" customHeight="1" x14ac:dyDescent="0.2">
      <c r="A112" s="165" t="s">
        <v>139</v>
      </c>
      <c r="B112" s="165" t="s">
        <v>159</v>
      </c>
      <c r="C112" s="165" t="s">
        <v>170</v>
      </c>
      <c r="D112" s="166">
        <v>3.33057645111111</v>
      </c>
      <c r="E112" s="167"/>
      <c r="F112" s="168">
        <v>1.2999999999999999E-2</v>
      </c>
      <c r="G112" s="168">
        <v>0.01</v>
      </c>
      <c r="H112" s="169"/>
      <c r="I112" s="170">
        <v>3</v>
      </c>
      <c r="J112" s="170">
        <v>2</v>
      </c>
      <c r="K112" s="167"/>
      <c r="L112" s="171">
        <v>1574.85041</v>
      </c>
      <c r="M112" s="171">
        <v>1246.9985300000001</v>
      </c>
      <c r="N112" s="171">
        <v>2821.8489399999999</v>
      </c>
      <c r="O112" s="166">
        <v>847.25541701905797</v>
      </c>
      <c r="P112" s="172">
        <v>287.5</v>
      </c>
      <c r="Q112" s="178">
        <v>2.9469753635445501</v>
      </c>
      <c r="R112" s="179">
        <v>1776.2144631736701</v>
      </c>
      <c r="S112" s="168">
        <v>0.01</v>
      </c>
      <c r="T112" s="168">
        <v>0.01</v>
      </c>
      <c r="U112" s="175">
        <v>0</v>
      </c>
      <c r="V112" s="176">
        <v>0</v>
      </c>
      <c r="W112" s="167"/>
      <c r="X112" s="175">
        <v>1670.8596250000001</v>
      </c>
      <c r="Y112" s="166">
        <v>501.672803349878</v>
      </c>
      <c r="Z112" s="177">
        <v>573</v>
      </c>
      <c r="AA112" s="188">
        <v>0.87551972661409805</v>
      </c>
      <c r="AB112" s="171">
        <v>-413.13534968343902</v>
      </c>
      <c r="AC112" s="168"/>
      <c r="AD112" s="168"/>
      <c r="AE112" s="176">
        <v>238</v>
      </c>
      <c r="AF112" s="176">
        <v>620</v>
      </c>
      <c r="AG112" s="167"/>
      <c r="AH112" s="180">
        <v>85.5</v>
      </c>
      <c r="AI112" s="166">
        <v>25.671231768745699</v>
      </c>
      <c r="AJ112" s="181" t="s">
        <v>53</v>
      </c>
      <c r="AK112" s="173">
        <v>0.40747986934517</v>
      </c>
      <c r="AL112" s="174">
        <v>-143.63033753063999</v>
      </c>
      <c r="AM112" s="168"/>
      <c r="AN112" s="168"/>
      <c r="AO112" s="176">
        <v>125</v>
      </c>
      <c r="AP112" s="176">
        <v>167</v>
      </c>
      <c r="AQ112" s="167"/>
      <c r="AR112" s="180">
        <v>14.6</v>
      </c>
      <c r="AS112" s="166">
        <v>4.3836255417975201</v>
      </c>
      <c r="AT112" s="181" t="s">
        <v>54</v>
      </c>
      <c r="AU112" s="173">
        <v>0.273976596362345</v>
      </c>
      <c r="AV112" s="174">
        <v>-43.591831753813302</v>
      </c>
      <c r="AW112" s="168"/>
      <c r="AX112" s="168"/>
      <c r="AY112" s="176">
        <v>39</v>
      </c>
      <c r="AZ112" s="176">
        <v>50</v>
      </c>
      <c r="BA112" s="167"/>
      <c r="BB112" s="184">
        <v>99.8</v>
      </c>
      <c r="BC112" s="180">
        <v>29.9647828131091</v>
      </c>
      <c r="BD112" s="181" t="s">
        <v>55</v>
      </c>
      <c r="BE112" s="182">
        <v>0.93639946290965803</v>
      </c>
      <c r="BF112" s="183">
        <v>-16.5836635076266</v>
      </c>
      <c r="BG112" s="168">
        <v>3.0000000000000001E-3</v>
      </c>
      <c r="BH112" s="168"/>
      <c r="BI112" s="176">
        <v>7</v>
      </c>
      <c r="BJ112" s="176">
        <v>29</v>
      </c>
      <c r="BK112" s="169"/>
      <c r="BL112" s="185">
        <v>0.8</v>
      </c>
      <c r="BM112" s="188">
        <v>0.74</v>
      </c>
      <c r="BN112" s="186"/>
      <c r="BO112" s="187">
        <v>0.95</v>
      </c>
      <c r="BP112" s="178">
        <v>1</v>
      </c>
      <c r="BQ112" s="186">
        <v>2.5000000000000001E-3</v>
      </c>
    </row>
    <row r="113" spans="1:69" s="156" customFormat="1" ht="22.35" customHeight="1" x14ac:dyDescent="0.2">
      <c r="A113" s="165" t="s">
        <v>139</v>
      </c>
      <c r="B113" s="165" t="s">
        <v>159</v>
      </c>
      <c r="C113" s="165" t="s">
        <v>171</v>
      </c>
      <c r="D113" s="166">
        <v>7.6444229506666703</v>
      </c>
      <c r="E113" s="167"/>
      <c r="F113" s="168">
        <v>0.01</v>
      </c>
      <c r="G113" s="168">
        <v>0.01</v>
      </c>
      <c r="H113" s="169"/>
      <c r="I113" s="170">
        <v>2</v>
      </c>
      <c r="J113" s="170">
        <v>2</v>
      </c>
      <c r="K113" s="167"/>
      <c r="L113" s="171">
        <v>5615.4095900000002</v>
      </c>
      <c r="M113" s="171">
        <v>84.16704</v>
      </c>
      <c r="N113" s="171">
        <v>5699.5766299999996</v>
      </c>
      <c r="O113" s="166">
        <v>745.58624853468405</v>
      </c>
      <c r="P113" s="172">
        <v>287.5</v>
      </c>
      <c r="Q113" s="178">
        <v>2.5933434731641198</v>
      </c>
      <c r="R113" s="179">
        <v>3299.6100446382002</v>
      </c>
      <c r="S113" s="168">
        <v>0.01</v>
      </c>
      <c r="T113" s="168">
        <v>0.01</v>
      </c>
      <c r="U113" s="175">
        <v>0</v>
      </c>
      <c r="V113" s="176">
        <v>0</v>
      </c>
      <c r="W113" s="167"/>
      <c r="X113" s="175">
        <v>3969.4122000000002</v>
      </c>
      <c r="Y113" s="166">
        <v>519.25596289172199</v>
      </c>
      <c r="Z113" s="177">
        <v>573</v>
      </c>
      <c r="AA113" s="188">
        <v>0.90620586892098098</v>
      </c>
      <c r="AB113" s="171">
        <v>-813.82555099934598</v>
      </c>
      <c r="AC113" s="168">
        <v>0</v>
      </c>
      <c r="AD113" s="168"/>
      <c r="AE113" s="176">
        <v>411</v>
      </c>
      <c r="AF113" s="176">
        <v>1287</v>
      </c>
      <c r="AG113" s="167"/>
      <c r="AH113" s="180">
        <v>341.05</v>
      </c>
      <c r="AI113" s="166">
        <v>44.614224278401203</v>
      </c>
      <c r="AJ113" s="181" t="s">
        <v>53</v>
      </c>
      <c r="AK113" s="173">
        <v>0.70816229013335197</v>
      </c>
      <c r="AL113" s="174">
        <v>-184.855721314064</v>
      </c>
      <c r="AM113" s="168"/>
      <c r="AN113" s="168"/>
      <c r="AO113" s="176">
        <v>141</v>
      </c>
      <c r="AP113" s="176">
        <v>237</v>
      </c>
      <c r="AQ113" s="167"/>
      <c r="AR113" s="180">
        <v>30.8</v>
      </c>
      <c r="AS113" s="166">
        <v>4.0290810959529599</v>
      </c>
      <c r="AT113" s="181" t="s">
        <v>54</v>
      </c>
      <c r="AU113" s="173">
        <v>0.25181756849706</v>
      </c>
      <c r="AV113" s="174">
        <v>-102.76335779404801</v>
      </c>
      <c r="AW113" s="168"/>
      <c r="AX113" s="168"/>
      <c r="AY113" s="176">
        <v>92</v>
      </c>
      <c r="AZ113" s="176">
        <v>116</v>
      </c>
      <c r="BA113" s="167"/>
      <c r="BB113" s="184">
        <v>205.4</v>
      </c>
      <c r="BC113" s="180">
        <v>26.8692615944395</v>
      </c>
      <c r="BD113" s="181" t="s">
        <v>55</v>
      </c>
      <c r="BE113" s="188">
        <v>0.83966442482623505</v>
      </c>
      <c r="BF113" s="171">
        <v>-61.726715588096098</v>
      </c>
      <c r="BG113" s="168"/>
      <c r="BH113" s="168"/>
      <c r="BI113" s="176">
        <v>40</v>
      </c>
      <c r="BJ113" s="176">
        <v>89</v>
      </c>
      <c r="BK113" s="169"/>
      <c r="BL113" s="185">
        <v>0.8</v>
      </c>
      <c r="BM113" s="188">
        <v>0.7</v>
      </c>
      <c r="BN113" s="186"/>
      <c r="BO113" s="187">
        <v>0.95</v>
      </c>
      <c r="BP113" s="178">
        <v>1</v>
      </c>
      <c r="BQ113" s="186">
        <v>2.5000000000000001E-3</v>
      </c>
    </row>
    <row r="114" spans="1:69" s="156" customFormat="1" ht="22.35" customHeight="1" x14ac:dyDescent="0.2">
      <c r="A114" s="165" t="s">
        <v>139</v>
      </c>
      <c r="B114" s="165" t="s">
        <v>159</v>
      </c>
      <c r="C114" s="165" t="s">
        <v>172</v>
      </c>
      <c r="D114" s="166">
        <v>6.0447914316666704</v>
      </c>
      <c r="E114" s="167"/>
      <c r="F114" s="168">
        <v>0.04</v>
      </c>
      <c r="G114" s="168">
        <v>2.4E-2</v>
      </c>
      <c r="H114" s="169"/>
      <c r="I114" s="170">
        <v>4</v>
      </c>
      <c r="J114" s="170">
        <v>4</v>
      </c>
      <c r="K114" s="167"/>
      <c r="L114" s="171">
        <v>4315.5343599999997</v>
      </c>
      <c r="M114" s="171">
        <v>-448.75927000000001</v>
      </c>
      <c r="N114" s="171">
        <v>3866.7750900000001</v>
      </c>
      <c r="O114" s="166">
        <v>639.68709817566901</v>
      </c>
      <c r="P114" s="172">
        <v>260.82400000000001</v>
      </c>
      <c r="Q114" s="178">
        <v>2.4525622572143302</v>
      </c>
      <c r="R114" s="179">
        <v>2145.0987550326499</v>
      </c>
      <c r="S114" s="168">
        <v>0.01</v>
      </c>
      <c r="T114" s="168">
        <v>0.01</v>
      </c>
      <c r="U114" s="175">
        <v>0</v>
      </c>
      <c r="V114" s="176">
        <v>0</v>
      </c>
      <c r="W114" s="167"/>
      <c r="X114" s="175">
        <v>3925.9583050000001</v>
      </c>
      <c r="Y114" s="166">
        <v>649.47787684339301</v>
      </c>
      <c r="Z114" s="177">
        <v>573</v>
      </c>
      <c r="AA114" s="178">
        <v>1.13346924405479</v>
      </c>
      <c r="AB114" s="179">
        <v>143.63558954325799</v>
      </c>
      <c r="AC114" s="168">
        <v>0.02</v>
      </c>
      <c r="AD114" s="168">
        <v>1.2999999999999999E-2</v>
      </c>
      <c r="AE114" s="176">
        <v>0</v>
      </c>
      <c r="AF114" s="176">
        <v>231</v>
      </c>
      <c r="AG114" s="167"/>
      <c r="AH114" s="180">
        <v>229.6</v>
      </c>
      <c r="AI114" s="166">
        <v>37.983113660001798</v>
      </c>
      <c r="AJ114" s="181" t="s">
        <v>53</v>
      </c>
      <c r="AK114" s="173">
        <v>0.60290656603177395</v>
      </c>
      <c r="AL114" s="174">
        <v>-186.25747133294001</v>
      </c>
      <c r="AM114" s="168"/>
      <c r="AN114" s="168"/>
      <c r="AO114" s="176">
        <v>152</v>
      </c>
      <c r="AP114" s="176">
        <v>228</v>
      </c>
      <c r="AQ114" s="167"/>
      <c r="AR114" s="180">
        <v>35.799999999999997</v>
      </c>
      <c r="AS114" s="166">
        <v>5.9224541333974896</v>
      </c>
      <c r="AT114" s="181" t="s">
        <v>54</v>
      </c>
      <c r="AU114" s="173">
        <v>0.37015338333734299</v>
      </c>
      <c r="AV114" s="174">
        <v>-69.81459589408</v>
      </c>
      <c r="AW114" s="168"/>
      <c r="AX114" s="168"/>
      <c r="AY114" s="176">
        <v>61</v>
      </c>
      <c r="AZ114" s="176">
        <v>81</v>
      </c>
      <c r="BA114" s="167"/>
      <c r="BB114" s="184">
        <v>194.2</v>
      </c>
      <c r="BC114" s="180">
        <v>32.126832198485801</v>
      </c>
      <c r="BD114" s="181" t="s">
        <v>55</v>
      </c>
      <c r="BE114" s="182">
        <v>1.0039635062026799</v>
      </c>
      <c r="BF114" s="183">
        <v>-17.029191788160102</v>
      </c>
      <c r="BG114" s="168">
        <v>0.01</v>
      </c>
      <c r="BH114" s="168">
        <v>1E-3</v>
      </c>
      <c r="BI114" s="176">
        <v>0</v>
      </c>
      <c r="BJ114" s="176">
        <v>38</v>
      </c>
      <c r="BK114" s="169"/>
      <c r="BL114" s="185">
        <v>0.8</v>
      </c>
      <c r="BM114" s="188">
        <v>0.72</v>
      </c>
      <c r="BN114" s="186"/>
      <c r="BO114" s="187">
        <v>0.95</v>
      </c>
      <c r="BP114" s="178">
        <v>1</v>
      </c>
      <c r="BQ114" s="186">
        <v>2.5000000000000001E-3</v>
      </c>
    </row>
    <row r="115" spans="1:69" s="156" customFormat="1" ht="22.35" customHeight="1" x14ac:dyDescent="0.2">
      <c r="A115" s="165" t="s">
        <v>139</v>
      </c>
      <c r="B115" s="165" t="s">
        <v>159</v>
      </c>
      <c r="C115" s="165" t="s">
        <v>173</v>
      </c>
      <c r="D115" s="166">
        <v>4.01034421888889</v>
      </c>
      <c r="E115" s="167"/>
      <c r="F115" s="168">
        <v>4.8000000000000001E-2</v>
      </c>
      <c r="G115" s="168">
        <v>0.03</v>
      </c>
      <c r="H115" s="169"/>
      <c r="I115" s="170">
        <v>5</v>
      </c>
      <c r="J115" s="170">
        <v>3</v>
      </c>
      <c r="K115" s="167"/>
      <c r="L115" s="171">
        <v>2431.8145300000001</v>
      </c>
      <c r="M115" s="171">
        <v>380.24502999999999</v>
      </c>
      <c r="N115" s="171">
        <v>2812.0595600000001</v>
      </c>
      <c r="O115" s="166">
        <v>701.20154443478498</v>
      </c>
      <c r="P115" s="172">
        <v>234.23500000000001</v>
      </c>
      <c r="Q115" s="178">
        <v>2.99358142222462</v>
      </c>
      <c r="R115" s="179">
        <v>1786.2751879023101</v>
      </c>
      <c r="S115" s="168">
        <v>0.01</v>
      </c>
      <c r="T115" s="168">
        <v>0.01</v>
      </c>
      <c r="U115" s="175">
        <v>0</v>
      </c>
      <c r="V115" s="176">
        <v>0</v>
      </c>
      <c r="W115" s="167"/>
      <c r="X115" s="175">
        <v>3343.492405</v>
      </c>
      <c r="Y115" s="166">
        <v>833.71706330145196</v>
      </c>
      <c r="Z115" s="177">
        <v>573</v>
      </c>
      <c r="AA115" s="178">
        <v>1.4550036008751299</v>
      </c>
      <c r="AB115" s="179">
        <v>834.15586173371901</v>
      </c>
      <c r="AC115" s="168">
        <v>0.02</v>
      </c>
      <c r="AD115" s="168">
        <v>0.02</v>
      </c>
      <c r="AE115" s="176">
        <v>0</v>
      </c>
      <c r="AF115" s="176">
        <v>0</v>
      </c>
      <c r="AG115" s="167"/>
      <c r="AH115" s="180">
        <v>251.55</v>
      </c>
      <c r="AI115" s="166">
        <v>62.725288970255697</v>
      </c>
      <c r="AJ115" s="181" t="s">
        <v>53</v>
      </c>
      <c r="AK115" s="182">
        <v>0.99563950746437602</v>
      </c>
      <c r="AL115" s="183">
        <v>-24.345640882680101</v>
      </c>
      <c r="AM115" s="168">
        <v>8.9999999999999993E-3</v>
      </c>
      <c r="AN115" s="168">
        <v>0</v>
      </c>
      <c r="AO115" s="176">
        <v>2</v>
      </c>
      <c r="AP115" s="176">
        <v>52</v>
      </c>
      <c r="AQ115" s="167"/>
      <c r="AR115" s="180">
        <v>28.8</v>
      </c>
      <c r="AS115" s="166">
        <v>7.1814284330883096</v>
      </c>
      <c r="AT115" s="181" t="s">
        <v>54</v>
      </c>
      <c r="AU115" s="173">
        <v>0.44883927706801902</v>
      </c>
      <c r="AV115" s="174">
        <v>-41.268734192426699</v>
      </c>
      <c r="AW115" s="168"/>
      <c r="AX115" s="168"/>
      <c r="AY115" s="176">
        <v>36</v>
      </c>
      <c r="AZ115" s="176">
        <v>49</v>
      </c>
      <c r="BA115" s="167"/>
      <c r="BB115" s="184">
        <v>127.4</v>
      </c>
      <c r="BC115" s="180">
        <v>31.767846610258701</v>
      </c>
      <c r="BD115" s="181" t="s">
        <v>55</v>
      </c>
      <c r="BE115" s="182">
        <v>0.99274520657058396</v>
      </c>
      <c r="BF115" s="183">
        <v>-12.7374683848534</v>
      </c>
      <c r="BG115" s="168">
        <v>8.9999999999999993E-3</v>
      </c>
      <c r="BH115" s="168"/>
      <c r="BI115" s="176">
        <v>1</v>
      </c>
      <c r="BJ115" s="176">
        <v>27</v>
      </c>
      <c r="BK115" s="169"/>
      <c r="BL115" s="185">
        <v>0.8</v>
      </c>
      <c r="BM115" s="188">
        <v>0.74</v>
      </c>
      <c r="BN115" s="186"/>
      <c r="BO115" s="187">
        <v>0.95</v>
      </c>
      <c r="BP115" s="178">
        <v>1</v>
      </c>
      <c r="BQ115" s="186">
        <v>2.5000000000000001E-3</v>
      </c>
    </row>
    <row r="116" spans="1:69" s="156" customFormat="1" ht="22.35" customHeight="1" x14ac:dyDescent="0.2">
      <c r="A116" s="165" t="s">
        <v>139</v>
      </c>
      <c r="B116" s="165" t="s">
        <v>159</v>
      </c>
      <c r="C116" s="165" t="s">
        <v>174</v>
      </c>
      <c r="D116" s="166">
        <v>2.3561526822222199</v>
      </c>
      <c r="E116" s="167"/>
      <c r="F116" s="168">
        <v>2.5000000000000001E-2</v>
      </c>
      <c r="G116" s="168">
        <v>1.4999999999999999E-2</v>
      </c>
      <c r="H116" s="169"/>
      <c r="I116" s="170">
        <v>3</v>
      </c>
      <c r="J116" s="170">
        <v>3</v>
      </c>
      <c r="K116" s="167"/>
      <c r="L116" s="171">
        <v>1914.6487999999999</v>
      </c>
      <c r="M116" s="171">
        <v>970.41903000000002</v>
      </c>
      <c r="N116" s="171">
        <v>2885.06783</v>
      </c>
      <c r="O116" s="166">
        <v>1224.48254383877</v>
      </c>
      <c r="P116" s="172">
        <v>258.77999999999997</v>
      </c>
      <c r="Q116" s="178">
        <v>4.73175107751283</v>
      </c>
      <c r="R116" s="179">
        <v>2219.2479213128299</v>
      </c>
      <c r="S116" s="168">
        <v>0.01</v>
      </c>
      <c r="T116" s="168">
        <v>0.01</v>
      </c>
      <c r="U116" s="175">
        <v>0</v>
      </c>
      <c r="V116" s="176">
        <v>0</v>
      </c>
      <c r="W116" s="167"/>
      <c r="X116" s="175">
        <v>1413.122245</v>
      </c>
      <c r="Y116" s="166">
        <v>599.75834998401001</v>
      </c>
      <c r="Z116" s="177">
        <v>573</v>
      </c>
      <c r="AA116" s="182">
        <v>1.0466986910715701</v>
      </c>
      <c r="AB116" s="183">
        <v>-61.160186709358399</v>
      </c>
      <c r="AC116" s="168">
        <v>1.4999999999999999E-2</v>
      </c>
      <c r="AD116" s="168">
        <v>5.0000000000000001E-3</v>
      </c>
      <c r="AE116" s="176">
        <v>0</v>
      </c>
      <c r="AF116" s="176">
        <v>207</v>
      </c>
      <c r="AG116" s="167"/>
      <c r="AH116" s="180">
        <v>130</v>
      </c>
      <c r="AI116" s="166">
        <v>55.174692616859403</v>
      </c>
      <c r="AJ116" s="181" t="s">
        <v>53</v>
      </c>
      <c r="AK116" s="188">
        <v>0.87578877169618097</v>
      </c>
      <c r="AL116" s="171">
        <v>-32.093879926159801</v>
      </c>
      <c r="AM116" s="168"/>
      <c r="AN116" s="168"/>
      <c r="AO116" s="176">
        <v>19</v>
      </c>
      <c r="AP116" s="176">
        <v>49</v>
      </c>
      <c r="AQ116" s="167"/>
      <c r="AR116" s="180">
        <v>8</v>
      </c>
      <c r="AS116" s="166">
        <v>3.39536569949904</v>
      </c>
      <c r="AT116" s="181" t="s">
        <v>54</v>
      </c>
      <c r="AU116" s="173">
        <v>0.21221035621869</v>
      </c>
      <c r="AV116" s="174">
        <v>-33.166699663786602</v>
      </c>
      <c r="AW116" s="168"/>
      <c r="AX116" s="168"/>
      <c r="AY116" s="176">
        <v>30</v>
      </c>
      <c r="AZ116" s="176">
        <v>38</v>
      </c>
      <c r="BA116" s="167"/>
      <c r="BB116" s="184">
        <v>62.2</v>
      </c>
      <c r="BC116" s="180">
        <v>26.398968313605</v>
      </c>
      <c r="BD116" s="181" t="s">
        <v>55</v>
      </c>
      <c r="BE116" s="188">
        <v>0.82496775980015802</v>
      </c>
      <c r="BF116" s="171">
        <v>-20.133399327573301</v>
      </c>
      <c r="BG116" s="168"/>
      <c r="BH116" s="168"/>
      <c r="BI116" s="176">
        <v>14</v>
      </c>
      <c r="BJ116" s="176">
        <v>29</v>
      </c>
      <c r="BK116" s="169"/>
      <c r="BL116" s="185">
        <v>0.8</v>
      </c>
      <c r="BM116" s="188">
        <v>0.72</v>
      </c>
      <c r="BN116" s="186"/>
      <c r="BO116" s="187">
        <v>0.95</v>
      </c>
      <c r="BP116" s="178">
        <v>1</v>
      </c>
      <c r="BQ116" s="186">
        <v>2.5000000000000001E-3</v>
      </c>
    </row>
    <row r="117" spans="1:69" s="156" customFormat="1" ht="22.35" customHeight="1" x14ac:dyDescent="0.2">
      <c r="A117" s="165" t="s">
        <v>175</v>
      </c>
      <c r="B117" s="165" t="s">
        <v>176</v>
      </c>
      <c r="C117" s="165" t="s">
        <v>177</v>
      </c>
      <c r="D117" s="166">
        <v>5.36114939544444</v>
      </c>
      <c r="E117" s="167"/>
      <c r="F117" s="168">
        <v>3.9E-2</v>
      </c>
      <c r="G117" s="168">
        <v>0.03</v>
      </c>
      <c r="H117" s="169"/>
      <c r="I117" s="170">
        <v>5</v>
      </c>
      <c r="J117" s="170">
        <v>4</v>
      </c>
      <c r="K117" s="167"/>
      <c r="L117" s="171">
        <v>2577.70093</v>
      </c>
      <c r="M117" s="171">
        <v>2905.7128299999999</v>
      </c>
      <c r="N117" s="171">
        <v>5483.4137600000004</v>
      </c>
      <c r="O117" s="166">
        <v>1022.8056253495701</v>
      </c>
      <c r="P117" s="172">
        <v>227.6</v>
      </c>
      <c r="Q117" s="178">
        <v>4.4938735735921398</v>
      </c>
      <c r="R117" s="179">
        <v>4150.9579781757602</v>
      </c>
      <c r="S117" s="168">
        <v>0.01</v>
      </c>
      <c r="T117" s="168">
        <v>0.01</v>
      </c>
      <c r="U117" s="175">
        <v>0</v>
      </c>
      <c r="V117" s="176">
        <v>0</v>
      </c>
      <c r="W117" s="167"/>
      <c r="X117" s="175">
        <v>2763.1614100000002</v>
      </c>
      <c r="Y117" s="166">
        <v>515.40466534059897</v>
      </c>
      <c r="Z117" s="177">
        <v>573</v>
      </c>
      <c r="AA117" s="188">
        <v>0.89948458174624701</v>
      </c>
      <c r="AB117" s="171">
        <v>-591.39554511991298</v>
      </c>
      <c r="AC117" s="168"/>
      <c r="AD117" s="168"/>
      <c r="AE117" s="176">
        <v>309</v>
      </c>
      <c r="AF117" s="176">
        <v>924</v>
      </c>
      <c r="AG117" s="167"/>
      <c r="AH117" s="180">
        <v>335.85</v>
      </c>
      <c r="AI117" s="166">
        <v>62.645148498451398</v>
      </c>
      <c r="AJ117" s="181" t="s">
        <v>53</v>
      </c>
      <c r="AK117" s="182">
        <v>0.99436743648335502</v>
      </c>
      <c r="AL117" s="183">
        <v>-32.975633808995703</v>
      </c>
      <c r="AM117" s="168">
        <v>8.9999999999999993E-3</v>
      </c>
      <c r="AN117" s="168"/>
      <c r="AO117" s="176">
        <v>2</v>
      </c>
      <c r="AP117" s="176">
        <v>70</v>
      </c>
      <c r="AQ117" s="167"/>
      <c r="AR117" s="180">
        <v>48.6</v>
      </c>
      <c r="AS117" s="166">
        <v>9.0652202382752307</v>
      </c>
      <c r="AT117" s="181" t="s">
        <v>54</v>
      </c>
      <c r="AU117" s="173">
        <v>0.56657626489220203</v>
      </c>
      <c r="AV117" s="174">
        <v>-45.070002237205301</v>
      </c>
      <c r="AW117" s="168"/>
      <c r="AX117" s="168"/>
      <c r="AY117" s="176">
        <v>38</v>
      </c>
      <c r="AZ117" s="176">
        <v>55</v>
      </c>
      <c r="BA117" s="167"/>
      <c r="BB117" s="184">
        <v>211.4</v>
      </c>
      <c r="BC117" s="180">
        <v>39.431842764843303</v>
      </c>
      <c r="BD117" s="181" t="s">
        <v>55</v>
      </c>
      <c r="BE117" s="178">
        <v>1.2322450864013501</v>
      </c>
      <c r="BF117" s="179">
        <v>24.0599955255895</v>
      </c>
      <c r="BG117" s="168">
        <v>0.02</v>
      </c>
      <c r="BH117" s="168">
        <v>0.02</v>
      </c>
      <c r="BI117" s="176">
        <v>0</v>
      </c>
      <c r="BJ117" s="176">
        <v>0</v>
      </c>
      <c r="BK117" s="169"/>
      <c r="BL117" s="185">
        <v>0.8</v>
      </c>
      <c r="BM117" s="182">
        <v>0.83</v>
      </c>
      <c r="BN117" s="186">
        <v>1.1249999999999999E-3</v>
      </c>
      <c r="BO117" s="187">
        <v>0.95</v>
      </c>
      <c r="BP117" s="178">
        <v>1</v>
      </c>
      <c r="BQ117" s="186">
        <v>2.5000000000000001E-3</v>
      </c>
    </row>
    <row r="118" spans="1:69" s="156" customFormat="1" ht="22.35" customHeight="1" x14ac:dyDescent="0.2">
      <c r="A118" s="165" t="s">
        <v>175</v>
      </c>
      <c r="B118" s="165" t="s">
        <v>176</v>
      </c>
      <c r="C118" s="165" t="s">
        <v>178</v>
      </c>
      <c r="D118" s="166">
        <v>9.7145609433333302</v>
      </c>
      <c r="E118" s="167"/>
      <c r="F118" s="168">
        <v>7.9000000000000001E-2</v>
      </c>
      <c r="G118" s="168">
        <v>7.2999999999999995E-2</v>
      </c>
      <c r="H118" s="169"/>
      <c r="I118" s="170">
        <v>6</v>
      </c>
      <c r="J118" s="170">
        <v>6</v>
      </c>
      <c r="K118" s="167"/>
      <c r="L118" s="171">
        <v>5903.4721</v>
      </c>
      <c r="M118" s="171">
        <v>2353.8956199999998</v>
      </c>
      <c r="N118" s="171">
        <v>8257.3677200000002</v>
      </c>
      <c r="O118" s="166">
        <v>849.99906513187898</v>
      </c>
      <c r="P118" s="172">
        <v>242.374</v>
      </c>
      <c r="Q118" s="178">
        <v>3.5069729638157501</v>
      </c>
      <c r="R118" s="179">
        <v>5686.1914824652204</v>
      </c>
      <c r="S118" s="168">
        <v>0.01</v>
      </c>
      <c r="T118" s="168">
        <v>0.01</v>
      </c>
      <c r="U118" s="175">
        <v>0</v>
      </c>
      <c r="V118" s="176">
        <v>0</v>
      </c>
      <c r="W118" s="167"/>
      <c r="X118" s="175">
        <v>6627.3678849999997</v>
      </c>
      <c r="Y118" s="166">
        <v>682.20971834533202</v>
      </c>
      <c r="Z118" s="177">
        <v>573</v>
      </c>
      <c r="AA118" s="178">
        <v>1.19059287669342</v>
      </c>
      <c r="AB118" s="179">
        <v>548.81166978124304</v>
      </c>
      <c r="AC118" s="168">
        <v>0.02</v>
      </c>
      <c r="AD118" s="168">
        <v>1.9E-2</v>
      </c>
      <c r="AE118" s="176">
        <v>0</v>
      </c>
      <c r="AF118" s="176">
        <v>53</v>
      </c>
      <c r="AG118" s="167"/>
      <c r="AH118" s="180">
        <v>760</v>
      </c>
      <c r="AI118" s="166">
        <v>78.233077586646203</v>
      </c>
      <c r="AJ118" s="181" t="s">
        <v>53</v>
      </c>
      <c r="AK118" s="178">
        <v>1.2417948823277201</v>
      </c>
      <c r="AL118" s="179">
        <v>91.677065342440301</v>
      </c>
      <c r="AM118" s="168">
        <v>0.02</v>
      </c>
      <c r="AN118" s="168">
        <v>0.02</v>
      </c>
      <c r="AO118" s="176">
        <v>0</v>
      </c>
      <c r="AP118" s="176">
        <v>0</v>
      </c>
      <c r="AQ118" s="167"/>
      <c r="AR118" s="180">
        <v>167.1</v>
      </c>
      <c r="AS118" s="166">
        <v>17.200983243063899</v>
      </c>
      <c r="AT118" s="181" t="s">
        <v>54</v>
      </c>
      <c r="AU118" s="182">
        <v>1.0750614526915001</v>
      </c>
      <c r="AV118" s="183">
        <v>-2.63280880191994</v>
      </c>
      <c r="AW118" s="168">
        <v>8.9999999999999993E-3</v>
      </c>
      <c r="AX118" s="168">
        <v>4.0000000000000001E-3</v>
      </c>
      <c r="AY118" s="176">
        <v>0</v>
      </c>
      <c r="AZ118" s="176">
        <v>20</v>
      </c>
      <c r="BA118" s="167"/>
      <c r="BB118" s="184">
        <v>475.2</v>
      </c>
      <c r="BC118" s="180">
        <v>48.916261143650402</v>
      </c>
      <c r="BD118" s="181" t="s">
        <v>55</v>
      </c>
      <c r="BE118" s="178">
        <v>1.52863316073907</v>
      </c>
      <c r="BF118" s="179">
        <v>135.73438239615999</v>
      </c>
      <c r="BG118" s="168">
        <v>0.02</v>
      </c>
      <c r="BH118" s="168">
        <v>0.02</v>
      </c>
      <c r="BI118" s="176">
        <v>0</v>
      </c>
      <c r="BJ118" s="176">
        <v>0</v>
      </c>
      <c r="BK118" s="169"/>
      <c r="BL118" s="185">
        <v>0.8</v>
      </c>
      <c r="BM118" s="188">
        <v>0.76</v>
      </c>
      <c r="BN118" s="186"/>
      <c r="BO118" s="187">
        <v>0.95</v>
      </c>
      <c r="BP118" s="178">
        <v>1</v>
      </c>
      <c r="BQ118" s="186">
        <v>2.5000000000000001E-3</v>
      </c>
    </row>
    <row r="119" spans="1:69" s="156" customFormat="1" ht="22.35" customHeight="1" x14ac:dyDescent="0.2">
      <c r="A119" s="165" t="s">
        <v>175</v>
      </c>
      <c r="B119" s="165" t="s">
        <v>176</v>
      </c>
      <c r="C119" s="165" t="s">
        <v>179</v>
      </c>
      <c r="D119" s="166">
        <v>2.7303992304444402</v>
      </c>
      <c r="E119" s="167"/>
      <c r="F119" s="168">
        <v>0.08</v>
      </c>
      <c r="G119" s="168">
        <v>0.08</v>
      </c>
      <c r="H119" s="169"/>
      <c r="I119" s="170">
        <v>7</v>
      </c>
      <c r="J119" s="170">
        <v>7</v>
      </c>
      <c r="K119" s="167"/>
      <c r="L119" s="171">
        <v>579.12189999999998</v>
      </c>
      <c r="M119" s="171">
        <v>3064.8989200000001</v>
      </c>
      <c r="N119" s="171">
        <v>3644.0208200000002</v>
      </c>
      <c r="O119" s="166">
        <v>1334.61098998583</v>
      </c>
      <c r="P119" s="172">
        <v>212.5</v>
      </c>
      <c r="Q119" s="178">
        <v>6.2805223058156701</v>
      </c>
      <c r="R119" s="179">
        <v>3010.4316785753699</v>
      </c>
      <c r="S119" s="168">
        <v>0.01</v>
      </c>
      <c r="T119" s="168">
        <v>0.01</v>
      </c>
      <c r="U119" s="175">
        <v>0</v>
      </c>
      <c r="V119" s="176">
        <v>0</v>
      </c>
      <c r="W119" s="167"/>
      <c r="X119" s="175">
        <v>1931.3181300000001</v>
      </c>
      <c r="Y119" s="166">
        <v>707.339098423942</v>
      </c>
      <c r="Z119" s="177">
        <v>573</v>
      </c>
      <c r="AA119" s="178">
        <v>1.2344486883489401</v>
      </c>
      <c r="AB119" s="179">
        <v>222.863645123227</v>
      </c>
      <c r="AC119" s="168">
        <v>0.02</v>
      </c>
      <c r="AD119" s="168">
        <v>0.02</v>
      </c>
      <c r="AE119" s="176">
        <v>0</v>
      </c>
      <c r="AF119" s="176">
        <v>0</v>
      </c>
      <c r="AG119" s="167"/>
      <c r="AH119" s="180">
        <v>220.05</v>
      </c>
      <c r="AI119" s="166">
        <v>80.592609881515799</v>
      </c>
      <c r="AJ119" s="181" t="s">
        <v>53</v>
      </c>
      <c r="AK119" s="178">
        <v>1.2792477758970799</v>
      </c>
      <c r="AL119" s="179">
        <v>32.209454542344297</v>
      </c>
      <c r="AM119" s="168">
        <v>0.02</v>
      </c>
      <c r="AN119" s="168">
        <v>0.02</v>
      </c>
      <c r="AO119" s="176">
        <v>0</v>
      </c>
      <c r="AP119" s="176">
        <v>0</v>
      </c>
      <c r="AQ119" s="167"/>
      <c r="AR119" s="180">
        <v>59.6</v>
      </c>
      <c r="AS119" s="166">
        <v>21.828309697515699</v>
      </c>
      <c r="AT119" s="181" t="s">
        <v>54</v>
      </c>
      <c r="AU119" s="178">
        <v>1.3642693560947301</v>
      </c>
      <c r="AV119" s="179">
        <v>11.894464645674701</v>
      </c>
      <c r="AW119" s="168">
        <v>0.01</v>
      </c>
      <c r="AX119" s="168">
        <v>0.01</v>
      </c>
      <c r="AY119" s="176">
        <v>0</v>
      </c>
      <c r="AZ119" s="176">
        <v>0</v>
      </c>
      <c r="BA119" s="167"/>
      <c r="BB119" s="184">
        <v>156</v>
      </c>
      <c r="BC119" s="180">
        <v>57.1345018928264</v>
      </c>
      <c r="BD119" s="181" t="s">
        <v>55</v>
      </c>
      <c r="BE119" s="178">
        <v>1.7854531841508301</v>
      </c>
      <c r="BF119" s="179">
        <v>60.588929291349501</v>
      </c>
      <c r="BG119" s="168">
        <v>0.02</v>
      </c>
      <c r="BH119" s="168">
        <v>0.02</v>
      </c>
      <c r="BI119" s="176">
        <v>0</v>
      </c>
      <c r="BJ119" s="176">
        <v>0</v>
      </c>
      <c r="BK119" s="169"/>
      <c r="BL119" s="185">
        <v>0.8</v>
      </c>
      <c r="BM119" s="182">
        <v>0.87</v>
      </c>
      <c r="BN119" s="186">
        <v>2.6250000000000002E-3</v>
      </c>
      <c r="BO119" s="187">
        <v>0.95</v>
      </c>
      <c r="BP119" s="178">
        <v>1</v>
      </c>
      <c r="BQ119" s="186">
        <v>2.5000000000000001E-3</v>
      </c>
    </row>
    <row r="120" spans="1:69" s="156" customFormat="1" ht="22.35" customHeight="1" x14ac:dyDescent="0.2">
      <c r="A120" s="165" t="s">
        <v>175</v>
      </c>
      <c r="B120" s="165" t="s">
        <v>176</v>
      </c>
      <c r="C120" s="165" t="s">
        <v>180</v>
      </c>
      <c r="D120" s="166">
        <v>3.1380264342222199</v>
      </c>
      <c r="E120" s="167"/>
      <c r="F120" s="168">
        <v>0.03</v>
      </c>
      <c r="G120" s="168">
        <v>1.4999999999999999E-2</v>
      </c>
      <c r="H120" s="169"/>
      <c r="I120" s="170">
        <v>5</v>
      </c>
      <c r="J120" s="170">
        <v>5</v>
      </c>
      <c r="K120" s="167"/>
      <c r="L120" s="171">
        <v>1320.2013999999999</v>
      </c>
      <c r="M120" s="171">
        <v>1251.0593200000001</v>
      </c>
      <c r="N120" s="171">
        <v>2571.2607200000002</v>
      </c>
      <c r="O120" s="166">
        <v>819.38784579974401</v>
      </c>
      <c r="P120" s="172">
        <v>212.5</v>
      </c>
      <c r="Q120" s="178">
        <v>3.8559428037635</v>
      </c>
      <c r="R120" s="179">
        <v>1843.0816859387301</v>
      </c>
      <c r="S120" s="168">
        <v>0.01</v>
      </c>
      <c r="T120" s="168">
        <v>0.01</v>
      </c>
      <c r="U120" s="175">
        <v>0</v>
      </c>
      <c r="V120" s="176">
        <v>0</v>
      </c>
      <c r="W120" s="167"/>
      <c r="X120" s="175">
        <v>1593.3157650000001</v>
      </c>
      <c r="Y120" s="166">
        <v>507.74453255837898</v>
      </c>
      <c r="Z120" s="177">
        <v>573</v>
      </c>
      <c r="AA120" s="188">
        <v>0.88611611266732904</v>
      </c>
      <c r="AB120" s="171">
        <v>-370.19758331579101</v>
      </c>
      <c r="AC120" s="168"/>
      <c r="AD120" s="168"/>
      <c r="AE120" s="176">
        <v>205</v>
      </c>
      <c r="AF120" s="176">
        <v>565</v>
      </c>
      <c r="AG120" s="167"/>
      <c r="AH120" s="180">
        <v>175.2</v>
      </c>
      <c r="AI120" s="166">
        <v>55.831269644299297</v>
      </c>
      <c r="AJ120" s="181" t="s">
        <v>53</v>
      </c>
      <c r="AK120" s="188">
        <v>0.88621062927459204</v>
      </c>
      <c r="AL120" s="171">
        <v>-40.683666568751804</v>
      </c>
      <c r="AM120" s="168"/>
      <c r="AN120" s="168"/>
      <c r="AO120" s="176">
        <v>23</v>
      </c>
      <c r="AP120" s="176">
        <v>63</v>
      </c>
      <c r="AQ120" s="167"/>
      <c r="AR120" s="180">
        <v>53.1</v>
      </c>
      <c r="AS120" s="166">
        <v>16.921463573700301</v>
      </c>
      <c r="AT120" s="181" t="s">
        <v>54</v>
      </c>
      <c r="AU120" s="182">
        <v>1.0575914733562699</v>
      </c>
      <c r="AV120" s="183">
        <v>-1.72759785873063</v>
      </c>
      <c r="AW120" s="168">
        <v>8.0000000000000002E-3</v>
      </c>
      <c r="AX120" s="168">
        <v>3.0000000000000001E-3</v>
      </c>
      <c r="AY120" s="176">
        <v>0</v>
      </c>
      <c r="AZ120" s="176">
        <v>8</v>
      </c>
      <c r="BA120" s="167"/>
      <c r="BB120" s="184">
        <v>102.2</v>
      </c>
      <c r="BC120" s="180">
        <v>32.568240625841298</v>
      </c>
      <c r="BD120" s="181" t="s">
        <v>55</v>
      </c>
      <c r="BE120" s="182">
        <v>1.0177575195575399</v>
      </c>
      <c r="BF120" s="183">
        <v>-7.45519571746126</v>
      </c>
      <c r="BG120" s="168">
        <v>1.2E-2</v>
      </c>
      <c r="BH120" s="168">
        <v>2E-3</v>
      </c>
      <c r="BI120" s="176">
        <v>0</v>
      </c>
      <c r="BJ120" s="176">
        <v>19</v>
      </c>
      <c r="BK120" s="169"/>
      <c r="BL120" s="185">
        <v>0.8</v>
      </c>
      <c r="BM120" s="182">
        <v>0.86</v>
      </c>
      <c r="BN120" s="186">
        <v>2.2499999999999998E-3</v>
      </c>
      <c r="BO120" s="187">
        <v>0.95</v>
      </c>
      <c r="BP120" s="178">
        <v>1</v>
      </c>
      <c r="BQ120" s="186">
        <v>2.5000000000000001E-3</v>
      </c>
    </row>
    <row r="121" spans="1:69" s="156" customFormat="1" ht="22.35" customHeight="1" x14ac:dyDescent="0.2">
      <c r="A121" s="165" t="s">
        <v>175</v>
      </c>
      <c r="B121" s="165" t="s">
        <v>176</v>
      </c>
      <c r="C121" s="165" t="s">
        <v>181</v>
      </c>
      <c r="D121" s="166">
        <v>2.9645688838888899</v>
      </c>
      <c r="E121" s="167"/>
      <c r="F121" s="168">
        <v>0.08</v>
      </c>
      <c r="G121" s="168">
        <v>0.08</v>
      </c>
      <c r="H121" s="169"/>
      <c r="I121" s="170">
        <v>7</v>
      </c>
      <c r="J121" s="170">
        <v>7</v>
      </c>
      <c r="K121" s="167"/>
      <c r="L121" s="171">
        <v>789.22523000000001</v>
      </c>
      <c r="M121" s="171">
        <v>-2.3836400000000002</v>
      </c>
      <c r="N121" s="171">
        <v>786.84159</v>
      </c>
      <c r="O121" s="166">
        <v>265.41518204421999</v>
      </c>
      <c r="P121" s="172">
        <v>221.85</v>
      </c>
      <c r="Q121" s="178">
        <v>1.1963722427055199</v>
      </c>
      <c r="R121" s="179">
        <v>68.644539275300801</v>
      </c>
      <c r="S121" s="168">
        <v>0.01</v>
      </c>
      <c r="T121" s="168">
        <v>0.01</v>
      </c>
      <c r="U121" s="175">
        <v>0</v>
      </c>
      <c r="V121" s="176">
        <v>3</v>
      </c>
      <c r="W121" s="167"/>
      <c r="X121" s="175">
        <v>2267.54358</v>
      </c>
      <c r="Y121" s="166">
        <v>764.88139382528402</v>
      </c>
      <c r="Z121" s="177">
        <v>573</v>
      </c>
      <c r="AA121" s="178">
        <v>1.3348715424524999</v>
      </c>
      <c r="AB121" s="179">
        <v>412.56539624857902</v>
      </c>
      <c r="AC121" s="168">
        <v>0.02</v>
      </c>
      <c r="AD121" s="168">
        <v>0.02</v>
      </c>
      <c r="AE121" s="176">
        <v>0</v>
      </c>
      <c r="AF121" s="176">
        <v>0</v>
      </c>
      <c r="AG121" s="167"/>
      <c r="AH121" s="180">
        <v>264.39999999999998</v>
      </c>
      <c r="AI121" s="166">
        <v>89.186660980251204</v>
      </c>
      <c r="AJ121" s="181" t="s">
        <v>53</v>
      </c>
      <c r="AK121" s="178">
        <v>1.4156612854008099</v>
      </c>
      <c r="AL121" s="179">
        <v>60.449519063979899</v>
      </c>
      <c r="AM121" s="168">
        <v>0.02</v>
      </c>
      <c r="AN121" s="168">
        <v>0.02</v>
      </c>
      <c r="AO121" s="176">
        <v>0</v>
      </c>
      <c r="AP121" s="176">
        <v>0</v>
      </c>
      <c r="AQ121" s="167"/>
      <c r="AR121" s="180">
        <v>69.5</v>
      </c>
      <c r="AS121" s="166">
        <v>23.4435436389087</v>
      </c>
      <c r="AT121" s="181" t="s">
        <v>54</v>
      </c>
      <c r="AU121" s="178">
        <v>1.46522147743179</v>
      </c>
      <c r="AV121" s="179">
        <v>17.7030524606933</v>
      </c>
      <c r="AW121" s="168">
        <v>0.01</v>
      </c>
      <c r="AX121" s="168">
        <v>0.01</v>
      </c>
      <c r="AY121" s="176">
        <v>0</v>
      </c>
      <c r="AZ121" s="176">
        <v>0</v>
      </c>
      <c r="BA121" s="167"/>
      <c r="BB121" s="184">
        <v>189</v>
      </c>
      <c r="BC121" s="180">
        <v>63.7529460108452</v>
      </c>
      <c r="BD121" s="181" t="s">
        <v>55</v>
      </c>
      <c r="BE121" s="178">
        <v>1.9922795628389101</v>
      </c>
      <c r="BF121" s="179">
        <v>85.4061049213866</v>
      </c>
      <c r="BG121" s="168">
        <v>0.02</v>
      </c>
      <c r="BH121" s="168">
        <v>0.02</v>
      </c>
      <c r="BI121" s="176">
        <v>0</v>
      </c>
      <c r="BJ121" s="176">
        <v>0</v>
      </c>
      <c r="BK121" s="169"/>
      <c r="BL121" s="185">
        <v>0.8</v>
      </c>
      <c r="BM121" s="182">
        <v>0.86</v>
      </c>
      <c r="BN121" s="186">
        <v>2.2499999999999998E-3</v>
      </c>
      <c r="BO121" s="187">
        <v>0.95</v>
      </c>
      <c r="BP121" s="178">
        <v>1</v>
      </c>
      <c r="BQ121" s="186">
        <v>2.5000000000000001E-3</v>
      </c>
    </row>
    <row r="122" spans="1:69" s="156" customFormat="1" ht="22.35" customHeight="1" x14ac:dyDescent="0.2">
      <c r="A122" s="165" t="s">
        <v>175</v>
      </c>
      <c r="B122" s="165" t="s">
        <v>176</v>
      </c>
      <c r="C122" s="165" t="s">
        <v>182</v>
      </c>
      <c r="D122" s="166">
        <v>3.25939735288889</v>
      </c>
      <c r="E122" s="167"/>
      <c r="F122" s="168">
        <v>0.03</v>
      </c>
      <c r="G122" s="168">
        <v>2.8000000000000001E-2</v>
      </c>
      <c r="H122" s="169"/>
      <c r="I122" s="170">
        <v>3</v>
      </c>
      <c r="J122" s="170">
        <v>3</v>
      </c>
      <c r="K122" s="167"/>
      <c r="L122" s="171">
        <v>790.63486999999998</v>
      </c>
      <c r="M122" s="171">
        <v>519.15446999999995</v>
      </c>
      <c r="N122" s="171">
        <v>1309.78934</v>
      </c>
      <c r="O122" s="166">
        <v>401.850157618585</v>
      </c>
      <c r="P122" s="172">
        <v>225.95400000000001</v>
      </c>
      <c r="Q122" s="178">
        <v>1.7784600299998501</v>
      </c>
      <c r="R122" s="179">
        <v>505.55987453367499</v>
      </c>
      <c r="S122" s="168">
        <v>0.01</v>
      </c>
      <c r="T122" s="168">
        <v>0.01</v>
      </c>
      <c r="U122" s="175">
        <v>0</v>
      </c>
      <c r="V122" s="176">
        <v>0</v>
      </c>
      <c r="W122" s="167"/>
      <c r="X122" s="175">
        <v>1684.8502100000001</v>
      </c>
      <c r="Y122" s="166">
        <v>516.92077632285998</v>
      </c>
      <c r="Z122" s="177">
        <v>573</v>
      </c>
      <c r="AA122" s="188">
        <v>0.90213049969085501</v>
      </c>
      <c r="AB122" s="171">
        <v>-354.60686406022501</v>
      </c>
      <c r="AC122" s="168"/>
      <c r="AD122" s="168"/>
      <c r="AE122" s="176">
        <v>183</v>
      </c>
      <c r="AF122" s="176">
        <v>557</v>
      </c>
      <c r="AG122" s="167"/>
      <c r="AH122" s="180">
        <v>171.75</v>
      </c>
      <c r="AI122" s="166">
        <v>52.693790110547098</v>
      </c>
      <c r="AJ122" s="181" t="s">
        <v>53</v>
      </c>
      <c r="AK122" s="188">
        <v>0.83640936683408096</v>
      </c>
      <c r="AL122" s="171">
        <v>-52.4835002893441</v>
      </c>
      <c r="AM122" s="168"/>
      <c r="AN122" s="168"/>
      <c r="AO122" s="176">
        <v>34</v>
      </c>
      <c r="AP122" s="176">
        <v>75</v>
      </c>
      <c r="AQ122" s="167"/>
      <c r="AR122" s="180">
        <v>29.1</v>
      </c>
      <c r="AS122" s="166">
        <v>8.9280308134900803</v>
      </c>
      <c r="AT122" s="181" t="s">
        <v>54</v>
      </c>
      <c r="AU122" s="173">
        <v>0.55800192584313002</v>
      </c>
      <c r="AV122" s="174">
        <v>-27.848190549674701</v>
      </c>
      <c r="AW122" s="168"/>
      <c r="AX122" s="168"/>
      <c r="AY122" s="176">
        <v>24</v>
      </c>
      <c r="AZ122" s="176">
        <v>34</v>
      </c>
      <c r="BA122" s="167"/>
      <c r="BB122" s="184">
        <v>123</v>
      </c>
      <c r="BC122" s="180">
        <v>37.737037459081797</v>
      </c>
      <c r="BD122" s="181" t="s">
        <v>55</v>
      </c>
      <c r="BE122" s="178">
        <v>1.1792824205963099</v>
      </c>
      <c r="BF122" s="179">
        <v>9.1036189006506198</v>
      </c>
      <c r="BG122" s="168">
        <v>0.02</v>
      </c>
      <c r="BH122" s="168">
        <v>1.7999999999999999E-2</v>
      </c>
      <c r="BI122" s="176">
        <v>0</v>
      </c>
      <c r="BJ122" s="176">
        <v>3</v>
      </c>
      <c r="BK122" s="169"/>
      <c r="BL122" s="185">
        <v>0.8</v>
      </c>
      <c r="BM122" s="188">
        <v>0.78</v>
      </c>
      <c r="BN122" s="186"/>
      <c r="BO122" s="187">
        <v>0.95</v>
      </c>
      <c r="BP122" s="178">
        <v>1</v>
      </c>
      <c r="BQ122" s="186">
        <v>2.5000000000000001E-3</v>
      </c>
    </row>
    <row r="123" spans="1:69" s="156" customFormat="1" ht="22.35" customHeight="1" x14ac:dyDescent="0.2">
      <c r="A123" s="165" t="s">
        <v>175</v>
      </c>
      <c r="B123" s="165" t="s">
        <v>176</v>
      </c>
      <c r="C123" s="165" t="s">
        <v>183</v>
      </c>
      <c r="D123" s="166">
        <v>2.4762819977777801</v>
      </c>
      <c r="E123" s="167"/>
      <c r="F123" s="168">
        <v>0.02</v>
      </c>
      <c r="G123" s="168">
        <v>0.01</v>
      </c>
      <c r="H123" s="169"/>
      <c r="I123" s="170">
        <v>5</v>
      </c>
      <c r="J123" s="170">
        <v>3</v>
      </c>
      <c r="K123" s="167"/>
      <c r="L123" s="171">
        <v>208.34438</v>
      </c>
      <c r="M123" s="171">
        <v>1798.81573</v>
      </c>
      <c r="N123" s="171">
        <v>2007.16011</v>
      </c>
      <c r="O123" s="166">
        <v>810.553931984011</v>
      </c>
      <c r="P123" s="172">
        <v>224.404</v>
      </c>
      <c r="Q123" s="178">
        <v>3.6120297854940699</v>
      </c>
      <c r="R123" s="179">
        <v>1400.34926671118</v>
      </c>
      <c r="S123" s="168">
        <v>0.01</v>
      </c>
      <c r="T123" s="168">
        <v>0.01</v>
      </c>
      <c r="U123" s="175">
        <v>0</v>
      </c>
      <c r="V123" s="176">
        <v>0</v>
      </c>
      <c r="W123" s="167"/>
      <c r="X123" s="175">
        <v>1037.87886</v>
      </c>
      <c r="Y123" s="166">
        <v>419.12789453357698</v>
      </c>
      <c r="Z123" s="177">
        <v>573</v>
      </c>
      <c r="AA123" s="188">
        <v>0.73146229412491603</v>
      </c>
      <c r="AB123" s="171">
        <v>-511.57040652152102</v>
      </c>
      <c r="AC123" s="168"/>
      <c r="AD123" s="168"/>
      <c r="AE123" s="176">
        <v>382</v>
      </c>
      <c r="AF123" s="176">
        <v>665</v>
      </c>
      <c r="AG123" s="167"/>
      <c r="AH123" s="180">
        <v>144.25</v>
      </c>
      <c r="AI123" s="166">
        <v>58.252654636850899</v>
      </c>
      <c r="AJ123" s="181" t="s">
        <v>53</v>
      </c>
      <c r="AK123" s="182">
        <v>0.92464531169604502</v>
      </c>
      <c r="AL123" s="183">
        <v>-26.1082963191202</v>
      </c>
      <c r="AM123" s="168">
        <v>2E-3</v>
      </c>
      <c r="AN123" s="168"/>
      <c r="AO123" s="176">
        <v>12</v>
      </c>
      <c r="AP123" s="176">
        <v>43</v>
      </c>
      <c r="AQ123" s="167"/>
      <c r="AR123" s="180">
        <v>27.9</v>
      </c>
      <c r="AS123" s="166">
        <v>11.2668912607843</v>
      </c>
      <c r="AT123" s="181" t="s">
        <v>54</v>
      </c>
      <c r="AU123" s="173">
        <v>0.70418070379901998</v>
      </c>
      <c r="AV123" s="174">
        <v>-15.3655990651734</v>
      </c>
      <c r="AW123" s="168"/>
      <c r="AX123" s="168"/>
      <c r="AY123" s="176">
        <v>12</v>
      </c>
      <c r="AZ123" s="176">
        <v>20</v>
      </c>
      <c r="BA123" s="167"/>
      <c r="BB123" s="184">
        <v>78.2</v>
      </c>
      <c r="BC123" s="180">
        <v>31.579602028434898</v>
      </c>
      <c r="BD123" s="181" t="s">
        <v>55</v>
      </c>
      <c r="BE123" s="182">
        <v>0.98686256338859102</v>
      </c>
      <c r="BF123" s="183">
        <v>-8.3311981303467508</v>
      </c>
      <c r="BG123" s="168">
        <v>8.0000000000000002E-3</v>
      </c>
      <c r="BH123" s="168"/>
      <c r="BI123" s="176">
        <v>2</v>
      </c>
      <c r="BJ123" s="176">
        <v>17</v>
      </c>
      <c r="BK123" s="169"/>
      <c r="BL123" s="185">
        <v>0.8</v>
      </c>
      <c r="BM123" s="182">
        <v>0.84</v>
      </c>
      <c r="BN123" s="186">
        <v>1.5E-3</v>
      </c>
      <c r="BO123" s="187">
        <v>0.95</v>
      </c>
      <c r="BP123" s="178">
        <v>1</v>
      </c>
      <c r="BQ123" s="186">
        <v>2.5000000000000001E-3</v>
      </c>
    </row>
    <row r="124" spans="1:69" s="156" customFormat="1" ht="22.35" customHeight="1" x14ac:dyDescent="0.2">
      <c r="A124" s="165" t="s">
        <v>175</v>
      </c>
      <c r="B124" s="165" t="s">
        <v>176</v>
      </c>
      <c r="C124" s="165" t="s">
        <v>184</v>
      </c>
      <c r="D124" s="166">
        <v>6.49187964211111</v>
      </c>
      <c r="E124" s="167"/>
      <c r="F124" s="168">
        <v>1.6E-2</v>
      </c>
      <c r="G124" s="168"/>
      <c r="H124" s="169"/>
      <c r="I124" s="170">
        <v>3</v>
      </c>
      <c r="J124" s="170">
        <v>1</v>
      </c>
      <c r="K124" s="167"/>
      <c r="L124" s="171">
        <v>1658.9607800000001</v>
      </c>
      <c r="M124" s="171">
        <v>-1437.8832399999999</v>
      </c>
      <c r="N124" s="171">
        <v>221.07754</v>
      </c>
      <c r="O124" s="166">
        <v>34.054473001305901</v>
      </c>
      <c r="P124" s="172">
        <v>272.23099999999999</v>
      </c>
      <c r="Q124" s="173">
        <v>0.12509403044218301</v>
      </c>
      <c r="R124" s="174">
        <v>-1708.8041084418901</v>
      </c>
      <c r="S124" s="168"/>
      <c r="T124" s="168"/>
      <c r="U124" s="175">
        <v>1547</v>
      </c>
      <c r="V124" s="176">
        <v>1900</v>
      </c>
      <c r="W124" s="167"/>
      <c r="X124" s="175">
        <v>3625.1861549999999</v>
      </c>
      <c r="Y124" s="166">
        <v>558.41857133092401</v>
      </c>
      <c r="Z124" s="177">
        <v>573</v>
      </c>
      <c r="AA124" s="182">
        <v>0.97455248050772203</v>
      </c>
      <c r="AB124" s="183">
        <v>-436.88680714319599</v>
      </c>
      <c r="AC124" s="168">
        <v>7.0000000000000001E-3</v>
      </c>
      <c r="AD124" s="168"/>
      <c r="AE124" s="176">
        <v>95</v>
      </c>
      <c r="AF124" s="176">
        <v>839</v>
      </c>
      <c r="AG124" s="167"/>
      <c r="AH124" s="180">
        <v>224.4</v>
      </c>
      <c r="AI124" s="166">
        <v>34.5662600619359</v>
      </c>
      <c r="AJ124" s="181" t="s">
        <v>53</v>
      </c>
      <c r="AK124" s="173">
        <v>0.548670794633903</v>
      </c>
      <c r="AL124" s="174">
        <v>-222.215351858676</v>
      </c>
      <c r="AM124" s="168"/>
      <c r="AN124" s="168"/>
      <c r="AO124" s="176">
        <v>185</v>
      </c>
      <c r="AP124" s="176">
        <v>267</v>
      </c>
      <c r="AQ124" s="167"/>
      <c r="AR124" s="180">
        <v>51.8</v>
      </c>
      <c r="AS124" s="166">
        <v>7.9791990695556096</v>
      </c>
      <c r="AT124" s="181" t="s">
        <v>54</v>
      </c>
      <c r="AU124" s="173">
        <v>0.49869994184722599</v>
      </c>
      <c r="AV124" s="174">
        <v>-61.6261211069653</v>
      </c>
      <c r="AW124" s="168"/>
      <c r="AX124" s="168"/>
      <c r="AY124" s="176">
        <v>53</v>
      </c>
      <c r="AZ124" s="176">
        <v>73</v>
      </c>
      <c r="BA124" s="167"/>
      <c r="BB124" s="184">
        <v>206.6</v>
      </c>
      <c r="BC124" s="180">
        <v>31.824373122976599</v>
      </c>
      <c r="BD124" s="181" t="s">
        <v>55</v>
      </c>
      <c r="BE124" s="182">
        <v>0.99451166009301994</v>
      </c>
      <c r="BF124" s="183">
        <v>-20.2522422139307</v>
      </c>
      <c r="BG124" s="168">
        <v>8.9999999999999993E-3</v>
      </c>
      <c r="BH124" s="168"/>
      <c r="BI124" s="176">
        <v>2</v>
      </c>
      <c r="BJ124" s="176">
        <v>43</v>
      </c>
      <c r="BK124" s="169"/>
      <c r="BL124" s="185">
        <v>0.8</v>
      </c>
      <c r="BM124" s="188">
        <v>0.79</v>
      </c>
      <c r="BN124" s="186"/>
      <c r="BO124" s="187">
        <v>0.95</v>
      </c>
      <c r="BP124" s="178">
        <v>1</v>
      </c>
      <c r="BQ124" s="186">
        <v>2.5000000000000001E-3</v>
      </c>
    </row>
    <row r="125" spans="1:69" s="156" customFormat="1" ht="22.35" customHeight="1" x14ac:dyDescent="0.2">
      <c r="A125" s="165" t="s">
        <v>175</v>
      </c>
      <c r="B125" s="165" t="s">
        <v>176</v>
      </c>
      <c r="C125" s="165" t="s">
        <v>185</v>
      </c>
      <c r="D125" s="166">
        <v>2.7823128829999999</v>
      </c>
      <c r="E125" s="167"/>
      <c r="F125" s="168">
        <v>0.03</v>
      </c>
      <c r="G125" s="168">
        <v>2.3E-2</v>
      </c>
      <c r="H125" s="169"/>
      <c r="I125" s="170">
        <v>4</v>
      </c>
      <c r="J125" s="170">
        <v>4</v>
      </c>
      <c r="K125" s="167"/>
      <c r="L125" s="171">
        <v>1048.1140499999999</v>
      </c>
      <c r="M125" s="171">
        <v>769.87869999999998</v>
      </c>
      <c r="N125" s="171">
        <v>1817.9927499999999</v>
      </c>
      <c r="O125" s="166">
        <v>653.410607091668</v>
      </c>
      <c r="P125" s="172">
        <v>278.23599999999999</v>
      </c>
      <c r="Q125" s="178">
        <v>2.3484042578662301</v>
      </c>
      <c r="R125" s="179">
        <v>972.63229881268796</v>
      </c>
      <c r="S125" s="168">
        <v>0.01</v>
      </c>
      <c r="T125" s="168">
        <v>0.01</v>
      </c>
      <c r="U125" s="175">
        <v>0</v>
      </c>
      <c r="V125" s="176">
        <v>0</v>
      </c>
      <c r="W125" s="167"/>
      <c r="X125" s="175">
        <v>1257.339655</v>
      </c>
      <c r="Y125" s="166">
        <v>451.904479428743</v>
      </c>
      <c r="Z125" s="177">
        <v>573</v>
      </c>
      <c r="AA125" s="188">
        <v>0.78866401296464705</v>
      </c>
      <c r="AB125" s="171">
        <v>-483.59803289922797</v>
      </c>
      <c r="AC125" s="168"/>
      <c r="AD125" s="168"/>
      <c r="AE125" s="176">
        <v>337</v>
      </c>
      <c r="AF125" s="176">
        <v>656</v>
      </c>
      <c r="AG125" s="167"/>
      <c r="AH125" s="180">
        <v>133.85</v>
      </c>
      <c r="AI125" s="166">
        <v>48.107457941853603</v>
      </c>
      <c r="AJ125" s="181" t="s">
        <v>53</v>
      </c>
      <c r="AK125" s="188">
        <v>0.76361044352148599</v>
      </c>
      <c r="AL125" s="171">
        <v>-57.561997098867998</v>
      </c>
      <c r="AM125" s="168"/>
      <c r="AN125" s="168"/>
      <c r="AO125" s="176">
        <v>42</v>
      </c>
      <c r="AP125" s="176">
        <v>77</v>
      </c>
      <c r="AQ125" s="167"/>
      <c r="AR125" s="180">
        <v>19.100000000000001</v>
      </c>
      <c r="AS125" s="166">
        <v>6.8647922800851999</v>
      </c>
      <c r="AT125" s="181" t="s">
        <v>54</v>
      </c>
      <c r="AU125" s="173">
        <v>0.429049517505325</v>
      </c>
      <c r="AV125" s="174">
        <v>-29.512570691775998</v>
      </c>
      <c r="AW125" s="168"/>
      <c r="AX125" s="168"/>
      <c r="AY125" s="176">
        <v>26</v>
      </c>
      <c r="AZ125" s="176">
        <v>35</v>
      </c>
      <c r="BA125" s="167"/>
      <c r="BB125" s="184">
        <v>101</v>
      </c>
      <c r="BC125" s="180">
        <v>36.3007340465238</v>
      </c>
      <c r="BD125" s="181" t="s">
        <v>55</v>
      </c>
      <c r="BE125" s="178">
        <v>1.1343979389538701</v>
      </c>
      <c r="BF125" s="179">
        <v>3.77485861644799</v>
      </c>
      <c r="BG125" s="168">
        <v>0.02</v>
      </c>
      <c r="BH125" s="168">
        <v>1.2999999999999999E-2</v>
      </c>
      <c r="BI125" s="176">
        <v>0</v>
      </c>
      <c r="BJ125" s="176">
        <v>6</v>
      </c>
      <c r="BK125" s="169"/>
      <c r="BL125" s="185">
        <v>0.8</v>
      </c>
      <c r="BM125" s="182">
        <v>0.84</v>
      </c>
      <c r="BN125" s="186">
        <v>1.5E-3</v>
      </c>
      <c r="BO125" s="187">
        <v>0.95</v>
      </c>
      <c r="BP125" s="178">
        <v>1</v>
      </c>
      <c r="BQ125" s="186">
        <v>2.5000000000000001E-3</v>
      </c>
    </row>
    <row r="126" spans="1:69" s="156" customFormat="1" ht="22.35" customHeight="1" x14ac:dyDescent="0.2">
      <c r="A126" s="165" t="s">
        <v>175</v>
      </c>
      <c r="B126" s="165" t="s">
        <v>176</v>
      </c>
      <c r="C126" s="165" t="s">
        <v>186</v>
      </c>
      <c r="D126" s="166">
        <v>6.3293904736666704</v>
      </c>
      <c r="E126" s="167"/>
      <c r="F126" s="168">
        <v>2.5999999999999999E-2</v>
      </c>
      <c r="G126" s="168">
        <v>1.4999999999999999E-2</v>
      </c>
      <c r="H126" s="169"/>
      <c r="I126" s="170">
        <v>3</v>
      </c>
      <c r="J126" s="170">
        <v>3</v>
      </c>
      <c r="K126" s="167"/>
      <c r="L126" s="171">
        <v>2477.6832899999999</v>
      </c>
      <c r="M126" s="171">
        <v>1330.3958299999999</v>
      </c>
      <c r="N126" s="171">
        <v>3808.0791199999999</v>
      </c>
      <c r="O126" s="166">
        <v>601.65021195065401</v>
      </c>
      <c r="P126" s="172">
        <v>213.245</v>
      </c>
      <c r="Q126" s="178">
        <v>2.8214036059492802</v>
      </c>
      <c r="R126" s="179">
        <v>2334.1948482596999</v>
      </c>
      <c r="S126" s="168">
        <v>0.01</v>
      </c>
      <c r="T126" s="168">
        <v>0.01</v>
      </c>
      <c r="U126" s="175">
        <v>0</v>
      </c>
      <c r="V126" s="176">
        <v>0</v>
      </c>
      <c r="W126" s="167"/>
      <c r="X126" s="175">
        <v>2979.1891049999999</v>
      </c>
      <c r="Y126" s="166">
        <v>470.69131180875502</v>
      </c>
      <c r="Z126" s="177">
        <v>573</v>
      </c>
      <c r="AA126" s="188">
        <v>0.82145080594896103</v>
      </c>
      <c r="AB126" s="171">
        <v>-981.211784620814</v>
      </c>
      <c r="AC126" s="168"/>
      <c r="AD126" s="168"/>
      <c r="AE126" s="176">
        <v>648</v>
      </c>
      <c r="AF126" s="176">
        <v>1373</v>
      </c>
      <c r="AG126" s="167"/>
      <c r="AH126" s="180">
        <v>251</v>
      </c>
      <c r="AI126" s="166">
        <v>39.656267225774997</v>
      </c>
      <c r="AJ126" s="181" t="s">
        <v>53</v>
      </c>
      <c r="AK126" s="173">
        <v>0.62946455913928601</v>
      </c>
      <c r="AL126" s="174">
        <v>-184.43674702637199</v>
      </c>
      <c r="AM126" s="168"/>
      <c r="AN126" s="168"/>
      <c r="AO126" s="176">
        <v>148</v>
      </c>
      <c r="AP126" s="176">
        <v>228</v>
      </c>
      <c r="AQ126" s="167"/>
      <c r="AR126" s="180">
        <v>83.9</v>
      </c>
      <c r="AS126" s="166">
        <v>13.255620797779001</v>
      </c>
      <c r="AT126" s="181" t="s">
        <v>54</v>
      </c>
      <c r="AU126" s="188">
        <v>0.82847629986118598</v>
      </c>
      <c r="AV126" s="171">
        <v>-26.6871103559041</v>
      </c>
      <c r="AW126" s="168"/>
      <c r="AX126" s="168"/>
      <c r="AY126" s="176">
        <v>18</v>
      </c>
      <c r="AZ126" s="176">
        <v>38</v>
      </c>
      <c r="BA126" s="167"/>
      <c r="BB126" s="184">
        <v>213.6</v>
      </c>
      <c r="BC126" s="180">
        <v>33.747325416038002</v>
      </c>
      <c r="BD126" s="181" t="s">
        <v>55</v>
      </c>
      <c r="BE126" s="182">
        <v>1.05460391925119</v>
      </c>
      <c r="BF126" s="183">
        <v>-7.5742207118081204</v>
      </c>
      <c r="BG126" s="168">
        <v>1.6E-2</v>
      </c>
      <c r="BH126" s="168">
        <v>5.0000000000000001E-3</v>
      </c>
      <c r="BI126" s="176">
        <v>0</v>
      </c>
      <c r="BJ126" s="176">
        <v>30</v>
      </c>
      <c r="BK126" s="169"/>
      <c r="BL126" s="185">
        <v>0.8</v>
      </c>
      <c r="BM126" s="188">
        <v>0.74</v>
      </c>
      <c r="BN126" s="186"/>
      <c r="BO126" s="187">
        <v>0.95</v>
      </c>
      <c r="BP126" s="178">
        <v>1</v>
      </c>
      <c r="BQ126" s="186">
        <v>2.5000000000000001E-3</v>
      </c>
    </row>
    <row r="127" spans="1:69" s="156" customFormat="1" ht="22.35" customHeight="1" x14ac:dyDescent="0.2">
      <c r="A127" s="165" t="s">
        <v>175</v>
      </c>
      <c r="B127" s="165" t="s">
        <v>187</v>
      </c>
      <c r="C127" s="165" t="s">
        <v>188</v>
      </c>
      <c r="D127" s="166">
        <v>2.9213564213333298</v>
      </c>
      <c r="E127" s="167"/>
      <c r="F127" s="168">
        <v>0.06</v>
      </c>
      <c r="G127" s="168">
        <v>4.7E-2</v>
      </c>
      <c r="H127" s="169"/>
      <c r="I127" s="170">
        <v>6</v>
      </c>
      <c r="J127" s="170">
        <v>5</v>
      </c>
      <c r="K127" s="167"/>
      <c r="L127" s="171">
        <v>1205.29936</v>
      </c>
      <c r="M127" s="171">
        <v>1218.6614999999999</v>
      </c>
      <c r="N127" s="171">
        <v>2423.9608600000001</v>
      </c>
      <c r="O127" s="166">
        <v>829.73814571166997</v>
      </c>
      <c r="P127" s="172">
        <v>212.5</v>
      </c>
      <c r="Q127" s="178">
        <v>3.9046500974666798</v>
      </c>
      <c r="R127" s="179">
        <v>1746.0601024296</v>
      </c>
      <c r="S127" s="168">
        <v>0.01</v>
      </c>
      <c r="T127" s="168">
        <v>0.01</v>
      </c>
      <c r="U127" s="175">
        <v>0</v>
      </c>
      <c r="V127" s="176">
        <v>0</v>
      </c>
      <c r="W127" s="167"/>
      <c r="X127" s="175">
        <v>1965.5979</v>
      </c>
      <c r="Y127" s="166">
        <v>672.83741403347301</v>
      </c>
      <c r="Z127" s="177">
        <v>573</v>
      </c>
      <c r="AA127" s="178">
        <v>1.1742363246657499</v>
      </c>
      <c r="AB127" s="179">
        <v>137.65844546899399</v>
      </c>
      <c r="AC127" s="168">
        <v>0.02</v>
      </c>
      <c r="AD127" s="168">
        <v>1.7000000000000001E-2</v>
      </c>
      <c r="AE127" s="176">
        <v>0</v>
      </c>
      <c r="AF127" s="176">
        <v>44</v>
      </c>
      <c r="AG127" s="167"/>
      <c r="AH127" s="180">
        <v>183.5</v>
      </c>
      <c r="AI127" s="166">
        <v>62.813287231911602</v>
      </c>
      <c r="AJ127" s="181" t="s">
        <v>53</v>
      </c>
      <c r="AK127" s="182">
        <v>0.99703630526843801</v>
      </c>
      <c r="AL127" s="183">
        <v>-17.4776363620478</v>
      </c>
      <c r="AM127" s="168">
        <v>0.01</v>
      </c>
      <c r="AN127" s="168">
        <v>0</v>
      </c>
      <c r="AO127" s="176">
        <v>1</v>
      </c>
      <c r="AP127" s="176">
        <v>38</v>
      </c>
      <c r="AQ127" s="167"/>
      <c r="AR127" s="180">
        <v>17.399999999999999</v>
      </c>
      <c r="AS127" s="166">
        <v>5.9561373179033303</v>
      </c>
      <c r="AT127" s="181" t="s">
        <v>54</v>
      </c>
      <c r="AU127" s="173">
        <v>0.37225858236895798</v>
      </c>
      <c r="AV127" s="174">
        <v>-33.6419393935359</v>
      </c>
      <c r="AW127" s="168"/>
      <c r="AX127" s="168"/>
      <c r="AY127" s="176">
        <v>30</v>
      </c>
      <c r="AZ127" s="176">
        <v>39</v>
      </c>
      <c r="BA127" s="167"/>
      <c r="BB127" s="184">
        <v>125.4</v>
      </c>
      <c r="BC127" s="180">
        <v>42.925265497993003</v>
      </c>
      <c r="BD127" s="181" t="s">
        <v>55</v>
      </c>
      <c r="BE127" s="178">
        <v>1.34141454681228</v>
      </c>
      <c r="BF127" s="179">
        <v>23.316121212928099</v>
      </c>
      <c r="BG127" s="168">
        <v>0.02</v>
      </c>
      <c r="BH127" s="168">
        <v>0.02</v>
      </c>
      <c r="BI127" s="176">
        <v>0</v>
      </c>
      <c r="BJ127" s="176">
        <v>0</v>
      </c>
      <c r="BK127" s="169"/>
      <c r="BL127" s="185">
        <v>0.8</v>
      </c>
      <c r="BM127" s="182">
        <v>0.85</v>
      </c>
      <c r="BN127" s="186">
        <v>1.8749999999999999E-3</v>
      </c>
      <c r="BO127" s="187">
        <v>0.95</v>
      </c>
      <c r="BP127" s="178">
        <v>1</v>
      </c>
      <c r="BQ127" s="186">
        <v>2.5000000000000001E-3</v>
      </c>
    </row>
    <row r="128" spans="1:69" s="156" customFormat="1" ht="22.35" customHeight="1" x14ac:dyDescent="0.2">
      <c r="A128" s="165" t="s">
        <v>175</v>
      </c>
      <c r="B128" s="165" t="s">
        <v>187</v>
      </c>
      <c r="C128" s="165" t="s">
        <v>189</v>
      </c>
      <c r="D128" s="166">
        <v>8.5281722426666704</v>
      </c>
      <c r="E128" s="167"/>
      <c r="F128" s="168">
        <v>0.04</v>
      </c>
      <c r="G128" s="168">
        <v>0.04</v>
      </c>
      <c r="H128" s="169"/>
      <c r="I128" s="170">
        <v>4</v>
      </c>
      <c r="J128" s="170">
        <v>4</v>
      </c>
      <c r="K128" s="167"/>
      <c r="L128" s="171">
        <v>8846.2306599999993</v>
      </c>
      <c r="M128" s="171">
        <v>2797.3481900000002</v>
      </c>
      <c r="N128" s="171">
        <v>11643.57885</v>
      </c>
      <c r="O128" s="166">
        <v>1365.30765546067</v>
      </c>
      <c r="P128" s="172">
        <v>246.12100000000001</v>
      </c>
      <c r="Q128" s="178">
        <v>5.5473025684954598</v>
      </c>
      <c r="R128" s="179">
        <v>9351.5120396532002</v>
      </c>
      <c r="S128" s="168">
        <v>0.01</v>
      </c>
      <c r="T128" s="168">
        <v>0.01</v>
      </c>
      <c r="U128" s="175">
        <v>0</v>
      </c>
      <c r="V128" s="176">
        <v>0</v>
      </c>
      <c r="W128" s="167"/>
      <c r="X128" s="175">
        <v>4201.0185750000001</v>
      </c>
      <c r="Y128" s="166">
        <v>492.60479918337001</v>
      </c>
      <c r="Z128" s="177">
        <v>573</v>
      </c>
      <c r="AA128" s="188">
        <v>0.859694239412512</v>
      </c>
      <c r="AB128" s="171">
        <v>-1135.19524799242</v>
      </c>
      <c r="AC128" s="168"/>
      <c r="AD128" s="168"/>
      <c r="AE128" s="176">
        <v>686</v>
      </c>
      <c r="AF128" s="176">
        <v>1663</v>
      </c>
      <c r="AG128" s="167"/>
      <c r="AH128" s="180">
        <v>364.55</v>
      </c>
      <c r="AI128" s="166">
        <v>42.746556897167999</v>
      </c>
      <c r="AJ128" s="181" t="s">
        <v>53</v>
      </c>
      <c r="AK128" s="173">
        <v>0.67851677614552497</v>
      </c>
      <c r="AL128" s="174">
        <v>-222.15413760649599</v>
      </c>
      <c r="AM128" s="168"/>
      <c r="AN128" s="168"/>
      <c r="AO128" s="176">
        <v>173</v>
      </c>
      <c r="AP128" s="176">
        <v>281</v>
      </c>
      <c r="AQ128" s="167"/>
      <c r="AR128" s="180">
        <v>188.6</v>
      </c>
      <c r="AS128" s="166">
        <v>22.114937953108999</v>
      </c>
      <c r="AT128" s="181" t="s">
        <v>54</v>
      </c>
      <c r="AU128" s="178">
        <v>1.38218362206931</v>
      </c>
      <c r="AV128" s="179">
        <v>39.595774576127901</v>
      </c>
      <c r="AW128" s="168">
        <v>0.01</v>
      </c>
      <c r="AX128" s="168">
        <v>0.01</v>
      </c>
      <c r="AY128" s="176">
        <v>0</v>
      </c>
      <c r="AZ128" s="176">
        <v>0</v>
      </c>
      <c r="BA128" s="167"/>
      <c r="BB128" s="184">
        <v>405.2</v>
      </c>
      <c r="BC128" s="180">
        <v>47.513111657475001</v>
      </c>
      <c r="BD128" s="181" t="s">
        <v>55</v>
      </c>
      <c r="BE128" s="178">
        <v>1.48478473929609</v>
      </c>
      <c r="BF128" s="179">
        <v>107.191549152256</v>
      </c>
      <c r="BG128" s="168">
        <v>0.02</v>
      </c>
      <c r="BH128" s="168">
        <v>0.02</v>
      </c>
      <c r="BI128" s="176">
        <v>0</v>
      </c>
      <c r="BJ128" s="176">
        <v>0</v>
      </c>
      <c r="BK128" s="169"/>
      <c r="BL128" s="185">
        <v>0.8</v>
      </c>
      <c r="BM128" s="188">
        <v>0.79</v>
      </c>
      <c r="BN128" s="186"/>
      <c r="BO128" s="187">
        <v>0.95</v>
      </c>
      <c r="BP128" s="178">
        <v>1</v>
      </c>
      <c r="BQ128" s="186">
        <v>2.5000000000000001E-3</v>
      </c>
    </row>
    <row r="129" spans="1:69" s="156" customFormat="1" ht="22.35" customHeight="1" x14ac:dyDescent="0.2">
      <c r="A129" s="165" t="s">
        <v>175</v>
      </c>
      <c r="B129" s="165" t="s">
        <v>187</v>
      </c>
      <c r="C129" s="165" t="s">
        <v>187</v>
      </c>
      <c r="D129" s="166">
        <v>4.1541729739999997</v>
      </c>
      <c r="E129" s="167"/>
      <c r="F129" s="168">
        <v>0.08</v>
      </c>
      <c r="G129" s="168">
        <v>7.0000000000000007E-2</v>
      </c>
      <c r="H129" s="169"/>
      <c r="I129" s="170">
        <v>7</v>
      </c>
      <c r="J129" s="170">
        <v>7</v>
      </c>
      <c r="K129" s="167"/>
      <c r="L129" s="171">
        <v>2018.87652</v>
      </c>
      <c r="M129" s="171">
        <v>2670.2712900000001</v>
      </c>
      <c r="N129" s="171">
        <v>4689.1478100000004</v>
      </c>
      <c r="O129" s="166">
        <v>1128.7801060158699</v>
      </c>
      <c r="P129" s="172">
        <v>212.5</v>
      </c>
      <c r="Q129" s="178">
        <v>5.3119063812511502</v>
      </c>
      <c r="R129" s="179">
        <v>3725.1719713832999</v>
      </c>
      <c r="S129" s="168">
        <v>0.01</v>
      </c>
      <c r="T129" s="168">
        <v>0.01</v>
      </c>
      <c r="U129" s="175">
        <v>0</v>
      </c>
      <c r="V129" s="176">
        <v>0</v>
      </c>
      <c r="W129" s="167"/>
      <c r="X129" s="175">
        <v>2772.46371</v>
      </c>
      <c r="Y129" s="166">
        <v>667.39245750049497</v>
      </c>
      <c r="Z129" s="177">
        <v>573</v>
      </c>
      <c r="AA129" s="178">
        <v>1.1647337827233799</v>
      </c>
      <c r="AB129" s="179">
        <v>173.13121340061599</v>
      </c>
      <c r="AC129" s="168">
        <v>0.02</v>
      </c>
      <c r="AD129" s="168">
        <v>1.6E-2</v>
      </c>
      <c r="AE129" s="176">
        <v>0</v>
      </c>
      <c r="AF129" s="176">
        <v>84</v>
      </c>
      <c r="AG129" s="167"/>
      <c r="AH129" s="180">
        <v>299</v>
      </c>
      <c r="AI129" s="166">
        <v>71.975818501389099</v>
      </c>
      <c r="AJ129" s="181" t="s">
        <v>53</v>
      </c>
      <c r="AK129" s="178">
        <v>1.1424733095458599</v>
      </c>
      <c r="AL129" s="179">
        <v>13.2095160806959</v>
      </c>
      <c r="AM129" s="168">
        <v>0.02</v>
      </c>
      <c r="AN129" s="168">
        <v>1.4E-2</v>
      </c>
      <c r="AO129" s="176">
        <v>0</v>
      </c>
      <c r="AP129" s="176">
        <v>16</v>
      </c>
      <c r="AQ129" s="167"/>
      <c r="AR129" s="180">
        <v>101.8</v>
      </c>
      <c r="AS129" s="166">
        <v>24.505479342613398</v>
      </c>
      <c r="AT129" s="181" t="s">
        <v>54</v>
      </c>
      <c r="AU129" s="178">
        <v>1.5315924589133401</v>
      </c>
      <c r="AV129" s="179">
        <v>29.218289798272</v>
      </c>
      <c r="AW129" s="168">
        <v>0.01</v>
      </c>
      <c r="AX129" s="168">
        <v>0.01</v>
      </c>
      <c r="AY129" s="176">
        <v>0</v>
      </c>
      <c r="AZ129" s="176">
        <v>0</v>
      </c>
      <c r="BA129" s="167"/>
      <c r="BB129" s="184">
        <v>229.8</v>
      </c>
      <c r="BC129" s="180">
        <v>55.317869871636198</v>
      </c>
      <c r="BD129" s="181" t="s">
        <v>55</v>
      </c>
      <c r="BE129" s="178">
        <v>1.7286834334886301</v>
      </c>
      <c r="BF129" s="179">
        <v>84.636579596543996</v>
      </c>
      <c r="BG129" s="168">
        <v>0.02</v>
      </c>
      <c r="BH129" s="168">
        <v>0.02</v>
      </c>
      <c r="BI129" s="176">
        <v>0</v>
      </c>
      <c r="BJ129" s="176">
        <v>0</v>
      </c>
      <c r="BK129" s="169"/>
      <c r="BL129" s="185">
        <v>0.8</v>
      </c>
      <c r="BM129" s="182">
        <v>0.82</v>
      </c>
      <c r="BN129" s="186">
        <v>7.5000000000000002E-4</v>
      </c>
      <c r="BO129" s="187">
        <v>0.95</v>
      </c>
      <c r="BP129" s="178">
        <v>1</v>
      </c>
      <c r="BQ129" s="186">
        <v>2.5000000000000001E-3</v>
      </c>
    </row>
    <row r="130" spans="1:69" s="156" customFormat="1" ht="22.35" customHeight="1" x14ac:dyDescent="0.2">
      <c r="A130" s="165" t="s">
        <v>175</v>
      </c>
      <c r="B130" s="165" t="s">
        <v>187</v>
      </c>
      <c r="C130" s="165" t="s">
        <v>190</v>
      </c>
      <c r="D130" s="166">
        <v>3.1974210582222198</v>
      </c>
      <c r="E130" s="167"/>
      <c r="F130" s="168">
        <v>0.03</v>
      </c>
      <c r="G130" s="168">
        <v>2.5999999999999999E-2</v>
      </c>
      <c r="H130" s="169"/>
      <c r="I130" s="170">
        <v>4</v>
      </c>
      <c r="J130" s="170">
        <v>4</v>
      </c>
      <c r="K130" s="167"/>
      <c r="L130" s="171">
        <v>2174.2863600000001</v>
      </c>
      <c r="M130" s="171">
        <v>2783.4766199999999</v>
      </c>
      <c r="N130" s="171">
        <v>4957.7629800000004</v>
      </c>
      <c r="O130" s="166">
        <v>1550.5505498723801</v>
      </c>
      <c r="P130" s="172">
        <v>212.5</v>
      </c>
      <c r="Q130" s="178">
        <v>7.2967084699876699</v>
      </c>
      <c r="R130" s="179">
        <v>4215.8014234395296</v>
      </c>
      <c r="S130" s="168">
        <v>0.01</v>
      </c>
      <c r="T130" s="168">
        <v>0.01</v>
      </c>
      <c r="U130" s="175">
        <v>0</v>
      </c>
      <c r="V130" s="176">
        <v>0</v>
      </c>
      <c r="W130" s="167"/>
      <c r="X130" s="175">
        <v>1278.6325650000001</v>
      </c>
      <c r="Y130" s="166">
        <v>399.89495963066099</v>
      </c>
      <c r="Z130" s="177">
        <v>573</v>
      </c>
      <c r="AA130" s="173">
        <v>0.69789696270621404</v>
      </c>
      <c r="AB130" s="174">
        <v>-722.04494986657505</v>
      </c>
      <c r="AC130" s="168"/>
      <c r="AD130" s="168"/>
      <c r="AE130" s="176">
        <v>554</v>
      </c>
      <c r="AF130" s="176">
        <v>920</v>
      </c>
      <c r="AG130" s="167"/>
      <c r="AH130" s="180">
        <v>112.9</v>
      </c>
      <c r="AI130" s="166">
        <v>35.309706774363001</v>
      </c>
      <c r="AJ130" s="181" t="s">
        <v>53</v>
      </c>
      <c r="AK130" s="173">
        <v>0.56047153610099898</v>
      </c>
      <c r="AL130" s="174">
        <v>-107.06977912145599</v>
      </c>
      <c r="AM130" s="168"/>
      <c r="AN130" s="168"/>
      <c r="AO130" s="176">
        <v>89</v>
      </c>
      <c r="AP130" s="176">
        <v>129</v>
      </c>
      <c r="AQ130" s="167"/>
      <c r="AR130" s="180">
        <v>26</v>
      </c>
      <c r="AS130" s="166">
        <v>8.1315533758497498</v>
      </c>
      <c r="AT130" s="181" t="s">
        <v>54</v>
      </c>
      <c r="AU130" s="173">
        <v>0.50822208599060903</v>
      </c>
      <c r="AV130" s="174">
        <v>-29.865340729258602</v>
      </c>
      <c r="AW130" s="168"/>
      <c r="AX130" s="168"/>
      <c r="AY130" s="176">
        <v>26</v>
      </c>
      <c r="AZ130" s="176">
        <v>36</v>
      </c>
      <c r="BA130" s="167"/>
      <c r="BB130" s="184">
        <v>119</v>
      </c>
      <c r="BC130" s="180">
        <v>37.217494297158503</v>
      </c>
      <c r="BD130" s="181" t="s">
        <v>55</v>
      </c>
      <c r="BE130" s="178">
        <v>1.1630466967862001</v>
      </c>
      <c r="BF130" s="179">
        <v>7.2693185414827504</v>
      </c>
      <c r="BG130" s="168">
        <v>0.02</v>
      </c>
      <c r="BH130" s="168">
        <v>1.6E-2</v>
      </c>
      <c r="BI130" s="176">
        <v>0</v>
      </c>
      <c r="BJ130" s="176">
        <v>4</v>
      </c>
      <c r="BK130" s="169"/>
      <c r="BL130" s="185">
        <v>0.8</v>
      </c>
      <c r="BM130" s="182">
        <v>0.81</v>
      </c>
      <c r="BN130" s="186">
        <v>3.7500000000000001E-4</v>
      </c>
      <c r="BO130" s="187">
        <v>0.95</v>
      </c>
      <c r="BP130" s="178">
        <v>1</v>
      </c>
      <c r="BQ130" s="186">
        <v>2.5000000000000001E-3</v>
      </c>
    </row>
    <row r="131" spans="1:69" s="156" customFormat="1" ht="22.35" customHeight="1" x14ac:dyDescent="0.2">
      <c r="A131" s="165" t="s">
        <v>175</v>
      </c>
      <c r="B131" s="165" t="s">
        <v>187</v>
      </c>
      <c r="C131" s="165" t="s">
        <v>191</v>
      </c>
      <c r="D131" s="166">
        <v>3.6646238142222201</v>
      </c>
      <c r="E131" s="167"/>
      <c r="F131" s="168">
        <v>4.8000000000000001E-2</v>
      </c>
      <c r="G131" s="168">
        <v>2.5999999999999999E-2</v>
      </c>
      <c r="H131" s="169"/>
      <c r="I131" s="170">
        <v>6</v>
      </c>
      <c r="J131" s="170">
        <v>5</v>
      </c>
      <c r="K131" s="167"/>
      <c r="L131" s="171">
        <v>722.55963999999994</v>
      </c>
      <c r="M131" s="171">
        <v>1303.83923</v>
      </c>
      <c r="N131" s="171">
        <v>2026.39887</v>
      </c>
      <c r="O131" s="166">
        <v>552.96231556855798</v>
      </c>
      <c r="P131" s="172">
        <v>212.5</v>
      </c>
      <c r="Q131" s="178">
        <v>2.6021756026755698</v>
      </c>
      <c r="R131" s="179">
        <v>1176.0229139097301</v>
      </c>
      <c r="S131" s="168">
        <v>0.01</v>
      </c>
      <c r="T131" s="168">
        <v>0.01</v>
      </c>
      <c r="U131" s="175">
        <v>0</v>
      </c>
      <c r="V131" s="176">
        <v>0</v>
      </c>
      <c r="W131" s="167"/>
      <c r="X131" s="175">
        <v>1963.9371000000001</v>
      </c>
      <c r="Y131" s="166">
        <v>535.91779117355998</v>
      </c>
      <c r="Z131" s="177">
        <v>573</v>
      </c>
      <c r="AA131" s="182">
        <v>0.93528410326973799</v>
      </c>
      <c r="AB131" s="183">
        <v>-329.07665453986999</v>
      </c>
      <c r="AC131" s="168">
        <v>3.0000000000000001E-3</v>
      </c>
      <c r="AD131" s="168"/>
      <c r="AE131" s="176">
        <v>136</v>
      </c>
      <c r="AF131" s="176">
        <v>556</v>
      </c>
      <c r="AG131" s="167"/>
      <c r="AH131" s="180">
        <v>242.1</v>
      </c>
      <c r="AI131" s="166">
        <v>66.0640797727783</v>
      </c>
      <c r="AJ131" s="181" t="s">
        <v>53</v>
      </c>
      <c r="AK131" s="182">
        <v>1.0486361868695</v>
      </c>
      <c r="AL131" s="183">
        <v>-10.0114599232319</v>
      </c>
      <c r="AM131" s="168">
        <v>1.4999999999999999E-2</v>
      </c>
      <c r="AN131" s="168">
        <v>5.0000000000000001E-3</v>
      </c>
      <c r="AO131" s="176">
        <v>0</v>
      </c>
      <c r="AP131" s="176">
        <v>35</v>
      </c>
      <c r="AQ131" s="167"/>
      <c r="AR131" s="180">
        <v>37.9</v>
      </c>
      <c r="AS131" s="166">
        <v>10.3421256645531</v>
      </c>
      <c r="AT131" s="181" t="s">
        <v>54</v>
      </c>
      <c r="AU131" s="173">
        <v>0.64638285403456597</v>
      </c>
      <c r="AV131" s="174">
        <v>-26.128307282090599</v>
      </c>
      <c r="AW131" s="168"/>
      <c r="AX131" s="168"/>
      <c r="AY131" s="176">
        <v>21</v>
      </c>
      <c r="AZ131" s="176">
        <v>33</v>
      </c>
      <c r="BA131" s="167"/>
      <c r="BB131" s="184">
        <v>130.6</v>
      </c>
      <c r="BC131" s="180">
        <v>35.638037250412403</v>
      </c>
      <c r="BD131" s="181" t="s">
        <v>55</v>
      </c>
      <c r="BE131" s="178">
        <v>1.11368866407539</v>
      </c>
      <c r="BF131" s="179">
        <v>2.5433854358187502</v>
      </c>
      <c r="BG131" s="168">
        <v>0.02</v>
      </c>
      <c r="BH131" s="168">
        <v>1.0999999999999999E-2</v>
      </c>
      <c r="BI131" s="176">
        <v>0</v>
      </c>
      <c r="BJ131" s="176">
        <v>11</v>
      </c>
      <c r="BK131" s="169"/>
      <c r="BL131" s="185">
        <v>0.8</v>
      </c>
      <c r="BM131" s="182">
        <v>0.84</v>
      </c>
      <c r="BN131" s="186">
        <v>1.5E-3</v>
      </c>
      <c r="BO131" s="187">
        <v>0.95</v>
      </c>
      <c r="BP131" s="178">
        <v>1</v>
      </c>
      <c r="BQ131" s="186">
        <v>2.5000000000000001E-3</v>
      </c>
    </row>
    <row r="132" spans="1:69" s="156" customFormat="1" ht="22.35" customHeight="1" x14ac:dyDescent="0.2">
      <c r="A132" s="165" t="s">
        <v>175</v>
      </c>
      <c r="B132" s="165" t="s">
        <v>187</v>
      </c>
      <c r="C132" s="165" t="s">
        <v>192</v>
      </c>
      <c r="D132" s="166">
        <v>2.8205915805555599</v>
      </c>
      <c r="E132" s="167"/>
      <c r="F132" s="168">
        <v>4.3999999999999997E-2</v>
      </c>
      <c r="G132" s="168">
        <v>0.04</v>
      </c>
      <c r="H132" s="169"/>
      <c r="I132" s="170">
        <v>4</v>
      </c>
      <c r="J132" s="170">
        <v>3</v>
      </c>
      <c r="K132" s="167"/>
      <c r="L132" s="171">
        <v>-947.50597000000005</v>
      </c>
      <c r="M132" s="171">
        <v>596.93637999999999</v>
      </c>
      <c r="N132" s="171">
        <v>-350.56959000000001</v>
      </c>
      <c r="O132" s="166">
        <v>-124.289383977722</v>
      </c>
      <c r="P132" s="172">
        <v>212.5</v>
      </c>
      <c r="Q132" s="173">
        <v>-0.58489121871869298</v>
      </c>
      <c r="R132" s="174">
        <v>-1005.08786626792</v>
      </c>
      <c r="S132" s="168"/>
      <c r="T132" s="168"/>
      <c r="U132" s="175">
        <v>950</v>
      </c>
      <c r="V132" s="176">
        <v>1070</v>
      </c>
      <c r="W132" s="167"/>
      <c r="X132" s="175">
        <v>1439.0324450000001</v>
      </c>
      <c r="Y132" s="166">
        <v>510.18816581610901</v>
      </c>
      <c r="Z132" s="177">
        <v>573</v>
      </c>
      <c r="AA132" s="188">
        <v>0.89038074313457205</v>
      </c>
      <c r="AB132" s="171">
        <v>-325.85683641890301</v>
      </c>
      <c r="AC132" s="168"/>
      <c r="AD132" s="168"/>
      <c r="AE132" s="176">
        <v>178</v>
      </c>
      <c r="AF132" s="176">
        <v>501</v>
      </c>
      <c r="AG132" s="167"/>
      <c r="AH132" s="180">
        <v>220.15</v>
      </c>
      <c r="AI132" s="166">
        <v>78.051002320810397</v>
      </c>
      <c r="AJ132" s="181" t="s">
        <v>53</v>
      </c>
      <c r="AK132" s="178">
        <v>1.23890479874302</v>
      </c>
      <c r="AL132" s="179">
        <v>26.104581624099701</v>
      </c>
      <c r="AM132" s="168">
        <v>0.02</v>
      </c>
      <c r="AN132" s="168">
        <v>0.02</v>
      </c>
      <c r="AO132" s="176">
        <v>0</v>
      </c>
      <c r="AP132" s="176">
        <v>0</v>
      </c>
      <c r="AQ132" s="167"/>
      <c r="AR132" s="180">
        <v>44.2</v>
      </c>
      <c r="AS132" s="166">
        <v>15.6704715084252</v>
      </c>
      <c r="AT132" s="181" t="s">
        <v>54</v>
      </c>
      <c r="AU132" s="182">
        <v>0.97940446927657798</v>
      </c>
      <c r="AV132" s="183">
        <v>-5.08137609546674</v>
      </c>
      <c r="AW132" s="168">
        <v>4.0000000000000001E-3</v>
      </c>
      <c r="AX132" s="168"/>
      <c r="AY132" s="176">
        <v>1</v>
      </c>
      <c r="AZ132" s="176">
        <v>10</v>
      </c>
      <c r="BA132" s="167"/>
      <c r="BB132" s="184">
        <v>130</v>
      </c>
      <c r="BC132" s="180">
        <v>46.0896220836037</v>
      </c>
      <c r="BD132" s="181" t="s">
        <v>55</v>
      </c>
      <c r="BE132" s="178">
        <v>1.4403006901126201</v>
      </c>
      <c r="BF132" s="179">
        <v>31.437247809066498</v>
      </c>
      <c r="BG132" s="168">
        <v>0.02</v>
      </c>
      <c r="BH132" s="168">
        <v>0.02</v>
      </c>
      <c r="BI132" s="176">
        <v>0</v>
      </c>
      <c r="BJ132" s="176">
        <v>0</v>
      </c>
      <c r="BK132" s="169"/>
      <c r="BL132" s="185">
        <v>0.8</v>
      </c>
      <c r="BM132" s="188">
        <v>0.79</v>
      </c>
      <c r="BN132" s="186"/>
      <c r="BO132" s="187">
        <v>0.95</v>
      </c>
      <c r="BP132" s="178">
        <v>1</v>
      </c>
      <c r="BQ132" s="186">
        <v>2.5000000000000001E-3</v>
      </c>
    </row>
    <row r="133" spans="1:69" s="156" customFormat="1" ht="22.35" customHeight="1" x14ac:dyDescent="0.2">
      <c r="A133" s="165" t="s">
        <v>175</v>
      </c>
      <c r="B133" s="165" t="s">
        <v>187</v>
      </c>
      <c r="C133" s="165" t="s">
        <v>193</v>
      </c>
      <c r="D133" s="166">
        <v>1.9545245414444401</v>
      </c>
      <c r="E133" s="167"/>
      <c r="F133" s="168">
        <v>7.0000000000000007E-2</v>
      </c>
      <c r="G133" s="168">
        <v>5.8999999999999997E-2</v>
      </c>
      <c r="H133" s="169"/>
      <c r="I133" s="170">
        <v>6</v>
      </c>
      <c r="J133" s="170">
        <v>6</v>
      </c>
      <c r="K133" s="167"/>
      <c r="L133" s="171">
        <v>688.44727999999998</v>
      </c>
      <c r="M133" s="171">
        <v>686.94325000000003</v>
      </c>
      <c r="N133" s="171">
        <v>1375.3905299999999</v>
      </c>
      <c r="O133" s="166">
        <v>703.69570749086199</v>
      </c>
      <c r="P133" s="172">
        <v>212.5</v>
      </c>
      <c r="Q133" s="178">
        <v>3.3115092117217002</v>
      </c>
      <c r="R133" s="179">
        <v>921.84311015781805</v>
      </c>
      <c r="S133" s="168">
        <v>0.01</v>
      </c>
      <c r="T133" s="168">
        <v>0.01</v>
      </c>
      <c r="U133" s="175">
        <v>0</v>
      </c>
      <c r="V133" s="176">
        <v>0</v>
      </c>
      <c r="W133" s="167"/>
      <c r="X133" s="175">
        <v>1786.96288</v>
      </c>
      <c r="Y133" s="166">
        <v>914.26986057662305</v>
      </c>
      <c r="Z133" s="177">
        <v>573</v>
      </c>
      <c r="AA133" s="178">
        <v>1.5955843989120799</v>
      </c>
      <c r="AB133" s="179">
        <v>563.98560202555097</v>
      </c>
      <c r="AC133" s="168">
        <v>0.02</v>
      </c>
      <c r="AD133" s="168">
        <v>0.02</v>
      </c>
      <c r="AE133" s="176">
        <v>0</v>
      </c>
      <c r="AF133" s="176">
        <v>0</v>
      </c>
      <c r="AG133" s="167"/>
      <c r="AH133" s="180">
        <v>134.30000000000001</v>
      </c>
      <c r="AI133" s="166">
        <v>68.712363110441601</v>
      </c>
      <c r="AJ133" s="181" t="s">
        <v>53</v>
      </c>
      <c r="AK133" s="178">
        <v>1.0906724303244699</v>
      </c>
      <c r="AL133" s="179">
        <v>-0.16347035321169301</v>
      </c>
      <c r="AM133" s="168">
        <v>0.02</v>
      </c>
      <c r="AN133" s="168">
        <v>8.9999999999999993E-3</v>
      </c>
      <c r="AO133" s="176">
        <v>0</v>
      </c>
      <c r="AP133" s="176">
        <v>14</v>
      </c>
      <c r="AQ133" s="167"/>
      <c r="AR133" s="180">
        <v>23.7</v>
      </c>
      <c r="AS133" s="166">
        <v>12.125711137136699</v>
      </c>
      <c r="AT133" s="181" t="s">
        <v>54</v>
      </c>
      <c r="AU133" s="188">
        <v>0.75785694607104703</v>
      </c>
      <c r="AV133" s="171">
        <v>-10.4494527881173</v>
      </c>
      <c r="AW133" s="168"/>
      <c r="AX133" s="168"/>
      <c r="AY133" s="176">
        <v>8</v>
      </c>
      <c r="AZ133" s="176">
        <v>14</v>
      </c>
      <c r="BA133" s="167"/>
      <c r="BB133" s="184">
        <v>95.6</v>
      </c>
      <c r="BC133" s="180">
        <v>48.912151253597997</v>
      </c>
      <c r="BD133" s="181" t="s">
        <v>55</v>
      </c>
      <c r="BE133" s="178">
        <v>1.5285047266749401</v>
      </c>
      <c r="BF133" s="179">
        <v>27.301094423765502</v>
      </c>
      <c r="BG133" s="168">
        <v>0.02</v>
      </c>
      <c r="BH133" s="168">
        <v>0.02</v>
      </c>
      <c r="BI133" s="176">
        <v>0</v>
      </c>
      <c r="BJ133" s="176">
        <v>0</v>
      </c>
      <c r="BK133" s="169"/>
      <c r="BL133" s="185">
        <v>0.8</v>
      </c>
      <c r="BM133" s="182">
        <v>0.89</v>
      </c>
      <c r="BN133" s="186">
        <v>3.375E-3</v>
      </c>
      <c r="BO133" s="187">
        <v>0.95</v>
      </c>
      <c r="BP133" s="178">
        <v>1</v>
      </c>
      <c r="BQ133" s="186">
        <v>2.5000000000000001E-3</v>
      </c>
    </row>
    <row r="134" spans="1:69" s="156" customFormat="1" ht="22.35" customHeight="1" x14ac:dyDescent="0.2">
      <c r="A134" s="165" t="s">
        <v>175</v>
      </c>
      <c r="B134" s="165" t="s">
        <v>187</v>
      </c>
      <c r="C134" s="165" t="s">
        <v>194</v>
      </c>
      <c r="D134" s="166">
        <v>5.99043692788889</v>
      </c>
      <c r="E134" s="167"/>
      <c r="F134" s="168">
        <v>3.7999999999999999E-2</v>
      </c>
      <c r="G134" s="168">
        <v>2.1999999999999999E-2</v>
      </c>
      <c r="H134" s="169"/>
      <c r="I134" s="170">
        <v>5</v>
      </c>
      <c r="J134" s="170">
        <v>4</v>
      </c>
      <c r="K134" s="167"/>
      <c r="L134" s="171">
        <v>3037.2775000000001</v>
      </c>
      <c r="M134" s="171">
        <v>-447.68745000000001</v>
      </c>
      <c r="N134" s="171">
        <v>2589.5900499999998</v>
      </c>
      <c r="O134" s="166">
        <v>432.287340835522</v>
      </c>
      <c r="P134" s="172">
        <v>212.5</v>
      </c>
      <c r="Q134" s="178">
        <v>2.03429336863775</v>
      </c>
      <c r="R134" s="179">
        <v>1199.50916088338</v>
      </c>
      <c r="S134" s="168">
        <v>0.01</v>
      </c>
      <c r="T134" s="168">
        <v>0.01</v>
      </c>
      <c r="U134" s="175">
        <v>0</v>
      </c>
      <c r="V134" s="176">
        <v>0</v>
      </c>
      <c r="W134" s="167"/>
      <c r="X134" s="175">
        <v>2431.5339399999998</v>
      </c>
      <c r="Y134" s="166">
        <v>405.90260264319397</v>
      </c>
      <c r="Z134" s="177">
        <v>573</v>
      </c>
      <c r="AA134" s="173">
        <v>0.70838150548550405</v>
      </c>
      <c r="AB134" s="174">
        <v>-1316.77829277092</v>
      </c>
      <c r="AC134" s="168"/>
      <c r="AD134" s="168"/>
      <c r="AE134" s="176">
        <v>1001</v>
      </c>
      <c r="AF134" s="176">
        <v>1688</v>
      </c>
      <c r="AG134" s="167"/>
      <c r="AH134" s="180">
        <v>372.4</v>
      </c>
      <c r="AI134" s="166">
        <v>62.165749257164599</v>
      </c>
      <c r="AJ134" s="181" t="s">
        <v>53</v>
      </c>
      <c r="AK134" s="182">
        <v>0.98675792471689805</v>
      </c>
      <c r="AL134" s="183">
        <v>-39.7180988910441</v>
      </c>
      <c r="AM134" s="168">
        <v>8.0000000000000002E-3</v>
      </c>
      <c r="AN134" s="168"/>
      <c r="AO134" s="176">
        <v>5</v>
      </c>
      <c r="AP134" s="176">
        <v>81</v>
      </c>
      <c r="AQ134" s="167"/>
      <c r="AR134" s="180">
        <v>61.9</v>
      </c>
      <c r="AS134" s="166">
        <v>10.333136087589899</v>
      </c>
      <c r="AT134" s="181" t="s">
        <v>54</v>
      </c>
      <c r="AU134" s="173">
        <v>0.64582100547437005</v>
      </c>
      <c r="AV134" s="174">
        <v>-42.764914004074697</v>
      </c>
      <c r="AW134" s="168"/>
      <c r="AX134" s="168"/>
      <c r="AY134" s="176">
        <v>34</v>
      </c>
      <c r="AZ134" s="176">
        <v>54</v>
      </c>
      <c r="BA134" s="167"/>
      <c r="BB134" s="184">
        <v>215.2</v>
      </c>
      <c r="BC134" s="180">
        <v>35.923923845708401</v>
      </c>
      <c r="BD134" s="181" t="s">
        <v>55</v>
      </c>
      <c r="BE134" s="178">
        <v>1.12262262017839</v>
      </c>
      <c r="BF134" s="179">
        <v>5.8701719918506399</v>
      </c>
      <c r="BG134" s="168">
        <v>0.02</v>
      </c>
      <c r="BH134" s="168">
        <v>1.2E-2</v>
      </c>
      <c r="BI134" s="176">
        <v>0</v>
      </c>
      <c r="BJ134" s="176">
        <v>15</v>
      </c>
      <c r="BK134" s="169"/>
      <c r="BL134" s="185">
        <v>0.8</v>
      </c>
      <c r="BM134" s="182">
        <v>0.84</v>
      </c>
      <c r="BN134" s="186">
        <v>1.5E-3</v>
      </c>
      <c r="BO134" s="187">
        <v>0.95</v>
      </c>
      <c r="BP134" s="178">
        <v>1</v>
      </c>
      <c r="BQ134" s="186">
        <v>2.5000000000000001E-3</v>
      </c>
    </row>
    <row r="135" spans="1:69" s="156" customFormat="1" ht="22.35" customHeight="1" x14ac:dyDescent="0.2">
      <c r="A135" s="165" t="s">
        <v>175</v>
      </c>
      <c r="B135" s="165" t="s">
        <v>187</v>
      </c>
      <c r="C135" s="165" t="s">
        <v>195</v>
      </c>
      <c r="D135" s="166">
        <v>3.8731675344444398</v>
      </c>
      <c r="E135" s="167"/>
      <c r="F135" s="168">
        <v>7.0499999999999993E-2</v>
      </c>
      <c r="G135" s="168">
        <v>5.7000000000000002E-2</v>
      </c>
      <c r="H135" s="169"/>
      <c r="I135" s="170">
        <v>7</v>
      </c>
      <c r="J135" s="170">
        <v>6</v>
      </c>
      <c r="K135" s="167"/>
      <c r="L135" s="171">
        <v>1181.1936700000001</v>
      </c>
      <c r="M135" s="171">
        <v>-123.21432</v>
      </c>
      <c r="N135" s="171">
        <v>1057.9793500000001</v>
      </c>
      <c r="O135" s="166">
        <v>273.15610300646398</v>
      </c>
      <c r="P135" s="172">
        <v>212.5</v>
      </c>
      <c r="Q135" s="178">
        <v>1.2854404847362999</v>
      </c>
      <c r="R135" s="179">
        <v>159.210823632168</v>
      </c>
      <c r="S135" s="168">
        <v>0.01</v>
      </c>
      <c r="T135" s="168">
        <v>0.01</v>
      </c>
      <c r="U135" s="175">
        <v>0</v>
      </c>
      <c r="V135" s="176">
        <v>0</v>
      </c>
      <c r="W135" s="167"/>
      <c r="X135" s="175">
        <v>2605.9686649999999</v>
      </c>
      <c r="Y135" s="166">
        <v>672.82621828900403</v>
      </c>
      <c r="Z135" s="177">
        <v>573</v>
      </c>
      <c r="AA135" s="178">
        <v>1.1742167858446799</v>
      </c>
      <c r="AB135" s="179">
        <v>182.46576801756299</v>
      </c>
      <c r="AC135" s="168">
        <v>0.02</v>
      </c>
      <c r="AD135" s="168">
        <v>1.7000000000000001E-2</v>
      </c>
      <c r="AE135" s="176">
        <v>0</v>
      </c>
      <c r="AF135" s="176">
        <v>58</v>
      </c>
      <c r="AG135" s="167"/>
      <c r="AH135" s="180">
        <v>268.2</v>
      </c>
      <c r="AI135" s="166">
        <v>69.245649101122595</v>
      </c>
      <c r="AJ135" s="181" t="s">
        <v>53</v>
      </c>
      <c r="AK135" s="178">
        <v>1.0991372873194101</v>
      </c>
      <c r="AL135" s="179">
        <v>1.7415663003602599</v>
      </c>
      <c r="AM135" s="168">
        <v>0.02</v>
      </c>
      <c r="AN135" s="168">
        <v>0.01</v>
      </c>
      <c r="AO135" s="176">
        <v>0</v>
      </c>
      <c r="AP135" s="176">
        <v>25</v>
      </c>
      <c r="AQ135" s="167"/>
      <c r="AR135" s="180">
        <v>56.8</v>
      </c>
      <c r="AS135" s="166">
        <v>14.6649995113488</v>
      </c>
      <c r="AT135" s="181" t="s">
        <v>54</v>
      </c>
      <c r="AU135" s="182">
        <v>0.91656246945930298</v>
      </c>
      <c r="AV135" s="183">
        <v>-10.871983161813301</v>
      </c>
      <c r="AW135" s="168">
        <v>5.0000000000000001E-4</v>
      </c>
      <c r="AX135" s="168"/>
      <c r="AY135" s="176">
        <v>6</v>
      </c>
      <c r="AZ135" s="176">
        <v>18</v>
      </c>
      <c r="BA135" s="167"/>
      <c r="BB135" s="184">
        <v>212.8</v>
      </c>
      <c r="BC135" s="180">
        <v>54.942110845335101</v>
      </c>
      <c r="BD135" s="181" t="s">
        <v>55</v>
      </c>
      <c r="BE135" s="178">
        <v>1.7169409639167199</v>
      </c>
      <c r="BF135" s="179">
        <v>77.456033676373494</v>
      </c>
      <c r="BG135" s="168">
        <v>0.02</v>
      </c>
      <c r="BH135" s="168">
        <v>0.02</v>
      </c>
      <c r="BI135" s="176">
        <v>0</v>
      </c>
      <c r="BJ135" s="176">
        <v>0</v>
      </c>
      <c r="BK135" s="169"/>
      <c r="BL135" s="185">
        <v>0.8</v>
      </c>
      <c r="BM135" s="182">
        <v>0.87</v>
      </c>
      <c r="BN135" s="186">
        <v>2.6250000000000002E-3</v>
      </c>
      <c r="BO135" s="187">
        <v>0.95</v>
      </c>
      <c r="BP135" s="178">
        <v>1</v>
      </c>
      <c r="BQ135" s="186">
        <v>2.5000000000000001E-3</v>
      </c>
    </row>
    <row r="136" spans="1:69" s="156" customFormat="1" ht="22.35" customHeight="1" x14ac:dyDescent="0.2">
      <c r="A136" s="165" t="s">
        <v>175</v>
      </c>
      <c r="B136" s="165" t="s">
        <v>187</v>
      </c>
      <c r="C136" s="165" t="s">
        <v>196</v>
      </c>
      <c r="D136" s="166">
        <v>2.7806430641111102</v>
      </c>
      <c r="E136" s="167"/>
      <c r="F136" s="168">
        <v>4.2500000000000003E-2</v>
      </c>
      <c r="G136" s="168">
        <v>2.5999999999999999E-2</v>
      </c>
      <c r="H136" s="169"/>
      <c r="I136" s="170">
        <v>5</v>
      </c>
      <c r="J136" s="170">
        <v>5</v>
      </c>
      <c r="K136" s="167"/>
      <c r="L136" s="171">
        <v>1364.9541999999999</v>
      </c>
      <c r="M136" s="171">
        <v>-737.30642</v>
      </c>
      <c r="N136" s="171">
        <v>627.64778000000001</v>
      </c>
      <c r="O136" s="166">
        <v>225.720369543597</v>
      </c>
      <c r="P136" s="172">
        <v>212.5</v>
      </c>
      <c r="Q136" s="182">
        <v>1.0622135037345699</v>
      </c>
      <c r="R136" s="183">
        <v>-17.6004430269832</v>
      </c>
      <c r="S136" s="168">
        <v>8.5000000000000006E-3</v>
      </c>
      <c r="T136" s="168">
        <v>3.0000000000000001E-3</v>
      </c>
      <c r="U136" s="175">
        <v>0</v>
      </c>
      <c r="V136" s="176">
        <v>82</v>
      </c>
      <c r="W136" s="167"/>
      <c r="X136" s="175">
        <v>1659.5316399999999</v>
      </c>
      <c r="Y136" s="166">
        <v>596.81577309186298</v>
      </c>
      <c r="Z136" s="177">
        <v>573</v>
      </c>
      <c r="AA136" s="182">
        <v>1.0415633038252401</v>
      </c>
      <c r="AB136" s="183">
        <v>-80.361215503347495</v>
      </c>
      <c r="AC136" s="168">
        <v>1.4E-2</v>
      </c>
      <c r="AD136" s="168">
        <v>4.0000000000000001E-3</v>
      </c>
      <c r="AE136" s="176">
        <v>0</v>
      </c>
      <c r="AF136" s="176">
        <v>253</v>
      </c>
      <c r="AG136" s="167"/>
      <c r="AH136" s="180">
        <v>147.85</v>
      </c>
      <c r="AI136" s="166">
        <v>53.171153791097296</v>
      </c>
      <c r="AJ136" s="181" t="s">
        <v>53</v>
      </c>
      <c r="AK136" s="188">
        <v>0.84398656811265604</v>
      </c>
      <c r="AL136" s="171">
        <v>-43.447120238587999</v>
      </c>
      <c r="AM136" s="168"/>
      <c r="AN136" s="168"/>
      <c r="AO136" s="176">
        <v>28</v>
      </c>
      <c r="AP136" s="176">
        <v>63</v>
      </c>
      <c r="AQ136" s="167"/>
      <c r="AR136" s="180">
        <v>12</v>
      </c>
      <c r="AS136" s="166">
        <v>4.3155484984319799</v>
      </c>
      <c r="AT136" s="181" t="s">
        <v>54</v>
      </c>
      <c r="AU136" s="173">
        <v>0.26972178115199902</v>
      </c>
      <c r="AV136" s="174">
        <v>-36.583395616149303</v>
      </c>
      <c r="AW136" s="168"/>
      <c r="AX136" s="168"/>
      <c r="AY136" s="176">
        <v>33</v>
      </c>
      <c r="AZ136" s="176">
        <v>42</v>
      </c>
      <c r="BA136" s="167"/>
      <c r="BB136" s="184">
        <v>105.6</v>
      </c>
      <c r="BC136" s="180">
        <v>37.9768267862014</v>
      </c>
      <c r="BD136" s="181" t="s">
        <v>55</v>
      </c>
      <c r="BE136" s="178">
        <v>1.18677583706879</v>
      </c>
      <c r="BF136" s="179">
        <v>8.4332087677013696</v>
      </c>
      <c r="BG136" s="168">
        <v>0.02</v>
      </c>
      <c r="BH136" s="168">
        <v>1.9E-2</v>
      </c>
      <c r="BI136" s="176">
        <v>0</v>
      </c>
      <c r="BJ136" s="176">
        <v>2</v>
      </c>
      <c r="BK136" s="169"/>
      <c r="BL136" s="185">
        <v>0.8</v>
      </c>
      <c r="BM136" s="182">
        <v>0.81</v>
      </c>
      <c r="BN136" s="186">
        <v>3.7500000000000001E-4</v>
      </c>
      <c r="BO136" s="187">
        <v>0.95</v>
      </c>
      <c r="BP136" s="178">
        <v>1</v>
      </c>
      <c r="BQ136" s="186">
        <v>2.5000000000000001E-3</v>
      </c>
    </row>
    <row r="137" spans="1:69" s="156" customFormat="1" ht="22.35" customHeight="1" x14ac:dyDescent="0.2">
      <c r="A137" s="165" t="s">
        <v>175</v>
      </c>
      <c r="B137" s="165" t="s">
        <v>187</v>
      </c>
      <c r="C137" s="165" t="s">
        <v>197</v>
      </c>
      <c r="D137" s="166">
        <v>8.6991771745555599</v>
      </c>
      <c r="E137" s="167"/>
      <c r="F137" s="168">
        <v>2.5999999999999999E-2</v>
      </c>
      <c r="G137" s="168">
        <v>1.6E-2</v>
      </c>
      <c r="H137" s="169"/>
      <c r="I137" s="170">
        <v>4</v>
      </c>
      <c r="J137" s="170">
        <v>4</v>
      </c>
      <c r="K137" s="167"/>
      <c r="L137" s="171">
        <v>6075.4373299999997</v>
      </c>
      <c r="M137" s="171">
        <v>3320.855</v>
      </c>
      <c r="N137" s="171">
        <v>9396.2923300000002</v>
      </c>
      <c r="O137" s="166">
        <v>1080.13575783736</v>
      </c>
      <c r="P137" s="172">
        <v>226.98400000000001</v>
      </c>
      <c r="Q137" s="178">
        <v>4.7586427141884897</v>
      </c>
      <c r="R137" s="179">
        <v>7240.0574872860598</v>
      </c>
      <c r="S137" s="168">
        <v>0.01</v>
      </c>
      <c r="T137" s="168">
        <v>0.01</v>
      </c>
      <c r="U137" s="175">
        <v>0</v>
      </c>
      <c r="V137" s="176">
        <v>0</v>
      </c>
      <c r="W137" s="167"/>
      <c r="X137" s="175">
        <v>4431.7639150000005</v>
      </c>
      <c r="Y137" s="166">
        <v>509.44633337996402</v>
      </c>
      <c r="Z137" s="177">
        <v>573</v>
      </c>
      <c r="AA137" s="188">
        <v>0.88908609664915095</v>
      </c>
      <c r="AB137" s="171">
        <v>-1011.45042995421</v>
      </c>
      <c r="AC137" s="168"/>
      <c r="AD137" s="168"/>
      <c r="AE137" s="176">
        <v>553</v>
      </c>
      <c r="AF137" s="176">
        <v>1550</v>
      </c>
      <c r="AG137" s="167"/>
      <c r="AH137" s="180">
        <v>390.5</v>
      </c>
      <c r="AI137" s="166">
        <v>44.889302995481401</v>
      </c>
      <c r="AJ137" s="181" t="s">
        <v>53</v>
      </c>
      <c r="AK137" s="173">
        <v>0.71252861897589503</v>
      </c>
      <c r="AL137" s="174">
        <v>-207.96859290072399</v>
      </c>
      <c r="AM137" s="168"/>
      <c r="AN137" s="168"/>
      <c r="AO137" s="176">
        <v>158</v>
      </c>
      <c r="AP137" s="176">
        <v>268</v>
      </c>
      <c r="AQ137" s="167"/>
      <c r="AR137" s="180">
        <v>75.400000000000006</v>
      </c>
      <c r="AS137" s="166">
        <v>8.6674864170532597</v>
      </c>
      <c r="AT137" s="181" t="s">
        <v>54</v>
      </c>
      <c r="AU137" s="173">
        <v>0.54171790106582896</v>
      </c>
      <c r="AV137" s="174">
        <v>-76.592023593834696</v>
      </c>
      <c r="AW137" s="168"/>
      <c r="AX137" s="168"/>
      <c r="AY137" s="176">
        <v>64</v>
      </c>
      <c r="AZ137" s="176">
        <v>92</v>
      </c>
      <c r="BA137" s="167"/>
      <c r="BB137" s="184">
        <v>293.8</v>
      </c>
      <c r="BC137" s="180">
        <v>33.773309142311</v>
      </c>
      <c r="BD137" s="181" t="s">
        <v>55</v>
      </c>
      <c r="BE137" s="182">
        <v>1.0554159106972201</v>
      </c>
      <c r="BF137" s="183">
        <v>-10.184047187669499</v>
      </c>
      <c r="BG137" s="168">
        <v>1.6E-2</v>
      </c>
      <c r="BH137" s="168">
        <v>6.0000000000000001E-3</v>
      </c>
      <c r="BI137" s="176">
        <v>0</v>
      </c>
      <c r="BJ137" s="176">
        <v>41</v>
      </c>
      <c r="BK137" s="169"/>
      <c r="BL137" s="185">
        <v>0.8</v>
      </c>
      <c r="BM137" s="182">
        <v>0.84</v>
      </c>
      <c r="BN137" s="186">
        <v>1.5E-3</v>
      </c>
      <c r="BO137" s="187">
        <v>0.95</v>
      </c>
      <c r="BP137" s="178">
        <v>1</v>
      </c>
      <c r="BQ137" s="186">
        <v>2.5000000000000001E-3</v>
      </c>
    </row>
    <row r="138" spans="1:69" s="156" customFormat="1" ht="22.35" customHeight="1" x14ac:dyDescent="0.2">
      <c r="A138" s="165" t="s">
        <v>175</v>
      </c>
      <c r="B138" s="165" t="s">
        <v>187</v>
      </c>
      <c r="C138" s="165" t="s">
        <v>198</v>
      </c>
      <c r="D138" s="166">
        <v>2.92608844211111</v>
      </c>
      <c r="E138" s="167"/>
      <c r="F138" s="168">
        <v>0.08</v>
      </c>
      <c r="G138" s="168">
        <v>7.5499999999999998E-2</v>
      </c>
      <c r="H138" s="169"/>
      <c r="I138" s="170">
        <v>6</v>
      </c>
      <c r="J138" s="170">
        <v>6</v>
      </c>
      <c r="K138" s="167"/>
      <c r="L138" s="171">
        <v>4911.6354600000004</v>
      </c>
      <c r="M138" s="171">
        <v>695.45372999999995</v>
      </c>
      <c r="N138" s="171">
        <v>5607.0891899999997</v>
      </c>
      <c r="O138" s="166">
        <v>1916.24050363789</v>
      </c>
      <c r="P138" s="172">
        <v>212.5</v>
      </c>
      <c r="Q138" s="178">
        <v>9.0176023700606596</v>
      </c>
      <c r="R138" s="179">
        <v>4928.0903670081198</v>
      </c>
      <c r="S138" s="168">
        <v>0.01</v>
      </c>
      <c r="T138" s="168">
        <v>0.01</v>
      </c>
      <c r="U138" s="175">
        <v>0</v>
      </c>
      <c r="V138" s="176">
        <v>0</v>
      </c>
      <c r="W138" s="167"/>
      <c r="X138" s="175">
        <v>1966.0537899999999</v>
      </c>
      <c r="Y138" s="166">
        <v>671.90511459097695</v>
      </c>
      <c r="Z138" s="177">
        <v>573</v>
      </c>
      <c r="AA138" s="178">
        <v>1.17260927502788</v>
      </c>
      <c r="AB138" s="179">
        <v>135.15343435600499</v>
      </c>
      <c r="AC138" s="168">
        <v>0.02</v>
      </c>
      <c r="AD138" s="168">
        <v>1.7000000000000001E-2</v>
      </c>
      <c r="AE138" s="176">
        <v>0</v>
      </c>
      <c r="AF138" s="176">
        <v>46</v>
      </c>
      <c r="AG138" s="167"/>
      <c r="AH138" s="180">
        <v>255.8</v>
      </c>
      <c r="AI138" s="166">
        <v>87.420460816777506</v>
      </c>
      <c r="AJ138" s="181" t="s">
        <v>53</v>
      </c>
      <c r="AK138" s="178">
        <v>1.38762636217107</v>
      </c>
      <c r="AL138" s="179">
        <v>54.4968195365241</v>
      </c>
      <c r="AM138" s="168">
        <v>0.02</v>
      </c>
      <c r="AN138" s="168">
        <v>0.02</v>
      </c>
      <c r="AO138" s="176">
        <v>0</v>
      </c>
      <c r="AP138" s="176">
        <v>0</v>
      </c>
      <c r="AQ138" s="167"/>
      <c r="AR138" s="180">
        <v>54.9</v>
      </c>
      <c r="AS138" s="166">
        <v>18.7622490181434</v>
      </c>
      <c r="AT138" s="181" t="s">
        <v>54</v>
      </c>
      <c r="AU138" s="178">
        <v>1.1726405636339601</v>
      </c>
      <c r="AV138" s="179">
        <v>3.7753827394346802</v>
      </c>
      <c r="AW138" s="168">
        <v>0.01</v>
      </c>
      <c r="AX138" s="168">
        <v>8.5000000000000006E-3</v>
      </c>
      <c r="AY138" s="176">
        <v>0</v>
      </c>
      <c r="AZ138" s="176">
        <v>2</v>
      </c>
      <c r="BA138" s="167"/>
      <c r="BB138" s="184">
        <v>147.80000000000001</v>
      </c>
      <c r="BC138" s="180">
        <v>50.511118486003603</v>
      </c>
      <c r="BD138" s="181" t="s">
        <v>55</v>
      </c>
      <c r="BE138" s="178">
        <v>1.5784724526876099</v>
      </c>
      <c r="BF138" s="179">
        <v>45.550765478869401</v>
      </c>
      <c r="BG138" s="168">
        <v>0.02</v>
      </c>
      <c r="BH138" s="168">
        <v>0.02</v>
      </c>
      <c r="BI138" s="176">
        <v>0</v>
      </c>
      <c r="BJ138" s="176">
        <v>0</v>
      </c>
      <c r="BK138" s="169"/>
      <c r="BL138" s="185">
        <v>0.8</v>
      </c>
      <c r="BM138" s="188">
        <v>0.79</v>
      </c>
      <c r="BN138" s="186"/>
      <c r="BO138" s="187">
        <v>0.95</v>
      </c>
      <c r="BP138" s="178">
        <v>1</v>
      </c>
      <c r="BQ138" s="186">
        <v>2.5000000000000001E-3</v>
      </c>
    </row>
    <row r="139" spans="1:69" s="156" customFormat="1" ht="22.35" customHeight="1" x14ac:dyDescent="0.2">
      <c r="A139" s="165" t="s">
        <v>175</v>
      </c>
      <c r="B139" s="165" t="s">
        <v>187</v>
      </c>
      <c r="C139" s="165" t="s">
        <v>199</v>
      </c>
      <c r="D139" s="166">
        <v>2.8460876042222201</v>
      </c>
      <c r="E139" s="167"/>
      <c r="F139" s="168">
        <v>7.5999999999999998E-2</v>
      </c>
      <c r="G139" s="168">
        <v>7.0999999999999994E-2</v>
      </c>
      <c r="H139" s="169"/>
      <c r="I139" s="170">
        <v>6</v>
      </c>
      <c r="J139" s="170">
        <v>6</v>
      </c>
      <c r="K139" s="167"/>
      <c r="L139" s="171">
        <v>1525.6712399999999</v>
      </c>
      <c r="M139" s="171">
        <v>147.86439999999999</v>
      </c>
      <c r="N139" s="171">
        <v>1673.5356400000001</v>
      </c>
      <c r="O139" s="166">
        <v>588.01269416910395</v>
      </c>
      <c r="P139" s="172">
        <v>212.5</v>
      </c>
      <c r="Q139" s="178">
        <v>2.76711856079578</v>
      </c>
      <c r="R139" s="179">
        <v>1013.10101144023</v>
      </c>
      <c r="S139" s="168">
        <v>0.01</v>
      </c>
      <c r="T139" s="168">
        <v>0.01</v>
      </c>
      <c r="U139" s="175">
        <v>0</v>
      </c>
      <c r="V139" s="176">
        <v>0</v>
      </c>
      <c r="W139" s="167"/>
      <c r="X139" s="175">
        <v>2466.9282699999999</v>
      </c>
      <c r="Y139" s="166">
        <v>866.77875492668204</v>
      </c>
      <c r="Z139" s="177">
        <v>573</v>
      </c>
      <c r="AA139" s="178">
        <v>1.5127028881792</v>
      </c>
      <c r="AB139" s="179">
        <v>686.08571863648899</v>
      </c>
      <c r="AC139" s="168">
        <v>0.02</v>
      </c>
      <c r="AD139" s="168">
        <v>0.02</v>
      </c>
      <c r="AE139" s="176">
        <v>0</v>
      </c>
      <c r="AF139" s="176">
        <v>0</v>
      </c>
      <c r="AG139" s="167"/>
      <c r="AH139" s="180">
        <v>277.2</v>
      </c>
      <c r="AI139" s="166">
        <v>97.396861427866398</v>
      </c>
      <c r="AJ139" s="181" t="s">
        <v>53</v>
      </c>
      <c r="AK139" s="178">
        <v>1.5459819274264499</v>
      </c>
      <c r="AL139" s="179">
        <v>81.4005571799281</v>
      </c>
      <c r="AM139" s="168">
        <v>0.02</v>
      </c>
      <c r="AN139" s="168">
        <v>0.02</v>
      </c>
      <c r="AO139" s="176">
        <v>0</v>
      </c>
      <c r="AP139" s="176">
        <v>0</v>
      </c>
      <c r="AQ139" s="167"/>
      <c r="AR139" s="180">
        <v>46.6</v>
      </c>
      <c r="AS139" s="166">
        <v>16.373354049562</v>
      </c>
      <c r="AT139" s="181" t="s">
        <v>54</v>
      </c>
      <c r="AU139" s="182">
        <v>1.0233346280976201</v>
      </c>
      <c r="AV139" s="183">
        <v>-3.1268426209706202</v>
      </c>
      <c r="AW139" s="168">
        <v>6.0000000000000001E-3</v>
      </c>
      <c r="AX139" s="168">
        <v>1E-3</v>
      </c>
      <c r="AY139" s="176">
        <v>0</v>
      </c>
      <c r="AZ139" s="176">
        <v>9</v>
      </c>
      <c r="BA139" s="167"/>
      <c r="BB139" s="184">
        <v>161.4</v>
      </c>
      <c r="BC139" s="180">
        <v>56.709427974233897</v>
      </c>
      <c r="BD139" s="181" t="s">
        <v>55</v>
      </c>
      <c r="BE139" s="178">
        <v>1.7721696241948099</v>
      </c>
      <c r="BF139" s="179">
        <v>61.946314758058797</v>
      </c>
      <c r="BG139" s="168">
        <v>0.02</v>
      </c>
      <c r="BH139" s="168">
        <v>0.02</v>
      </c>
      <c r="BI139" s="176">
        <v>0</v>
      </c>
      <c r="BJ139" s="176">
        <v>0</v>
      </c>
      <c r="BK139" s="169"/>
      <c r="BL139" s="185">
        <v>0.8</v>
      </c>
      <c r="BM139" s="188">
        <v>0.76</v>
      </c>
      <c r="BN139" s="186"/>
      <c r="BO139" s="187">
        <v>0.95</v>
      </c>
      <c r="BP139" s="178">
        <v>1</v>
      </c>
      <c r="BQ139" s="186">
        <v>2.5000000000000001E-3</v>
      </c>
    </row>
    <row r="140" spans="1:69" s="156" customFormat="1" ht="22.35" customHeight="1" x14ac:dyDescent="0.2">
      <c r="A140" s="165" t="s">
        <v>175</v>
      </c>
      <c r="B140" s="165" t="s">
        <v>187</v>
      </c>
      <c r="C140" s="165" t="s">
        <v>200</v>
      </c>
      <c r="D140" s="166">
        <v>0.62457229755555599</v>
      </c>
      <c r="E140" s="167"/>
      <c r="F140" s="168">
        <v>7.0000000000000007E-2</v>
      </c>
      <c r="G140" s="168">
        <v>5.8999999999999997E-2</v>
      </c>
      <c r="H140" s="169"/>
      <c r="I140" s="170">
        <v>5</v>
      </c>
      <c r="J140" s="170">
        <v>5</v>
      </c>
      <c r="K140" s="167"/>
      <c r="L140" s="171"/>
      <c r="M140" s="171">
        <v>368.28228000000001</v>
      </c>
      <c r="N140" s="171">
        <v>368.28228000000001</v>
      </c>
      <c r="O140" s="166">
        <v>589.65516312743796</v>
      </c>
      <c r="P140" s="172">
        <v>226.98400000000001</v>
      </c>
      <c r="Q140" s="178">
        <v>2.5977829412092399</v>
      </c>
      <c r="R140" s="179">
        <v>213.47171311992199</v>
      </c>
      <c r="S140" s="168">
        <v>0.01</v>
      </c>
      <c r="T140" s="168">
        <v>0.01</v>
      </c>
      <c r="U140" s="175">
        <v>0</v>
      </c>
      <c r="V140" s="176">
        <v>0</v>
      </c>
      <c r="W140" s="167"/>
      <c r="X140" s="175">
        <v>389.79370999999998</v>
      </c>
      <c r="Y140" s="166">
        <v>624.09702051399097</v>
      </c>
      <c r="Z140" s="177">
        <v>573</v>
      </c>
      <c r="AA140" s="178">
        <v>1.0891745558708401</v>
      </c>
      <c r="AB140" s="179">
        <v>-1.0111697372719799</v>
      </c>
      <c r="AC140" s="168">
        <v>0.02</v>
      </c>
      <c r="AD140" s="168">
        <v>8.9999999999999993E-3</v>
      </c>
      <c r="AE140" s="176">
        <v>0</v>
      </c>
      <c r="AF140" s="176">
        <v>40</v>
      </c>
      <c r="AG140" s="167"/>
      <c r="AH140" s="180">
        <v>51.6</v>
      </c>
      <c r="AI140" s="166">
        <v>82.616536471360504</v>
      </c>
      <c r="AJ140" s="181" t="s">
        <v>53</v>
      </c>
      <c r="AK140" s="178">
        <v>1.3113735947834999</v>
      </c>
      <c r="AL140" s="179">
        <v>8.6319242173680006</v>
      </c>
      <c r="AM140" s="168">
        <v>0.02</v>
      </c>
      <c r="AN140" s="168">
        <v>0.02</v>
      </c>
      <c r="AO140" s="176">
        <v>0</v>
      </c>
      <c r="AP140" s="176">
        <v>0</v>
      </c>
      <c r="AQ140" s="167"/>
      <c r="AR140" s="180">
        <v>1</v>
      </c>
      <c r="AS140" s="166">
        <v>1.60109566804962</v>
      </c>
      <c r="AT140" s="181" t="s">
        <v>54</v>
      </c>
      <c r="AU140" s="173">
        <v>0.100068479253101</v>
      </c>
      <c r="AV140" s="174">
        <v>-9.9125271828906705</v>
      </c>
      <c r="AW140" s="168"/>
      <c r="AX140" s="168"/>
      <c r="AY140" s="176">
        <v>9</v>
      </c>
      <c r="AZ140" s="176">
        <v>11</v>
      </c>
      <c r="BA140" s="167"/>
      <c r="BB140" s="184">
        <v>26.2</v>
      </c>
      <c r="BC140" s="180">
        <v>41.948706502900102</v>
      </c>
      <c r="BD140" s="181" t="s">
        <v>55</v>
      </c>
      <c r="BE140" s="178">
        <v>1.31089707821563</v>
      </c>
      <c r="BF140" s="179">
        <v>4.3749456342186699</v>
      </c>
      <c r="BG140" s="168">
        <v>0.02</v>
      </c>
      <c r="BH140" s="168">
        <v>0.02</v>
      </c>
      <c r="BI140" s="176">
        <v>0</v>
      </c>
      <c r="BJ140" s="176">
        <v>0</v>
      </c>
      <c r="BK140" s="169"/>
      <c r="BL140" s="185">
        <v>0.8</v>
      </c>
      <c r="BM140" s="173"/>
      <c r="BN140" s="186"/>
      <c r="BO140" s="187">
        <v>0.95</v>
      </c>
      <c r="BP140" s="178">
        <v>1</v>
      </c>
      <c r="BQ140" s="186">
        <v>2.5000000000000001E-3</v>
      </c>
    </row>
    <row r="141" spans="1:69" s="156" customFormat="1" ht="22.35" customHeight="1" x14ac:dyDescent="0.2">
      <c r="A141" s="165" t="s">
        <v>175</v>
      </c>
      <c r="B141" s="165" t="s">
        <v>201</v>
      </c>
      <c r="C141" s="165" t="s">
        <v>202</v>
      </c>
      <c r="D141" s="166">
        <v>2.7066750453333301</v>
      </c>
      <c r="E141" s="167"/>
      <c r="F141" s="168">
        <v>7.0999999999999994E-2</v>
      </c>
      <c r="G141" s="168">
        <v>5.8999999999999997E-2</v>
      </c>
      <c r="H141" s="169"/>
      <c r="I141" s="170">
        <v>7</v>
      </c>
      <c r="J141" s="170">
        <v>7</v>
      </c>
      <c r="K141" s="167"/>
      <c r="L141" s="171">
        <v>1211.06882</v>
      </c>
      <c r="M141" s="171">
        <v>385.38193999999999</v>
      </c>
      <c r="N141" s="171">
        <v>1596.4507599999999</v>
      </c>
      <c r="O141" s="166">
        <v>589.81988353293195</v>
      </c>
      <c r="P141" s="172">
        <v>287.5</v>
      </c>
      <c r="Q141" s="178">
        <v>2.05154742098411</v>
      </c>
      <c r="R141" s="179">
        <v>746.69012951760101</v>
      </c>
      <c r="S141" s="168">
        <v>0.01</v>
      </c>
      <c r="T141" s="168">
        <v>0.01</v>
      </c>
      <c r="U141" s="175">
        <v>0</v>
      </c>
      <c r="V141" s="176">
        <v>0</v>
      </c>
      <c r="W141" s="167"/>
      <c r="X141" s="175">
        <v>1826.08158</v>
      </c>
      <c r="Y141" s="166">
        <v>674.65859381546602</v>
      </c>
      <c r="Z141" s="177">
        <v>573</v>
      </c>
      <c r="AA141" s="178">
        <v>1.17741464889261</v>
      </c>
      <c r="AB141" s="179">
        <v>132.47169733421001</v>
      </c>
      <c r="AC141" s="168">
        <v>0.02</v>
      </c>
      <c r="AD141" s="168">
        <v>1.7999999999999999E-2</v>
      </c>
      <c r="AE141" s="176">
        <v>0</v>
      </c>
      <c r="AF141" s="176">
        <v>36</v>
      </c>
      <c r="AG141" s="167"/>
      <c r="AH141" s="180">
        <v>171.95</v>
      </c>
      <c r="AI141" s="166">
        <v>63.528128467606301</v>
      </c>
      <c r="AJ141" s="181" t="s">
        <v>53</v>
      </c>
      <c r="AK141" s="182">
        <v>1.0083829915493101</v>
      </c>
      <c r="AL141" s="183">
        <v>-14.2584164187518</v>
      </c>
      <c r="AM141" s="168">
        <v>1.0999999999999999E-2</v>
      </c>
      <c r="AN141" s="168">
        <v>1E-3</v>
      </c>
      <c r="AO141" s="176">
        <v>0</v>
      </c>
      <c r="AP141" s="176">
        <v>33</v>
      </c>
      <c r="AQ141" s="167"/>
      <c r="AR141" s="180">
        <v>59.1</v>
      </c>
      <c r="AS141" s="166">
        <v>21.834907778049001</v>
      </c>
      <c r="AT141" s="181" t="s">
        <v>54</v>
      </c>
      <c r="AU141" s="178">
        <v>1.3646817361280601</v>
      </c>
      <c r="AV141" s="179">
        <v>11.8089736079361</v>
      </c>
      <c r="AW141" s="168">
        <v>0.01</v>
      </c>
      <c r="AX141" s="168">
        <v>0.01</v>
      </c>
      <c r="AY141" s="176">
        <v>0</v>
      </c>
      <c r="AZ141" s="176">
        <v>0</v>
      </c>
      <c r="BA141" s="167"/>
      <c r="BB141" s="184">
        <v>137.4</v>
      </c>
      <c r="BC141" s="180">
        <v>50.763389656580998</v>
      </c>
      <c r="BD141" s="181" t="s">
        <v>55</v>
      </c>
      <c r="BE141" s="178">
        <v>1.58635592676816</v>
      </c>
      <c r="BF141" s="179">
        <v>42.817947215872103</v>
      </c>
      <c r="BG141" s="168">
        <v>0.02</v>
      </c>
      <c r="BH141" s="168">
        <v>0.02</v>
      </c>
      <c r="BI141" s="176">
        <v>0</v>
      </c>
      <c r="BJ141" s="176">
        <v>0</v>
      </c>
      <c r="BK141" s="169"/>
      <c r="BL141" s="185">
        <v>0.8</v>
      </c>
      <c r="BM141" s="182">
        <v>0.88</v>
      </c>
      <c r="BN141" s="186">
        <v>3.0000000000000001E-3</v>
      </c>
      <c r="BO141" s="187">
        <v>0.95</v>
      </c>
      <c r="BP141" s="178">
        <v>1</v>
      </c>
      <c r="BQ141" s="186">
        <v>2.5000000000000001E-3</v>
      </c>
    </row>
    <row r="142" spans="1:69" s="156" customFormat="1" ht="22.35" customHeight="1" x14ac:dyDescent="0.2">
      <c r="A142" s="165" t="s">
        <v>175</v>
      </c>
      <c r="B142" s="165" t="s">
        <v>201</v>
      </c>
      <c r="C142" s="165" t="s">
        <v>203</v>
      </c>
      <c r="D142" s="166">
        <v>2.9894179894444401</v>
      </c>
      <c r="E142" s="167"/>
      <c r="F142" s="168">
        <v>0.08</v>
      </c>
      <c r="G142" s="168">
        <v>7.0000000000000007E-2</v>
      </c>
      <c r="H142" s="169"/>
      <c r="I142" s="170">
        <v>7</v>
      </c>
      <c r="J142" s="170">
        <v>7</v>
      </c>
      <c r="K142" s="167"/>
      <c r="L142" s="171">
        <v>1678.32428</v>
      </c>
      <c r="M142" s="171">
        <v>2834.6209399999998</v>
      </c>
      <c r="N142" s="171">
        <v>4512.9452199999996</v>
      </c>
      <c r="O142" s="166">
        <v>1509.64008242912</v>
      </c>
      <c r="P142" s="172">
        <v>273.93400000000003</v>
      </c>
      <c r="Q142" s="178">
        <v>5.51096279552418</v>
      </c>
      <c r="R142" s="179">
        <v>3618.7028955476399</v>
      </c>
      <c r="S142" s="168">
        <v>0.01</v>
      </c>
      <c r="T142" s="168">
        <v>0.01</v>
      </c>
      <c r="U142" s="175">
        <v>0</v>
      </c>
      <c r="V142" s="176">
        <v>0</v>
      </c>
      <c r="W142" s="167"/>
      <c r="X142" s="175">
        <v>1998.3595800000001</v>
      </c>
      <c r="Y142" s="166">
        <v>668.477806401164</v>
      </c>
      <c r="Z142" s="177">
        <v>573</v>
      </c>
      <c r="AA142" s="178">
        <v>1.1666279343824899</v>
      </c>
      <c r="AB142" s="179">
        <v>127.83291331678301</v>
      </c>
      <c r="AC142" s="168">
        <v>0.02</v>
      </c>
      <c r="AD142" s="168">
        <v>1.7000000000000001E-2</v>
      </c>
      <c r="AE142" s="176">
        <v>0</v>
      </c>
      <c r="AF142" s="176">
        <v>58</v>
      </c>
      <c r="AG142" s="167"/>
      <c r="AH142" s="180">
        <v>213.2</v>
      </c>
      <c r="AI142" s="166">
        <v>71.318230087864407</v>
      </c>
      <c r="AJ142" s="181" t="s">
        <v>53</v>
      </c>
      <c r="AK142" s="178">
        <v>1.1320353982200699</v>
      </c>
      <c r="AL142" s="179">
        <v>7.5399999981802903</v>
      </c>
      <c r="AM142" s="168">
        <v>0.02</v>
      </c>
      <c r="AN142" s="168">
        <v>1.2999999999999999E-2</v>
      </c>
      <c r="AO142" s="176">
        <v>0</v>
      </c>
      <c r="AP142" s="176">
        <v>13</v>
      </c>
      <c r="AQ142" s="167"/>
      <c r="AR142" s="180">
        <v>69.400000000000006</v>
      </c>
      <c r="AS142" s="166">
        <v>23.2152212387326</v>
      </c>
      <c r="AT142" s="181" t="s">
        <v>54</v>
      </c>
      <c r="AU142" s="178">
        <v>1.4509513274207899</v>
      </c>
      <c r="AV142" s="179">
        <v>17.1688888884267</v>
      </c>
      <c r="AW142" s="168">
        <v>0.01</v>
      </c>
      <c r="AX142" s="168">
        <v>0.01</v>
      </c>
      <c r="AY142" s="176">
        <v>0</v>
      </c>
      <c r="AZ142" s="176">
        <v>0</v>
      </c>
      <c r="BA142" s="167"/>
      <c r="BB142" s="184">
        <v>130.80000000000001</v>
      </c>
      <c r="BC142" s="180">
        <v>43.754336282798597</v>
      </c>
      <c r="BD142" s="181" t="s">
        <v>55</v>
      </c>
      <c r="BE142" s="178">
        <v>1.3673230088374599</v>
      </c>
      <c r="BF142" s="179">
        <v>26.3377777768535</v>
      </c>
      <c r="BG142" s="168">
        <v>0.02</v>
      </c>
      <c r="BH142" s="168">
        <v>0.02</v>
      </c>
      <c r="BI142" s="176">
        <v>0</v>
      </c>
      <c r="BJ142" s="176">
        <v>0</v>
      </c>
      <c r="BK142" s="169"/>
      <c r="BL142" s="185">
        <v>0.8</v>
      </c>
      <c r="BM142" s="182">
        <v>0.83</v>
      </c>
      <c r="BN142" s="186">
        <v>1.1249999999999999E-3</v>
      </c>
      <c r="BO142" s="187">
        <v>0.95</v>
      </c>
      <c r="BP142" s="178">
        <v>1</v>
      </c>
      <c r="BQ142" s="186">
        <v>2.5000000000000001E-3</v>
      </c>
    </row>
    <row r="143" spans="1:69" s="156" customFormat="1" ht="22.35" customHeight="1" x14ac:dyDescent="0.2">
      <c r="A143" s="165" t="s">
        <v>175</v>
      </c>
      <c r="B143" s="165" t="s">
        <v>201</v>
      </c>
      <c r="C143" s="165" t="s">
        <v>204</v>
      </c>
      <c r="D143" s="166">
        <v>2.92477570733333</v>
      </c>
      <c r="E143" s="167"/>
      <c r="F143" s="168">
        <v>0.06</v>
      </c>
      <c r="G143" s="168">
        <v>0.06</v>
      </c>
      <c r="H143" s="169"/>
      <c r="I143" s="170">
        <v>6</v>
      </c>
      <c r="J143" s="170">
        <v>6</v>
      </c>
      <c r="K143" s="167"/>
      <c r="L143" s="171">
        <v>2282.62815</v>
      </c>
      <c r="M143" s="171">
        <v>-108.62309999999999</v>
      </c>
      <c r="N143" s="171">
        <v>2174.0050500000002</v>
      </c>
      <c r="O143" s="166">
        <v>743.30658742449396</v>
      </c>
      <c r="P143" s="172">
        <v>287.5</v>
      </c>
      <c r="Q143" s="178">
        <v>2.5854142171286698</v>
      </c>
      <c r="R143" s="179">
        <v>1255.7717166826999</v>
      </c>
      <c r="S143" s="168">
        <v>0.01</v>
      </c>
      <c r="T143" s="168">
        <v>0.01</v>
      </c>
      <c r="U143" s="175">
        <v>0</v>
      </c>
      <c r="V143" s="176">
        <v>0</v>
      </c>
      <c r="W143" s="167"/>
      <c r="X143" s="175">
        <v>2261.97957</v>
      </c>
      <c r="Y143" s="166">
        <v>773.38565289929898</v>
      </c>
      <c r="Z143" s="177">
        <v>573</v>
      </c>
      <c r="AA143" s="178">
        <v>1.34971318132513</v>
      </c>
      <c r="AB143" s="179">
        <v>431.90061351021802</v>
      </c>
      <c r="AC143" s="168">
        <v>0.02</v>
      </c>
      <c r="AD143" s="168">
        <v>0.02</v>
      </c>
      <c r="AE143" s="176">
        <v>0</v>
      </c>
      <c r="AF143" s="176">
        <v>0</v>
      </c>
      <c r="AG143" s="167"/>
      <c r="AH143" s="180">
        <v>155.5</v>
      </c>
      <c r="AI143" s="166">
        <v>53.166470033962803</v>
      </c>
      <c r="AJ143" s="181" t="s">
        <v>53</v>
      </c>
      <c r="AK143" s="188">
        <v>0.84391222276131395</v>
      </c>
      <c r="AL143" s="171">
        <v>-45.712869561703798</v>
      </c>
      <c r="AM143" s="168"/>
      <c r="AN143" s="168"/>
      <c r="AO143" s="176">
        <v>29</v>
      </c>
      <c r="AP143" s="176">
        <v>66</v>
      </c>
      <c r="AQ143" s="167"/>
      <c r="AR143" s="180">
        <v>61.7</v>
      </c>
      <c r="AS143" s="166">
        <v>21.0956347337331</v>
      </c>
      <c r="AT143" s="181" t="s">
        <v>54</v>
      </c>
      <c r="AU143" s="178">
        <v>1.3184771708583201</v>
      </c>
      <c r="AV143" s="179">
        <v>10.5983188414721</v>
      </c>
      <c r="AW143" s="168">
        <v>0.01</v>
      </c>
      <c r="AX143" s="168">
        <v>0.01</v>
      </c>
      <c r="AY143" s="176">
        <v>0</v>
      </c>
      <c r="AZ143" s="176">
        <v>0</v>
      </c>
      <c r="BA143" s="167"/>
      <c r="BB143" s="184">
        <v>154</v>
      </c>
      <c r="BC143" s="180">
        <v>52.653610194406902</v>
      </c>
      <c r="BD143" s="181" t="s">
        <v>55</v>
      </c>
      <c r="BE143" s="178">
        <v>1.6454253185752199</v>
      </c>
      <c r="BF143" s="179">
        <v>51.796637682944102</v>
      </c>
      <c r="BG143" s="168">
        <v>0.02</v>
      </c>
      <c r="BH143" s="168">
        <v>0.02</v>
      </c>
      <c r="BI143" s="176">
        <v>0</v>
      </c>
      <c r="BJ143" s="176">
        <v>0</v>
      </c>
      <c r="BK143" s="169"/>
      <c r="BL143" s="185">
        <v>0.8</v>
      </c>
      <c r="BM143" s="182">
        <v>0.83</v>
      </c>
      <c r="BN143" s="186">
        <v>1.1249999999999999E-3</v>
      </c>
      <c r="BO143" s="187">
        <v>0.95</v>
      </c>
      <c r="BP143" s="178">
        <v>1</v>
      </c>
      <c r="BQ143" s="186">
        <v>2.5000000000000001E-3</v>
      </c>
    </row>
    <row r="144" spans="1:69" s="156" customFormat="1" ht="22.35" customHeight="1" x14ac:dyDescent="0.2">
      <c r="A144" s="165" t="s">
        <v>175</v>
      </c>
      <c r="B144" s="165" t="s">
        <v>201</v>
      </c>
      <c r="C144" s="165" t="s">
        <v>205</v>
      </c>
      <c r="D144" s="166">
        <v>2.6681531807777801</v>
      </c>
      <c r="E144" s="167"/>
      <c r="F144" s="168">
        <v>0.04</v>
      </c>
      <c r="G144" s="168">
        <v>0.04</v>
      </c>
      <c r="H144" s="169"/>
      <c r="I144" s="170">
        <v>4</v>
      </c>
      <c r="J144" s="170">
        <v>4</v>
      </c>
      <c r="K144" s="167"/>
      <c r="L144" s="171">
        <v>849.60068999999999</v>
      </c>
      <c r="M144" s="171">
        <v>516.55607999999995</v>
      </c>
      <c r="N144" s="171">
        <v>1366.1567700000001</v>
      </c>
      <c r="O144" s="166">
        <v>512.02336501600701</v>
      </c>
      <c r="P144" s="172">
        <v>265.91699999999997</v>
      </c>
      <c r="Q144" s="178">
        <v>1.925500682604</v>
      </c>
      <c r="R144" s="179">
        <v>591.37481000481</v>
      </c>
      <c r="S144" s="168">
        <v>0.01</v>
      </c>
      <c r="T144" s="168">
        <v>0.01</v>
      </c>
      <c r="U144" s="175">
        <v>0</v>
      </c>
      <c r="V144" s="176">
        <v>0</v>
      </c>
      <c r="W144" s="167"/>
      <c r="X144" s="175">
        <v>1087.1326550000001</v>
      </c>
      <c r="Y144" s="166">
        <v>407.447616887984</v>
      </c>
      <c r="Z144" s="177">
        <v>573</v>
      </c>
      <c r="AA144" s="173">
        <v>0.71107786542405604</v>
      </c>
      <c r="AB144" s="174">
        <v>-582.373480663549</v>
      </c>
      <c r="AC144" s="168"/>
      <c r="AD144" s="168"/>
      <c r="AE144" s="176">
        <v>442</v>
      </c>
      <c r="AF144" s="176">
        <v>748</v>
      </c>
      <c r="AG144" s="167"/>
      <c r="AH144" s="180">
        <v>113.1</v>
      </c>
      <c r="AI144" s="166">
        <v>42.388870629620598</v>
      </c>
      <c r="AJ144" s="181" t="s">
        <v>53</v>
      </c>
      <c r="AK144" s="173">
        <v>0.672839216343184</v>
      </c>
      <c r="AL144" s="174">
        <v>-70.458266224788204</v>
      </c>
      <c r="AM144" s="168"/>
      <c r="AN144" s="168"/>
      <c r="AO144" s="176">
        <v>55</v>
      </c>
      <c r="AP144" s="176">
        <v>89</v>
      </c>
      <c r="AQ144" s="167"/>
      <c r="AR144" s="180">
        <v>52</v>
      </c>
      <c r="AS144" s="166">
        <v>19.489135921664602</v>
      </c>
      <c r="AT144" s="181" t="s">
        <v>54</v>
      </c>
      <c r="AU144" s="178">
        <v>1.21807099510404</v>
      </c>
      <c r="AV144" s="179">
        <v>5.3820276254506298</v>
      </c>
      <c r="AW144" s="168">
        <v>0.01</v>
      </c>
      <c r="AX144" s="168">
        <v>0.01</v>
      </c>
      <c r="AY144" s="176">
        <v>0</v>
      </c>
      <c r="AZ144" s="176">
        <v>0</v>
      </c>
      <c r="BA144" s="167"/>
      <c r="BB144" s="184">
        <v>106.8</v>
      </c>
      <c r="BC144" s="180">
        <v>40.027686854495897</v>
      </c>
      <c r="BD144" s="181" t="s">
        <v>55</v>
      </c>
      <c r="BE144" s="178">
        <v>1.2508652142029999</v>
      </c>
      <c r="BF144" s="179">
        <v>13.5640552509012</v>
      </c>
      <c r="BG144" s="168">
        <v>0.02</v>
      </c>
      <c r="BH144" s="168">
        <v>0.02</v>
      </c>
      <c r="BI144" s="176">
        <v>0</v>
      </c>
      <c r="BJ144" s="176">
        <v>0</v>
      </c>
      <c r="BK144" s="169"/>
      <c r="BL144" s="185">
        <v>0.8</v>
      </c>
      <c r="BM144" s="188">
        <v>0.78</v>
      </c>
      <c r="BN144" s="186"/>
      <c r="BO144" s="187">
        <v>0.95</v>
      </c>
      <c r="BP144" s="178">
        <v>1</v>
      </c>
      <c r="BQ144" s="186">
        <v>2.5000000000000001E-3</v>
      </c>
    </row>
    <row r="145" spans="1:69" s="156" customFormat="1" ht="22.35" customHeight="1" x14ac:dyDescent="0.2">
      <c r="A145" s="165" t="s">
        <v>175</v>
      </c>
      <c r="B145" s="165" t="s">
        <v>201</v>
      </c>
      <c r="C145" s="165" t="s">
        <v>206</v>
      </c>
      <c r="D145" s="166">
        <v>10.628939992444399</v>
      </c>
      <c r="E145" s="167"/>
      <c r="F145" s="168">
        <v>6.2E-2</v>
      </c>
      <c r="G145" s="168">
        <v>3.7499999999999999E-2</v>
      </c>
      <c r="H145" s="169"/>
      <c r="I145" s="170">
        <v>6</v>
      </c>
      <c r="J145" s="170">
        <v>6</v>
      </c>
      <c r="K145" s="167"/>
      <c r="L145" s="171">
        <v>10037.73885</v>
      </c>
      <c r="M145" s="171">
        <v>3604.9342900000001</v>
      </c>
      <c r="N145" s="171">
        <v>13642.673140000001</v>
      </c>
      <c r="O145" s="166">
        <v>1283.54032948703</v>
      </c>
      <c r="P145" s="172">
        <v>287.5</v>
      </c>
      <c r="Q145" s="178">
        <v>4.4644881025635801</v>
      </c>
      <c r="R145" s="179">
        <v>10305.7174293721</v>
      </c>
      <c r="S145" s="168">
        <v>0.01</v>
      </c>
      <c r="T145" s="168">
        <v>0.01</v>
      </c>
      <c r="U145" s="175">
        <v>0</v>
      </c>
      <c r="V145" s="176">
        <v>0</v>
      </c>
      <c r="W145" s="167"/>
      <c r="X145" s="175">
        <v>6281.4003199999997</v>
      </c>
      <c r="Y145" s="166">
        <v>590.97147264591899</v>
      </c>
      <c r="Z145" s="177">
        <v>573</v>
      </c>
      <c r="AA145" s="182">
        <v>1.0313638266071901</v>
      </c>
      <c r="AB145" s="183">
        <v>-369.29749631236302</v>
      </c>
      <c r="AC145" s="168">
        <v>1.2999999999999999E-2</v>
      </c>
      <c r="AD145" s="168">
        <v>3.0000000000000001E-3</v>
      </c>
      <c r="AE145" s="176">
        <v>0</v>
      </c>
      <c r="AF145" s="176">
        <v>1028</v>
      </c>
      <c r="AG145" s="167"/>
      <c r="AH145" s="180">
        <v>694.95</v>
      </c>
      <c r="AI145" s="166">
        <v>65.3828133844018</v>
      </c>
      <c r="AJ145" s="181" t="s">
        <v>53</v>
      </c>
      <c r="AK145" s="182">
        <v>1.03782243467304</v>
      </c>
      <c r="AL145" s="183">
        <v>-36.278555720207599</v>
      </c>
      <c r="AM145" s="168">
        <v>1.4E-2</v>
      </c>
      <c r="AN145" s="168">
        <v>4.0000000000000001E-3</v>
      </c>
      <c r="AO145" s="176">
        <v>0</v>
      </c>
      <c r="AP145" s="176">
        <v>109</v>
      </c>
      <c r="AQ145" s="167"/>
      <c r="AR145" s="180">
        <v>170.1</v>
      </c>
      <c r="AS145" s="166">
        <v>16.003477310147101</v>
      </c>
      <c r="AT145" s="181" t="s">
        <v>54</v>
      </c>
      <c r="AU145" s="182">
        <v>1.00021733188419</v>
      </c>
      <c r="AV145" s="183">
        <v>-15.6088395479892</v>
      </c>
      <c r="AW145" s="168">
        <v>5.0000000000000001E-3</v>
      </c>
      <c r="AX145" s="168">
        <v>5.0000000000000001E-4</v>
      </c>
      <c r="AY145" s="176">
        <v>0</v>
      </c>
      <c r="AZ145" s="176">
        <v>34</v>
      </c>
      <c r="BA145" s="167"/>
      <c r="BB145" s="184">
        <v>408.8</v>
      </c>
      <c r="BC145" s="180">
        <v>38.461031889407103</v>
      </c>
      <c r="BD145" s="181" t="s">
        <v>55</v>
      </c>
      <c r="BE145" s="178">
        <v>1.20190724654397</v>
      </c>
      <c r="BF145" s="179">
        <v>37.382320904021498</v>
      </c>
      <c r="BG145" s="168">
        <v>0.02</v>
      </c>
      <c r="BH145" s="168">
        <v>0.02</v>
      </c>
      <c r="BI145" s="176">
        <v>0</v>
      </c>
      <c r="BJ145" s="176">
        <v>0</v>
      </c>
      <c r="BK145" s="169"/>
      <c r="BL145" s="185">
        <v>0.8</v>
      </c>
      <c r="BM145" s="188">
        <v>0.79</v>
      </c>
      <c r="BN145" s="186"/>
      <c r="BO145" s="187">
        <v>0.95</v>
      </c>
      <c r="BP145" s="178">
        <v>1</v>
      </c>
      <c r="BQ145" s="186">
        <v>2.5000000000000001E-3</v>
      </c>
    </row>
    <row r="146" spans="1:69" s="156" customFormat="1" ht="22.35" customHeight="1" x14ac:dyDescent="0.2">
      <c r="A146" s="165" t="s">
        <v>175</v>
      </c>
      <c r="B146" s="165" t="s">
        <v>201</v>
      </c>
      <c r="C146" s="165" t="s">
        <v>207</v>
      </c>
      <c r="D146" s="166">
        <v>2.3655582742222201</v>
      </c>
      <c r="E146" s="167"/>
      <c r="F146" s="168">
        <v>6.4000000000000001E-2</v>
      </c>
      <c r="G146" s="168">
        <v>5.1999999999999998E-2</v>
      </c>
      <c r="H146" s="169"/>
      <c r="I146" s="170">
        <v>6</v>
      </c>
      <c r="J146" s="170">
        <v>5</v>
      </c>
      <c r="K146" s="167"/>
      <c r="L146" s="171">
        <v>1798.9796699999999</v>
      </c>
      <c r="M146" s="171">
        <v>-147.45534000000001</v>
      </c>
      <c r="N146" s="171">
        <v>1651.52433</v>
      </c>
      <c r="O146" s="166">
        <v>698.15415160000998</v>
      </c>
      <c r="P146" s="172">
        <v>212.5</v>
      </c>
      <c r="Q146" s="178">
        <v>3.2854313016471099</v>
      </c>
      <c r="R146" s="179">
        <v>1102.59653246673</v>
      </c>
      <c r="S146" s="168">
        <v>0.01</v>
      </c>
      <c r="T146" s="168">
        <v>0.01</v>
      </c>
      <c r="U146" s="175">
        <v>0</v>
      </c>
      <c r="V146" s="176">
        <v>0</v>
      </c>
      <c r="W146" s="167"/>
      <c r="X146" s="175">
        <v>1520.49155</v>
      </c>
      <c r="Y146" s="166">
        <v>642.76224626084297</v>
      </c>
      <c r="Z146" s="177">
        <v>573</v>
      </c>
      <c r="AA146" s="178">
        <v>1.12174912087407</v>
      </c>
      <c r="AB146" s="179">
        <v>40.323888886769303</v>
      </c>
      <c r="AC146" s="168">
        <v>0.02</v>
      </c>
      <c r="AD146" s="168">
        <v>1.2E-2</v>
      </c>
      <c r="AE146" s="176">
        <v>0</v>
      </c>
      <c r="AF146" s="176">
        <v>107</v>
      </c>
      <c r="AG146" s="167"/>
      <c r="AH146" s="180">
        <v>140.6</v>
      </c>
      <c r="AI146" s="166">
        <v>59.436286787831598</v>
      </c>
      <c r="AJ146" s="181" t="s">
        <v>53</v>
      </c>
      <c r="AK146" s="182">
        <v>0.94343312361637499</v>
      </c>
      <c r="AL146" s="183">
        <v>-22.1409470333919</v>
      </c>
      <c r="AM146" s="168">
        <v>4.0000000000000001E-3</v>
      </c>
      <c r="AN146" s="168"/>
      <c r="AO146" s="176">
        <v>9</v>
      </c>
      <c r="AP146" s="176">
        <v>39</v>
      </c>
      <c r="AQ146" s="167"/>
      <c r="AR146" s="180">
        <v>85.1</v>
      </c>
      <c r="AS146" s="166">
        <v>35.9745946347402</v>
      </c>
      <c r="AT146" s="181" t="s">
        <v>54</v>
      </c>
      <c r="AU146" s="178">
        <v>2.2484121646712598</v>
      </c>
      <c r="AV146" s="179">
        <v>43.768965832789398</v>
      </c>
      <c r="AW146" s="168">
        <v>0.01</v>
      </c>
      <c r="AX146" s="168">
        <v>0.01</v>
      </c>
      <c r="AY146" s="176">
        <v>0</v>
      </c>
      <c r="AZ146" s="176">
        <v>0</v>
      </c>
      <c r="BA146" s="167"/>
      <c r="BB146" s="184">
        <v>155</v>
      </c>
      <c r="BC146" s="180">
        <v>65.523644751876901</v>
      </c>
      <c r="BD146" s="181" t="s">
        <v>55</v>
      </c>
      <c r="BE146" s="178">
        <v>2.0476138984961501</v>
      </c>
      <c r="BF146" s="179">
        <v>72.337931665578694</v>
      </c>
      <c r="BG146" s="168">
        <v>0.02</v>
      </c>
      <c r="BH146" s="168">
        <v>0.02</v>
      </c>
      <c r="BI146" s="176">
        <v>0</v>
      </c>
      <c r="BJ146" s="176">
        <v>0</v>
      </c>
      <c r="BK146" s="169"/>
      <c r="BL146" s="185">
        <v>0.8</v>
      </c>
      <c r="BM146" s="188">
        <v>0.78</v>
      </c>
      <c r="BN146" s="186"/>
      <c r="BO146" s="187">
        <v>0.95</v>
      </c>
      <c r="BP146" s="178">
        <v>1</v>
      </c>
      <c r="BQ146" s="186">
        <v>2.5000000000000001E-3</v>
      </c>
    </row>
    <row r="147" spans="1:69" s="156" customFormat="1" ht="22.35" customHeight="1" x14ac:dyDescent="0.2">
      <c r="A147" s="165" t="s">
        <v>175</v>
      </c>
      <c r="B147" s="165" t="s">
        <v>201</v>
      </c>
      <c r="C147" s="165" t="s">
        <v>208</v>
      </c>
      <c r="D147" s="166">
        <v>1.8899021605555599</v>
      </c>
      <c r="E147" s="167"/>
      <c r="F147" s="168">
        <v>7.0000000000000007E-2</v>
      </c>
      <c r="G147" s="168">
        <v>0.05</v>
      </c>
      <c r="H147" s="169"/>
      <c r="I147" s="170">
        <v>7</v>
      </c>
      <c r="J147" s="170">
        <v>6</v>
      </c>
      <c r="K147" s="167"/>
      <c r="L147" s="171">
        <v>424.00729000000001</v>
      </c>
      <c r="M147" s="171">
        <v>1076.35411</v>
      </c>
      <c r="N147" s="171">
        <v>1500.3614</v>
      </c>
      <c r="O147" s="166">
        <v>793.883107450892</v>
      </c>
      <c r="P147" s="172">
        <v>273.64299999999997</v>
      </c>
      <c r="Q147" s="178">
        <v>2.9011635870491599</v>
      </c>
      <c r="R147" s="179">
        <v>935.62432136237203</v>
      </c>
      <c r="S147" s="168">
        <v>0.01</v>
      </c>
      <c r="T147" s="168">
        <v>0.01</v>
      </c>
      <c r="U147" s="175">
        <v>0</v>
      </c>
      <c r="V147" s="176">
        <v>0</v>
      </c>
      <c r="W147" s="167"/>
      <c r="X147" s="175">
        <v>1187.9262000000001</v>
      </c>
      <c r="Y147" s="166">
        <v>628.56491981087402</v>
      </c>
      <c r="Z147" s="177">
        <v>573</v>
      </c>
      <c r="AA147" s="178">
        <v>1.09697193684271</v>
      </c>
      <c r="AB147" s="179">
        <v>5.3841797058171297</v>
      </c>
      <c r="AC147" s="168">
        <v>0.02</v>
      </c>
      <c r="AD147" s="168">
        <v>0.01</v>
      </c>
      <c r="AE147" s="176">
        <v>0</v>
      </c>
      <c r="AF147" s="176">
        <v>112</v>
      </c>
      <c r="AG147" s="167"/>
      <c r="AH147" s="180">
        <v>119</v>
      </c>
      <c r="AI147" s="166">
        <v>62.966222529222797</v>
      </c>
      <c r="AJ147" s="181" t="s">
        <v>53</v>
      </c>
      <c r="AK147" s="182">
        <v>0.99946384967020196</v>
      </c>
      <c r="AL147" s="183">
        <v>-11.0177090375803</v>
      </c>
      <c r="AM147" s="168">
        <v>0.01</v>
      </c>
      <c r="AN147" s="168">
        <v>0</v>
      </c>
      <c r="AO147" s="176">
        <v>1</v>
      </c>
      <c r="AP147" s="176">
        <v>24</v>
      </c>
      <c r="AQ147" s="167"/>
      <c r="AR147" s="180">
        <v>59.5</v>
      </c>
      <c r="AS147" s="166">
        <v>31.483111264611399</v>
      </c>
      <c r="AT147" s="181" t="s">
        <v>54</v>
      </c>
      <c r="AU147" s="178">
        <v>1.96769445403821</v>
      </c>
      <c r="AV147" s="179">
        <v>26.479629450773299</v>
      </c>
      <c r="AW147" s="168">
        <v>0.01</v>
      </c>
      <c r="AX147" s="168">
        <v>0.01</v>
      </c>
      <c r="AY147" s="176">
        <v>0</v>
      </c>
      <c r="AZ147" s="176">
        <v>0</v>
      </c>
      <c r="BA147" s="167"/>
      <c r="BB147" s="184">
        <v>83.6</v>
      </c>
      <c r="BC147" s="180">
        <v>44.235094146580003</v>
      </c>
      <c r="BD147" s="181" t="s">
        <v>55</v>
      </c>
      <c r="BE147" s="178">
        <v>1.38234669208063</v>
      </c>
      <c r="BF147" s="179">
        <v>17.559258901546499</v>
      </c>
      <c r="BG147" s="168">
        <v>0.02</v>
      </c>
      <c r="BH147" s="168">
        <v>0.02</v>
      </c>
      <c r="BI147" s="176">
        <v>0</v>
      </c>
      <c r="BJ147" s="176">
        <v>0</v>
      </c>
      <c r="BK147" s="169"/>
      <c r="BL147" s="185">
        <v>0.8</v>
      </c>
      <c r="BM147" s="182">
        <v>0.87</v>
      </c>
      <c r="BN147" s="186">
        <v>2.6250000000000002E-3</v>
      </c>
      <c r="BO147" s="187">
        <v>0.95</v>
      </c>
      <c r="BP147" s="178">
        <v>1</v>
      </c>
      <c r="BQ147" s="186">
        <v>2.5000000000000001E-3</v>
      </c>
    </row>
    <row r="148" spans="1:69" s="156" customFormat="1" ht="22.35" customHeight="1" x14ac:dyDescent="0.2">
      <c r="A148" s="165" t="s">
        <v>175</v>
      </c>
      <c r="B148" s="165" t="s">
        <v>201</v>
      </c>
      <c r="C148" s="165" t="s">
        <v>209</v>
      </c>
      <c r="D148" s="166">
        <v>8.0221390946666702</v>
      </c>
      <c r="E148" s="167"/>
      <c r="F148" s="168">
        <v>4.2000000000000003E-2</v>
      </c>
      <c r="G148" s="168">
        <v>3.3500000000000002E-2</v>
      </c>
      <c r="H148" s="169"/>
      <c r="I148" s="170">
        <v>6</v>
      </c>
      <c r="J148" s="170">
        <v>4</v>
      </c>
      <c r="K148" s="167"/>
      <c r="L148" s="171">
        <v>5525.2289600000004</v>
      </c>
      <c r="M148" s="171">
        <v>-1818.8518899999999</v>
      </c>
      <c r="N148" s="171">
        <v>3706.37707</v>
      </c>
      <c r="O148" s="166">
        <v>462.01854969880799</v>
      </c>
      <c r="P148" s="172">
        <v>287.5</v>
      </c>
      <c r="Q148" s="178">
        <v>1.6070210424306399</v>
      </c>
      <c r="R148" s="179">
        <v>1187.8265012294</v>
      </c>
      <c r="S148" s="168">
        <v>0.01</v>
      </c>
      <c r="T148" s="168">
        <v>0.01</v>
      </c>
      <c r="U148" s="175">
        <v>0</v>
      </c>
      <c r="V148" s="176">
        <v>0</v>
      </c>
      <c r="W148" s="167"/>
      <c r="X148" s="175">
        <v>4261.0627949999998</v>
      </c>
      <c r="Y148" s="166">
        <v>531.16291611458905</v>
      </c>
      <c r="Z148" s="177">
        <v>573</v>
      </c>
      <c r="AA148" s="182">
        <v>0.926985891997538</v>
      </c>
      <c r="AB148" s="183">
        <v>-758.51799075845099</v>
      </c>
      <c r="AC148" s="168">
        <v>2E-3</v>
      </c>
      <c r="AD148" s="168"/>
      <c r="AE148" s="176">
        <v>336</v>
      </c>
      <c r="AF148" s="176">
        <v>1255</v>
      </c>
      <c r="AG148" s="167"/>
      <c r="AH148" s="180">
        <v>464.15</v>
      </c>
      <c r="AI148" s="166">
        <v>57.858632781445998</v>
      </c>
      <c r="AJ148" s="181" t="s">
        <v>53</v>
      </c>
      <c r="AK148" s="182">
        <v>0.91839099653088796</v>
      </c>
      <c r="AL148" s="183">
        <v>-87.741081156688296</v>
      </c>
      <c r="AM148" s="168">
        <v>1E-3</v>
      </c>
      <c r="AN148" s="168"/>
      <c r="AO148" s="176">
        <v>42</v>
      </c>
      <c r="AP148" s="176">
        <v>143</v>
      </c>
      <c r="AQ148" s="167"/>
      <c r="AR148" s="180">
        <v>137.69999999999999</v>
      </c>
      <c r="AS148" s="166">
        <v>17.1649978110635</v>
      </c>
      <c r="AT148" s="181" t="s">
        <v>54</v>
      </c>
      <c r="AU148" s="182">
        <v>1.0728123631914701</v>
      </c>
      <c r="AV148" s="183">
        <v>-2.46281426201605</v>
      </c>
      <c r="AW148" s="168">
        <v>8.9999999999999993E-3</v>
      </c>
      <c r="AX148" s="168">
        <v>3.5000000000000001E-3</v>
      </c>
      <c r="AY148" s="176">
        <v>0</v>
      </c>
      <c r="AZ148" s="176">
        <v>17</v>
      </c>
      <c r="BA148" s="167"/>
      <c r="BB148" s="184">
        <v>344.6</v>
      </c>
      <c r="BC148" s="180">
        <v>42.956123788616303</v>
      </c>
      <c r="BD148" s="181" t="s">
        <v>55</v>
      </c>
      <c r="BE148" s="178">
        <v>1.3423788683942599</v>
      </c>
      <c r="BF148" s="179">
        <v>64.274371475967897</v>
      </c>
      <c r="BG148" s="168">
        <v>0.02</v>
      </c>
      <c r="BH148" s="168">
        <v>0.02</v>
      </c>
      <c r="BI148" s="176">
        <v>0</v>
      </c>
      <c r="BJ148" s="176">
        <v>0</v>
      </c>
      <c r="BK148" s="169"/>
      <c r="BL148" s="185">
        <v>0.8</v>
      </c>
      <c r="BM148" s="188">
        <v>0.76</v>
      </c>
      <c r="BN148" s="186"/>
      <c r="BO148" s="187">
        <v>0.95</v>
      </c>
      <c r="BP148" s="178">
        <v>1</v>
      </c>
      <c r="BQ148" s="186">
        <v>2.5000000000000001E-3</v>
      </c>
    </row>
    <row r="149" spans="1:69" s="156" customFormat="1" ht="22.35" customHeight="1" x14ac:dyDescent="0.2">
      <c r="A149" s="165" t="s">
        <v>175</v>
      </c>
      <c r="B149" s="165" t="s">
        <v>201</v>
      </c>
      <c r="C149" s="165" t="s">
        <v>210</v>
      </c>
      <c r="D149" s="166">
        <v>3.69585255633333</v>
      </c>
      <c r="E149" s="167"/>
      <c r="F149" s="168">
        <v>7.2999999999999995E-2</v>
      </c>
      <c r="G149" s="168">
        <v>6.0999999999999999E-2</v>
      </c>
      <c r="H149" s="169"/>
      <c r="I149" s="170">
        <v>6</v>
      </c>
      <c r="J149" s="170">
        <v>6</v>
      </c>
      <c r="K149" s="167"/>
      <c r="L149" s="171">
        <v>2189.3921500000001</v>
      </c>
      <c r="M149" s="171">
        <v>407.92901000000001</v>
      </c>
      <c r="N149" s="171">
        <v>2597.32116</v>
      </c>
      <c r="O149" s="166">
        <v>702.766444388899</v>
      </c>
      <c r="P149" s="172">
        <v>239.22399999999999</v>
      </c>
      <c r="Q149" s="178">
        <v>2.9376920559345998</v>
      </c>
      <c r="R149" s="179">
        <v>1631.8439579255801</v>
      </c>
      <c r="S149" s="168">
        <v>0.01</v>
      </c>
      <c r="T149" s="168">
        <v>0.01</v>
      </c>
      <c r="U149" s="175">
        <v>0</v>
      </c>
      <c r="V149" s="176">
        <v>0</v>
      </c>
      <c r="W149" s="167"/>
      <c r="X149" s="175">
        <v>2492.0674049999998</v>
      </c>
      <c r="Y149" s="166">
        <v>674.28756072249496</v>
      </c>
      <c r="Z149" s="177">
        <v>573</v>
      </c>
      <c r="AA149" s="178">
        <v>1.17676712167975</v>
      </c>
      <c r="AB149" s="179">
        <v>179.51332686133401</v>
      </c>
      <c r="AC149" s="168">
        <v>0.02</v>
      </c>
      <c r="AD149" s="168">
        <v>1.7999999999999999E-2</v>
      </c>
      <c r="AE149" s="176">
        <v>0</v>
      </c>
      <c r="AF149" s="176">
        <v>50</v>
      </c>
      <c r="AG149" s="167"/>
      <c r="AH149" s="180">
        <v>240.4</v>
      </c>
      <c r="AI149" s="166">
        <v>65.045884903617903</v>
      </c>
      <c r="AJ149" s="181" t="s">
        <v>53</v>
      </c>
      <c r="AK149" s="182">
        <v>1.03247436354949</v>
      </c>
      <c r="AL149" s="183">
        <v>-13.8598724655078</v>
      </c>
      <c r="AM149" s="168">
        <v>1.2999999999999999E-2</v>
      </c>
      <c r="AN149" s="168">
        <v>3.0000000000000001E-3</v>
      </c>
      <c r="AO149" s="176">
        <v>0</v>
      </c>
      <c r="AP149" s="176">
        <v>40</v>
      </c>
      <c r="AQ149" s="167"/>
      <c r="AR149" s="180">
        <v>99.7</v>
      </c>
      <c r="AS149" s="166">
        <v>26.976184379745</v>
      </c>
      <c r="AT149" s="181" t="s">
        <v>54</v>
      </c>
      <c r="AU149" s="178">
        <v>1.68601152373406</v>
      </c>
      <c r="AV149" s="179">
        <v>35.126064135744102</v>
      </c>
      <c r="AW149" s="168">
        <v>0.01</v>
      </c>
      <c r="AX149" s="168">
        <v>0.01</v>
      </c>
      <c r="AY149" s="176">
        <v>0</v>
      </c>
      <c r="AZ149" s="176">
        <v>0</v>
      </c>
      <c r="BA149" s="167"/>
      <c r="BB149" s="184">
        <v>204</v>
      </c>
      <c r="BC149" s="180">
        <v>55.197007156148302</v>
      </c>
      <c r="BD149" s="181" t="s">
        <v>55</v>
      </c>
      <c r="BE149" s="178">
        <v>1.72490647362963</v>
      </c>
      <c r="BF149" s="179">
        <v>74.852128271488098</v>
      </c>
      <c r="BG149" s="168">
        <v>0.02</v>
      </c>
      <c r="BH149" s="168">
        <v>0.02</v>
      </c>
      <c r="BI149" s="176">
        <v>0</v>
      </c>
      <c r="BJ149" s="176">
        <v>0</v>
      </c>
      <c r="BK149" s="169"/>
      <c r="BL149" s="185">
        <v>0.8</v>
      </c>
      <c r="BM149" s="188">
        <v>0.76</v>
      </c>
      <c r="BN149" s="186"/>
      <c r="BO149" s="187">
        <v>0.95</v>
      </c>
      <c r="BP149" s="178">
        <v>1</v>
      </c>
      <c r="BQ149" s="186">
        <v>2.5000000000000001E-3</v>
      </c>
    </row>
    <row r="150" spans="1:69" s="156" customFormat="1" ht="22.35" customHeight="1" x14ac:dyDescent="0.2">
      <c r="A150" s="165" t="s">
        <v>175</v>
      </c>
      <c r="B150" s="165" t="s">
        <v>201</v>
      </c>
      <c r="C150" s="165" t="s">
        <v>211</v>
      </c>
      <c r="D150" s="166">
        <v>2.8061909415555601</v>
      </c>
      <c r="E150" s="167"/>
      <c r="F150" s="168">
        <v>6.7000000000000004E-2</v>
      </c>
      <c r="G150" s="168">
        <v>4.8000000000000001E-2</v>
      </c>
      <c r="H150" s="169"/>
      <c r="I150" s="170">
        <v>7</v>
      </c>
      <c r="J150" s="170">
        <v>6</v>
      </c>
      <c r="K150" s="167"/>
      <c r="L150" s="171">
        <v>2125.1541200000001</v>
      </c>
      <c r="M150" s="171">
        <v>1765.28495</v>
      </c>
      <c r="N150" s="171">
        <v>3890.4390699999999</v>
      </c>
      <c r="O150" s="166">
        <v>1386.3771749770599</v>
      </c>
      <c r="P150" s="172">
        <v>229.53</v>
      </c>
      <c r="Q150" s="178">
        <v>6.0400695986453199</v>
      </c>
      <c r="R150" s="179">
        <v>3187.07640255775</v>
      </c>
      <c r="S150" s="168">
        <v>0.01</v>
      </c>
      <c r="T150" s="168">
        <v>0.01</v>
      </c>
      <c r="U150" s="175">
        <v>0</v>
      </c>
      <c r="V150" s="176">
        <v>0</v>
      </c>
      <c r="W150" s="167"/>
      <c r="X150" s="175">
        <v>1732.9791700000001</v>
      </c>
      <c r="Y150" s="166">
        <v>617.55568530178402</v>
      </c>
      <c r="Z150" s="177">
        <v>573</v>
      </c>
      <c r="AA150" s="182">
        <v>1.07775861309212</v>
      </c>
      <c r="AB150" s="183">
        <v>-22.899401186378999</v>
      </c>
      <c r="AC150" s="168">
        <v>1.7999999999999999E-2</v>
      </c>
      <c r="AD150" s="168">
        <v>8.0000000000000002E-3</v>
      </c>
      <c r="AE150" s="176">
        <v>0</v>
      </c>
      <c r="AF150" s="176">
        <v>197</v>
      </c>
      <c r="AG150" s="167"/>
      <c r="AH150" s="180">
        <v>176.05</v>
      </c>
      <c r="AI150" s="166">
        <v>62.736286898000699</v>
      </c>
      <c r="AJ150" s="181" t="s">
        <v>53</v>
      </c>
      <c r="AK150" s="182">
        <v>0.99581407774604203</v>
      </c>
      <c r="AL150" s="183">
        <v>-17.004712015256299</v>
      </c>
      <c r="AM150" s="168">
        <v>8.9999999999999993E-3</v>
      </c>
      <c r="AN150" s="168">
        <v>0</v>
      </c>
      <c r="AO150" s="176">
        <v>1</v>
      </c>
      <c r="AP150" s="176">
        <v>37</v>
      </c>
      <c r="AQ150" s="167"/>
      <c r="AR150" s="180">
        <v>61.4</v>
      </c>
      <c r="AS150" s="166">
        <v>21.880193215207299</v>
      </c>
      <c r="AT150" s="181" t="s">
        <v>54</v>
      </c>
      <c r="AU150" s="178">
        <v>1.36751207595045</v>
      </c>
      <c r="AV150" s="179">
        <v>12.3702318691413</v>
      </c>
      <c r="AW150" s="168">
        <v>0.01</v>
      </c>
      <c r="AX150" s="168">
        <v>0.01</v>
      </c>
      <c r="AY150" s="176">
        <v>0</v>
      </c>
      <c r="AZ150" s="176">
        <v>0</v>
      </c>
      <c r="BA150" s="167"/>
      <c r="BB150" s="184">
        <v>160.4</v>
      </c>
      <c r="BC150" s="180">
        <v>57.159332112691303</v>
      </c>
      <c r="BD150" s="181" t="s">
        <v>55</v>
      </c>
      <c r="BE150" s="178">
        <v>1.7862291285216001</v>
      </c>
      <c r="BF150" s="179">
        <v>62.340463738282502</v>
      </c>
      <c r="BG150" s="168">
        <v>0.02</v>
      </c>
      <c r="BH150" s="168">
        <v>0.02</v>
      </c>
      <c r="BI150" s="176">
        <v>0</v>
      </c>
      <c r="BJ150" s="176">
        <v>0</v>
      </c>
      <c r="BK150" s="169"/>
      <c r="BL150" s="185">
        <v>0.8</v>
      </c>
      <c r="BM150" s="182">
        <v>0.83</v>
      </c>
      <c r="BN150" s="186">
        <v>1.1249999999999999E-3</v>
      </c>
      <c r="BO150" s="187">
        <v>0.95</v>
      </c>
      <c r="BP150" s="178">
        <v>1</v>
      </c>
      <c r="BQ150" s="186">
        <v>2.5000000000000001E-3</v>
      </c>
    </row>
    <row r="151" spans="1:69" s="156" customFormat="1" ht="22.35" customHeight="1" x14ac:dyDescent="0.2">
      <c r="A151" s="165" t="s">
        <v>175</v>
      </c>
      <c r="B151" s="165" t="s">
        <v>201</v>
      </c>
      <c r="C151" s="165" t="s">
        <v>212</v>
      </c>
      <c r="D151" s="166">
        <v>3.7250110427777798</v>
      </c>
      <c r="E151" s="167"/>
      <c r="F151" s="168">
        <v>4.1000000000000002E-2</v>
      </c>
      <c r="G151" s="168">
        <v>0.04</v>
      </c>
      <c r="H151" s="169"/>
      <c r="I151" s="170">
        <v>5</v>
      </c>
      <c r="J151" s="170">
        <v>4</v>
      </c>
      <c r="K151" s="167"/>
      <c r="L151" s="171">
        <v>2883.15508</v>
      </c>
      <c r="M151" s="171">
        <v>2703.7162800000001</v>
      </c>
      <c r="N151" s="171">
        <v>5586.8713600000001</v>
      </c>
      <c r="O151" s="166">
        <v>1499.8267913412201</v>
      </c>
      <c r="P151" s="172">
        <v>247.43600000000001</v>
      </c>
      <c r="Q151" s="178">
        <v>6.0614736390065298</v>
      </c>
      <c r="R151" s="179">
        <v>4580.3729590402099</v>
      </c>
      <c r="S151" s="168">
        <v>0.01</v>
      </c>
      <c r="T151" s="168">
        <v>0.01</v>
      </c>
      <c r="U151" s="175">
        <v>0</v>
      </c>
      <c r="V151" s="176">
        <v>0</v>
      </c>
      <c r="W151" s="167"/>
      <c r="X151" s="175">
        <v>1681.955305</v>
      </c>
      <c r="Y151" s="166">
        <v>451.53028693996799</v>
      </c>
      <c r="Z151" s="177">
        <v>573</v>
      </c>
      <c r="AA151" s="188">
        <v>0.78801097197202097</v>
      </c>
      <c r="AB151" s="171">
        <v>-648.84370464274195</v>
      </c>
      <c r="AC151" s="168"/>
      <c r="AD151" s="168"/>
      <c r="AE151" s="176">
        <v>453</v>
      </c>
      <c r="AF151" s="176">
        <v>880</v>
      </c>
      <c r="AG151" s="167"/>
      <c r="AH151" s="180">
        <v>216.45</v>
      </c>
      <c r="AI151" s="166">
        <v>58.107210291272303</v>
      </c>
      <c r="AJ151" s="181" t="s">
        <v>53</v>
      </c>
      <c r="AK151" s="182">
        <v>0.92233667129003705</v>
      </c>
      <c r="AL151" s="183">
        <v>-39.815859698940201</v>
      </c>
      <c r="AM151" s="168">
        <v>1E-3</v>
      </c>
      <c r="AN151" s="168"/>
      <c r="AO151" s="176">
        <v>19</v>
      </c>
      <c r="AP151" s="176">
        <v>66</v>
      </c>
      <c r="AQ151" s="167"/>
      <c r="AR151" s="180">
        <v>101.6</v>
      </c>
      <c r="AS151" s="166">
        <v>27.275086928127799</v>
      </c>
      <c r="AT151" s="181" t="s">
        <v>54</v>
      </c>
      <c r="AU151" s="178">
        <v>1.7046929330079901</v>
      </c>
      <c r="AV151" s="179">
        <v>36.516607060586601</v>
      </c>
      <c r="AW151" s="168">
        <v>0.01</v>
      </c>
      <c r="AX151" s="168">
        <v>0.01</v>
      </c>
      <c r="AY151" s="176">
        <v>0</v>
      </c>
      <c r="AZ151" s="176">
        <v>0</v>
      </c>
      <c r="BA151" s="167"/>
      <c r="BB151" s="184">
        <v>195.2</v>
      </c>
      <c r="BC151" s="180">
        <v>52.402529216245597</v>
      </c>
      <c r="BD151" s="181" t="s">
        <v>55</v>
      </c>
      <c r="BE151" s="178">
        <v>1.63757903800767</v>
      </c>
      <c r="BF151" s="179">
        <v>65.033214121173202</v>
      </c>
      <c r="BG151" s="168">
        <v>0.02</v>
      </c>
      <c r="BH151" s="168">
        <v>0.02</v>
      </c>
      <c r="BI151" s="176">
        <v>0</v>
      </c>
      <c r="BJ151" s="176">
        <v>0</v>
      </c>
      <c r="BK151" s="169"/>
      <c r="BL151" s="185">
        <v>0.8</v>
      </c>
      <c r="BM151" s="188">
        <v>0.79</v>
      </c>
      <c r="BN151" s="186"/>
      <c r="BO151" s="187">
        <v>0.95</v>
      </c>
      <c r="BP151" s="178">
        <v>1</v>
      </c>
      <c r="BQ151" s="186">
        <v>2.5000000000000001E-3</v>
      </c>
    </row>
    <row r="152" spans="1:69" s="156" customFormat="1" ht="22.35" customHeight="1" x14ac:dyDescent="0.2">
      <c r="A152" s="165" t="s">
        <v>175</v>
      </c>
      <c r="B152" s="165" t="s">
        <v>201</v>
      </c>
      <c r="C152" s="165" t="s">
        <v>213</v>
      </c>
      <c r="D152" s="166">
        <v>7.9314378249999997</v>
      </c>
      <c r="E152" s="167"/>
      <c r="F152" s="168">
        <v>1.7000000000000001E-2</v>
      </c>
      <c r="G152" s="168">
        <v>0.01</v>
      </c>
      <c r="H152" s="169"/>
      <c r="I152" s="170">
        <v>3</v>
      </c>
      <c r="J152" s="170">
        <v>2</v>
      </c>
      <c r="K152" s="167"/>
      <c r="L152" s="171">
        <v>4726.3046100000001</v>
      </c>
      <c r="M152" s="171">
        <v>1678.00008</v>
      </c>
      <c r="N152" s="171">
        <v>6404.3046899999999</v>
      </c>
      <c r="O152" s="166">
        <v>807.45822274664295</v>
      </c>
      <c r="P152" s="172">
        <v>287.5</v>
      </c>
      <c r="Q152" s="178">
        <v>2.80855033998832</v>
      </c>
      <c r="R152" s="179">
        <v>3914.22978484125</v>
      </c>
      <c r="S152" s="168">
        <v>0.01</v>
      </c>
      <c r="T152" s="168">
        <v>0.01</v>
      </c>
      <c r="U152" s="175">
        <v>0</v>
      </c>
      <c r="V152" s="176">
        <v>0</v>
      </c>
      <c r="W152" s="167"/>
      <c r="X152" s="175">
        <v>2932.4932050000002</v>
      </c>
      <c r="Y152" s="166">
        <v>369.73034016061303</v>
      </c>
      <c r="Z152" s="177">
        <v>573</v>
      </c>
      <c r="AA152" s="173">
        <v>0.64525364774976002</v>
      </c>
      <c r="AB152" s="174">
        <v>-2030.3343451077001</v>
      </c>
      <c r="AC152" s="168"/>
      <c r="AD152" s="168"/>
      <c r="AE152" s="176">
        <v>1613</v>
      </c>
      <c r="AF152" s="176">
        <v>2522</v>
      </c>
      <c r="AG152" s="167"/>
      <c r="AH152" s="180">
        <v>281.3</v>
      </c>
      <c r="AI152" s="166">
        <v>35.466457180479701</v>
      </c>
      <c r="AJ152" s="181" t="s">
        <v>53</v>
      </c>
      <c r="AK152" s="173">
        <v>0.56295963778539304</v>
      </c>
      <c r="AL152" s="174">
        <v>-264.35119660869998</v>
      </c>
      <c r="AM152" s="168"/>
      <c r="AN152" s="168"/>
      <c r="AO152" s="176">
        <v>219</v>
      </c>
      <c r="AP152" s="176">
        <v>319</v>
      </c>
      <c r="AQ152" s="167"/>
      <c r="AR152" s="180">
        <v>68.400000000000006</v>
      </c>
      <c r="AS152" s="166">
        <v>8.6239092468710101</v>
      </c>
      <c r="AT152" s="181" t="s">
        <v>54</v>
      </c>
      <c r="AU152" s="173">
        <v>0.53899432792943802</v>
      </c>
      <c r="AV152" s="174">
        <v>-70.178081678400005</v>
      </c>
      <c r="AW152" s="168"/>
      <c r="AX152" s="168"/>
      <c r="AY152" s="176">
        <v>59</v>
      </c>
      <c r="AZ152" s="176">
        <v>84</v>
      </c>
      <c r="BA152" s="167"/>
      <c r="BB152" s="184">
        <v>246.4</v>
      </c>
      <c r="BC152" s="180">
        <v>31.066246175862801</v>
      </c>
      <c r="BD152" s="181" t="s">
        <v>55</v>
      </c>
      <c r="BE152" s="182">
        <v>0.97082019299571298</v>
      </c>
      <c r="BF152" s="183">
        <v>-30.756163356799998</v>
      </c>
      <c r="BG152" s="168">
        <v>7.0000000000000001E-3</v>
      </c>
      <c r="BH152" s="168"/>
      <c r="BI152" s="176">
        <v>8</v>
      </c>
      <c r="BJ152" s="176">
        <v>59</v>
      </c>
      <c r="BK152" s="169"/>
      <c r="BL152" s="185">
        <v>0.8</v>
      </c>
      <c r="BM152" s="188">
        <v>0.76</v>
      </c>
      <c r="BN152" s="186"/>
      <c r="BO152" s="187">
        <v>0.95</v>
      </c>
      <c r="BP152" s="178">
        <v>1</v>
      </c>
      <c r="BQ152" s="186">
        <v>2.5000000000000001E-3</v>
      </c>
    </row>
    <row r="153" spans="1:69" s="156" customFormat="1" ht="22.35" customHeight="1" x14ac:dyDescent="0.2">
      <c r="A153" s="165" t="s">
        <v>175</v>
      </c>
      <c r="B153" s="165" t="s">
        <v>201</v>
      </c>
      <c r="C153" s="165" t="s">
        <v>214</v>
      </c>
      <c r="D153" s="166">
        <v>4.0442520443333301</v>
      </c>
      <c r="E153" s="167"/>
      <c r="F153" s="168">
        <v>0.06</v>
      </c>
      <c r="G153" s="168">
        <v>4.2999999999999997E-2</v>
      </c>
      <c r="H153" s="169"/>
      <c r="I153" s="170">
        <v>7</v>
      </c>
      <c r="J153" s="170">
        <v>6</v>
      </c>
      <c r="K153" s="167"/>
      <c r="L153" s="171">
        <v>-353.21111999999999</v>
      </c>
      <c r="M153" s="171">
        <v>1690.7227499999999</v>
      </c>
      <c r="N153" s="171">
        <v>1337.51163</v>
      </c>
      <c r="O153" s="166">
        <v>330.71915779187799</v>
      </c>
      <c r="P153" s="172">
        <v>232.012</v>
      </c>
      <c r="Q153" s="178">
        <v>1.42543988152284</v>
      </c>
      <c r="R153" s="179">
        <v>312.87164420162799</v>
      </c>
      <c r="S153" s="168">
        <v>0.01</v>
      </c>
      <c r="T153" s="168">
        <v>0.01</v>
      </c>
      <c r="U153" s="175">
        <v>0</v>
      </c>
      <c r="V153" s="176">
        <v>0</v>
      </c>
      <c r="W153" s="167"/>
      <c r="X153" s="175">
        <v>2377.2549549999999</v>
      </c>
      <c r="Y153" s="166">
        <v>587.81078155871296</v>
      </c>
      <c r="Z153" s="177">
        <v>573</v>
      </c>
      <c r="AA153" s="182">
        <v>1.0258477863153801</v>
      </c>
      <c r="AB153" s="183">
        <v>-153.29825717207399</v>
      </c>
      <c r="AC153" s="168">
        <v>1.2999999999999999E-2</v>
      </c>
      <c r="AD153" s="168">
        <v>3.0000000000000001E-3</v>
      </c>
      <c r="AE153" s="176">
        <v>0</v>
      </c>
      <c r="AF153" s="176">
        <v>404</v>
      </c>
      <c r="AG153" s="167"/>
      <c r="AH153" s="180">
        <v>248.7</v>
      </c>
      <c r="AI153" s="166">
        <v>61.494683633397599</v>
      </c>
      <c r="AJ153" s="181" t="s">
        <v>53</v>
      </c>
      <c r="AK153" s="182">
        <v>0.97610608941901</v>
      </c>
      <c r="AL153" s="183">
        <v>-29.528363641955799</v>
      </c>
      <c r="AM153" s="168">
        <v>7.0000000000000001E-3</v>
      </c>
      <c r="AN153" s="168"/>
      <c r="AO153" s="176">
        <v>7</v>
      </c>
      <c r="AP153" s="176">
        <v>58</v>
      </c>
      <c r="AQ153" s="167"/>
      <c r="AR153" s="180">
        <v>81.099999999999994</v>
      </c>
      <c r="AS153" s="166">
        <v>20.053151759825301</v>
      </c>
      <c r="AT153" s="181" t="s">
        <v>54</v>
      </c>
      <c r="AU153" s="178">
        <v>1.25332198498908</v>
      </c>
      <c r="AV153" s="179">
        <v>10.438828281408099</v>
      </c>
      <c r="AW153" s="168">
        <v>0.01</v>
      </c>
      <c r="AX153" s="168">
        <v>0.01</v>
      </c>
      <c r="AY153" s="176">
        <v>0</v>
      </c>
      <c r="AZ153" s="176">
        <v>0</v>
      </c>
      <c r="BA153" s="167"/>
      <c r="BB153" s="184">
        <v>196.4</v>
      </c>
      <c r="BC153" s="180">
        <v>48.562749761155203</v>
      </c>
      <c r="BD153" s="181" t="s">
        <v>55</v>
      </c>
      <c r="BE153" s="178">
        <v>1.5175859300361001</v>
      </c>
      <c r="BF153" s="179">
        <v>55.077656562816102</v>
      </c>
      <c r="BG153" s="168">
        <v>0.02</v>
      </c>
      <c r="BH153" s="168">
        <v>0.02</v>
      </c>
      <c r="BI153" s="176">
        <v>0</v>
      </c>
      <c r="BJ153" s="176">
        <v>0</v>
      </c>
      <c r="BK153" s="169"/>
      <c r="BL153" s="185">
        <v>0.8</v>
      </c>
      <c r="BM153" s="182">
        <v>0.82</v>
      </c>
      <c r="BN153" s="186">
        <v>7.5000000000000002E-4</v>
      </c>
      <c r="BO153" s="187">
        <v>0.95</v>
      </c>
      <c r="BP153" s="178">
        <v>1</v>
      </c>
      <c r="BQ153" s="186">
        <v>2.5000000000000001E-3</v>
      </c>
    </row>
    <row r="154" spans="1:69" s="156" customFormat="1" ht="22.35" customHeight="1" x14ac:dyDescent="0.2">
      <c r="A154" s="165" t="s">
        <v>175</v>
      </c>
      <c r="B154" s="165" t="s">
        <v>201</v>
      </c>
      <c r="C154" s="165" t="s">
        <v>215</v>
      </c>
      <c r="D154" s="166">
        <v>2.8994516252222202</v>
      </c>
      <c r="E154" s="167"/>
      <c r="F154" s="168">
        <v>7.8E-2</v>
      </c>
      <c r="G154" s="168">
        <v>5.7000000000000002E-2</v>
      </c>
      <c r="H154" s="169"/>
      <c r="I154" s="170">
        <v>6</v>
      </c>
      <c r="J154" s="170">
        <v>6</v>
      </c>
      <c r="K154" s="167"/>
      <c r="L154" s="171">
        <v>1534.7593199999999</v>
      </c>
      <c r="M154" s="171">
        <v>-826.44759999999997</v>
      </c>
      <c r="N154" s="171">
        <v>708.31172000000004</v>
      </c>
      <c r="O154" s="166">
        <v>244.291614951746</v>
      </c>
      <c r="P154" s="172">
        <v>221.65100000000001</v>
      </c>
      <c r="Q154" s="178">
        <v>1.1021453318584</v>
      </c>
      <c r="R154" s="179">
        <v>6.5200634171135299</v>
      </c>
      <c r="S154" s="168">
        <v>0.01</v>
      </c>
      <c r="T154" s="168">
        <v>5.0000000000000001E-3</v>
      </c>
      <c r="U154" s="175">
        <v>0</v>
      </c>
      <c r="V154" s="176">
        <v>63</v>
      </c>
      <c r="W154" s="167"/>
      <c r="X154" s="175">
        <v>1808.51594</v>
      </c>
      <c r="Y154" s="166">
        <v>623.74413294837802</v>
      </c>
      <c r="Z154" s="177">
        <v>573</v>
      </c>
      <c r="AA154" s="178">
        <v>1.08855869624499</v>
      </c>
      <c r="AB154" s="179">
        <v>-5.7173331275466799</v>
      </c>
      <c r="AC154" s="168">
        <v>0.02</v>
      </c>
      <c r="AD154" s="168">
        <v>8.9999999999999993E-3</v>
      </c>
      <c r="AE154" s="176">
        <v>0</v>
      </c>
      <c r="AF154" s="176">
        <v>186</v>
      </c>
      <c r="AG154" s="167"/>
      <c r="AH154" s="180">
        <v>225.95</v>
      </c>
      <c r="AI154" s="166">
        <v>77.928528979228105</v>
      </c>
      <c r="AJ154" s="181" t="s">
        <v>53</v>
      </c>
      <c r="AK154" s="178">
        <v>1.23696077744807</v>
      </c>
      <c r="AL154" s="179">
        <v>26.4793259912121</v>
      </c>
      <c r="AM154" s="168">
        <v>0.02</v>
      </c>
      <c r="AN154" s="168">
        <v>0.02</v>
      </c>
      <c r="AO154" s="176">
        <v>0</v>
      </c>
      <c r="AP154" s="176">
        <v>0</v>
      </c>
      <c r="AQ154" s="167"/>
      <c r="AR154" s="180">
        <v>49</v>
      </c>
      <c r="AS154" s="166">
        <v>16.899747377659601</v>
      </c>
      <c r="AT154" s="181" t="s">
        <v>54</v>
      </c>
      <c r="AU154" s="182">
        <v>1.05623421110372</v>
      </c>
      <c r="AV154" s="183">
        <v>-1.6592187958826401</v>
      </c>
      <c r="AW154" s="168">
        <v>8.0000000000000002E-3</v>
      </c>
      <c r="AX154" s="168">
        <v>3.0000000000000001E-3</v>
      </c>
      <c r="AY154" s="176">
        <v>0</v>
      </c>
      <c r="AZ154" s="176">
        <v>7</v>
      </c>
      <c r="BA154" s="167"/>
      <c r="BB154" s="184">
        <v>140.4</v>
      </c>
      <c r="BC154" s="180">
        <v>48.422949629049</v>
      </c>
      <c r="BD154" s="181" t="s">
        <v>55</v>
      </c>
      <c r="BE154" s="178">
        <v>1.5132171759077799</v>
      </c>
      <c r="BF154" s="179">
        <v>39.081562408234703</v>
      </c>
      <c r="BG154" s="168">
        <v>0.02</v>
      </c>
      <c r="BH154" s="168">
        <v>0.02</v>
      </c>
      <c r="BI154" s="176">
        <v>0</v>
      </c>
      <c r="BJ154" s="176">
        <v>0</v>
      </c>
      <c r="BK154" s="169"/>
      <c r="BL154" s="185">
        <v>0.8</v>
      </c>
      <c r="BM154" s="188">
        <v>0.72</v>
      </c>
      <c r="BN154" s="186"/>
      <c r="BO154" s="187">
        <v>0.95</v>
      </c>
      <c r="BP154" s="178">
        <v>1</v>
      </c>
      <c r="BQ154" s="186">
        <v>2.5000000000000001E-3</v>
      </c>
    </row>
    <row r="155" spans="1:69" s="156" customFormat="1" ht="22.35" customHeight="1" x14ac:dyDescent="0.2">
      <c r="A155" s="165" t="s">
        <v>175</v>
      </c>
      <c r="B155" s="165" t="s">
        <v>201</v>
      </c>
      <c r="C155" s="165" t="s">
        <v>216</v>
      </c>
      <c r="D155" s="166">
        <v>4.91139505655556</v>
      </c>
      <c r="E155" s="167"/>
      <c r="F155" s="168">
        <v>4.3999999999999997E-2</v>
      </c>
      <c r="G155" s="168">
        <v>2.5000000000000001E-2</v>
      </c>
      <c r="H155" s="169"/>
      <c r="I155" s="170">
        <v>6</v>
      </c>
      <c r="J155" s="170">
        <v>5</v>
      </c>
      <c r="K155" s="167"/>
      <c r="L155" s="171">
        <v>3166.7828</v>
      </c>
      <c r="M155" s="171">
        <v>2315.81349</v>
      </c>
      <c r="N155" s="171">
        <v>5482.5962900000004</v>
      </c>
      <c r="O155" s="166">
        <v>1116.3012192802601</v>
      </c>
      <c r="P155" s="172">
        <v>287.5</v>
      </c>
      <c r="Q155" s="178">
        <v>3.8827868496704698</v>
      </c>
      <c r="R155" s="179">
        <v>3940.66381199438</v>
      </c>
      <c r="S155" s="168">
        <v>0.01</v>
      </c>
      <c r="T155" s="168">
        <v>0.01</v>
      </c>
      <c r="U155" s="175">
        <v>0</v>
      </c>
      <c r="V155" s="176">
        <v>0</v>
      </c>
      <c r="W155" s="167"/>
      <c r="X155" s="175">
        <v>2706.737365</v>
      </c>
      <c r="Y155" s="166">
        <v>551.11375359372505</v>
      </c>
      <c r="Z155" s="177">
        <v>573</v>
      </c>
      <c r="AA155" s="182">
        <v>0.96180410749341305</v>
      </c>
      <c r="AB155" s="183">
        <v>-366.40110420771799</v>
      </c>
      <c r="AC155" s="168">
        <v>6.0000000000000001E-3</v>
      </c>
      <c r="AD155" s="168"/>
      <c r="AE155" s="176">
        <v>108</v>
      </c>
      <c r="AF155" s="176">
        <v>671</v>
      </c>
      <c r="AG155" s="167"/>
      <c r="AH155" s="180">
        <v>227.1</v>
      </c>
      <c r="AI155" s="166">
        <v>46.239408026620701</v>
      </c>
      <c r="AJ155" s="181" t="s">
        <v>53</v>
      </c>
      <c r="AK155" s="188">
        <v>0.73395885756540702</v>
      </c>
      <c r="AL155" s="171">
        <v>-110.784334310796</v>
      </c>
      <c r="AM155" s="168"/>
      <c r="AN155" s="168"/>
      <c r="AO155" s="176">
        <v>83</v>
      </c>
      <c r="AP155" s="176">
        <v>145</v>
      </c>
      <c r="AQ155" s="167"/>
      <c r="AR155" s="180">
        <v>89.2</v>
      </c>
      <c r="AS155" s="166">
        <v>18.161845865145601</v>
      </c>
      <c r="AT155" s="181" t="s">
        <v>54</v>
      </c>
      <c r="AU155" s="178">
        <v>1.1351153665716001</v>
      </c>
      <c r="AV155" s="179">
        <v>3.3881055718612698</v>
      </c>
      <c r="AW155" s="168">
        <v>0.01</v>
      </c>
      <c r="AX155" s="168">
        <v>7.0000000000000001E-3</v>
      </c>
      <c r="AY155" s="176">
        <v>0</v>
      </c>
      <c r="AZ155" s="176">
        <v>6</v>
      </c>
      <c r="BA155" s="167"/>
      <c r="BB155" s="184">
        <v>169.4</v>
      </c>
      <c r="BC155" s="180">
        <v>34.491218492776497</v>
      </c>
      <c r="BD155" s="181" t="s">
        <v>55</v>
      </c>
      <c r="BE155" s="182">
        <v>1.07785057789926</v>
      </c>
      <c r="BF155" s="183">
        <v>-2.2237888562774502</v>
      </c>
      <c r="BG155" s="168">
        <v>1.7999999999999999E-2</v>
      </c>
      <c r="BH155" s="168">
        <v>8.0000000000000002E-3</v>
      </c>
      <c r="BI155" s="176">
        <v>0</v>
      </c>
      <c r="BJ155" s="176">
        <v>20</v>
      </c>
      <c r="BK155" s="169"/>
      <c r="BL155" s="185">
        <v>0.8</v>
      </c>
      <c r="BM155" s="182">
        <v>0.81</v>
      </c>
      <c r="BN155" s="186">
        <v>3.7500000000000001E-4</v>
      </c>
      <c r="BO155" s="187">
        <v>0.95</v>
      </c>
      <c r="BP155" s="178">
        <v>1</v>
      </c>
      <c r="BQ155" s="186">
        <v>2.5000000000000001E-3</v>
      </c>
    </row>
    <row r="156" spans="1:69" s="156" customFormat="1" ht="22.35" customHeight="1" x14ac:dyDescent="0.2">
      <c r="A156" s="165" t="s">
        <v>175</v>
      </c>
      <c r="B156" s="165" t="s">
        <v>201</v>
      </c>
      <c r="C156" s="165" t="s">
        <v>217</v>
      </c>
      <c r="D156" s="166">
        <v>2.8078154285555601</v>
      </c>
      <c r="E156" s="167"/>
      <c r="F156" s="168">
        <v>5.5E-2</v>
      </c>
      <c r="G156" s="168">
        <v>4.4999999999999998E-2</v>
      </c>
      <c r="H156" s="169"/>
      <c r="I156" s="170">
        <v>6</v>
      </c>
      <c r="J156" s="170">
        <v>6</v>
      </c>
      <c r="K156" s="167"/>
      <c r="L156" s="171">
        <v>2283.7221199999999</v>
      </c>
      <c r="M156" s="171">
        <v>1748.0572999999999</v>
      </c>
      <c r="N156" s="171">
        <v>4031.7794199999998</v>
      </c>
      <c r="O156" s="166">
        <v>1435.9132651657601</v>
      </c>
      <c r="P156" s="172">
        <v>264.61399999999998</v>
      </c>
      <c r="Q156" s="178">
        <v>5.4264448032445696</v>
      </c>
      <c r="R156" s="179">
        <v>3220.4373191815098</v>
      </c>
      <c r="S156" s="168">
        <v>0.01</v>
      </c>
      <c r="T156" s="168">
        <v>0.01</v>
      </c>
      <c r="U156" s="175">
        <v>0</v>
      </c>
      <c r="V156" s="176">
        <v>0</v>
      </c>
      <c r="W156" s="167"/>
      <c r="X156" s="175">
        <v>1690.031385</v>
      </c>
      <c r="Y156" s="166">
        <v>601.90259224745898</v>
      </c>
      <c r="Z156" s="177">
        <v>573</v>
      </c>
      <c r="AA156" s="182">
        <v>1.0504408241665999</v>
      </c>
      <c r="AB156" s="183">
        <v>-66.863653694070805</v>
      </c>
      <c r="AC156" s="168">
        <v>1.4999999999999999E-2</v>
      </c>
      <c r="AD156" s="168">
        <v>5.0000000000000001E-3</v>
      </c>
      <c r="AE156" s="176">
        <v>0</v>
      </c>
      <c r="AF156" s="176">
        <v>241</v>
      </c>
      <c r="AG156" s="167"/>
      <c r="AH156" s="180">
        <v>159.30000000000001</v>
      </c>
      <c r="AI156" s="166">
        <v>56.734498421767597</v>
      </c>
      <c r="AJ156" s="181" t="s">
        <v>53</v>
      </c>
      <c r="AK156" s="188">
        <v>0.90054759399631201</v>
      </c>
      <c r="AL156" s="171">
        <v>-33.866470222908298</v>
      </c>
      <c r="AM156" s="168"/>
      <c r="AN156" s="168"/>
      <c r="AO156" s="176">
        <v>18</v>
      </c>
      <c r="AP156" s="176">
        <v>53</v>
      </c>
      <c r="AQ156" s="167"/>
      <c r="AR156" s="180">
        <v>77.400000000000006</v>
      </c>
      <c r="AS156" s="166">
        <v>27.565914487412499</v>
      </c>
      <c r="AT156" s="181" t="s">
        <v>54</v>
      </c>
      <c r="AU156" s="178">
        <v>1.7228696554632801</v>
      </c>
      <c r="AV156" s="179">
        <v>28.3418488322773</v>
      </c>
      <c r="AW156" s="168">
        <v>0.01</v>
      </c>
      <c r="AX156" s="168">
        <v>0.01</v>
      </c>
      <c r="AY156" s="176">
        <v>0</v>
      </c>
      <c r="AZ156" s="176">
        <v>0</v>
      </c>
      <c r="BA156" s="167"/>
      <c r="BB156" s="184">
        <v>175.2</v>
      </c>
      <c r="BC156" s="180">
        <v>62.397263800964801</v>
      </c>
      <c r="BD156" s="181" t="s">
        <v>55</v>
      </c>
      <c r="BE156" s="178">
        <v>1.94991449378015</v>
      </c>
      <c r="BF156" s="179">
        <v>77.083697664554506</v>
      </c>
      <c r="BG156" s="168">
        <v>0.02</v>
      </c>
      <c r="BH156" s="168">
        <v>0.02</v>
      </c>
      <c r="BI156" s="176">
        <v>0</v>
      </c>
      <c r="BJ156" s="176">
        <v>0</v>
      </c>
      <c r="BK156" s="169"/>
      <c r="BL156" s="185">
        <v>0.8</v>
      </c>
      <c r="BM156" s="182">
        <v>0.82</v>
      </c>
      <c r="BN156" s="186">
        <v>7.5000000000000002E-4</v>
      </c>
      <c r="BO156" s="187">
        <v>0.95</v>
      </c>
      <c r="BP156" s="178">
        <v>1</v>
      </c>
      <c r="BQ156" s="186">
        <v>2.5000000000000001E-3</v>
      </c>
    </row>
    <row r="157" spans="1:69" s="156" customFormat="1" ht="22.35" customHeight="1" x14ac:dyDescent="0.2">
      <c r="A157" s="165" t="s">
        <v>175</v>
      </c>
      <c r="B157" s="165" t="s">
        <v>201</v>
      </c>
      <c r="C157" s="165" t="s">
        <v>218</v>
      </c>
      <c r="D157" s="166">
        <v>8.1451756455555593</v>
      </c>
      <c r="E157" s="167"/>
      <c r="F157" s="168">
        <v>4.5999999999999999E-2</v>
      </c>
      <c r="G157" s="168">
        <v>3.3000000000000002E-2</v>
      </c>
      <c r="H157" s="169"/>
      <c r="I157" s="170">
        <v>6</v>
      </c>
      <c r="J157" s="170">
        <v>5</v>
      </c>
      <c r="K157" s="167"/>
      <c r="L157" s="171">
        <v>5178.5259699999997</v>
      </c>
      <c r="M157" s="171">
        <v>4744.3244800000002</v>
      </c>
      <c r="N157" s="171">
        <v>9922.8504499999999</v>
      </c>
      <c r="O157" s="166">
        <v>1218.2487992649301</v>
      </c>
      <c r="P157" s="172">
        <v>241.934</v>
      </c>
      <c r="Q157" s="178">
        <v>5.03545925444514</v>
      </c>
      <c r="R157" s="179">
        <v>7770.9607923020303</v>
      </c>
      <c r="S157" s="168">
        <v>0.01</v>
      </c>
      <c r="T157" s="168">
        <v>0.01</v>
      </c>
      <c r="U157" s="175">
        <v>0</v>
      </c>
      <c r="V157" s="176">
        <v>0</v>
      </c>
      <c r="W157" s="167"/>
      <c r="X157" s="175">
        <v>4793.1490100000001</v>
      </c>
      <c r="Y157" s="166">
        <v>588.46478192467202</v>
      </c>
      <c r="Z157" s="177">
        <v>573</v>
      </c>
      <c r="AA157" s="182">
        <v>1.0269891482105999</v>
      </c>
      <c r="AB157" s="183">
        <v>-303.417714234443</v>
      </c>
      <c r="AC157" s="168">
        <v>1.2999999999999999E-2</v>
      </c>
      <c r="AD157" s="168">
        <v>3.0000000000000001E-3</v>
      </c>
      <c r="AE157" s="176">
        <v>0</v>
      </c>
      <c r="AF157" s="176">
        <v>808</v>
      </c>
      <c r="AG157" s="167"/>
      <c r="AH157" s="180">
        <v>454.3</v>
      </c>
      <c r="AI157" s="166">
        <v>55.775347244708001</v>
      </c>
      <c r="AJ157" s="181" t="s">
        <v>53</v>
      </c>
      <c r="AK157" s="188">
        <v>0.88532297213822198</v>
      </c>
      <c r="AL157" s="171">
        <v>-106.05550371164</v>
      </c>
      <c r="AM157" s="168"/>
      <c r="AN157" s="168"/>
      <c r="AO157" s="176">
        <v>59</v>
      </c>
      <c r="AP157" s="176">
        <v>162</v>
      </c>
      <c r="AQ157" s="167"/>
      <c r="AR157" s="180">
        <v>125.4</v>
      </c>
      <c r="AS157" s="166">
        <v>15.395616430742599</v>
      </c>
      <c r="AT157" s="181" t="s">
        <v>54</v>
      </c>
      <c r="AU157" s="182">
        <v>0.96222602692141501</v>
      </c>
      <c r="AV157" s="183">
        <v>-16.912508879146799</v>
      </c>
      <c r="AW157" s="168">
        <v>3.0000000000000001E-3</v>
      </c>
      <c r="AX157" s="168"/>
      <c r="AY157" s="176">
        <v>5</v>
      </c>
      <c r="AZ157" s="176">
        <v>31</v>
      </c>
      <c r="BA157" s="167"/>
      <c r="BB157" s="184">
        <v>329.2</v>
      </c>
      <c r="BC157" s="180">
        <v>40.416562432220701</v>
      </c>
      <c r="BD157" s="181" t="s">
        <v>55</v>
      </c>
      <c r="BE157" s="178">
        <v>1.2630175760069</v>
      </c>
      <c r="BF157" s="179">
        <v>44.574982241706401</v>
      </c>
      <c r="BG157" s="168">
        <v>0.02</v>
      </c>
      <c r="BH157" s="168">
        <v>0.02</v>
      </c>
      <c r="BI157" s="176">
        <v>0</v>
      </c>
      <c r="BJ157" s="176">
        <v>0</v>
      </c>
      <c r="BK157" s="169"/>
      <c r="BL157" s="185">
        <v>0.8</v>
      </c>
      <c r="BM157" s="182">
        <v>0.81</v>
      </c>
      <c r="BN157" s="186">
        <v>3.7500000000000001E-4</v>
      </c>
      <c r="BO157" s="187">
        <v>0.95</v>
      </c>
      <c r="BP157" s="178">
        <v>1</v>
      </c>
      <c r="BQ157" s="186">
        <v>2.5000000000000001E-3</v>
      </c>
    </row>
    <row r="158" spans="1:69" s="156" customFormat="1" ht="22.35" customHeight="1" x14ac:dyDescent="0.2">
      <c r="A158" s="165" t="s">
        <v>175</v>
      </c>
      <c r="B158" s="165" t="s">
        <v>201</v>
      </c>
      <c r="C158" s="165" t="s">
        <v>219</v>
      </c>
      <c r="D158" s="166">
        <v>4.9912352884444404</v>
      </c>
      <c r="E158" s="167"/>
      <c r="F158" s="168">
        <v>0.05</v>
      </c>
      <c r="G158" s="168">
        <v>4.3999999999999997E-2</v>
      </c>
      <c r="H158" s="169"/>
      <c r="I158" s="170">
        <v>5</v>
      </c>
      <c r="J158" s="170">
        <v>5</v>
      </c>
      <c r="K158" s="167"/>
      <c r="L158" s="171">
        <v>6993.5192699999998</v>
      </c>
      <c r="M158" s="171">
        <v>8301.7693899999995</v>
      </c>
      <c r="N158" s="171">
        <v>15295.28866</v>
      </c>
      <c r="O158" s="166">
        <v>3064.4295001301998</v>
      </c>
      <c r="P158" s="172">
        <v>267.06299999999999</v>
      </c>
      <c r="Q158" s="178">
        <v>11.4745565657923</v>
      </c>
      <c r="R158" s="179">
        <v>13839.680757337101</v>
      </c>
      <c r="S158" s="168">
        <v>0.01</v>
      </c>
      <c r="T158" s="168">
        <v>0.01</v>
      </c>
      <c r="U158" s="175">
        <v>0</v>
      </c>
      <c r="V158" s="176">
        <v>0</v>
      </c>
      <c r="W158" s="167"/>
      <c r="X158" s="175">
        <v>3272.9072700000002</v>
      </c>
      <c r="Y158" s="166">
        <v>655.730912461157</v>
      </c>
      <c r="Z158" s="177">
        <v>573</v>
      </c>
      <c r="AA158" s="178">
        <v>1.14438204618003</v>
      </c>
      <c r="AB158" s="179">
        <v>149.811490255699</v>
      </c>
      <c r="AC158" s="168">
        <v>0.02</v>
      </c>
      <c r="AD158" s="168">
        <v>1.4E-2</v>
      </c>
      <c r="AE158" s="176">
        <v>0</v>
      </c>
      <c r="AF158" s="176">
        <v>160</v>
      </c>
      <c r="AG158" s="167"/>
      <c r="AH158" s="180">
        <v>267.10000000000002</v>
      </c>
      <c r="AI158" s="166">
        <v>53.513806615845503</v>
      </c>
      <c r="AJ158" s="181" t="s">
        <v>53</v>
      </c>
      <c r="AK158" s="188">
        <v>0.84942550183881804</v>
      </c>
      <c r="AL158" s="171">
        <v>-76.277022903823607</v>
      </c>
      <c r="AM158" s="168"/>
      <c r="AN158" s="168"/>
      <c r="AO158" s="176">
        <v>48</v>
      </c>
      <c r="AP158" s="176">
        <v>111</v>
      </c>
      <c r="AQ158" s="167"/>
      <c r="AR158" s="180">
        <v>57.4</v>
      </c>
      <c r="AS158" s="166">
        <v>11.5001591154981</v>
      </c>
      <c r="AT158" s="181" t="s">
        <v>54</v>
      </c>
      <c r="AU158" s="173">
        <v>0.71875994471862903</v>
      </c>
      <c r="AV158" s="174">
        <v>-29.806862959701299</v>
      </c>
      <c r="AW158" s="168"/>
      <c r="AX158" s="168"/>
      <c r="AY158" s="176">
        <v>23</v>
      </c>
      <c r="AZ158" s="176">
        <v>39</v>
      </c>
      <c r="BA158" s="167"/>
      <c r="BB158" s="184">
        <v>230</v>
      </c>
      <c r="BC158" s="180">
        <v>46.080776943633403</v>
      </c>
      <c r="BD158" s="181" t="s">
        <v>55</v>
      </c>
      <c r="BE158" s="178">
        <v>1.4400242794885401</v>
      </c>
      <c r="BF158" s="179">
        <v>55.586274080597498</v>
      </c>
      <c r="BG158" s="168">
        <v>0.02</v>
      </c>
      <c r="BH158" s="168">
        <v>0.02</v>
      </c>
      <c r="BI158" s="176">
        <v>0</v>
      </c>
      <c r="BJ158" s="176">
        <v>0</v>
      </c>
      <c r="BK158" s="169"/>
      <c r="BL158" s="185">
        <v>0.8</v>
      </c>
      <c r="BM158" s="182">
        <v>0.82</v>
      </c>
      <c r="BN158" s="186">
        <v>7.5000000000000002E-4</v>
      </c>
      <c r="BO158" s="187">
        <v>0.95</v>
      </c>
      <c r="BP158" s="178">
        <v>1</v>
      </c>
      <c r="BQ158" s="186">
        <v>2.5000000000000001E-3</v>
      </c>
    </row>
    <row r="159" spans="1:69" s="156" customFormat="1" ht="22.35" customHeight="1" x14ac:dyDescent="0.2">
      <c r="A159" s="165" t="s">
        <v>220</v>
      </c>
      <c r="B159" s="165" t="s">
        <v>221</v>
      </c>
      <c r="C159" s="165" t="s">
        <v>222</v>
      </c>
      <c r="D159" s="166">
        <v>2.5021163648888902</v>
      </c>
      <c r="E159" s="167"/>
      <c r="F159" s="168">
        <v>1.6E-2</v>
      </c>
      <c r="G159" s="168">
        <v>0.01</v>
      </c>
      <c r="H159" s="169"/>
      <c r="I159" s="170">
        <v>3</v>
      </c>
      <c r="J159" s="170">
        <v>2</v>
      </c>
      <c r="K159" s="167"/>
      <c r="L159" s="171">
        <v>927.55918999999994</v>
      </c>
      <c r="M159" s="171">
        <v>978.33536000000004</v>
      </c>
      <c r="N159" s="171">
        <v>1905.89455</v>
      </c>
      <c r="O159" s="166">
        <v>761.71299494483503</v>
      </c>
      <c r="P159" s="172">
        <v>242.67599999999999</v>
      </c>
      <c r="Q159" s="178">
        <v>3.13880645364533</v>
      </c>
      <c r="R159" s="179">
        <v>1242.82822866537</v>
      </c>
      <c r="S159" s="168">
        <v>0.01</v>
      </c>
      <c r="T159" s="168">
        <v>0.01</v>
      </c>
      <c r="U159" s="175">
        <v>0</v>
      </c>
      <c r="V159" s="176">
        <v>0</v>
      </c>
      <c r="W159" s="167"/>
      <c r="X159" s="175">
        <v>1382.69615</v>
      </c>
      <c r="Y159" s="166">
        <v>552.61064968950802</v>
      </c>
      <c r="Z159" s="177">
        <v>573</v>
      </c>
      <c r="AA159" s="182">
        <v>0.96441649160472698</v>
      </c>
      <c r="AB159" s="183">
        <v>-182.918093372817</v>
      </c>
      <c r="AC159" s="168">
        <v>6.0000000000000001E-3</v>
      </c>
      <c r="AD159" s="168"/>
      <c r="AE159" s="176">
        <v>52</v>
      </c>
      <c r="AF159" s="176">
        <v>338</v>
      </c>
      <c r="AG159" s="167"/>
      <c r="AH159" s="180">
        <v>122.7</v>
      </c>
      <c r="AI159" s="166">
        <v>49.038486667445099</v>
      </c>
      <c r="AJ159" s="181" t="s">
        <v>53</v>
      </c>
      <c r="AK159" s="188">
        <v>0.778388677261033</v>
      </c>
      <c r="AL159" s="171">
        <v>-49.435597438896103</v>
      </c>
      <c r="AM159" s="168"/>
      <c r="AN159" s="168"/>
      <c r="AO159" s="176">
        <v>35</v>
      </c>
      <c r="AP159" s="176">
        <v>67</v>
      </c>
      <c r="AQ159" s="167"/>
      <c r="AR159" s="180">
        <v>19.399999999999999</v>
      </c>
      <c r="AS159" s="166">
        <v>7.7534363598079503</v>
      </c>
      <c r="AT159" s="181" t="s">
        <v>54</v>
      </c>
      <c r="AU159" s="173">
        <v>0.48458977248799701</v>
      </c>
      <c r="AV159" s="174">
        <v>-24.316977127338699</v>
      </c>
      <c r="AW159" s="168"/>
      <c r="AX159" s="168"/>
      <c r="AY159" s="176">
        <v>21</v>
      </c>
      <c r="AZ159" s="176">
        <v>29</v>
      </c>
      <c r="BA159" s="167"/>
      <c r="BB159" s="184">
        <v>54</v>
      </c>
      <c r="BC159" s="180">
        <v>21.581730073692199</v>
      </c>
      <c r="BD159" s="181" t="s">
        <v>55</v>
      </c>
      <c r="BE159" s="173">
        <v>0.67442906480288201</v>
      </c>
      <c r="BF159" s="174">
        <v>-33.433954254677403</v>
      </c>
      <c r="BG159" s="168"/>
      <c r="BH159" s="168"/>
      <c r="BI159" s="176">
        <v>27</v>
      </c>
      <c r="BJ159" s="176">
        <v>43</v>
      </c>
      <c r="BK159" s="169"/>
      <c r="BL159" s="185">
        <v>0.8</v>
      </c>
      <c r="BM159" s="188">
        <v>0.78</v>
      </c>
      <c r="BN159" s="186"/>
      <c r="BO159" s="187">
        <v>0.95</v>
      </c>
      <c r="BP159" s="178">
        <v>1</v>
      </c>
      <c r="BQ159" s="186">
        <v>2.5000000000000001E-3</v>
      </c>
    </row>
    <row r="160" spans="1:69" s="156" customFormat="1" ht="22.35" customHeight="1" x14ac:dyDescent="0.2">
      <c r="A160" s="165" t="s">
        <v>220</v>
      </c>
      <c r="B160" s="165" t="s">
        <v>221</v>
      </c>
      <c r="C160" s="165" t="s">
        <v>223</v>
      </c>
      <c r="D160" s="166">
        <v>1.37464506811111</v>
      </c>
      <c r="E160" s="167"/>
      <c r="F160" s="168">
        <v>2.5000000000000001E-2</v>
      </c>
      <c r="G160" s="168">
        <v>1.4E-2</v>
      </c>
      <c r="H160" s="169"/>
      <c r="I160" s="170">
        <v>3</v>
      </c>
      <c r="J160" s="170">
        <v>3</v>
      </c>
      <c r="K160" s="167"/>
      <c r="L160" s="171">
        <v>1058.91444</v>
      </c>
      <c r="M160" s="171">
        <v>-170.2895</v>
      </c>
      <c r="N160" s="171">
        <v>888.62494000000004</v>
      </c>
      <c r="O160" s="166">
        <v>646.43955055325796</v>
      </c>
      <c r="P160" s="172">
        <v>219.79400000000001</v>
      </c>
      <c r="Q160" s="178">
        <v>2.9411155470725201</v>
      </c>
      <c r="R160" s="179">
        <v>558.68943799434896</v>
      </c>
      <c r="S160" s="168">
        <v>0.01</v>
      </c>
      <c r="T160" s="168">
        <v>0.01</v>
      </c>
      <c r="U160" s="175">
        <v>0</v>
      </c>
      <c r="V160" s="176">
        <v>0</v>
      </c>
      <c r="W160" s="167"/>
      <c r="X160" s="175">
        <v>821.34510499999999</v>
      </c>
      <c r="Y160" s="166">
        <v>597.49612758484898</v>
      </c>
      <c r="Z160" s="177">
        <v>573</v>
      </c>
      <c r="AA160" s="182">
        <v>1.04275065896134</v>
      </c>
      <c r="AB160" s="183">
        <v>-38.7923084382113</v>
      </c>
      <c r="AC160" s="168">
        <v>1.4999999999999999E-2</v>
      </c>
      <c r="AD160" s="168">
        <v>4.0000000000000001E-3</v>
      </c>
      <c r="AE160" s="176">
        <v>0</v>
      </c>
      <c r="AF160" s="176">
        <v>124</v>
      </c>
      <c r="AG160" s="167"/>
      <c r="AH160" s="180">
        <v>70.7</v>
      </c>
      <c r="AI160" s="166">
        <v>51.431457937828498</v>
      </c>
      <c r="AJ160" s="181" t="s">
        <v>53</v>
      </c>
      <c r="AK160" s="188">
        <v>0.8163723482195</v>
      </c>
      <c r="AL160" s="171">
        <v>-23.8700821057719</v>
      </c>
      <c r="AM160" s="168"/>
      <c r="AN160" s="168"/>
      <c r="AO160" s="176">
        <v>16</v>
      </c>
      <c r="AP160" s="176">
        <v>34</v>
      </c>
      <c r="AQ160" s="167"/>
      <c r="AR160" s="180">
        <v>10.6</v>
      </c>
      <c r="AS160" s="166">
        <v>7.7110813881327003</v>
      </c>
      <c r="AT160" s="181" t="s">
        <v>54</v>
      </c>
      <c r="AU160" s="173">
        <v>0.48194258675829399</v>
      </c>
      <c r="AV160" s="174">
        <v>-13.4177986300373</v>
      </c>
      <c r="AW160" s="168"/>
      <c r="AX160" s="168"/>
      <c r="AY160" s="176">
        <v>12</v>
      </c>
      <c r="AZ160" s="176">
        <v>16</v>
      </c>
      <c r="BA160" s="167"/>
      <c r="BB160" s="184">
        <v>31.8</v>
      </c>
      <c r="BC160" s="180">
        <v>23.1332441643981</v>
      </c>
      <c r="BD160" s="181" t="s">
        <v>55</v>
      </c>
      <c r="BE160" s="173">
        <v>0.72291388013744096</v>
      </c>
      <c r="BF160" s="174">
        <v>-16.235597260074599</v>
      </c>
      <c r="BG160" s="168"/>
      <c r="BH160" s="168"/>
      <c r="BI160" s="176">
        <v>13</v>
      </c>
      <c r="BJ160" s="176">
        <v>21</v>
      </c>
      <c r="BK160" s="169"/>
      <c r="BL160" s="185">
        <v>0.8</v>
      </c>
      <c r="BM160" s="188">
        <v>0.77</v>
      </c>
      <c r="BN160" s="186"/>
      <c r="BO160" s="187">
        <v>0.95</v>
      </c>
      <c r="BP160" s="178">
        <v>1</v>
      </c>
      <c r="BQ160" s="186">
        <v>2.5000000000000001E-3</v>
      </c>
    </row>
    <row r="161" spans="1:69" s="156" customFormat="1" ht="22.35" customHeight="1" x14ac:dyDescent="0.2">
      <c r="A161" s="165" t="s">
        <v>220</v>
      </c>
      <c r="B161" s="165" t="s">
        <v>221</v>
      </c>
      <c r="C161" s="165" t="s">
        <v>224</v>
      </c>
      <c r="D161" s="166">
        <v>2.7294855338888899</v>
      </c>
      <c r="E161" s="167"/>
      <c r="F161" s="168">
        <v>4.2999999999999997E-2</v>
      </c>
      <c r="G161" s="168">
        <v>2.1999999999999999E-2</v>
      </c>
      <c r="H161" s="169"/>
      <c r="I161" s="170">
        <v>4</v>
      </c>
      <c r="J161" s="170">
        <v>4</v>
      </c>
      <c r="K161" s="167"/>
      <c r="L161" s="171">
        <v>1181.72991</v>
      </c>
      <c r="M161" s="171">
        <v>876.2088</v>
      </c>
      <c r="N161" s="171">
        <v>2057.9387099999999</v>
      </c>
      <c r="O161" s="166">
        <v>753.96578748959701</v>
      </c>
      <c r="P161" s="172">
        <v>219.79400000000001</v>
      </c>
      <c r="Q161" s="178">
        <v>3.4303292514336001</v>
      </c>
      <c r="R161" s="179">
        <v>1402.8211085683499</v>
      </c>
      <c r="S161" s="168">
        <v>0.01</v>
      </c>
      <c r="T161" s="168">
        <v>0.01</v>
      </c>
      <c r="U161" s="175">
        <v>0</v>
      </c>
      <c r="V161" s="176">
        <v>0</v>
      </c>
      <c r="W161" s="167"/>
      <c r="X161" s="175">
        <v>1628.1337149999999</v>
      </c>
      <c r="Y161" s="166">
        <v>596.49838578931201</v>
      </c>
      <c r="Z161" s="177">
        <v>573</v>
      </c>
      <c r="AA161" s="182">
        <v>1.0410093992832701</v>
      </c>
      <c r="AB161" s="183">
        <v>-79.749055322820794</v>
      </c>
      <c r="AC161" s="168">
        <v>1.4E-2</v>
      </c>
      <c r="AD161" s="168">
        <v>4.0000000000000001E-3</v>
      </c>
      <c r="AE161" s="176">
        <v>0</v>
      </c>
      <c r="AF161" s="176">
        <v>249</v>
      </c>
      <c r="AG161" s="167"/>
      <c r="AH161" s="180">
        <v>70.7</v>
      </c>
      <c r="AI161" s="166">
        <v>25.902317166440099</v>
      </c>
      <c r="AJ161" s="181" t="s">
        <v>53</v>
      </c>
      <c r="AK161" s="173">
        <v>0.41114789153079501</v>
      </c>
      <c r="AL161" s="174">
        <v>-117.07768678942</v>
      </c>
      <c r="AM161" s="168"/>
      <c r="AN161" s="168"/>
      <c r="AO161" s="176">
        <v>102</v>
      </c>
      <c r="AP161" s="176">
        <v>136</v>
      </c>
      <c r="AQ161" s="167"/>
      <c r="AR161" s="180">
        <v>21.6</v>
      </c>
      <c r="AS161" s="166">
        <v>7.91357921916698</v>
      </c>
      <c r="AT161" s="181" t="s">
        <v>54</v>
      </c>
      <c r="AU161" s="173">
        <v>0.49459870119793597</v>
      </c>
      <c r="AV161" s="174">
        <v>-26.089571248106701</v>
      </c>
      <c r="AW161" s="168"/>
      <c r="AX161" s="168"/>
      <c r="AY161" s="176">
        <v>23</v>
      </c>
      <c r="AZ161" s="176">
        <v>31</v>
      </c>
      <c r="BA161" s="167"/>
      <c r="BB161" s="184">
        <v>94.6</v>
      </c>
      <c r="BC161" s="180">
        <v>34.658546024685002</v>
      </c>
      <c r="BD161" s="181" t="s">
        <v>55</v>
      </c>
      <c r="BE161" s="182">
        <v>1.0830795632714101</v>
      </c>
      <c r="BF161" s="183">
        <v>-0.77914249621338205</v>
      </c>
      <c r="BG161" s="168">
        <v>1.9E-2</v>
      </c>
      <c r="BH161" s="168">
        <v>8.0000000000000002E-3</v>
      </c>
      <c r="BI161" s="176">
        <v>0</v>
      </c>
      <c r="BJ161" s="176">
        <v>11</v>
      </c>
      <c r="BK161" s="169"/>
      <c r="BL161" s="185">
        <v>0.8</v>
      </c>
      <c r="BM161" s="188">
        <v>0.8</v>
      </c>
      <c r="BN161" s="186">
        <v>0</v>
      </c>
      <c r="BO161" s="187">
        <v>0.95</v>
      </c>
      <c r="BP161" s="178">
        <v>1</v>
      </c>
      <c r="BQ161" s="186">
        <v>2.5000000000000001E-3</v>
      </c>
    </row>
    <row r="162" spans="1:69" s="156" customFormat="1" ht="22.35" customHeight="1" x14ac:dyDescent="0.2">
      <c r="A162" s="165" t="s">
        <v>220</v>
      </c>
      <c r="B162" s="165" t="s">
        <v>221</v>
      </c>
      <c r="C162" s="165" t="s">
        <v>225</v>
      </c>
      <c r="D162" s="166">
        <v>1.1783439328888901</v>
      </c>
      <c r="E162" s="167"/>
      <c r="F162" s="168">
        <v>0.05</v>
      </c>
      <c r="G162" s="168">
        <v>0.04</v>
      </c>
      <c r="H162" s="169"/>
      <c r="I162" s="170">
        <v>5</v>
      </c>
      <c r="J162" s="170">
        <v>5</v>
      </c>
      <c r="K162" s="167"/>
      <c r="L162" s="171">
        <v>1061.19625</v>
      </c>
      <c r="M162" s="171">
        <v>534.88809000000003</v>
      </c>
      <c r="N162" s="171">
        <v>1596.0843400000001</v>
      </c>
      <c r="O162" s="166">
        <v>1354.51483684136</v>
      </c>
      <c r="P162" s="172">
        <v>224.79599999999999</v>
      </c>
      <c r="Q162" s="178">
        <v>6.0255290878901802</v>
      </c>
      <c r="R162" s="179">
        <v>1306.8277330104399</v>
      </c>
      <c r="S162" s="168">
        <v>0.01</v>
      </c>
      <c r="T162" s="168">
        <v>0.01</v>
      </c>
      <c r="U162" s="175">
        <v>0</v>
      </c>
      <c r="V162" s="176">
        <v>0</v>
      </c>
      <c r="W162" s="167"/>
      <c r="X162" s="175">
        <v>555.61907499999995</v>
      </c>
      <c r="Y162" s="166">
        <v>471.52538362701603</v>
      </c>
      <c r="Z162" s="177">
        <v>573</v>
      </c>
      <c r="AA162" s="188">
        <v>0.82290642866843899</v>
      </c>
      <c r="AB162" s="171">
        <v>-181.68957731150499</v>
      </c>
      <c r="AC162" s="168"/>
      <c r="AD162" s="168"/>
      <c r="AE162" s="176">
        <v>120</v>
      </c>
      <c r="AF162" s="176">
        <v>255</v>
      </c>
      <c r="AG162" s="167"/>
      <c r="AH162" s="180">
        <v>81.400000000000006</v>
      </c>
      <c r="AI162" s="166">
        <v>69.080000947122102</v>
      </c>
      <c r="AJ162" s="181" t="s">
        <v>53</v>
      </c>
      <c r="AK162" s="178">
        <v>1.0965079515416201</v>
      </c>
      <c r="AL162" s="179">
        <v>0.33465079297593497</v>
      </c>
      <c r="AM162" s="168">
        <v>0.02</v>
      </c>
      <c r="AN162" s="168">
        <v>0.01</v>
      </c>
      <c r="AO162" s="176">
        <v>0</v>
      </c>
      <c r="AP162" s="176">
        <v>8</v>
      </c>
      <c r="AQ162" s="167"/>
      <c r="AR162" s="180">
        <v>9.6</v>
      </c>
      <c r="AS162" s="166">
        <v>8.14702713872693</v>
      </c>
      <c r="AT162" s="181" t="s">
        <v>54</v>
      </c>
      <c r="AU162" s="173">
        <v>0.50918919617043301</v>
      </c>
      <c r="AV162" s="174">
        <v>-10.9880251954347</v>
      </c>
      <c r="AW162" s="168"/>
      <c r="AX162" s="168"/>
      <c r="AY162" s="176">
        <v>10</v>
      </c>
      <c r="AZ162" s="176">
        <v>14</v>
      </c>
      <c r="BA162" s="167"/>
      <c r="BB162" s="184">
        <v>46.4</v>
      </c>
      <c r="BC162" s="180">
        <v>39.377297837180201</v>
      </c>
      <c r="BD162" s="181" t="s">
        <v>55</v>
      </c>
      <c r="BE162" s="178">
        <v>1.23054055741188</v>
      </c>
      <c r="BF162" s="179">
        <v>5.2239496091306297</v>
      </c>
      <c r="BG162" s="168">
        <v>0.02</v>
      </c>
      <c r="BH162" s="168">
        <v>0.02</v>
      </c>
      <c r="BI162" s="176">
        <v>0</v>
      </c>
      <c r="BJ162" s="176">
        <v>0</v>
      </c>
      <c r="BK162" s="169"/>
      <c r="BL162" s="185">
        <v>0.8</v>
      </c>
      <c r="BM162" s="182">
        <v>0.83</v>
      </c>
      <c r="BN162" s="186">
        <v>1.1249999999999999E-3</v>
      </c>
      <c r="BO162" s="187">
        <v>0.95</v>
      </c>
      <c r="BP162" s="178">
        <v>1</v>
      </c>
      <c r="BQ162" s="186">
        <v>2.5000000000000001E-3</v>
      </c>
    </row>
    <row r="163" spans="1:69" s="156" customFormat="1" ht="22.35" customHeight="1" x14ac:dyDescent="0.2">
      <c r="A163" s="165" t="s">
        <v>220</v>
      </c>
      <c r="B163" s="165" t="s">
        <v>221</v>
      </c>
      <c r="C163" s="165" t="s">
        <v>226</v>
      </c>
      <c r="D163" s="166">
        <v>3.1786816065555601</v>
      </c>
      <c r="E163" s="167"/>
      <c r="F163" s="168">
        <v>0.08</v>
      </c>
      <c r="G163" s="168">
        <v>0.08</v>
      </c>
      <c r="H163" s="169"/>
      <c r="I163" s="170">
        <v>6</v>
      </c>
      <c r="J163" s="170">
        <v>6</v>
      </c>
      <c r="K163" s="167"/>
      <c r="L163" s="171">
        <v>3230.8780900000002</v>
      </c>
      <c r="M163" s="171">
        <v>-286.78075000000001</v>
      </c>
      <c r="N163" s="171">
        <v>2944.0973399999998</v>
      </c>
      <c r="O163" s="166">
        <v>926.20076635805196</v>
      </c>
      <c r="P163" s="172">
        <v>239.25899999999999</v>
      </c>
      <c r="Q163" s="178">
        <v>3.8711219488422701</v>
      </c>
      <c r="R163" s="179">
        <v>2113.60056470686</v>
      </c>
      <c r="S163" s="168">
        <v>0.01</v>
      </c>
      <c r="T163" s="168">
        <v>0.01</v>
      </c>
      <c r="U163" s="175">
        <v>0</v>
      </c>
      <c r="V163" s="176">
        <v>0</v>
      </c>
      <c r="W163" s="167"/>
      <c r="X163" s="175">
        <v>2544.5034099999998</v>
      </c>
      <c r="Y163" s="166">
        <v>800.49017956134503</v>
      </c>
      <c r="Z163" s="177">
        <v>573</v>
      </c>
      <c r="AA163" s="178">
        <v>1.39701602017687</v>
      </c>
      <c r="AB163" s="179">
        <v>555.55146987248202</v>
      </c>
      <c r="AC163" s="168">
        <v>0.02</v>
      </c>
      <c r="AD163" s="168">
        <v>0.02</v>
      </c>
      <c r="AE163" s="176">
        <v>0</v>
      </c>
      <c r="AF163" s="176">
        <v>0</v>
      </c>
      <c r="AG163" s="167"/>
      <c r="AH163" s="180">
        <v>303.89999999999998</v>
      </c>
      <c r="AI163" s="166">
        <v>95.605674809723496</v>
      </c>
      <c r="AJ163" s="181" t="s">
        <v>53</v>
      </c>
      <c r="AK163" s="178">
        <v>1.51755039380514</v>
      </c>
      <c r="AL163" s="179">
        <v>85.2194201954037</v>
      </c>
      <c r="AM163" s="168">
        <v>0.02</v>
      </c>
      <c r="AN163" s="168">
        <v>0.02</v>
      </c>
      <c r="AO163" s="176">
        <v>0</v>
      </c>
      <c r="AP163" s="176">
        <v>0</v>
      </c>
      <c r="AQ163" s="167"/>
      <c r="AR163" s="180">
        <v>63.3</v>
      </c>
      <c r="AS163" s="166">
        <v>19.913916470732101</v>
      </c>
      <c r="AT163" s="181" t="s">
        <v>54</v>
      </c>
      <c r="AU163" s="178">
        <v>1.2446197794207601</v>
      </c>
      <c r="AV163" s="179">
        <v>7.7620749702612599</v>
      </c>
      <c r="AW163" s="168">
        <v>0.01</v>
      </c>
      <c r="AX163" s="168">
        <v>0.01</v>
      </c>
      <c r="AY163" s="176">
        <v>0</v>
      </c>
      <c r="AZ163" s="176">
        <v>0</v>
      </c>
      <c r="BA163" s="167"/>
      <c r="BB163" s="184">
        <v>198.2</v>
      </c>
      <c r="BC163" s="180">
        <v>62.3528948578059</v>
      </c>
      <c r="BD163" s="181" t="s">
        <v>55</v>
      </c>
      <c r="BE163" s="178">
        <v>1.9485279643064299</v>
      </c>
      <c r="BF163" s="179">
        <v>87.1241499405225</v>
      </c>
      <c r="BG163" s="168">
        <v>0.02</v>
      </c>
      <c r="BH163" s="168">
        <v>0.02</v>
      </c>
      <c r="BI163" s="176">
        <v>0</v>
      </c>
      <c r="BJ163" s="176">
        <v>0</v>
      </c>
      <c r="BK163" s="169"/>
      <c r="BL163" s="185">
        <v>0.8</v>
      </c>
      <c r="BM163" s="188">
        <v>0.78</v>
      </c>
      <c r="BN163" s="186"/>
      <c r="BO163" s="187">
        <v>0.95</v>
      </c>
      <c r="BP163" s="178">
        <v>1</v>
      </c>
      <c r="BQ163" s="186">
        <v>2.5000000000000001E-3</v>
      </c>
    </row>
    <row r="164" spans="1:69" s="156" customFormat="1" ht="22.35" customHeight="1" x14ac:dyDescent="0.2">
      <c r="A164" s="165" t="s">
        <v>220</v>
      </c>
      <c r="B164" s="165" t="s">
        <v>221</v>
      </c>
      <c r="C164" s="165" t="s">
        <v>227</v>
      </c>
      <c r="D164" s="166">
        <v>3.7074923414444401</v>
      </c>
      <c r="E164" s="167"/>
      <c r="F164" s="168">
        <v>2.3E-2</v>
      </c>
      <c r="G164" s="168">
        <v>1.2999999999999999E-2</v>
      </c>
      <c r="H164" s="169"/>
      <c r="I164" s="170">
        <v>3</v>
      </c>
      <c r="J164" s="170">
        <v>3</v>
      </c>
      <c r="K164" s="167"/>
      <c r="L164" s="171">
        <v>1870.79556</v>
      </c>
      <c r="M164" s="171">
        <v>-111.55054</v>
      </c>
      <c r="N164" s="171">
        <v>1759.2450200000001</v>
      </c>
      <c r="O164" s="166">
        <v>474.51076306595797</v>
      </c>
      <c r="P164" s="172">
        <v>272.85399999999998</v>
      </c>
      <c r="Q164" s="178">
        <v>1.7390647125054399</v>
      </c>
      <c r="R164" s="179">
        <v>654.57332605693</v>
      </c>
      <c r="S164" s="168">
        <v>0.01</v>
      </c>
      <c r="T164" s="168">
        <v>0.01</v>
      </c>
      <c r="U164" s="175">
        <v>0</v>
      </c>
      <c r="V164" s="176">
        <v>0</v>
      </c>
      <c r="W164" s="167"/>
      <c r="X164" s="175">
        <v>1846.7188699999999</v>
      </c>
      <c r="Y164" s="166">
        <v>498.10456770371002</v>
      </c>
      <c r="Z164" s="177">
        <v>573</v>
      </c>
      <c r="AA164" s="188">
        <v>0.86929243927348998</v>
      </c>
      <c r="AB164" s="171">
        <v>-473.11840791924902</v>
      </c>
      <c r="AC164" s="168"/>
      <c r="AD164" s="168"/>
      <c r="AE164" s="176">
        <v>278</v>
      </c>
      <c r="AF164" s="176">
        <v>703</v>
      </c>
      <c r="AG164" s="167"/>
      <c r="AH164" s="180">
        <v>91.2</v>
      </c>
      <c r="AI164" s="166">
        <v>24.5988370577371</v>
      </c>
      <c r="AJ164" s="181" t="s">
        <v>53</v>
      </c>
      <c r="AK164" s="173">
        <v>0.39045773107519199</v>
      </c>
      <c r="AL164" s="174">
        <v>-163.86064312201199</v>
      </c>
      <c r="AM164" s="168"/>
      <c r="AN164" s="168"/>
      <c r="AO164" s="176">
        <v>143</v>
      </c>
      <c r="AP164" s="176">
        <v>190</v>
      </c>
      <c r="AQ164" s="167"/>
      <c r="AR164" s="180">
        <v>31.8</v>
      </c>
      <c r="AS164" s="166">
        <v>8.5772260793425303</v>
      </c>
      <c r="AT164" s="181" t="s">
        <v>54</v>
      </c>
      <c r="AU164" s="173">
        <v>0.53607662995890804</v>
      </c>
      <c r="AV164" s="174">
        <v>-32.977306189717297</v>
      </c>
      <c r="AW164" s="168"/>
      <c r="AX164" s="168"/>
      <c r="AY164" s="176">
        <v>28</v>
      </c>
      <c r="AZ164" s="176">
        <v>40</v>
      </c>
      <c r="BA164" s="167"/>
      <c r="BB164" s="184">
        <v>122</v>
      </c>
      <c r="BC164" s="180">
        <v>32.9063390465342</v>
      </c>
      <c r="BD164" s="181" t="s">
        <v>55</v>
      </c>
      <c r="BE164" s="182">
        <v>1.02832309520419</v>
      </c>
      <c r="BF164" s="183">
        <v>-7.5546123794345004</v>
      </c>
      <c r="BG164" s="168">
        <v>1.2999999999999999E-2</v>
      </c>
      <c r="BH164" s="168">
        <v>3.0000000000000001E-3</v>
      </c>
      <c r="BI164" s="176">
        <v>0</v>
      </c>
      <c r="BJ164" s="176">
        <v>21</v>
      </c>
      <c r="BK164" s="169"/>
      <c r="BL164" s="185">
        <v>0.8</v>
      </c>
      <c r="BM164" s="188">
        <v>0.72</v>
      </c>
      <c r="BN164" s="186"/>
      <c r="BO164" s="187">
        <v>0.95</v>
      </c>
      <c r="BP164" s="178">
        <v>1</v>
      </c>
      <c r="BQ164" s="186">
        <v>2.5000000000000001E-3</v>
      </c>
    </row>
    <row r="165" spans="1:69" s="156" customFormat="1" ht="22.35" customHeight="1" x14ac:dyDescent="0.2">
      <c r="A165" s="165" t="s">
        <v>220</v>
      </c>
      <c r="B165" s="165" t="s">
        <v>221</v>
      </c>
      <c r="C165" s="165" t="s">
        <v>228</v>
      </c>
      <c r="D165" s="166">
        <v>3.59068721</v>
      </c>
      <c r="E165" s="167"/>
      <c r="F165" s="168">
        <v>1.4E-2</v>
      </c>
      <c r="G165" s="168">
        <v>0.01</v>
      </c>
      <c r="H165" s="169"/>
      <c r="I165" s="170">
        <v>3</v>
      </c>
      <c r="J165" s="170">
        <v>2</v>
      </c>
      <c r="K165" s="167"/>
      <c r="L165" s="171">
        <v>611.86848999999995</v>
      </c>
      <c r="M165" s="171">
        <v>831.32452999999998</v>
      </c>
      <c r="N165" s="171">
        <v>1443.1930199999999</v>
      </c>
      <c r="O165" s="166">
        <v>401.926688568342</v>
      </c>
      <c r="P165" s="172">
        <v>244.22499999999999</v>
      </c>
      <c r="Q165" s="178">
        <v>1.64572295452285</v>
      </c>
      <c r="R165" s="179">
        <v>485.579362422423</v>
      </c>
      <c r="S165" s="168">
        <v>0.01</v>
      </c>
      <c r="T165" s="168">
        <v>0.01</v>
      </c>
      <c r="U165" s="175">
        <v>0</v>
      </c>
      <c r="V165" s="176">
        <v>0</v>
      </c>
      <c r="W165" s="167"/>
      <c r="X165" s="175">
        <v>1729.8518449999999</v>
      </c>
      <c r="Y165" s="166">
        <v>481.76066135262198</v>
      </c>
      <c r="Z165" s="177">
        <v>573</v>
      </c>
      <c r="AA165" s="188">
        <v>0.840769042500212</v>
      </c>
      <c r="AB165" s="171">
        <v>-516.89859329236003</v>
      </c>
      <c r="AC165" s="168"/>
      <c r="AD165" s="168"/>
      <c r="AE165" s="176">
        <v>328</v>
      </c>
      <c r="AF165" s="176">
        <v>740</v>
      </c>
      <c r="AG165" s="167"/>
      <c r="AH165" s="180">
        <v>163.30000000000001</v>
      </c>
      <c r="AI165" s="166">
        <v>45.478759482366598</v>
      </c>
      <c r="AJ165" s="181" t="s">
        <v>53</v>
      </c>
      <c r="AK165" s="173">
        <v>0.72188507114867595</v>
      </c>
      <c r="AL165" s="174">
        <v>-83.724917299159998</v>
      </c>
      <c r="AM165" s="168"/>
      <c r="AN165" s="168"/>
      <c r="AO165" s="176">
        <v>63</v>
      </c>
      <c r="AP165" s="176">
        <v>109</v>
      </c>
      <c r="AQ165" s="167"/>
      <c r="AR165" s="180">
        <v>29.4</v>
      </c>
      <c r="AS165" s="166">
        <v>8.1878476961517297</v>
      </c>
      <c r="AT165" s="181" t="s">
        <v>54</v>
      </c>
      <c r="AU165" s="173">
        <v>0.51174048100948299</v>
      </c>
      <c r="AV165" s="174">
        <v>-33.33648693312</v>
      </c>
      <c r="AW165" s="168"/>
      <c r="AX165" s="168"/>
      <c r="AY165" s="176">
        <v>29</v>
      </c>
      <c r="AZ165" s="176">
        <v>40</v>
      </c>
      <c r="BA165" s="167"/>
      <c r="BB165" s="184">
        <v>108.6</v>
      </c>
      <c r="BC165" s="180">
        <v>30.244906795989099</v>
      </c>
      <c r="BD165" s="181" t="s">
        <v>55</v>
      </c>
      <c r="BE165" s="182">
        <v>0.94515333737465801</v>
      </c>
      <c r="BF165" s="183">
        <v>-16.872973866239999</v>
      </c>
      <c r="BG165" s="168">
        <v>4.0000000000000001E-3</v>
      </c>
      <c r="BH165" s="168"/>
      <c r="BI165" s="176">
        <v>7</v>
      </c>
      <c r="BJ165" s="176">
        <v>30</v>
      </c>
      <c r="BK165" s="169"/>
      <c r="BL165" s="185">
        <v>0.8</v>
      </c>
      <c r="BM165" s="188">
        <v>0.78</v>
      </c>
      <c r="BN165" s="186"/>
      <c r="BO165" s="187">
        <v>0.95</v>
      </c>
      <c r="BP165" s="178">
        <v>1</v>
      </c>
      <c r="BQ165" s="186">
        <v>2.5000000000000001E-3</v>
      </c>
    </row>
    <row r="166" spans="1:69" s="156" customFormat="1" ht="22.35" customHeight="1" x14ac:dyDescent="0.2">
      <c r="A166" s="165" t="s">
        <v>220</v>
      </c>
      <c r="B166" s="165" t="s">
        <v>221</v>
      </c>
      <c r="C166" s="165" t="s">
        <v>229</v>
      </c>
      <c r="D166" s="166">
        <v>8.2706296171111102</v>
      </c>
      <c r="E166" s="167"/>
      <c r="F166" s="168">
        <v>4.4999999999999998E-2</v>
      </c>
      <c r="G166" s="168">
        <v>3.1E-2</v>
      </c>
      <c r="H166" s="169"/>
      <c r="I166" s="170">
        <v>5</v>
      </c>
      <c r="J166" s="170">
        <v>4</v>
      </c>
      <c r="K166" s="167"/>
      <c r="L166" s="171">
        <v>12902.40545</v>
      </c>
      <c r="M166" s="171">
        <v>201.77823000000001</v>
      </c>
      <c r="N166" s="171">
        <v>13104.18368</v>
      </c>
      <c r="O166" s="166">
        <v>1584.4239539984701</v>
      </c>
      <c r="P166" s="172">
        <v>224.79599999999999</v>
      </c>
      <c r="Q166" s="178">
        <v>7.0482746756991697</v>
      </c>
      <c r="R166" s="179">
        <v>11073.9324146943</v>
      </c>
      <c r="S166" s="168">
        <v>0.01</v>
      </c>
      <c r="T166" s="168">
        <v>0.01</v>
      </c>
      <c r="U166" s="175">
        <v>0</v>
      </c>
      <c r="V166" s="176">
        <v>0</v>
      </c>
      <c r="W166" s="167"/>
      <c r="X166" s="175">
        <v>4739.8393800000003</v>
      </c>
      <c r="Y166" s="166">
        <v>573.09293239220199</v>
      </c>
      <c r="Z166" s="177">
        <v>573</v>
      </c>
      <c r="AA166" s="182">
        <v>1.0001621856757501</v>
      </c>
      <c r="AB166" s="183">
        <v>-435.225901500296</v>
      </c>
      <c r="AC166" s="168">
        <v>0.01</v>
      </c>
      <c r="AD166" s="168">
        <v>1E-3</v>
      </c>
      <c r="AE166" s="176">
        <v>0</v>
      </c>
      <c r="AF166" s="176">
        <v>948</v>
      </c>
      <c r="AG166" s="167"/>
      <c r="AH166" s="180">
        <v>498</v>
      </c>
      <c r="AI166" s="166">
        <v>60.213069990425801</v>
      </c>
      <c r="AJ166" s="181" t="s">
        <v>53</v>
      </c>
      <c r="AK166" s="182">
        <v>0.95576301572104505</v>
      </c>
      <c r="AL166" s="183">
        <v>-70.986235138775996</v>
      </c>
      <c r="AM166" s="168">
        <v>5.0000000000000001E-3</v>
      </c>
      <c r="AN166" s="168"/>
      <c r="AO166" s="176">
        <v>24</v>
      </c>
      <c r="AP166" s="176">
        <v>128</v>
      </c>
      <c r="AQ166" s="167"/>
      <c r="AR166" s="180">
        <v>95.6</v>
      </c>
      <c r="AS166" s="166">
        <v>11.5589748816962</v>
      </c>
      <c r="AT166" s="181" t="s">
        <v>54</v>
      </c>
      <c r="AU166" s="173">
        <v>0.72243593010601204</v>
      </c>
      <c r="AV166" s="174">
        <v>-48.9044406701653</v>
      </c>
      <c r="AW166" s="168"/>
      <c r="AX166" s="168"/>
      <c r="AY166" s="176">
        <v>37</v>
      </c>
      <c r="AZ166" s="176">
        <v>64</v>
      </c>
      <c r="BA166" s="167"/>
      <c r="BB166" s="184">
        <v>360</v>
      </c>
      <c r="BC166" s="180">
        <v>43.527520475006597</v>
      </c>
      <c r="BD166" s="181" t="s">
        <v>55</v>
      </c>
      <c r="BE166" s="178">
        <v>1.3602350148439599</v>
      </c>
      <c r="BF166" s="179">
        <v>70.991118659669297</v>
      </c>
      <c r="BG166" s="168">
        <v>0.02</v>
      </c>
      <c r="BH166" s="168">
        <v>0.02</v>
      </c>
      <c r="BI166" s="176">
        <v>0</v>
      </c>
      <c r="BJ166" s="176">
        <v>0</v>
      </c>
      <c r="BK166" s="169"/>
      <c r="BL166" s="185">
        <v>0.8</v>
      </c>
      <c r="BM166" s="188">
        <v>0.74</v>
      </c>
      <c r="BN166" s="186"/>
      <c r="BO166" s="187">
        <v>0.95</v>
      </c>
      <c r="BP166" s="178">
        <v>1</v>
      </c>
      <c r="BQ166" s="186">
        <v>2.5000000000000001E-3</v>
      </c>
    </row>
    <row r="167" spans="1:69" s="156" customFormat="1" ht="22.35" customHeight="1" x14ac:dyDescent="0.2">
      <c r="A167" s="165" t="s">
        <v>220</v>
      </c>
      <c r="B167" s="165" t="s">
        <v>221</v>
      </c>
      <c r="C167" s="165" t="s">
        <v>230</v>
      </c>
      <c r="D167" s="166">
        <v>2.0619326908888902</v>
      </c>
      <c r="E167" s="167"/>
      <c r="F167" s="168">
        <v>3.5999999999999997E-2</v>
      </c>
      <c r="G167" s="168">
        <v>1.7999999999999999E-2</v>
      </c>
      <c r="H167" s="169"/>
      <c r="I167" s="170">
        <v>3</v>
      </c>
      <c r="J167" s="170">
        <v>3</v>
      </c>
      <c r="K167" s="167"/>
      <c r="L167" s="171">
        <v>-8166.7360500000004</v>
      </c>
      <c r="M167" s="171">
        <v>784.15520000000004</v>
      </c>
      <c r="N167" s="171">
        <v>-7382.5808500000003</v>
      </c>
      <c r="O167" s="166">
        <v>-3580.4179654464901</v>
      </c>
      <c r="P167" s="172">
        <v>225.90199999999999</v>
      </c>
      <c r="Q167" s="173">
        <v>-15.8494301309705</v>
      </c>
      <c r="R167" s="174">
        <v>-7891.2286828610004</v>
      </c>
      <c r="S167" s="168"/>
      <c r="T167" s="168"/>
      <c r="U167" s="175">
        <v>7849</v>
      </c>
      <c r="V167" s="176">
        <v>7942</v>
      </c>
      <c r="W167" s="167"/>
      <c r="X167" s="175">
        <v>883.646885</v>
      </c>
      <c r="Y167" s="166">
        <v>428.55273060298799</v>
      </c>
      <c r="Z167" s="177">
        <v>573</v>
      </c>
      <c r="AA167" s="188">
        <v>0.74791052461254404</v>
      </c>
      <c r="AB167" s="171">
        <v>-406.53739061223303</v>
      </c>
      <c r="AC167" s="168"/>
      <c r="AD167" s="168"/>
      <c r="AE167" s="176">
        <v>298</v>
      </c>
      <c r="AF167" s="176">
        <v>535</v>
      </c>
      <c r="AG167" s="167"/>
      <c r="AH167" s="180">
        <v>146.25</v>
      </c>
      <c r="AI167" s="166">
        <v>70.928600456376898</v>
      </c>
      <c r="AJ167" s="181" t="s">
        <v>53</v>
      </c>
      <c r="AK167" s="178">
        <v>1.12585080089487</v>
      </c>
      <c r="AL167" s="179">
        <v>4.3972785976079098</v>
      </c>
      <c r="AM167" s="168">
        <v>0.02</v>
      </c>
      <c r="AN167" s="168">
        <v>1.2999999999999999E-2</v>
      </c>
      <c r="AO167" s="176">
        <v>0</v>
      </c>
      <c r="AP167" s="176">
        <v>10</v>
      </c>
      <c r="AQ167" s="167"/>
      <c r="AR167" s="180">
        <v>23.1</v>
      </c>
      <c r="AS167" s="166">
        <v>11.203081507981601</v>
      </c>
      <c r="AT167" s="181" t="s">
        <v>54</v>
      </c>
      <c r="AU167" s="173">
        <v>0.70019259424884805</v>
      </c>
      <c r="AV167" s="174">
        <v>-12.926087975210701</v>
      </c>
      <c r="AW167" s="168"/>
      <c r="AX167" s="168"/>
      <c r="AY167" s="176">
        <v>10</v>
      </c>
      <c r="AZ167" s="176">
        <v>17</v>
      </c>
      <c r="BA167" s="167"/>
      <c r="BB167" s="184">
        <v>69.400000000000006</v>
      </c>
      <c r="BC167" s="180">
        <v>33.657742712290997</v>
      </c>
      <c r="BD167" s="181" t="s">
        <v>55</v>
      </c>
      <c r="BE167" s="182">
        <v>1.0518044597590901</v>
      </c>
      <c r="BF167" s="183">
        <v>-2.65217595042138</v>
      </c>
      <c r="BG167" s="168">
        <v>1.6E-2</v>
      </c>
      <c r="BH167" s="168">
        <v>5.0000000000000001E-3</v>
      </c>
      <c r="BI167" s="176">
        <v>0</v>
      </c>
      <c r="BJ167" s="176">
        <v>10</v>
      </c>
      <c r="BK167" s="169"/>
      <c r="BL167" s="185">
        <v>0.8</v>
      </c>
      <c r="BM167" s="173"/>
      <c r="BN167" s="186"/>
      <c r="BO167" s="187">
        <v>0.95</v>
      </c>
      <c r="BP167" s="178">
        <v>1</v>
      </c>
      <c r="BQ167" s="186">
        <v>2.5000000000000001E-3</v>
      </c>
    </row>
    <row r="168" spans="1:69" s="156" customFormat="1" ht="22.35" customHeight="1" x14ac:dyDescent="0.2">
      <c r="A168" s="165" t="s">
        <v>220</v>
      </c>
      <c r="B168" s="165" t="s">
        <v>221</v>
      </c>
      <c r="C168" s="165" t="s">
        <v>231</v>
      </c>
      <c r="D168" s="166">
        <v>2.0199468106666698</v>
      </c>
      <c r="E168" s="167"/>
      <c r="F168" s="168">
        <v>0.05</v>
      </c>
      <c r="G168" s="168">
        <v>0.05</v>
      </c>
      <c r="H168" s="169"/>
      <c r="I168" s="170">
        <v>4</v>
      </c>
      <c r="J168" s="170">
        <v>4</v>
      </c>
      <c r="K168" s="167"/>
      <c r="L168" s="171">
        <v>2445.0452399999999</v>
      </c>
      <c r="M168" s="171">
        <v>484.65165999999999</v>
      </c>
      <c r="N168" s="171">
        <v>2929.6968999999999</v>
      </c>
      <c r="O168" s="166">
        <v>1450.3831905519701</v>
      </c>
      <c r="P168" s="172">
        <v>258.548</v>
      </c>
      <c r="Q168" s="178">
        <v>5.60972504351985</v>
      </c>
      <c r="R168" s="179">
        <v>2359.3963968593598</v>
      </c>
      <c r="S168" s="168">
        <v>0.01</v>
      </c>
      <c r="T168" s="168">
        <v>0.01</v>
      </c>
      <c r="U168" s="175">
        <v>0</v>
      </c>
      <c r="V168" s="176">
        <v>0</v>
      </c>
      <c r="W168" s="167"/>
      <c r="X168" s="175">
        <v>1794.4673250000001</v>
      </c>
      <c r="Y168" s="166">
        <v>888.37355296882799</v>
      </c>
      <c r="Z168" s="177">
        <v>573</v>
      </c>
      <c r="AA168" s="178">
        <v>1.5503901447972599</v>
      </c>
      <c r="AB168" s="179">
        <v>530.554286416894</v>
      </c>
      <c r="AC168" s="168">
        <v>0.02</v>
      </c>
      <c r="AD168" s="168">
        <v>0.02</v>
      </c>
      <c r="AE168" s="176">
        <v>0</v>
      </c>
      <c r="AF168" s="176">
        <v>0</v>
      </c>
      <c r="AG168" s="167"/>
      <c r="AH168" s="180">
        <v>114.85</v>
      </c>
      <c r="AI168" s="166">
        <v>56.857932789871199</v>
      </c>
      <c r="AJ168" s="181" t="s">
        <v>53</v>
      </c>
      <c r="AK168" s="188">
        <v>0.90250686968049498</v>
      </c>
      <c r="AL168" s="171">
        <v>-24.1142607866243</v>
      </c>
      <c r="AM168" s="168"/>
      <c r="AN168" s="168"/>
      <c r="AO168" s="176">
        <v>13</v>
      </c>
      <c r="AP168" s="176">
        <v>38</v>
      </c>
      <c r="AQ168" s="167"/>
      <c r="AR168" s="180">
        <v>23.8</v>
      </c>
      <c r="AS168" s="166">
        <v>11.7824884666864</v>
      </c>
      <c r="AT168" s="181" t="s">
        <v>54</v>
      </c>
      <c r="AU168" s="188">
        <v>0.73640552916790103</v>
      </c>
      <c r="AV168" s="171">
        <v>-11.4925106759681</v>
      </c>
      <c r="AW168" s="168"/>
      <c r="AX168" s="168"/>
      <c r="AY168" s="176">
        <v>9</v>
      </c>
      <c r="AZ168" s="176">
        <v>15</v>
      </c>
      <c r="BA168" s="167"/>
      <c r="BB168" s="184">
        <v>104</v>
      </c>
      <c r="BC168" s="180">
        <v>51.486504224175903</v>
      </c>
      <c r="BD168" s="181" t="s">
        <v>55</v>
      </c>
      <c r="BE168" s="178">
        <v>1.6089532570055001</v>
      </c>
      <c r="BF168" s="179">
        <v>33.414978648063901</v>
      </c>
      <c r="BG168" s="168">
        <v>0.02</v>
      </c>
      <c r="BH168" s="168">
        <v>0.02</v>
      </c>
      <c r="BI168" s="176">
        <v>0</v>
      </c>
      <c r="BJ168" s="176">
        <v>0</v>
      </c>
      <c r="BK168" s="169"/>
      <c r="BL168" s="185">
        <v>0.8</v>
      </c>
      <c r="BM168" s="188">
        <v>0.76</v>
      </c>
      <c r="BN168" s="186"/>
      <c r="BO168" s="187">
        <v>0.95</v>
      </c>
      <c r="BP168" s="178">
        <v>1</v>
      </c>
      <c r="BQ168" s="186">
        <v>2.5000000000000001E-3</v>
      </c>
    </row>
    <row r="169" spans="1:69" s="156" customFormat="1" ht="22.35" customHeight="1" x14ac:dyDescent="0.2">
      <c r="A169" s="165" t="s">
        <v>220</v>
      </c>
      <c r="B169" s="165" t="s">
        <v>221</v>
      </c>
      <c r="C169" s="165" t="s">
        <v>232</v>
      </c>
      <c r="D169" s="166">
        <v>1.8614832398888901</v>
      </c>
      <c r="E169" s="167"/>
      <c r="F169" s="168">
        <v>4.5999999999999999E-2</v>
      </c>
      <c r="G169" s="168">
        <v>0.04</v>
      </c>
      <c r="H169" s="169"/>
      <c r="I169" s="170">
        <v>5</v>
      </c>
      <c r="J169" s="170">
        <v>4</v>
      </c>
      <c r="K169" s="167"/>
      <c r="L169" s="171">
        <v>1295.2726700000001</v>
      </c>
      <c r="M169" s="171">
        <v>678.41827999999998</v>
      </c>
      <c r="N169" s="171">
        <v>1973.6909499999999</v>
      </c>
      <c r="O169" s="166">
        <v>1060.27865720554</v>
      </c>
      <c r="P169" s="172">
        <v>266.29899999999998</v>
      </c>
      <c r="Q169" s="178">
        <v>3.9815345052198499</v>
      </c>
      <c r="R169" s="179">
        <v>1432.3744011732999</v>
      </c>
      <c r="S169" s="168">
        <v>0.01</v>
      </c>
      <c r="T169" s="168">
        <v>0.01</v>
      </c>
      <c r="U169" s="175">
        <v>0</v>
      </c>
      <c r="V169" s="176">
        <v>0</v>
      </c>
      <c r="W169" s="167"/>
      <c r="X169" s="175">
        <v>1028.2102050000001</v>
      </c>
      <c r="Y169" s="166">
        <v>552.360710516724</v>
      </c>
      <c r="Z169" s="177">
        <v>573</v>
      </c>
      <c r="AA169" s="182">
        <v>0.96398029758590598</v>
      </c>
      <c r="AB169" s="183">
        <v>-136.54964193031699</v>
      </c>
      <c r="AC169" s="168">
        <v>6.0000000000000001E-3</v>
      </c>
      <c r="AD169" s="168"/>
      <c r="AE169" s="176">
        <v>39</v>
      </c>
      <c r="AF169" s="176">
        <v>252</v>
      </c>
      <c r="AG169" s="167"/>
      <c r="AH169" s="180">
        <v>106.1</v>
      </c>
      <c r="AI169" s="166">
        <v>56.997558573953697</v>
      </c>
      <c r="AJ169" s="181" t="s">
        <v>53</v>
      </c>
      <c r="AK169" s="188">
        <v>0.90472315196751896</v>
      </c>
      <c r="AL169" s="171">
        <v>-21.9626009713961</v>
      </c>
      <c r="AM169" s="168"/>
      <c r="AN169" s="168"/>
      <c r="AO169" s="176">
        <v>12</v>
      </c>
      <c r="AP169" s="176">
        <v>35</v>
      </c>
      <c r="AQ169" s="167"/>
      <c r="AR169" s="180">
        <v>47.6</v>
      </c>
      <c r="AS169" s="166">
        <v>25.571006485581499</v>
      </c>
      <c r="AT169" s="181" t="s">
        <v>54</v>
      </c>
      <c r="AU169" s="178">
        <v>1.5981879053488399</v>
      </c>
      <c r="AV169" s="179">
        <v>15.0761648326613</v>
      </c>
      <c r="AW169" s="168">
        <v>0.01</v>
      </c>
      <c r="AX169" s="168">
        <v>0.01</v>
      </c>
      <c r="AY169" s="176">
        <v>0</v>
      </c>
      <c r="AZ169" s="176">
        <v>0</v>
      </c>
      <c r="BA169" s="167"/>
      <c r="BB169" s="184">
        <v>94</v>
      </c>
      <c r="BC169" s="180">
        <v>50.497365748837403</v>
      </c>
      <c r="BD169" s="181" t="s">
        <v>55</v>
      </c>
      <c r="BE169" s="178">
        <v>1.57804267965117</v>
      </c>
      <c r="BF169" s="179">
        <v>28.952329665322601</v>
      </c>
      <c r="BG169" s="168">
        <v>0.02</v>
      </c>
      <c r="BH169" s="168">
        <v>0.02</v>
      </c>
      <c r="BI169" s="176">
        <v>0</v>
      </c>
      <c r="BJ169" s="176">
        <v>0</v>
      </c>
      <c r="BK169" s="169"/>
      <c r="BL169" s="185">
        <v>0.8</v>
      </c>
      <c r="BM169" s="188">
        <v>0.76</v>
      </c>
      <c r="BN169" s="186"/>
      <c r="BO169" s="187">
        <v>0.95</v>
      </c>
      <c r="BP169" s="178">
        <v>1</v>
      </c>
      <c r="BQ169" s="186">
        <v>2.5000000000000001E-3</v>
      </c>
    </row>
    <row r="170" spans="1:69" s="156" customFormat="1" ht="22.35" customHeight="1" x14ac:dyDescent="0.2">
      <c r="A170" s="165" t="s">
        <v>220</v>
      </c>
      <c r="B170" s="165" t="s">
        <v>221</v>
      </c>
      <c r="C170" s="165" t="s">
        <v>233</v>
      </c>
      <c r="D170" s="166">
        <v>10.3992394423333</v>
      </c>
      <c r="E170" s="167"/>
      <c r="F170" s="168">
        <v>0.06</v>
      </c>
      <c r="G170" s="168">
        <v>0.06</v>
      </c>
      <c r="H170" s="169"/>
      <c r="I170" s="170">
        <v>5</v>
      </c>
      <c r="J170" s="170">
        <v>5</v>
      </c>
      <c r="K170" s="167"/>
      <c r="L170" s="171">
        <v>9145.5505599999997</v>
      </c>
      <c r="M170" s="171">
        <v>5923.8511600000002</v>
      </c>
      <c r="N170" s="171">
        <v>15069.40172</v>
      </c>
      <c r="O170" s="166">
        <v>1449.0869071304701</v>
      </c>
      <c r="P170" s="172">
        <v>287.5</v>
      </c>
      <c r="Q170" s="178">
        <v>5.0403022856712001</v>
      </c>
      <c r="R170" s="179">
        <v>11804.560497079499</v>
      </c>
      <c r="S170" s="168">
        <v>0.01</v>
      </c>
      <c r="T170" s="168">
        <v>0.01</v>
      </c>
      <c r="U170" s="175">
        <v>0</v>
      </c>
      <c r="V170" s="176">
        <v>0</v>
      </c>
      <c r="W170" s="167"/>
      <c r="X170" s="175">
        <v>4151.0401000000002</v>
      </c>
      <c r="Y170" s="166">
        <v>399.16766250249998</v>
      </c>
      <c r="Z170" s="177">
        <v>573</v>
      </c>
      <c r="AA170" s="173">
        <v>0.696627683250436</v>
      </c>
      <c r="AB170" s="174">
        <v>-2355.93040689904</v>
      </c>
      <c r="AC170" s="168"/>
      <c r="AD170" s="168"/>
      <c r="AE170" s="176">
        <v>1808</v>
      </c>
      <c r="AF170" s="176">
        <v>3000</v>
      </c>
      <c r="AG170" s="167"/>
      <c r="AH170" s="180">
        <v>850.8</v>
      </c>
      <c r="AI170" s="166">
        <v>81.813675386351306</v>
      </c>
      <c r="AJ170" s="181" t="s">
        <v>53</v>
      </c>
      <c r="AK170" s="178">
        <v>1.29862976803732</v>
      </c>
      <c r="AL170" s="179">
        <v>135.37392332523601</v>
      </c>
      <c r="AM170" s="168">
        <v>0.02</v>
      </c>
      <c r="AN170" s="168">
        <v>0.02</v>
      </c>
      <c r="AO170" s="176">
        <v>0</v>
      </c>
      <c r="AP170" s="176">
        <v>0</v>
      </c>
      <c r="AQ170" s="167"/>
      <c r="AR170" s="180">
        <v>413.2</v>
      </c>
      <c r="AS170" s="166">
        <v>39.733674976069999</v>
      </c>
      <c r="AT170" s="181" t="s">
        <v>54</v>
      </c>
      <c r="AU170" s="178">
        <v>2.48335468600437</v>
      </c>
      <c r="AV170" s="179">
        <v>231.50448846355201</v>
      </c>
      <c r="AW170" s="168">
        <v>0.01</v>
      </c>
      <c r="AX170" s="168">
        <v>0.01</v>
      </c>
      <c r="AY170" s="176">
        <v>0</v>
      </c>
      <c r="AZ170" s="176">
        <v>0</v>
      </c>
      <c r="BA170" s="167"/>
      <c r="BB170" s="184">
        <v>782</v>
      </c>
      <c r="BC170" s="180">
        <v>75.197806948902993</v>
      </c>
      <c r="BD170" s="181" t="s">
        <v>55</v>
      </c>
      <c r="BE170" s="178">
        <v>2.3499314671532199</v>
      </c>
      <c r="BF170" s="179">
        <v>418.60897692710398</v>
      </c>
      <c r="BG170" s="168">
        <v>0.02</v>
      </c>
      <c r="BH170" s="168">
        <v>0.02</v>
      </c>
      <c r="BI170" s="176">
        <v>0</v>
      </c>
      <c r="BJ170" s="176">
        <v>0</v>
      </c>
      <c r="BK170" s="169"/>
      <c r="BL170" s="185">
        <v>0.8</v>
      </c>
      <c r="BM170" s="188">
        <v>0.75</v>
      </c>
      <c r="BN170" s="186"/>
      <c r="BO170" s="187">
        <v>0.95</v>
      </c>
      <c r="BP170" s="178">
        <v>1</v>
      </c>
      <c r="BQ170" s="186">
        <v>2.5000000000000001E-3</v>
      </c>
    </row>
    <row r="171" spans="1:69" s="156" customFormat="1" ht="22.35" customHeight="1" x14ac:dyDescent="0.2">
      <c r="A171" s="165" t="s">
        <v>220</v>
      </c>
      <c r="B171" s="165" t="s">
        <v>221</v>
      </c>
      <c r="C171" s="165" t="s">
        <v>234</v>
      </c>
      <c r="D171" s="166">
        <v>4.7502856914444402</v>
      </c>
      <c r="E171" s="167"/>
      <c r="F171" s="168">
        <v>2.7E-2</v>
      </c>
      <c r="G171" s="168">
        <v>1.6E-2</v>
      </c>
      <c r="H171" s="169"/>
      <c r="I171" s="170">
        <v>3</v>
      </c>
      <c r="J171" s="170">
        <v>3</v>
      </c>
      <c r="K171" s="167"/>
      <c r="L171" s="171">
        <v>1660.1143099999999</v>
      </c>
      <c r="M171" s="171">
        <v>1296.6723500000001</v>
      </c>
      <c r="N171" s="171">
        <v>2956.7866600000002</v>
      </c>
      <c r="O171" s="166">
        <v>622.44396485991399</v>
      </c>
      <c r="P171" s="172">
        <v>266.29899999999998</v>
      </c>
      <c r="Q171" s="178">
        <v>2.33738754129724</v>
      </c>
      <c r="R171" s="179">
        <v>1575.41066835421</v>
      </c>
      <c r="S171" s="168">
        <v>0.01</v>
      </c>
      <c r="T171" s="168">
        <v>0.01</v>
      </c>
      <c r="U171" s="175">
        <v>0</v>
      </c>
      <c r="V171" s="176">
        <v>0</v>
      </c>
      <c r="W171" s="167"/>
      <c r="X171" s="175">
        <v>2123.9812449999999</v>
      </c>
      <c r="Y171" s="166">
        <v>447.12705360551701</v>
      </c>
      <c r="Z171" s="177">
        <v>573</v>
      </c>
      <c r="AA171" s="188">
        <v>0.78032644608292601</v>
      </c>
      <c r="AB171" s="171">
        <v>-848.34851670784894</v>
      </c>
      <c r="AC171" s="168"/>
      <c r="AD171" s="168"/>
      <c r="AE171" s="176">
        <v>598</v>
      </c>
      <c r="AF171" s="176">
        <v>1143</v>
      </c>
      <c r="AG171" s="167"/>
      <c r="AH171" s="180">
        <v>218.8</v>
      </c>
      <c r="AI171" s="166">
        <v>46.060387566598799</v>
      </c>
      <c r="AJ171" s="181" t="s">
        <v>53</v>
      </c>
      <c r="AK171" s="188">
        <v>0.73111726296188595</v>
      </c>
      <c r="AL171" s="171">
        <v>-108.00065442861199</v>
      </c>
      <c r="AM171" s="168"/>
      <c r="AN171" s="168"/>
      <c r="AO171" s="176">
        <v>81</v>
      </c>
      <c r="AP171" s="176">
        <v>141</v>
      </c>
      <c r="AQ171" s="167"/>
      <c r="AR171" s="180">
        <v>48.3</v>
      </c>
      <c r="AS171" s="166">
        <v>10.1678095039612</v>
      </c>
      <c r="AT171" s="181" t="s">
        <v>54</v>
      </c>
      <c r="AU171" s="173">
        <v>0.635488093997578</v>
      </c>
      <c r="AV171" s="174">
        <v>-34.696991600917301</v>
      </c>
      <c r="AW171" s="168"/>
      <c r="AX171" s="168"/>
      <c r="AY171" s="176">
        <v>28</v>
      </c>
      <c r="AZ171" s="176">
        <v>43</v>
      </c>
      <c r="BA171" s="167"/>
      <c r="BB171" s="184">
        <v>161.19999999999999</v>
      </c>
      <c r="BC171" s="180">
        <v>33.934801077402803</v>
      </c>
      <c r="BD171" s="181" t="s">
        <v>55</v>
      </c>
      <c r="BE171" s="182">
        <v>1.06046253366884</v>
      </c>
      <c r="BF171" s="183">
        <v>-4.7939832018345196</v>
      </c>
      <c r="BG171" s="168">
        <v>1.7000000000000001E-2</v>
      </c>
      <c r="BH171" s="168">
        <v>6.0000000000000001E-3</v>
      </c>
      <c r="BI171" s="176">
        <v>0</v>
      </c>
      <c r="BJ171" s="176">
        <v>22</v>
      </c>
      <c r="BK171" s="169"/>
      <c r="BL171" s="185">
        <v>0.8</v>
      </c>
      <c r="BM171" s="188">
        <v>0.74</v>
      </c>
      <c r="BN171" s="186"/>
      <c r="BO171" s="187">
        <v>0.95</v>
      </c>
      <c r="BP171" s="178">
        <v>1</v>
      </c>
      <c r="BQ171" s="186">
        <v>2.5000000000000001E-3</v>
      </c>
    </row>
    <row r="172" spans="1:69" s="156" customFormat="1" ht="22.35" customHeight="1" x14ac:dyDescent="0.2">
      <c r="A172" s="165" t="s">
        <v>220</v>
      </c>
      <c r="B172" s="165" t="s">
        <v>221</v>
      </c>
      <c r="C172" s="165" t="s">
        <v>235</v>
      </c>
      <c r="D172" s="166">
        <v>3.3012442740000001</v>
      </c>
      <c r="E172" s="167"/>
      <c r="F172" s="168">
        <v>0.04</v>
      </c>
      <c r="G172" s="168">
        <v>3.3000000000000002E-2</v>
      </c>
      <c r="H172" s="169"/>
      <c r="I172" s="170">
        <v>4</v>
      </c>
      <c r="J172" s="170">
        <v>4</v>
      </c>
      <c r="K172" s="167"/>
      <c r="L172" s="171">
        <v>-160.31943000000001</v>
      </c>
      <c r="M172" s="171">
        <v>3099.4711299999999</v>
      </c>
      <c r="N172" s="171">
        <v>2939.1516999999999</v>
      </c>
      <c r="O172" s="166">
        <v>890.31633410112204</v>
      </c>
      <c r="P172" s="172">
        <v>263.185</v>
      </c>
      <c r="Q172" s="178">
        <v>3.38285363565979</v>
      </c>
      <c r="R172" s="179">
        <v>1990.38063211606</v>
      </c>
      <c r="S172" s="168">
        <v>0.01</v>
      </c>
      <c r="T172" s="168">
        <v>0.01</v>
      </c>
      <c r="U172" s="175">
        <v>0</v>
      </c>
      <c r="V172" s="176">
        <v>0</v>
      </c>
      <c r="W172" s="167"/>
      <c r="X172" s="175">
        <v>1594.5323149999999</v>
      </c>
      <c r="Y172" s="166">
        <v>483.00949056034602</v>
      </c>
      <c r="Z172" s="177">
        <v>573</v>
      </c>
      <c r="AA172" s="188">
        <v>0.84294850010531597</v>
      </c>
      <c r="AB172" s="171">
        <v>-471.10904715018398</v>
      </c>
      <c r="AC172" s="168"/>
      <c r="AD172" s="168"/>
      <c r="AE172" s="176">
        <v>298</v>
      </c>
      <c r="AF172" s="176">
        <v>676</v>
      </c>
      <c r="AG172" s="167"/>
      <c r="AH172" s="180">
        <v>162.80000000000001</v>
      </c>
      <c r="AI172" s="166">
        <v>49.314739076469799</v>
      </c>
      <c r="AJ172" s="181" t="s">
        <v>53</v>
      </c>
      <c r="AK172" s="188">
        <v>0.78277363613444095</v>
      </c>
      <c r="AL172" s="171">
        <v>-64.312401074104002</v>
      </c>
      <c r="AM172" s="168"/>
      <c r="AN172" s="168"/>
      <c r="AO172" s="176">
        <v>46</v>
      </c>
      <c r="AP172" s="176">
        <v>87</v>
      </c>
      <c r="AQ172" s="167"/>
      <c r="AR172" s="180">
        <v>66.8</v>
      </c>
      <c r="AS172" s="166">
        <v>20.234794657912701</v>
      </c>
      <c r="AT172" s="181" t="s">
        <v>54</v>
      </c>
      <c r="AU172" s="178">
        <v>1.26467466611954</v>
      </c>
      <c r="AV172" s="179">
        <v>9.1206600446719897</v>
      </c>
      <c r="AW172" s="168">
        <v>0.01</v>
      </c>
      <c r="AX172" s="168">
        <v>0.01</v>
      </c>
      <c r="AY172" s="176">
        <v>0</v>
      </c>
      <c r="AZ172" s="176">
        <v>0</v>
      </c>
      <c r="BA172" s="167"/>
      <c r="BB172" s="184">
        <v>119.8</v>
      </c>
      <c r="BC172" s="180">
        <v>36.289347305657699</v>
      </c>
      <c r="BD172" s="181" t="s">
        <v>55</v>
      </c>
      <c r="BE172" s="178">
        <v>1.1340421033018</v>
      </c>
      <c r="BF172" s="179">
        <v>4.4413200893439901</v>
      </c>
      <c r="BG172" s="168">
        <v>0.02</v>
      </c>
      <c r="BH172" s="168">
        <v>1.2999999999999999E-2</v>
      </c>
      <c r="BI172" s="176">
        <v>0</v>
      </c>
      <c r="BJ172" s="176">
        <v>7</v>
      </c>
      <c r="BK172" s="169"/>
      <c r="BL172" s="185">
        <v>0.8</v>
      </c>
      <c r="BM172" s="188">
        <v>0.75</v>
      </c>
      <c r="BN172" s="186"/>
      <c r="BO172" s="187">
        <v>0.95</v>
      </c>
      <c r="BP172" s="178">
        <v>1</v>
      </c>
      <c r="BQ172" s="186">
        <v>2.5000000000000001E-3</v>
      </c>
    </row>
    <row r="173" spans="1:69" s="156" customFormat="1" ht="22.35" customHeight="1" x14ac:dyDescent="0.2">
      <c r="A173" s="165" t="s">
        <v>220</v>
      </c>
      <c r="B173" s="165" t="s">
        <v>221</v>
      </c>
      <c r="C173" s="165" t="s">
        <v>236</v>
      </c>
      <c r="D173" s="166">
        <v>3.9852030364444402</v>
      </c>
      <c r="E173" s="167"/>
      <c r="F173" s="168">
        <v>1.4E-2</v>
      </c>
      <c r="G173" s="168">
        <v>0.01</v>
      </c>
      <c r="H173" s="169"/>
      <c r="I173" s="170">
        <v>3</v>
      </c>
      <c r="J173" s="170">
        <v>2</v>
      </c>
      <c r="K173" s="167"/>
      <c r="L173" s="171">
        <v>1912.05888</v>
      </c>
      <c r="M173" s="171">
        <v>-623.57795999999996</v>
      </c>
      <c r="N173" s="171">
        <v>1288.48092</v>
      </c>
      <c r="O173" s="166">
        <v>323.31625470946398</v>
      </c>
      <c r="P173" s="172">
        <v>254.727</v>
      </c>
      <c r="Q173" s="178">
        <v>1.2692657421846301</v>
      </c>
      <c r="R173" s="179">
        <v>179.94933526009399</v>
      </c>
      <c r="S173" s="168">
        <v>0.01</v>
      </c>
      <c r="T173" s="168">
        <v>0.01</v>
      </c>
      <c r="U173" s="175">
        <v>0</v>
      </c>
      <c r="V173" s="176">
        <v>0</v>
      </c>
      <c r="W173" s="167"/>
      <c r="X173" s="175">
        <v>1279.9856400000001</v>
      </c>
      <c r="Y173" s="166">
        <v>321.18454901660101</v>
      </c>
      <c r="Z173" s="177">
        <v>573</v>
      </c>
      <c r="AA173" s="173">
        <v>0.56053149915637301</v>
      </c>
      <c r="AB173" s="174">
        <v>-1213.6196631518701</v>
      </c>
      <c r="AC173" s="168"/>
      <c r="AD173" s="168"/>
      <c r="AE173" s="176">
        <v>1004</v>
      </c>
      <c r="AF173" s="176">
        <v>1461</v>
      </c>
      <c r="AG173" s="167"/>
      <c r="AH173" s="180">
        <v>139</v>
      </c>
      <c r="AI173" s="166">
        <v>34.879025918843602</v>
      </c>
      <c r="AJ173" s="181" t="s">
        <v>53</v>
      </c>
      <c r="AK173" s="173">
        <v>0.55363533204513604</v>
      </c>
      <c r="AL173" s="174">
        <v>-135.16602809523201</v>
      </c>
      <c r="AM173" s="168"/>
      <c r="AN173" s="168"/>
      <c r="AO173" s="176">
        <v>113</v>
      </c>
      <c r="AP173" s="176">
        <v>163</v>
      </c>
      <c r="AQ173" s="167"/>
      <c r="AR173" s="180">
        <v>49.5</v>
      </c>
      <c r="AS173" s="166">
        <v>12.4209480790126</v>
      </c>
      <c r="AT173" s="181" t="s">
        <v>54</v>
      </c>
      <c r="AU173" s="188">
        <v>0.77630925493828995</v>
      </c>
      <c r="AV173" s="171">
        <v>-20.1294674527573</v>
      </c>
      <c r="AW173" s="168"/>
      <c r="AX173" s="168"/>
      <c r="AY173" s="176">
        <v>15</v>
      </c>
      <c r="AZ173" s="176">
        <v>28</v>
      </c>
      <c r="BA173" s="167"/>
      <c r="BB173" s="184">
        <v>120.4</v>
      </c>
      <c r="BC173" s="180">
        <v>30.2117605800631</v>
      </c>
      <c r="BD173" s="181" t="s">
        <v>55</v>
      </c>
      <c r="BE173" s="182">
        <v>0.94411751812697198</v>
      </c>
      <c r="BF173" s="183">
        <v>-18.858934905514499</v>
      </c>
      <c r="BG173" s="168">
        <v>4.0000000000000001E-3</v>
      </c>
      <c r="BH173" s="168"/>
      <c r="BI173" s="176">
        <v>8</v>
      </c>
      <c r="BJ173" s="176">
        <v>33</v>
      </c>
      <c r="BK173" s="169"/>
      <c r="BL173" s="185">
        <v>0.8</v>
      </c>
      <c r="BM173" s="188">
        <v>0.73</v>
      </c>
      <c r="BN173" s="186"/>
      <c r="BO173" s="187">
        <v>0.95</v>
      </c>
      <c r="BP173" s="178">
        <v>1</v>
      </c>
      <c r="BQ173" s="186">
        <v>2.5000000000000001E-3</v>
      </c>
    </row>
    <row r="174" spans="1:69" s="156" customFormat="1" ht="22.35" customHeight="1" x14ac:dyDescent="0.2">
      <c r="A174" s="165" t="s">
        <v>220</v>
      </c>
      <c r="B174" s="165" t="s">
        <v>221</v>
      </c>
      <c r="C174" s="165" t="s">
        <v>237</v>
      </c>
      <c r="D174" s="166">
        <v>3.0016649496666701</v>
      </c>
      <c r="E174" s="167"/>
      <c r="F174" s="168">
        <v>0.03</v>
      </c>
      <c r="G174" s="168">
        <v>0.03</v>
      </c>
      <c r="H174" s="169"/>
      <c r="I174" s="170">
        <v>3</v>
      </c>
      <c r="J174" s="170">
        <v>3</v>
      </c>
      <c r="K174" s="167"/>
      <c r="L174" s="171">
        <v>1080.3042600000001</v>
      </c>
      <c r="M174" s="171">
        <v>1682.3215499999999</v>
      </c>
      <c r="N174" s="171">
        <v>2762.62581</v>
      </c>
      <c r="O174" s="166">
        <v>920.36448315352095</v>
      </c>
      <c r="P174" s="172">
        <v>242.02199999999999</v>
      </c>
      <c r="Q174" s="178">
        <v>3.8028133109945399</v>
      </c>
      <c r="R174" s="179">
        <v>1969.3217117425399</v>
      </c>
      <c r="S174" s="168">
        <v>0.01</v>
      </c>
      <c r="T174" s="168">
        <v>0.01</v>
      </c>
      <c r="U174" s="175">
        <v>0</v>
      </c>
      <c r="V174" s="176">
        <v>0</v>
      </c>
      <c r="W174" s="167"/>
      <c r="X174" s="175">
        <v>1194.6413299999999</v>
      </c>
      <c r="Y174" s="166">
        <v>397.99289728610898</v>
      </c>
      <c r="Z174" s="177">
        <v>573</v>
      </c>
      <c r="AA174" s="173">
        <v>0.69457748217471105</v>
      </c>
      <c r="AB174" s="174">
        <v>-683.54845564563004</v>
      </c>
      <c r="AC174" s="168"/>
      <c r="AD174" s="168"/>
      <c r="AE174" s="176">
        <v>526</v>
      </c>
      <c r="AF174" s="176">
        <v>870</v>
      </c>
      <c r="AG174" s="167"/>
      <c r="AH174" s="180">
        <v>124.4</v>
      </c>
      <c r="AI174" s="166">
        <v>41.443666127298599</v>
      </c>
      <c r="AJ174" s="181" t="s">
        <v>53</v>
      </c>
      <c r="AK174" s="173">
        <v>0.65783597027458096</v>
      </c>
      <c r="AL174" s="174">
        <v>-82.102541877268195</v>
      </c>
      <c r="AM174" s="168"/>
      <c r="AN174" s="168"/>
      <c r="AO174" s="176">
        <v>65</v>
      </c>
      <c r="AP174" s="176">
        <v>103</v>
      </c>
      <c r="AQ174" s="167"/>
      <c r="AR174" s="180">
        <v>25.4</v>
      </c>
      <c r="AS174" s="166">
        <v>8.4619704150593709</v>
      </c>
      <c r="AT174" s="181" t="s">
        <v>54</v>
      </c>
      <c r="AU174" s="173">
        <v>0.52887315094121101</v>
      </c>
      <c r="AV174" s="174">
        <v>-27.045090000576099</v>
      </c>
      <c r="AW174" s="168"/>
      <c r="AX174" s="168"/>
      <c r="AY174" s="176">
        <v>23</v>
      </c>
      <c r="AZ174" s="176">
        <v>33</v>
      </c>
      <c r="BA174" s="167"/>
      <c r="BB174" s="184">
        <v>121.2</v>
      </c>
      <c r="BC174" s="180">
        <v>40.3775911143778</v>
      </c>
      <c r="BD174" s="181" t="s">
        <v>55</v>
      </c>
      <c r="BE174" s="178">
        <v>1.26179972232431</v>
      </c>
      <c r="BF174" s="179">
        <v>16.3098199988479</v>
      </c>
      <c r="BG174" s="168">
        <v>0.02</v>
      </c>
      <c r="BH174" s="168">
        <v>0.02</v>
      </c>
      <c r="BI174" s="176">
        <v>0</v>
      </c>
      <c r="BJ174" s="176">
        <v>0</v>
      </c>
      <c r="BK174" s="169"/>
      <c r="BL174" s="185">
        <v>0.8</v>
      </c>
      <c r="BM174" s="188">
        <v>0.78</v>
      </c>
      <c r="BN174" s="186"/>
      <c r="BO174" s="187">
        <v>0.95</v>
      </c>
      <c r="BP174" s="178">
        <v>1</v>
      </c>
      <c r="BQ174" s="186">
        <v>2.5000000000000001E-3</v>
      </c>
    </row>
    <row r="175" spans="1:69" s="156" customFormat="1" ht="22.35" customHeight="1" x14ac:dyDescent="0.2">
      <c r="A175" s="165" t="s">
        <v>220</v>
      </c>
      <c r="B175" s="165" t="s">
        <v>221</v>
      </c>
      <c r="C175" s="165" t="s">
        <v>238</v>
      </c>
      <c r="D175" s="166">
        <v>2.70658970644444</v>
      </c>
      <c r="E175" s="167"/>
      <c r="F175" s="168">
        <v>6.8500000000000005E-2</v>
      </c>
      <c r="G175" s="168">
        <v>4.8000000000000001E-2</v>
      </c>
      <c r="H175" s="169"/>
      <c r="I175" s="170">
        <v>6</v>
      </c>
      <c r="J175" s="170">
        <v>5</v>
      </c>
      <c r="K175" s="167"/>
      <c r="L175" s="171">
        <v>1337.0304599999999</v>
      </c>
      <c r="M175" s="171">
        <v>741.23098000000005</v>
      </c>
      <c r="N175" s="171">
        <v>2078.2614400000002</v>
      </c>
      <c r="O175" s="166">
        <v>767.85241407355397</v>
      </c>
      <c r="P175" s="172">
        <v>222.28899999999999</v>
      </c>
      <c r="Q175" s="178">
        <v>3.4542978468280201</v>
      </c>
      <c r="R175" s="179">
        <v>1421.2649697726399</v>
      </c>
      <c r="S175" s="168">
        <v>0.01</v>
      </c>
      <c r="T175" s="168">
        <v>0.01</v>
      </c>
      <c r="U175" s="175">
        <v>0</v>
      </c>
      <c r="V175" s="176">
        <v>0</v>
      </c>
      <c r="W175" s="167"/>
      <c r="X175" s="175">
        <v>1766.9174949999999</v>
      </c>
      <c r="Y175" s="166">
        <v>652.82059219871201</v>
      </c>
      <c r="Z175" s="177">
        <v>573</v>
      </c>
      <c r="AA175" s="178">
        <v>1.1393029532263701</v>
      </c>
      <c r="AB175" s="179">
        <v>73.361010242411098</v>
      </c>
      <c r="AC175" s="168">
        <v>0.02</v>
      </c>
      <c r="AD175" s="168">
        <v>1.4E-2</v>
      </c>
      <c r="AE175" s="176">
        <v>0</v>
      </c>
      <c r="AF175" s="176">
        <v>95</v>
      </c>
      <c r="AG175" s="167"/>
      <c r="AH175" s="180">
        <v>177.85</v>
      </c>
      <c r="AI175" s="166">
        <v>65.709996449234794</v>
      </c>
      <c r="AJ175" s="181" t="s">
        <v>53</v>
      </c>
      <c r="AK175" s="182">
        <v>1.04301581665452</v>
      </c>
      <c r="AL175" s="183">
        <v>-8.35254544455168</v>
      </c>
      <c r="AM175" s="168">
        <v>1.4999999999999999E-2</v>
      </c>
      <c r="AN175" s="168">
        <v>4.0000000000000001E-3</v>
      </c>
      <c r="AO175" s="176">
        <v>0</v>
      </c>
      <c r="AP175" s="176">
        <v>27</v>
      </c>
      <c r="AQ175" s="167"/>
      <c r="AR175" s="180">
        <v>42.1</v>
      </c>
      <c r="AS175" s="166">
        <v>15.5546294659139</v>
      </c>
      <c r="AT175" s="181" t="s">
        <v>54</v>
      </c>
      <c r="AU175" s="182">
        <v>0.97216434161961796</v>
      </c>
      <c r="AV175" s="183">
        <v>-5.1895353509972502</v>
      </c>
      <c r="AW175" s="168">
        <v>3.5000000000000001E-3</v>
      </c>
      <c r="AX175" s="168"/>
      <c r="AY175" s="176">
        <v>2</v>
      </c>
      <c r="AZ175" s="176">
        <v>10</v>
      </c>
      <c r="BA175" s="167"/>
      <c r="BB175" s="184">
        <v>113.8</v>
      </c>
      <c r="BC175" s="180">
        <v>42.045530480308798</v>
      </c>
      <c r="BD175" s="181" t="s">
        <v>55</v>
      </c>
      <c r="BE175" s="178">
        <v>1.3139228275096499</v>
      </c>
      <c r="BF175" s="179">
        <v>19.220929298005501</v>
      </c>
      <c r="BG175" s="168">
        <v>0.02</v>
      </c>
      <c r="BH175" s="168">
        <v>0.02</v>
      </c>
      <c r="BI175" s="176">
        <v>0</v>
      </c>
      <c r="BJ175" s="176">
        <v>0</v>
      </c>
      <c r="BK175" s="169"/>
      <c r="BL175" s="185">
        <v>0.8</v>
      </c>
      <c r="BM175" s="188">
        <v>0.76</v>
      </c>
      <c r="BN175" s="186"/>
      <c r="BO175" s="187">
        <v>0.95</v>
      </c>
      <c r="BP175" s="178">
        <v>1</v>
      </c>
      <c r="BQ175" s="186">
        <v>2.5000000000000001E-3</v>
      </c>
    </row>
    <row r="176" spans="1:69" s="156" customFormat="1" ht="22.35" customHeight="1" x14ac:dyDescent="0.2">
      <c r="A176" s="165" t="s">
        <v>220</v>
      </c>
      <c r="B176" s="165" t="s">
        <v>221</v>
      </c>
      <c r="C176" s="165" t="s">
        <v>239</v>
      </c>
      <c r="D176" s="166">
        <v>4.3740007442222204</v>
      </c>
      <c r="E176" s="167"/>
      <c r="F176" s="168">
        <v>3.9E-2</v>
      </c>
      <c r="G176" s="168">
        <v>3.4000000000000002E-2</v>
      </c>
      <c r="H176" s="169"/>
      <c r="I176" s="170">
        <v>4</v>
      </c>
      <c r="J176" s="170">
        <v>4</v>
      </c>
      <c r="K176" s="167"/>
      <c r="L176" s="171">
        <v>2529.1537899999998</v>
      </c>
      <c r="M176" s="171">
        <v>2452.5042699999999</v>
      </c>
      <c r="N176" s="171">
        <v>4981.6580599999998</v>
      </c>
      <c r="O176" s="166">
        <v>1138.9248313641599</v>
      </c>
      <c r="P176" s="172">
        <v>258.548</v>
      </c>
      <c r="Q176" s="178">
        <v>4.4050808026523498</v>
      </c>
      <c r="R176" s="179">
        <v>3746.7271142964501</v>
      </c>
      <c r="S176" s="168">
        <v>0.01</v>
      </c>
      <c r="T176" s="168">
        <v>0.01</v>
      </c>
      <c r="U176" s="175">
        <v>0</v>
      </c>
      <c r="V176" s="176">
        <v>0</v>
      </c>
      <c r="W176" s="167"/>
      <c r="X176" s="175">
        <v>2054.2890950000001</v>
      </c>
      <c r="Y176" s="166">
        <v>469.65906389329803</v>
      </c>
      <c r="Z176" s="177">
        <v>573</v>
      </c>
      <c r="AA176" s="188">
        <v>0.81964932616631503</v>
      </c>
      <c r="AB176" s="171">
        <v>-682.59315467174997</v>
      </c>
      <c r="AC176" s="168"/>
      <c r="AD176" s="168"/>
      <c r="AE176" s="176">
        <v>453</v>
      </c>
      <c r="AF176" s="176">
        <v>954</v>
      </c>
      <c r="AG176" s="167"/>
      <c r="AH176" s="180">
        <v>207.6</v>
      </c>
      <c r="AI176" s="166">
        <v>47.462269016352202</v>
      </c>
      <c r="AJ176" s="181" t="s">
        <v>53</v>
      </c>
      <c r="AK176" s="188">
        <v>0.75336934946590794</v>
      </c>
      <c r="AL176" s="171">
        <v>-93.313755199511903</v>
      </c>
      <c r="AM176" s="168"/>
      <c r="AN176" s="168"/>
      <c r="AO176" s="176">
        <v>68</v>
      </c>
      <c r="AP176" s="176">
        <v>124</v>
      </c>
      <c r="AQ176" s="167"/>
      <c r="AR176" s="180">
        <v>75.3</v>
      </c>
      <c r="AS176" s="166">
        <v>17.215360582520798</v>
      </c>
      <c r="AT176" s="181" t="s">
        <v>54</v>
      </c>
      <c r="AU176" s="182">
        <v>1.0759600364075499</v>
      </c>
      <c r="AV176" s="183">
        <v>-1.12254100305063</v>
      </c>
      <c r="AW176" s="168">
        <v>8.9999999999999993E-3</v>
      </c>
      <c r="AX176" s="168">
        <v>4.0000000000000001E-3</v>
      </c>
      <c r="AY176" s="176">
        <v>0</v>
      </c>
      <c r="AZ176" s="176">
        <v>9</v>
      </c>
      <c r="BA176" s="167"/>
      <c r="BB176" s="184">
        <v>186.8</v>
      </c>
      <c r="BC176" s="180">
        <v>42.706897168856401</v>
      </c>
      <c r="BD176" s="181" t="s">
        <v>55</v>
      </c>
      <c r="BE176" s="178">
        <v>1.3345905365267601</v>
      </c>
      <c r="BF176" s="179">
        <v>33.954917993898803</v>
      </c>
      <c r="BG176" s="168">
        <v>0.02</v>
      </c>
      <c r="BH176" s="168">
        <v>0.02</v>
      </c>
      <c r="BI176" s="176">
        <v>0</v>
      </c>
      <c r="BJ176" s="176">
        <v>0</v>
      </c>
      <c r="BK176" s="169"/>
      <c r="BL176" s="185">
        <v>0.8</v>
      </c>
      <c r="BM176" s="188">
        <v>0.71</v>
      </c>
      <c r="BN176" s="186"/>
      <c r="BO176" s="187">
        <v>0.95</v>
      </c>
      <c r="BP176" s="178">
        <v>1</v>
      </c>
      <c r="BQ176" s="186">
        <v>2.5000000000000001E-3</v>
      </c>
    </row>
    <row r="177" spans="1:69" s="156" customFormat="1" ht="22.35" customHeight="1" x14ac:dyDescent="0.2">
      <c r="A177" s="165" t="s">
        <v>220</v>
      </c>
      <c r="B177" s="165" t="s">
        <v>240</v>
      </c>
      <c r="C177" s="165" t="s">
        <v>241</v>
      </c>
      <c r="D177" s="166">
        <v>3.97523895733333</v>
      </c>
      <c r="E177" s="167"/>
      <c r="F177" s="168">
        <v>1.9E-2</v>
      </c>
      <c r="G177" s="168">
        <v>0.01</v>
      </c>
      <c r="H177" s="169"/>
      <c r="I177" s="170">
        <v>3</v>
      </c>
      <c r="J177" s="170">
        <v>2</v>
      </c>
      <c r="K177" s="167"/>
      <c r="L177" s="171">
        <v>3060.0559499999999</v>
      </c>
      <c r="M177" s="171">
        <v>-364.45735000000002</v>
      </c>
      <c r="N177" s="171">
        <v>2695.5985999999998</v>
      </c>
      <c r="O177" s="166">
        <v>678.09724872696904</v>
      </c>
      <c r="P177" s="172">
        <v>241.762</v>
      </c>
      <c r="Q177" s="178">
        <v>2.8048131994563601</v>
      </c>
      <c r="R177" s="179">
        <v>1646.11920088332</v>
      </c>
      <c r="S177" s="168">
        <v>0.01</v>
      </c>
      <c r="T177" s="168">
        <v>0.01</v>
      </c>
      <c r="U177" s="175">
        <v>0</v>
      </c>
      <c r="V177" s="176">
        <v>0</v>
      </c>
      <c r="W177" s="167"/>
      <c r="X177" s="175">
        <v>2252.4365400000002</v>
      </c>
      <c r="Y177" s="166">
        <v>566.6166396978</v>
      </c>
      <c r="Z177" s="177">
        <v>573</v>
      </c>
      <c r="AA177" s="182">
        <v>0.98885975514450297</v>
      </c>
      <c r="AB177" s="183">
        <v>-234.93407942678101</v>
      </c>
      <c r="AC177" s="168">
        <v>8.9999999999999993E-3</v>
      </c>
      <c r="AD177" s="168"/>
      <c r="AE177" s="176">
        <v>26</v>
      </c>
      <c r="AF177" s="176">
        <v>481</v>
      </c>
      <c r="AG177" s="167"/>
      <c r="AH177" s="180">
        <v>181</v>
      </c>
      <c r="AI177" s="166">
        <v>45.531854045176303</v>
      </c>
      <c r="AJ177" s="181" t="s">
        <v>53</v>
      </c>
      <c r="AK177" s="173">
        <v>0.72272784198692497</v>
      </c>
      <c r="AL177" s="174">
        <v>-92.480539308703797</v>
      </c>
      <c r="AM177" s="168"/>
      <c r="AN177" s="168"/>
      <c r="AO177" s="176">
        <v>70</v>
      </c>
      <c r="AP177" s="176">
        <v>120</v>
      </c>
      <c r="AQ177" s="167"/>
      <c r="AR177" s="180">
        <v>32.799999999999997</v>
      </c>
      <c r="AS177" s="166">
        <v>8.2510763131590092</v>
      </c>
      <c r="AT177" s="181" t="s">
        <v>54</v>
      </c>
      <c r="AU177" s="173">
        <v>0.51569226957243797</v>
      </c>
      <c r="AV177" s="174">
        <v>-36.655375062527902</v>
      </c>
      <c r="AW177" s="168"/>
      <c r="AX177" s="168"/>
      <c r="AY177" s="176">
        <v>31</v>
      </c>
      <c r="AZ177" s="176">
        <v>44</v>
      </c>
      <c r="BA177" s="167"/>
      <c r="BB177" s="184">
        <v>94.2</v>
      </c>
      <c r="BC177" s="180">
        <v>23.696688679865201</v>
      </c>
      <c r="BD177" s="181" t="s">
        <v>55</v>
      </c>
      <c r="BE177" s="188">
        <v>0.74052152124578796</v>
      </c>
      <c r="BF177" s="171">
        <v>-44.710750125055903</v>
      </c>
      <c r="BG177" s="168"/>
      <c r="BH177" s="168"/>
      <c r="BI177" s="176">
        <v>34</v>
      </c>
      <c r="BJ177" s="176">
        <v>59</v>
      </c>
      <c r="BK177" s="169"/>
      <c r="BL177" s="185">
        <v>0.8</v>
      </c>
      <c r="BM177" s="188">
        <v>0.77</v>
      </c>
      <c r="BN177" s="186"/>
      <c r="BO177" s="187">
        <v>0.95</v>
      </c>
      <c r="BP177" s="178">
        <v>1</v>
      </c>
      <c r="BQ177" s="186">
        <v>2.5000000000000001E-3</v>
      </c>
    </row>
    <row r="178" spans="1:69" s="156" customFormat="1" ht="22.35" customHeight="1" x14ac:dyDescent="0.2">
      <c r="A178" s="165" t="s">
        <v>220</v>
      </c>
      <c r="B178" s="165" t="s">
        <v>240</v>
      </c>
      <c r="C178" s="165" t="s">
        <v>242</v>
      </c>
      <c r="D178" s="166">
        <v>2.6208074601111102</v>
      </c>
      <c r="E178" s="167"/>
      <c r="F178" s="168">
        <v>5.9499999999999997E-2</v>
      </c>
      <c r="G178" s="168">
        <v>5.45E-2</v>
      </c>
      <c r="H178" s="169"/>
      <c r="I178" s="170">
        <v>5</v>
      </c>
      <c r="J178" s="170">
        <v>5</v>
      </c>
      <c r="K178" s="167"/>
      <c r="L178" s="171">
        <v>999.25806</v>
      </c>
      <c r="M178" s="171">
        <v>1326.9303500000001</v>
      </c>
      <c r="N178" s="171">
        <v>2326.1884100000002</v>
      </c>
      <c r="O178" s="166">
        <v>887.58462626681501</v>
      </c>
      <c r="P178" s="172">
        <v>238.04499999999999</v>
      </c>
      <c r="Q178" s="178">
        <v>3.7286421738193001</v>
      </c>
      <c r="R178" s="179">
        <v>1644.9222478683701</v>
      </c>
      <c r="S178" s="168">
        <v>0.01</v>
      </c>
      <c r="T178" s="168">
        <v>0.01</v>
      </c>
      <c r="U178" s="175">
        <v>0</v>
      </c>
      <c r="V178" s="176">
        <v>0</v>
      </c>
      <c r="W178" s="167"/>
      <c r="X178" s="175">
        <v>1209.2613100000001</v>
      </c>
      <c r="Y178" s="166">
        <v>461.407916607782</v>
      </c>
      <c r="Z178" s="177">
        <v>573</v>
      </c>
      <c r="AA178" s="188">
        <v>0.80524941816366802</v>
      </c>
      <c r="AB178" s="171">
        <v>-430.61985071088299</v>
      </c>
      <c r="AC178" s="168"/>
      <c r="AD178" s="168"/>
      <c r="AE178" s="176">
        <v>293</v>
      </c>
      <c r="AF178" s="176">
        <v>593</v>
      </c>
      <c r="AG178" s="167"/>
      <c r="AH178" s="180">
        <v>205.8</v>
      </c>
      <c r="AI178" s="166">
        <v>78.525417502922906</v>
      </c>
      <c r="AJ178" s="181" t="s">
        <v>53</v>
      </c>
      <c r="AK178" s="178">
        <v>1.24643519845909</v>
      </c>
      <c r="AL178" s="179">
        <v>25.498929974196098</v>
      </c>
      <c r="AM178" s="168">
        <v>0.02</v>
      </c>
      <c r="AN178" s="168">
        <v>0.02</v>
      </c>
      <c r="AO178" s="176">
        <v>0</v>
      </c>
      <c r="AP178" s="176">
        <v>0</v>
      </c>
      <c r="AQ178" s="167"/>
      <c r="AR178" s="180">
        <v>45.5</v>
      </c>
      <c r="AS178" s="166">
        <v>17.3610616928231</v>
      </c>
      <c r="AT178" s="181" t="s">
        <v>54</v>
      </c>
      <c r="AU178" s="182">
        <v>1.08506635580144</v>
      </c>
      <c r="AV178" s="183">
        <v>-0.29074794306131202</v>
      </c>
      <c r="AW178" s="168">
        <v>9.4999999999999998E-3</v>
      </c>
      <c r="AX178" s="168">
        <v>4.4999999999999997E-3</v>
      </c>
      <c r="AY178" s="176">
        <v>0</v>
      </c>
      <c r="AZ178" s="176">
        <v>5</v>
      </c>
      <c r="BA178" s="167"/>
      <c r="BB178" s="184">
        <v>137.19999999999999</v>
      </c>
      <c r="BC178" s="180">
        <v>52.350278335281899</v>
      </c>
      <c r="BD178" s="181" t="s">
        <v>55</v>
      </c>
      <c r="BE178" s="178">
        <v>1.63594619797756</v>
      </c>
      <c r="BF178" s="179">
        <v>45.6185041138774</v>
      </c>
      <c r="BG178" s="168">
        <v>0.02</v>
      </c>
      <c r="BH178" s="168">
        <v>0.02</v>
      </c>
      <c r="BI178" s="176">
        <v>0</v>
      </c>
      <c r="BJ178" s="176">
        <v>0</v>
      </c>
      <c r="BK178" s="169"/>
      <c r="BL178" s="185">
        <v>0.8</v>
      </c>
      <c r="BM178" s="188">
        <v>0.71</v>
      </c>
      <c r="BN178" s="186"/>
      <c r="BO178" s="187">
        <v>0.95</v>
      </c>
      <c r="BP178" s="178">
        <v>1</v>
      </c>
      <c r="BQ178" s="186">
        <v>2.5000000000000001E-3</v>
      </c>
    </row>
    <row r="179" spans="1:69" s="156" customFormat="1" ht="22.35" customHeight="1" x14ac:dyDescent="0.2">
      <c r="A179" s="165" t="s">
        <v>220</v>
      </c>
      <c r="B179" s="165" t="s">
        <v>240</v>
      </c>
      <c r="C179" s="165" t="s">
        <v>243</v>
      </c>
      <c r="D179" s="166">
        <v>3.17144203944444</v>
      </c>
      <c r="E179" s="167"/>
      <c r="F179" s="168">
        <v>2.7E-2</v>
      </c>
      <c r="G179" s="168">
        <v>1.6E-2</v>
      </c>
      <c r="H179" s="169"/>
      <c r="I179" s="170">
        <v>3</v>
      </c>
      <c r="J179" s="170">
        <v>3</v>
      </c>
      <c r="K179" s="167"/>
      <c r="L179" s="171">
        <v>2236.6645600000002</v>
      </c>
      <c r="M179" s="171">
        <v>2273.11411</v>
      </c>
      <c r="N179" s="171">
        <v>4509.7786699999997</v>
      </c>
      <c r="O179" s="166">
        <v>1421.99624458216</v>
      </c>
      <c r="P179" s="172">
        <v>247.75800000000001</v>
      </c>
      <c r="Q179" s="178">
        <v>5.7394564235349002</v>
      </c>
      <c r="R179" s="179">
        <v>3651.73952060493</v>
      </c>
      <c r="S179" s="168">
        <v>0.01</v>
      </c>
      <c r="T179" s="168">
        <v>0.01</v>
      </c>
      <c r="U179" s="175">
        <v>0</v>
      </c>
      <c r="V179" s="176">
        <v>0</v>
      </c>
      <c r="W179" s="167"/>
      <c r="X179" s="175">
        <v>1933.2929200000001</v>
      </c>
      <c r="Y179" s="166">
        <v>609.59427791991504</v>
      </c>
      <c r="Z179" s="177">
        <v>573</v>
      </c>
      <c r="AA179" s="182">
        <v>1.06386435937158</v>
      </c>
      <c r="AB179" s="183">
        <v>-51.1291071530175</v>
      </c>
      <c r="AC179" s="168">
        <v>1.7000000000000001E-2</v>
      </c>
      <c r="AD179" s="168">
        <v>6.0000000000000001E-3</v>
      </c>
      <c r="AE179" s="176">
        <v>0</v>
      </c>
      <c r="AF179" s="176">
        <v>248</v>
      </c>
      <c r="AG179" s="167"/>
      <c r="AH179" s="180">
        <v>161</v>
      </c>
      <c r="AI179" s="166">
        <v>50.765550181141897</v>
      </c>
      <c r="AJ179" s="181" t="s">
        <v>53</v>
      </c>
      <c r="AK179" s="188">
        <v>0.80580238382764902</v>
      </c>
      <c r="AL179" s="171">
        <v>-57.182526545619702</v>
      </c>
      <c r="AM179" s="168"/>
      <c r="AN179" s="168"/>
      <c r="AO179" s="176">
        <v>39</v>
      </c>
      <c r="AP179" s="176">
        <v>79</v>
      </c>
      <c r="AQ179" s="167"/>
      <c r="AR179" s="180">
        <v>28</v>
      </c>
      <c r="AS179" s="166">
        <v>8.8287913358507701</v>
      </c>
      <c r="AT179" s="181" t="s">
        <v>54</v>
      </c>
      <c r="AU179" s="173">
        <v>0.55179945849067302</v>
      </c>
      <c r="AV179" s="174">
        <v>-27.4114353131733</v>
      </c>
      <c r="AW179" s="168"/>
      <c r="AX179" s="168"/>
      <c r="AY179" s="176">
        <v>23</v>
      </c>
      <c r="AZ179" s="176">
        <v>33</v>
      </c>
      <c r="BA179" s="167"/>
      <c r="BB179" s="184">
        <v>92</v>
      </c>
      <c r="BC179" s="180">
        <v>29.008885817795399</v>
      </c>
      <c r="BD179" s="181" t="s">
        <v>55</v>
      </c>
      <c r="BE179" s="188">
        <v>0.90652768180610499</v>
      </c>
      <c r="BF179" s="171">
        <v>-18.8228706263465</v>
      </c>
      <c r="BG179" s="168">
        <v>0</v>
      </c>
      <c r="BH179" s="168"/>
      <c r="BI179" s="176">
        <v>10</v>
      </c>
      <c r="BJ179" s="176">
        <v>30</v>
      </c>
      <c r="BK179" s="169"/>
      <c r="BL179" s="185">
        <v>0.8</v>
      </c>
      <c r="BM179" s="173">
        <v>0.69</v>
      </c>
      <c r="BN179" s="186"/>
      <c r="BO179" s="187">
        <v>0.95</v>
      </c>
      <c r="BP179" s="178">
        <v>1</v>
      </c>
      <c r="BQ179" s="186">
        <v>2.5000000000000001E-3</v>
      </c>
    </row>
    <row r="180" spans="1:69" s="156" customFormat="1" ht="22.35" customHeight="1" x14ac:dyDescent="0.2">
      <c r="A180" s="165" t="s">
        <v>220</v>
      </c>
      <c r="B180" s="165" t="s">
        <v>240</v>
      </c>
      <c r="C180" s="165" t="s">
        <v>244</v>
      </c>
      <c r="D180" s="166">
        <v>3.4906875204444399</v>
      </c>
      <c r="E180" s="167"/>
      <c r="F180" s="168">
        <v>0.01</v>
      </c>
      <c r="G180" s="168">
        <v>0.01</v>
      </c>
      <c r="H180" s="169"/>
      <c r="I180" s="170">
        <v>3</v>
      </c>
      <c r="J180" s="170">
        <v>3</v>
      </c>
      <c r="K180" s="167"/>
      <c r="L180" s="171">
        <v>955.09996999999998</v>
      </c>
      <c r="M180" s="171">
        <v>498.13069000000002</v>
      </c>
      <c r="N180" s="171">
        <v>1453.2306599999999</v>
      </c>
      <c r="O180" s="166">
        <v>416.31645671193502</v>
      </c>
      <c r="P180" s="172">
        <v>247.167</v>
      </c>
      <c r="Q180" s="178">
        <v>1.68435291406998</v>
      </c>
      <c r="R180" s="179">
        <v>511.07188349666598</v>
      </c>
      <c r="S180" s="168">
        <v>0.01</v>
      </c>
      <c r="T180" s="168">
        <v>0.01</v>
      </c>
      <c r="U180" s="175">
        <v>0</v>
      </c>
      <c r="V180" s="176">
        <v>0</v>
      </c>
      <c r="W180" s="167"/>
      <c r="X180" s="175">
        <v>1321.425915</v>
      </c>
      <c r="Y180" s="166">
        <v>378.55749254569503</v>
      </c>
      <c r="Z180" s="177">
        <v>573</v>
      </c>
      <c r="AA180" s="173">
        <v>0.66065880025426804</v>
      </c>
      <c r="AB180" s="174">
        <v>-862.75311754241295</v>
      </c>
      <c r="AC180" s="168"/>
      <c r="AD180" s="168"/>
      <c r="AE180" s="176">
        <v>679</v>
      </c>
      <c r="AF180" s="176">
        <v>1079</v>
      </c>
      <c r="AG180" s="167"/>
      <c r="AH180" s="180">
        <v>180.4</v>
      </c>
      <c r="AI180" s="166">
        <v>51.680363522493401</v>
      </c>
      <c r="AJ180" s="181" t="s">
        <v>53</v>
      </c>
      <c r="AK180" s="188">
        <v>0.82032323051576805</v>
      </c>
      <c r="AL180" s="171">
        <v>-59.745338656495697</v>
      </c>
      <c r="AM180" s="168"/>
      <c r="AN180" s="168"/>
      <c r="AO180" s="176">
        <v>40</v>
      </c>
      <c r="AP180" s="176">
        <v>84</v>
      </c>
      <c r="AQ180" s="167"/>
      <c r="AR180" s="180">
        <v>24.8</v>
      </c>
      <c r="AS180" s="166">
        <v>7.1046176017618397</v>
      </c>
      <c r="AT180" s="181" t="s">
        <v>54</v>
      </c>
      <c r="AU180" s="173">
        <v>0.44403860011011498</v>
      </c>
      <c r="AV180" s="174">
        <v>-36.189292357205296</v>
      </c>
      <c r="AW180" s="168"/>
      <c r="AX180" s="168"/>
      <c r="AY180" s="176">
        <v>32</v>
      </c>
      <c r="AZ180" s="176">
        <v>43</v>
      </c>
      <c r="BA180" s="167"/>
      <c r="BB180" s="184">
        <v>79.2</v>
      </c>
      <c r="BC180" s="180">
        <v>22.6889400830459</v>
      </c>
      <c r="BD180" s="181" t="s">
        <v>55</v>
      </c>
      <c r="BE180" s="173">
        <v>0.70902937759518403</v>
      </c>
      <c r="BF180" s="174">
        <v>-42.778584714410499</v>
      </c>
      <c r="BG180" s="168"/>
      <c r="BH180" s="168"/>
      <c r="BI180" s="176">
        <v>33</v>
      </c>
      <c r="BJ180" s="176">
        <v>55</v>
      </c>
      <c r="BK180" s="169"/>
      <c r="BL180" s="185">
        <v>0.8</v>
      </c>
      <c r="BM180" s="182">
        <v>0.86</v>
      </c>
      <c r="BN180" s="186">
        <v>2.2499999999999998E-3</v>
      </c>
      <c r="BO180" s="187">
        <v>0.95</v>
      </c>
      <c r="BP180" s="178">
        <v>1</v>
      </c>
      <c r="BQ180" s="186">
        <v>2.5000000000000001E-3</v>
      </c>
    </row>
    <row r="181" spans="1:69" s="156" customFormat="1" ht="22.35" customHeight="1" x14ac:dyDescent="0.2">
      <c r="A181" s="165" t="s">
        <v>220</v>
      </c>
      <c r="B181" s="165" t="s">
        <v>240</v>
      </c>
      <c r="C181" s="165" t="s">
        <v>245</v>
      </c>
      <c r="D181" s="166">
        <v>2.5343313424444398</v>
      </c>
      <c r="E181" s="167"/>
      <c r="F181" s="168">
        <v>7.0000000000000007E-2</v>
      </c>
      <c r="G181" s="168">
        <v>5.5E-2</v>
      </c>
      <c r="H181" s="169"/>
      <c r="I181" s="170">
        <v>5</v>
      </c>
      <c r="J181" s="170">
        <v>5</v>
      </c>
      <c r="K181" s="167"/>
      <c r="L181" s="171">
        <v>1950.9815100000001</v>
      </c>
      <c r="M181" s="171">
        <v>677.34222999999997</v>
      </c>
      <c r="N181" s="171">
        <v>2628.3237399999998</v>
      </c>
      <c r="O181" s="166">
        <v>1037.0876514769</v>
      </c>
      <c r="P181" s="172">
        <v>233.029</v>
      </c>
      <c r="Q181" s="178">
        <v>4.4504660427539102</v>
      </c>
      <c r="R181" s="179">
        <v>1983.4183533488499</v>
      </c>
      <c r="S181" s="168">
        <v>0.01</v>
      </c>
      <c r="T181" s="168">
        <v>0.01</v>
      </c>
      <c r="U181" s="175">
        <v>0</v>
      </c>
      <c r="V181" s="176">
        <v>0</v>
      </c>
      <c r="W181" s="167"/>
      <c r="X181" s="175">
        <v>1588.9842599999999</v>
      </c>
      <c r="Y181" s="166">
        <v>626.98362814207803</v>
      </c>
      <c r="Z181" s="177">
        <v>573</v>
      </c>
      <c r="AA181" s="178">
        <v>1.0942122655184601</v>
      </c>
      <c r="AB181" s="179">
        <v>3.21258973103477</v>
      </c>
      <c r="AC181" s="168">
        <v>0.02</v>
      </c>
      <c r="AD181" s="168">
        <v>8.9999999999999993E-3</v>
      </c>
      <c r="AE181" s="176">
        <v>0</v>
      </c>
      <c r="AF181" s="176">
        <v>154</v>
      </c>
      <c r="AG181" s="167"/>
      <c r="AH181" s="180">
        <v>185.4</v>
      </c>
      <c r="AI181" s="166">
        <v>73.155390889486299</v>
      </c>
      <c r="AJ181" s="181" t="s">
        <v>53</v>
      </c>
      <c r="AK181" s="178">
        <v>1.1611966807855001</v>
      </c>
      <c r="AL181" s="179">
        <v>11.048140965192299</v>
      </c>
      <c r="AM181" s="168">
        <v>0.02</v>
      </c>
      <c r="AN181" s="168">
        <v>1.6E-2</v>
      </c>
      <c r="AO181" s="176">
        <v>0</v>
      </c>
      <c r="AP181" s="176">
        <v>7</v>
      </c>
      <c r="AQ181" s="167"/>
      <c r="AR181" s="180">
        <v>26.7</v>
      </c>
      <c r="AS181" s="166">
        <v>10.5353232834374</v>
      </c>
      <c r="AT181" s="181" t="s">
        <v>54</v>
      </c>
      <c r="AU181" s="173">
        <v>0.65845770521483404</v>
      </c>
      <c r="AV181" s="174">
        <v>-17.579837215189301</v>
      </c>
      <c r="AW181" s="168"/>
      <c r="AX181" s="168"/>
      <c r="AY181" s="176">
        <v>14</v>
      </c>
      <c r="AZ181" s="176">
        <v>22</v>
      </c>
      <c r="BA181" s="167"/>
      <c r="BB181" s="184">
        <v>116.6</v>
      </c>
      <c r="BC181" s="180">
        <v>46.0081908183069</v>
      </c>
      <c r="BD181" s="181" t="s">
        <v>55</v>
      </c>
      <c r="BE181" s="178">
        <v>1.43775596307209</v>
      </c>
      <c r="BF181" s="179">
        <v>28.040325569621501</v>
      </c>
      <c r="BG181" s="168">
        <v>0.02</v>
      </c>
      <c r="BH181" s="168">
        <v>0.02</v>
      </c>
      <c r="BI181" s="176">
        <v>0</v>
      </c>
      <c r="BJ181" s="176">
        <v>0</v>
      </c>
      <c r="BK181" s="169"/>
      <c r="BL181" s="185">
        <v>0.8</v>
      </c>
      <c r="BM181" s="188">
        <v>0.73</v>
      </c>
      <c r="BN181" s="186"/>
      <c r="BO181" s="187">
        <v>0.95</v>
      </c>
      <c r="BP181" s="178">
        <v>1</v>
      </c>
      <c r="BQ181" s="186">
        <v>2.5000000000000001E-3</v>
      </c>
    </row>
    <row r="182" spans="1:69" s="156" customFormat="1" ht="22.35" customHeight="1" x14ac:dyDescent="0.2">
      <c r="A182" s="165" t="s">
        <v>220</v>
      </c>
      <c r="B182" s="165" t="s">
        <v>240</v>
      </c>
      <c r="C182" s="165" t="s">
        <v>246</v>
      </c>
      <c r="D182" s="166">
        <v>3.7290475793333302</v>
      </c>
      <c r="E182" s="167"/>
      <c r="F182" s="168">
        <v>1.6E-2</v>
      </c>
      <c r="G182" s="168">
        <v>0.01</v>
      </c>
      <c r="H182" s="169"/>
      <c r="I182" s="170">
        <v>3</v>
      </c>
      <c r="J182" s="170">
        <v>2</v>
      </c>
      <c r="K182" s="167"/>
      <c r="L182" s="171">
        <v>1657.7635299999999</v>
      </c>
      <c r="M182" s="171">
        <v>2326.5126500000001</v>
      </c>
      <c r="N182" s="171">
        <v>3984.2761799999998</v>
      </c>
      <c r="O182" s="166">
        <v>1068.4433746786101</v>
      </c>
      <c r="P182" s="172">
        <v>254.047</v>
      </c>
      <c r="Q182" s="178">
        <v>4.2056917604955402</v>
      </c>
      <c r="R182" s="179">
        <v>2949.7663213775099</v>
      </c>
      <c r="S182" s="168">
        <v>0.01</v>
      </c>
      <c r="T182" s="168">
        <v>0.01</v>
      </c>
      <c r="U182" s="175">
        <v>0</v>
      </c>
      <c r="V182" s="176">
        <v>0</v>
      </c>
      <c r="W182" s="167"/>
      <c r="X182" s="175">
        <v>1846.50242</v>
      </c>
      <c r="Y182" s="166">
        <v>495.16729961651799</v>
      </c>
      <c r="Z182" s="177">
        <v>573</v>
      </c>
      <c r="AA182" s="188">
        <v>0.86416631695727397</v>
      </c>
      <c r="AB182" s="171">
        <v>-486.82231515013399</v>
      </c>
      <c r="AC182" s="168"/>
      <c r="AD182" s="168"/>
      <c r="AE182" s="176">
        <v>291</v>
      </c>
      <c r="AF182" s="176">
        <v>718</v>
      </c>
      <c r="AG182" s="167"/>
      <c r="AH182" s="180">
        <v>204.3</v>
      </c>
      <c r="AI182" s="166">
        <v>54.786107083279397</v>
      </c>
      <c r="AJ182" s="181" t="s">
        <v>53</v>
      </c>
      <c r="AK182" s="188">
        <v>0.86962074735364203</v>
      </c>
      <c r="AL182" s="171">
        <v>-52.243557267815802</v>
      </c>
      <c r="AM182" s="168"/>
      <c r="AN182" s="168"/>
      <c r="AO182" s="176">
        <v>31</v>
      </c>
      <c r="AP182" s="176">
        <v>78</v>
      </c>
      <c r="AQ182" s="167"/>
      <c r="AR182" s="180">
        <v>26.8</v>
      </c>
      <c r="AS182" s="166">
        <v>7.1868216829754701</v>
      </c>
      <c r="AT182" s="181" t="s">
        <v>54</v>
      </c>
      <c r="AU182" s="173">
        <v>0.44917635518596699</v>
      </c>
      <c r="AV182" s="174">
        <v>-38.353919306111997</v>
      </c>
      <c r="AW182" s="168"/>
      <c r="AX182" s="168"/>
      <c r="AY182" s="176">
        <v>33</v>
      </c>
      <c r="AZ182" s="176">
        <v>45</v>
      </c>
      <c r="BA182" s="167"/>
      <c r="BB182" s="184">
        <v>115</v>
      </c>
      <c r="BC182" s="180">
        <v>30.838973639633501</v>
      </c>
      <c r="BD182" s="181" t="s">
        <v>55</v>
      </c>
      <c r="BE182" s="182">
        <v>0.96371792623854802</v>
      </c>
      <c r="BF182" s="183">
        <v>-15.3078386122239</v>
      </c>
      <c r="BG182" s="168">
        <v>6.0000000000000001E-3</v>
      </c>
      <c r="BH182" s="168"/>
      <c r="BI182" s="176">
        <v>5</v>
      </c>
      <c r="BJ182" s="176">
        <v>29</v>
      </c>
      <c r="BK182" s="169"/>
      <c r="BL182" s="185">
        <v>0.8</v>
      </c>
      <c r="BM182" s="188">
        <v>0.79</v>
      </c>
      <c r="BN182" s="186"/>
      <c r="BO182" s="187">
        <v>0.95</v>
      </c>
      <c r="BP182" s="178">
        <v>1</v>
      </c>
      <c r="BQ182" s="186">
        <v>2.5000000000000001E-3</v>
      </c>
    </row>
    <row r="183" spans="1:69" s="156" customFormat="1" ht="22.35" customHeight="1" x14ac:dyDescent="0.2">
      <c r="A183" s="165" t="s">
        <v>220</v>
      </c>
      <c r="B183" s="165" t="s">
        <v>240</v>
      </c>
      <c r="C183" s="165" t="s">
        <v>247</v>
      </c>
      <c r="D183" s="166">
        <v>4.4497067784444404</v>
      </c>
      <c r="E183" s="167"/>
      <c r="F183" s="168">
        <v>0.01</v>
      </c>
      <c r="G183" s="168">
        <v>8.5000000000000006E-3</v>
      </c>
      <c r="H183" s="169"/>
      <c r="I183" s="170">
        <v>2</v>
      </c>
      <c r="J183" s="170">
        <v>2</v>
      </c>
      <c r="K183" s="167"/>
      <c r="L183" s="171">
        <v>1618.9907000000001</v>
      </c>
      <c r="M183" s="171">
        <v>-487.3759</v>
      </c>
      <c r="N183" s="171">
        <v>1131.6148000000001</v>
      </c>
      <c r="O183" s="166">
        <v>254.31221793800901</v>
      </c>
      <c r="P183" s="172">
        <v>217.155</v>
      </c>
      <c r="Q183" s="178">
        <v>1.1711091982133</v>
      </c>
      <c r="R183" s="179">
        <v>76.441325583372205</v>
      </c>
      <c r="S183" s="168">
        <v>0.01</v>
      </c>
      <c r="T183" s="168">
        <v>8.5000000000000006E-3</v>
      </c>
      <c r="U183" s="175">
        <v>0</v>
      </c>
      <c r="V183" s="176">
        <v>28</v>
      </c>
      <c r="W183" s="167"/>
      <c r="X183" s="175">
        <v>2197.5763149999998</v>
      </c>
      <c r="Y183" s="166">
        <v>493.86991647306701</v>
      </c>
      <c r="Z183" s="177">
        <v>573</v>
      </c>
      <c r="AA183" s="188">
        <v>0.86190212298964597</v>
      </c>
      <c r="AB183" s="171">
        <v>-586.676411581141</v>
      </c>
      <c r="AC183" s="168"/>
      <c r="AD183" s="168"/>
      <c r="AE183" s="176">
        <v>353</v>
      </c>
      <c r="AF183" s="176">
        <v>863</v>
      </c>
      <c r="AG183" s="167"/>
      <c r="AH183" s="180">
        <v>185.75</v>
      </c>
      <c r="AI183" s="166">
        <v>41.744323670903903</v>
      </c>
      <c r="AJ183" s="181" t="s">
        <v>53</v>
      </c>
      <c r="AK183" s="173">
        <v>0.66260831223657002</v>
      </c>
      <c r="AL183" s="174">
        <v>-120.372027529864</v>
      </c>
      <c r="AM183" s="168"/>
      <c r="AN183" s="168"/>
      <c r="AO183" s="176">
        <v>95</v>
      </c>
      <c r="AP183" s="176">
        <v>151</v>
      </c>
      <c r="AQ183" s="167"/>
      <c r="AR183" s="180">
        <v>29.4</v>
      </c>
      <c r="AS183" s="166">
        <v>6.60717693633688</v>
      </c>
      <c r="AT183" s="181" t="s">
        <v>54</v>
      </c>
      <c r="AU183" s="173">
        <v>0.412948558521055</v>
      </c>
      <c r="AV183" s="174">
        <v>-48.345276832981199</v>
      </c>
      <c r="AW183" s="168"/>
      <c r="AX183" s="168"/>
      <c r="AY183" s="176">
        <v>42</v>
      </c>
      <c r="AZ183" s="176">
        <v>57</v>
      </c>
      <c r="BA183" s="167"/>
      <c r="BB183" s="184">
        <v>117.8</v>
      </c>
      <c r="BC183" s="180">
        <v>26.4736545272273</v>
      </c>
      <c r="BD183" s="181" t="s">
        <v>55</v>
      </c>
      <c r="BE183" s="188">
        <v>0.82730170397585501</v>
      </c>
      <c r="BF183" s="171">
        <v>-37.690553665962497</v>
      </c>
      <c r="BG183" s="168"/>
      <c r="BH183" s="168"/>
      <c r="BI183" s="176">
        <v>25</v>
      </c>
      <c r="BJ183" s="176">
        <v>54</v>
      </c>
      <c r="BK183" s="169"/>
      <c r="BL183" s="185">
        <v>0.8</v>
      </c>
      <c r="BM183" s="188">
        <v>0.75</v>
      </c>
      <c r="BN183" s="186"/>
      <c r="BO183" s="187">
        <v>0.95</v>
      </c>
      <c r="BP183" s="178">
        <v>1</v>
      </c>
      <c r="BQ183" s="186">
        <v>2.5000000000000001E-3</v>
      </c>
    </row>
    <row r="184" spans="1:69" s="156" customFormat="1" ht="22.35" customHeight="1" x14ac:dyDescent="0.2">
      <c r="A184" s="165" t="s">
        <v>220</v>
      </c>
      <c r="B184" s="165" t="s">
        <v>240</v>
      </c>
      <c r="C184" s="165" t="s">
        <v>248</v>
      </c>
      <c r="D184" s="166">
        <v>4.5199524895555596</v>
      </c>
      <c r="E184" s="167"/>
      <c r="F184" s="168">
        <v>1.4E-2</v>
      </c>
      <c r="G184" s="168">
        <v>0.01</v>
      </c>
      <c r="H184" s="169"/>
      <c r="I184" s="170">
        <v>3</v>
      </c>
      <c r="J184" s="170">
        <v>2</v>
      </c>
      <c r="K184" s="167"/>
      <c r="L184" s="171">
        <v>1371.45063</v>
      </c>
      <c r="M184" s="171">
        <v>1653.1752899999999</v>
      </c>
      <c r="N184" s="171">
        <v>3024.62592</v>
      </c>
      <c r="O184" s="166">
        <v>669.17206032344995</v>
      </c>
      <c r="P184" s="172">
        <v>287.5</v>
      </c>
      <c r="Q184" s="178">
        <v>2.3275549924293899</v>
      </c>
      <c r="R184" s="179">
        <v>1605.5868359040301</v>
      </c>
      <c r="S184" s="168">
        <v>0.01</v>
      </c>
      <c r="T184" s="168">
        <v>0.01</v>
      </c>
      <c r="U184" s="175">
        <v>0</v>
      </c>
      <c r="V184" s="176">
        <v>0</v>
      </c>
      <c r="W184" s="167"/>
      <c r="X184" s="175">
        <v>1735.282305</v>
      </c>
      <c r="Y184" s="166">
        <v>383.916049783662</v>
      </c>
      <c r="Z184" s="177">
        <v>573</v>
      </c>
      <c r="AA184" s="173">
        <v>0.67001055808667098</v>
      </c>
      <c r="AB184" s="174">
        <v>-1092.92428695475</v>
      </c>
      <c r="AC184" s="168"/>
      <c r="AD184" s="168"/>
      <c r="AE184" s="176">
        <v>855</v>
      </c>
      <c r="AF184" s="176">
        <v>1373</v>
      </c>
      <c r="AG184" s="167"/>
      <c r="AH184" s="180">
        <v>171.6</v>
      </c>
      <c r="AI184" s="166">
        <v>37.965000826119997</v>
      </c>
      <c r="AJ184" s="181" t="s">
        <v>53</v>
      </c>
      <c r="AK184" s="173">
        <v>0.60261906073206395</v>
      </c>
      <c r="AL184" s="174">
        <v>-139.354651471464</v>
      </c>
      <c r="AM184" s="168"/>
      <c r="AN184" s="168"/>
      <c r="AO184" s="176">
        <v>114</v>
      </c>
      <c r="AP184" s="176">
        <v>171</v>
      </c>
      <c r="AQ184" s="167"/>
      <c r="AR184" s="180">
        <v>42.4</v>
      </c>
      <c r="AS184" s="166">
        <v>9.3806295747522697</v>
      </c>
      <c r="AT184" s="181" t="s">
        <v>54</v>
      </c>
      <c r="AU184" s="173">
        <v>0.58628934842201696</v>
      </c>
      <c r="AV184" s="174">
        <v>-36.572609897514702</v>
      </c>
      <c r="AW184" s="168"/>
      <c r="AX184" s="168"/>
      <c r="AY184" s="176">
        <v>30</v>
      </c>
      <c r="AZ184" s="176">
        <v>45</v>
      </c>
      <c r="BA184" s="167"/>
      <c r="BB184" s="184">
        <v>137</v>
      </c>
      <c r="BC184" s="180">
        <v>30.310053107100501</v>
      </c>
      <c r="BD184" s="181" t="s">
        <v>55</v>
      </c>
      <c r="BE184" s="182">
        <v>0.94718915959688998</v>
      </c>
      <c r="BF184" s="183">
        <v>-20.945219795029502</v>
      </c>
      <c r="BG184" s="168">
        <v>4.0000000000000001E-3</v>
      </c>
      <c r="BH184" s="168"/>
      <c r="BI184" s="176">
        <v>8</v>
      </c>
      <c r="BJ184" s="176">
        <v>37</v>
      </c>
      <c r="BK184" s="169"/>
      <c r="BL184" s="185">
        <v>0.8</v>
      </c>
      <c r="BM184" s="173">
        <v>0.68</v>
      </c>
      <c r="BN184" s="186"/>
      <c r="BO184" s="187">
        <v>0.95</v>
      </c>
      <c r="BP184" s="178">
        <v>1</v>
      </c>
      <c r="BQ184" s="186">
        <v>2.5000000000000001E-3</v>
      </c>
    </row>
    <row r="185" spans="1:69" s="156" customFormat="1" ht="22.35" customHeight="1" x14ac:dyDescent="0.2">
      <c r="A185" s="165" t="s">
        <v>220</v>
      </c>
      <c r="B185" s="165" t="s">
        <v>240</v>
      </c>
      <c r="C185" s="165" t="s">
        <v>249</v>
      </c>
      <c r="D185" s="166">
        <v>3.0343497082222202</v>
      </c>
      <c r="E185" s="167"/>
      <c r="F185" s="168">
        <v>0.01</v>
      </c>
      <c r="G185" s="168">
        <v>0.01</v>
      </c>
      <c r="H185" s="169"/>
      <c r="I185" s="170">
        <v>2</v>
      </c>
      <c r="J185" s="170">
        <v>2</v>
      </c>
      <c r="K185" s="167"/>
      <c r="L185" s="171">
        <v>1776.29377</v>
      </c>
      <c r="M185" s="171">
        <v>1537.1536900000001</v>
      </c>
      <c r="N185" s="171">
        <v>3313.4474599999999</v>
      </c>
      <c r="O185" s="166">
        <v>1091.97942841641</v>
      </c>
      <c r="P185" s="172">
        <v>243.29900000000001</v>
      </c>
      <c r="Q185" s="178">
        <v>4.4882199615140603</v>
      </c>
      <c r="R185" s="179">
        <v>2507.2738193704499</v>
      </c>
      <c r="S185" s="168">
        <v>0.01</v>
      </c>
      <c r="T185" s="168">
        <v>0.01</v>
      </c>
      <c r="U185" s="175">
        <v>0</v>
      </c>
      <c r="V185" s="176">
        <v>0</v>
      </c>
      <c r="W185" s="167"/>
      <c r="X185" s="175">
        <v>1070.296705</v>
      </c>
      <c r="Y185" s="166">
        <v>352.72687986483601</v>
      </c>
      <c r="Z185" s="177">
        <v>573</v>
      </c>
      <c r="AA185" s="173">
        <v>0.61557919697179098</v>
      </c>
      <c r="AB185" s="174">
        <v>-828.34445702997505</v>
      </c>
      <c r="AC185" s="168"/>
      <c r="AD185" s="168"/>
      <c r="AE185" s="176">
        <v>669</v>
      </c>
      <c r="AF185" s="176">
        <v>1017</v>
      </c>
      <c r="AG185" s="167"/>
      <c r="AH185" s="180">
        <v>112.8</v>
      </c>
      <c r="AI185" s="166">
        <v>37.174357225320499</v>
      </c>
      <c r="AJ185" s="181" t="s">
        <v>53</v>
      </c>
      <c r="AK185" s="173">
        <v>0.59006916230667505</v>
      </c>
      <c r="AL185" s="174">
        <v>-95.951122526855897</v>
      </c>
      <c r="AM185" s="168"/>
      <c r="AN185" s="168"/>
      <c r="AO185" s="176">
        <v>79</v>
      </c>
      <c r="AP185" s="176">
        <v>117</v>
      </c>
      <c r="AQ185" s="167"/>
      <c r="AR185" s="180">
        <v>36.799999999999997</v>
      </c>
      <c r="AS185" s="166">
        <v>12.1278044848563</v>
      </c>
      <c r="AT185" s="181" t="s">
        <v>54</v>
      </c>
      <c r="AU185" s="188">
        <v>0.75798778030352099</v>
      </c>
      <c r="AV185" s="171">
        <v>-16.2161581020586</v>
      </c>
      <c r="AW185" s="168"/>
      <c r="AX185" s="168"/>
      <c r="AY185" s="176">
        <v>12</v>
      </c>
      <c r="AZ185" s="176">
        <v>22</v>
      </c>
      <c r="BA185" s="167"/>
      <c r="BB185" s="184">
        <v>76</v>
      </c>
      <c r="BC185" s="180">
        <v>25.0465527404642</v>
      </c>
      <c r="BD185" s="181" t="s">
        <v>55</v>
      </c>
      <c r="BE185" s="188">
        <v>0.78270477313950604</v>
      </c>
      <c r="BF185" s="171">
        <v>-30.032316204117301</v>
      </c>
      <c r="BG185" s="168"/>
      <c r="BH185" s="168"/>
      <c r="BI185" s="176">
        <v>22</v>
      </c>
      <c r="BJ185" s="176">
        <v>41</v>
      </c>
      <c r="BK185" s="169"/>
      <c r="BL185" s="185">
        <v>0.8</v>
      </c>
      <c r="BM185" s="188">
        <v>0.7</v>
      </c>
      <c r="BN185" s="186"/>
      <c r="BO185" s="187">
        <v>0.95</v>
      </c>
      <c r="BP185" s="178">
        <v>1</v>
      </c>
      <c r="BQ185" s="186">
        <v>2.5000000000000001E-3</v>
      </c>
    </row>
    <row r="186" spans="1:69" s="156" customFormat="1" ht="22.35" customHeight="1" x14ac:dyDescent="0.2">
      <c r="A186" s="165" t="s">
        <v>220</v>
      </c>
      <c r="B186" s="165" t="s">
        <v>240</v>
      </c>
      <c r="C186" s="165" t="s">
        <v>250</v>
      </c>
      <c r="D186" s="166">
        <v>3.9243355210000002</v>
      </c>
      <c r="E186" s="167"/>
      <c r="F186" s="168">
        <v>0.04</v>
      </c>
      <c r="G186" s="168">
        <v>3.4500000000000003E-2</v>
      </c>
      <c r="H186" s="169"/>
      <c r="I186" s="170">
        <v>5</v>
      </c>
      <c r="J186" s="170">
        <v>5</v>
      </c>
      <c r="K186" s="167"/>
      <c r="L186" s="171">
        <v>3829.44112</v>
      </c>
      <c r="M186" s="171">
        <v>3152.0190299999999</v>
      </c>
      <c r="N186" s="171">
        <v>6981.4601499999999</v>
      </c>
      <c r="O186" s="166">
        <v>1779.0171387335899</v>
      </c>
      <c r="P186" s="172">
        <v>285.27300000000002</v>
      </c>
      <c r="Q186" s="178">
        <v>6.2361917837776097</v>
      </c>
      <c r="R186" s="179">
        <v>5758.9585419462001</v>
      </c>
      <c r="S186" s="168">
        <v>0.01</v>
      </c>
      <c r="T186" s="168">
        <v>0.01</v>
      </c>
      <c r="U186" s="175">
        <v>0</v>
      </c>
      <c r="V186" s="176">
        <v>0</v>
      </c>
      <c r="W186" s="167"/>
      <c r="X186" s="175">
        <v>1871.66551</v>
      </c>
      <c r="Y186" s="166">
        <v>476.93819755836302</v>
      </c>
      <c r="Z186" s="177">
        <v>573</v>
      </c>
      <c r="AA186" s="188">
        <v>0.83235287532000501</v>
      </c>
      <c r="AB186" s="171">
        <v>-583.85401485803595</v>
      </c>
      <c r="AC186" s="168"/>
      <c r="AD186" s="168"/>
      <c r="AE186" s="176">
        <v>377</v>
      </c>
      <c r="AF186" s="176">
        <v>827</v>
      </c>
      <c r="AG186" s="167"/>
      <c r="AH186" s="180">
        <v>183.9</v>
      </c>
      <c r="AI186" s="166">
        <v>46.861436545348802</v>
      </c>
      <c r="AJ186" s="181" t="s">
        <v>53</v>
      </c>
      <c r="AK186" s="188">
        <v>0.74383232611664796</v>
      </c>
      <c r="AL186" s="171">
        <v>-86.078586502716007</v>
      </c>
      <c r="AM186" s="168"/>
      <c r="AN186" s="168"/>
      <c r="AO186" s="176">
        <v>64</v>
      </c>
      <c r="AP186" s="176">
        <v>113</v>
      </c>
      <c r="AQ186" s="167"/>
      <c r="AR186" s="180">
        <v>68.599999999999994</v>
      </c>
      <c r="AS186" s="166">
        <v>17.480666378525999</v>
      </c>
      <c r="AT186" s="181" t="s">
        <v>54</v>
      </c>
      <c r="AU186" s="178">
        <v>1.0925416486578701</v>
      </c>
      <c r="AV186" s="179">
        <v>3.4009777088002097E-2</v>
      </c>
      <c r="AW186" s="168">
        <v>0.01</v>
      </c>
      <c r="AX186" s="168">
        <v>4.4999999999999997E-3</v>
      </c>
      <c r="AY186" s="176">
        <v>0</v>
      </c>
      <c r="AZ186" s="176">
        <v>7</v>
      </c>
      <c r="BA186" s="167"/>
      <c r="BB186" s="184">
        <v>206.6</v>
      </c>
      <c r="BC186" s="180">
        <v>52.645855303257598</v>
      </c>
      <c r="BD186" s="181" t="s">
        <v>55</v>
      </c>
      <c r="BE186" s="178">
        <v>1.6451829782267999</v>
      </c>
      <c r="BF186" s="179">
        <v>69.468019554175996</v>
      </c>
      <c r="BG186" s="168">
        <v>0.02</v>
      </c>
      <c r="BH186" s="168">
        <v>0.02</v>
      </c>
      <c r="BI186" s="176">
        <v>0</v>
      </c>
      <c r="BJ186" s="176">
        <v>0</v>
      </c>
      <c r="BK186" s="169"/>
      <c r="BL186" s="185">
        <v>0.8</v>
      </c>
      <c r="BM186" s="182">
        <v>0.81</v>
      </c>
      <c r="BN186" s="186">
        <v>3.7500000000000001E-4</v>
      </c>
      <c r="BO186" s="187">
        <v>0.95</v>
      </c>
      <c r="BP186" s="178">
        <v>1</v>
      </c>
      <c r="BQ186" s="186">
        <v>2.5000000000000001E-3</v>
      </c>
    </row>
    <row r="187" spans="1:69" s="156" customFormat="1" ht="22.35" customHeight="1" x14ac:dyDescent="0.2">
      <c r="A187" s="165" t="s">
        <v>220</v>
      </c>
      <c r="B187" s="165" t="s">
        <v>240</v>
      </c>
      <c r="C187" s="165" t="s">
        <v>251</v>
      </c>
      <c r="D187" s="166">
        <v>1.82888188633333</v>
      </c>
      <c r="E187" s="167"/>
      <c r="F187" s="168">
        <v>7.0000000000000007E-2</v>
      </c>
      <c r="G187" s="168">
        <v>6.7000000000000004E-2</v>
      </c>
      <c r="H187" s="169"/>
      <c r="I187" s="170">
        <v>5</v>
      </c>
      <c r="J187" s="170">
        <v>5</v>
      </c>
      <c r="K187" s="167"/>
      <c r="L187" s="171">
        <v>487.84399000000002</v>
      </c>
      <c r="M187" s="171">
        <v>17.241050000000001</v>
      </c>
      <c r="N187" s="171">
        <v>505.08503999999999</v>
      </c>
      <c r="O187" s="166">
        <v>276.17149241530802</v>
      </c>
      <c r="P187" s="172">
        <v>243.29900000000001</v>
      </c>
      <c r="Q187" s="178">
        <v>1.1351114982606101</v>
      </c>
      <c r="R187" s="179">
        <v>19.183113603190002</v>
      </c>
      <c r="S187" s="168">
        <v>0.01</v>
      </c>
      <c r="T187" s="168">
        <v>7.0000000000000001E-3</v>
      </c>
      <c r="U187" s="175">
        <v>0</v>
      </c>
      <c r="V187" s="176">
        <v>29</v>
      </c>
      <c r="W187" s="167"/>
      <c r="X187" s="175">
        <v>1254.1994549999999</v>
      </c>
      <c r="Y187" s="166">
        <v>685.77389517182201</v>
      </c>
      <c r="Z187" s="177">
        <v>573</v>
      </c>
      <c r="AA187" s="178">
        <v>1.1968130805791</v>
      </c>
      <c r="AB187" s="179">
        <v>109.83879661105399</v>
      </c>
      <c r="AC187" s="168">
        <v>0.02</v>
      </c>
      <c r="AD187" s="168">
        <v>0.02</v>
      </c>
      <c r="AE187" s="176">
        <v>0</v>
      </c>
      <c r="AF187" s="176">
        <v>4</v>
      </c>
      <c r="AG187" s="167"/>
      <c r="AH187" s="180">
        <v>157.19999999999999</v>
      </c>
      <c r="AI187" s="166">
        <v>85.954156566756296</v>
      </c>
      <c r="AJ187" s="181" t="s">
        <v>53</v>
      </c>
      <c r="AK187" s="178">
        <v>1.36435169153581</v>
      </c>
      <c r="AL187" s="179">
        <v>31.3802417478122</v>
      </c>
      <c r="AM187" s="168">
        <v>0.02</v>
      </c>
      <c r="AN187" s="168">
        <v>0.02</v>
      </c>
      <c r="AO187" s="176">
        <v>0</v>
      </c>
      <c r="AP187" s="176">
        <v>0</v>
      </c>
      <c r="AQ187" s="167"/>
      <c r="AR187" s="180">
        <v>17.600000000000001</v>
      </c>
      <c r="AS187" s="166">
        <v>9.6233661296113997</v>
      </c>
      <c r="AT187" s="181" t="s">
        <v>54</v>
      </c>
      <c r="AU187" s="173">
        <v>0.60146038310071204</v>
      </c>
      <c r="AV187" s="174">
        <v>-14.3542243180159</v>
      </c>
      <c r="AW187" s="168"/>
      <c r="AX187" s="168"/>
      <c r="AY187" s="176">
        <v>12</v>
      </c>
      <c r="AZ187" s="176">
        <v>18</v>
      </c>
      <c r="BA187" s="167"/>
      <c r="BB187" s="184">
        <v>85</v>
      </c>
      <c r="BC187" s="180">
        <v>46.476484148691398</v>
      </c>
      <c r="BD187" s="181" t="s">
        <v>55</v>
      </c>
      <c r="BE187" s="178">
        <v>1.45239012964661</v>
      </c>
      <c r="BF187" s="179">
        <v>21.091551363968101</v>
      </c>
      <c r="BG187" s="168">
        <v>0.02</v>
      </c>
      <c r="BH187" s="168">
        <v>0.02</v>
      </c>
      <c r="BI187" s="176">
        <v>0</v>
      </c>
      <c r="BJ187" s="176">
        <v>0</v>
      </c>
      <c r="BK187" s="169"/>
      <c r="BL187" s="185">
        <v>0.8</v>
      </c>
      <c r="BM187" s="188">
        <v>0.75</v>
      </c>
      <c r="BN187" s="186"/>
      <c r="BO187" s="187">
        <v>0.95</v>
      </c>
      <c r="BP187" s="178">
        <v>1</v>
      </c>
      <c r="BQ187" s="186">
        <v>2.5000000000000001E-3</v>
      </c>
    </row>
    <row r="188" spans="1:69" s="156" customFormat="1" ht="22.35" customHeight="1" x14ac:dyDescent="0.2">
      <c r="A188" s="165" t="s">
        <v>220</v>
      </c>
      <c r="B188" s="165" t="s">
        <v>240</v>
      </c>
      <c r="C188" s="165" t="s">
        <v>252</v>
      </c>
      <c r="D188" s="166">
        <v>3.0121534749999999</v>
      </c>
      <c r="E188" s="167"/>
      <c r="F188" s="168">
        <v>3.5000000000000003E-2</v>
      </c>
      <c r="G188" s="168">
        <v>1.9E-2</v>
      </c>
      <c r="H188" s="169"/>
      <c r="I188" s="170">
        <v>4</v>
      </c>
      <c r="J188" s="170">
        <v>3</v>
      </c>
      <c r="K188" s="167"/>
      <c r="L188" s="171">
        <v>1238.89231</v>
      </c>
      <c r="M188" s="171">
        <v>459.20697999999999</v>
      </c>
      <c r="N188" s="171">
        <v>1698.0992900000001</v>
      </c>
      <c r="O188" s="166">
        <v>563.74925915751999</v>
      </c>
      <c r="P188" s="172">
        <v>262.53800000000001</v>
      </c>
      <c r="Q188" s="178">
        <v>2.1473053773454498</v>
      </c>
      <c r="R188" s="179">
        <v>834.54050407065097</v>
      </c>
      <c r="S188" s="168">
        <v>0.01</v>
      </c>
      <c r="T188" s="168">
        <v>0.01</v>
      </c>
      <c r="U188" s="175">
        <v>0</v>
      </c>
      <c r="V188" s="176">
        <v>0</v>
      </c>
      <c r="W188" s="167"/>
      <c r="X188" s="175">
        <v>1875.136645</v>
      </c>
      <c r="Y188" s="166">
        <v>622.52360663661102</v>
      </c>
      <c r="Z188" s="177">
        <v>573</v>
      </c>
      <c r="AA188" s="182">
        <v>1.0864286328736701</v>
      </c>
      <c r="AB188" s="183">
        <v>-9.6159787631002001</v>
      </c>
      <c r="AC188" s="168">
        <v>1.9E-2</v>
      </c>
      <c r="AD188" s="168">
        <v>8.9999999999999993E-3</v>
      </c>
      <c r="AE188" s="176">
        <v>0</v>
      </c>
      <c r="AF188" s="176">
        <v>197</v>
      </c>
      <c r="AG188" s="167"/>
      <c r="AH188" s="180">
        <v>157.69999999999999</v>
      </c>
      <c r="AI188" s="166">
        <v>52.354570014066098</v>
      </c>
      <c r="AJ188" s="181" t="s">
        <v>53</v>
      </c>
      <c r="AK188" s="188">
        <v>0.83102492085819202</v>
      </c>
      <c r="AL188" s="171">
        <v>-49.524110466099998</v>
      </c>
      <c r="AM188" s="168"/>
      <c r="AN188" s="168"/>
      <c r="AO188" s="176">
        <v>33</v>
      </c>
      <c r="AP188" s="176">
        <v>71</v>
      </c>
      <c r="AQ188" s="167"/>
      <c r="AR188" s="180">
        <v>17</v>
      </c>
      <c r="AS188" s="166">
        <v>5.64380272821258</v>
      </c>
      <c r="AT188" s="181" t="s">
        <v>54</v>
      </c>
      <c r="AU188" s="173">
        <v>0.35273767051328597</v>
      </c>
      <c r="AV188" s="174">
        <v>-35.628345515200003</v>
      </c>
      <c r="AW188" s="168"/>
      <c r="AX188" s="168"/>
      <c r="AY188" s="176">
        <v>32</v>
      </c>
      <c r="AZ188" s="176">
        <v>41</v>
      </c>
      <c r="BA188" s="167"/>
      <c r="BB188" s="184">
        <v>93</v>
      </c>
      <c r="BC188" s="180">
        <v>30.874920807280599</v>
      </c>
      <c r="BD188" s="181" t="s">
        <v>55</v>
      </c>
      <c r="BE188" s="182">
        <v>0.96484127522751795</v>
      </c>
      <c r="BF188" s="183">
        <v>-12.256691030400001</v>
      </c>
      <c r="BG188" s="168">
        <v>6.0000000000000001E-3</v>
      </c>
      <c r="BH188" s="168"/>
      <c r="BI188" s="176">
        <v>4</v>
      </c>
      <c r="BJ188" s="176">
        <v>23</v>
      </c>
      <c r="BK188" s="169"/>
      <c r="BL188" s="185">
        <v>0.8</v>
      </c>
      <c r="BM188" s="188">
        <v>0.74</v>
      </c>
      <c r="BN188" s="186"/>
      <c r="BO188" s="187">
        <v>0.95</v>
      </c>
      <c r="BP188" s="178">
        <v>1</v>
      </c>
      <c r="BQ188" s="186">
        <v>2.5000000000000001E-3</v>
      </c>
    </row>
    <row r="189" spans="1:69" s="156" customFormat="1" ht="22.35" customHeight="1" x14ac:dyDescent="0.2">
      <c r="A189" s="165" t="s">
        <v>220</v>
      </c>
      <c r="B189" s="165" t="s">
        <v>240</v>
      </c>
      <c r="C189" s="165" t="s">
        <v>253</v>
      </c>
      <c r="D189" s="166">
        <v>2.69738168433333</v>
      </c>
      <c r="E189" s="167"/>
      <c r="F189" s="168">
        <v>0.04</v>
      </c>
      <c r="G189" s="168">
        <v>1.7999999999999999E-2</v>
      </c>
      <c r="H189" s="169"/>
      <c r="I189" s="170">
        <v>6</v>
      </c>
      <c r="J189" s="170">
        <v>5</v>
      </c>
      <c r="K189" s="167"/>
      <c r="L189" s="171">
        <v>2734.70064</v>
      </c>
      <c r="M189" s="171">
        <v>1755.0765899999999</v>
      </c>
      <c r="N189" s="171">
        <v>4489.7772299999997</v>
      </c>
      <c r="O189" s="166">
        <v>1664.49459343373</v>
      </c>
      <c r="P189" s="172">
        <v>243.27799999999999</v>
      </c>
      <c r="Q189" s="178">
        <v>6.8419445795909599</v>
      </c>
      <c r="R189" s="179">
        <v>3773.1919554298402</v>
      </c>
      <c r="S189" s="168">
        <v>0.01</v>
      </c>
      <c r="T189" s="168">
        <v>0.01</v>
      </c>
      <c r="U189" s="175">
        <v>0</v>
      </c>
      <c r="V189" s="176">
        <v>0</v>
      </c>
      <c r="W189" s="167"/>
      <c r="X189" s="175">
        <v>1580.3884499999999</v>
      </c>
      <c r="Y189" s="166">
        <v>585.89722736647002</v>
      </c>
      <c r="Z189" s="177">
        <v>573</v>
      </c>
      <c r="AA189" s="182">
        <v>1.0225082502032601</v>
      </c>
      <c r="AB189" s="183">
        <v>-107.406427994314</v>
      </c>
      <c r="AC189" s="168">
        <v>1.2E-2</v>
      </c>
      <c r="AD189" s="168">
        <v>2E-3</v>
      </c>
      <c r="AE189" s="176">
        <v>0</v>
      </c>
      <c r="AF189" s="176">
        <v>275</v>
      </c>
      <c r="AG189" s="167"/>
      <c r="AH189" s="180">
        <v>157.85</v>
      </c>
      <c r="AI189" s="166">
        <v>58.519712251628597</v>
      </c>
      <c r="AJ189" s="181" t="s">
        <v>53</v>
      </c>
      <c r="AK189" s="182">
        <v>0.92888432145442201</v>
      </c>
      <c r="AL189" s="183">
        <v>-27.7190703553958</v>
      </c>
      <c r="AM189" s="168">
        <v>2E-3</v>
      </c>
      <c r="AN189" s="168"/>
      <c r="AO189" s="176">
        <v>13</v>
      </c>
      <c r="AP189" s="176">
        <v>47</v>
      </c>
      <c r="AQ189" s="167"/>
      <c r="AR189" s="180">
        <v>24.5</v>
      </c>
      <c r="AS189" s="166">
        <v>9.0828821676585392</v>
      </c>
      <c r="AT189" s="181" t="s">
        <v>54</v>
      </c>
      <c r="AU189" s="173">
        <v>0.56768013547865903</v>
      </c>
      <c r="AV189" s="174">
        <v>-22.6286527886719</v>
      </c>
      <c r="AW189" s="168"/>
      <c r="AX189" s="168"/>
      <c r="AY189" s="176">
        <v>19</v>
      </c>
      <c r="AZ189" s="176">
        <v>28</v>
      </c>
      <c r="BA189" s="167"/>
      <c r="BB189" s="184">
        <v>91.4</v>
      </c>
      <c r="BC189" s="180">
        <v>33.884711433632297</v>
      </c>
      <c r="BD189" s="181" t="s">
        <v>55</v>
      </c>
      <c r="BE189" s="182">
        <v>1.05889723230101</v>
      </c>
      <c r="BF189" s="183">
        <v>-2.85730557734388</v>
      </c>
      <c r="BG189" s="168">
        <v>1.6E-2</v>
      </c>
      <c r="BH189" s="168">
        <v>6.0000000000000001E-3</v>
      </c>
      <c r="BI189" s="176">
        <v>0</v>
      </c>
      <c r="BJ189" s="176">
        <v>13</v>
      </c>
      <c r="BK189" s="169"/>
      <c r="BL189" s="185">
        <v>0.8</v>
      </c>
      <c r="BM189" s="182">
        <v>0.86</v>
      </c>
      <c r="BN189" s="186">
        <v>2.2499999999999998E-3</v>
      </c>
      <c r="BO189" s="187">
        <v>0.95</v>
      </c>
      <c r="BP189" s="178">
        <v>1</v>
      </c>
      <c r="BQ189" s="186">
        <v>2.5000000000000001E-3</v>
      </c>
    </row>
    <row r="190" spans="1:69" s="156" customFormat="1" ht="22.35" customHeight="1" x14ac:dyDescent="0.2">
      <c r="A190" s="165" t="s">
        <v>220</v>
      </c>
      <c r="B190" s="165" t="s">
        <v>240</v>
      </c>
      <c r="C190" s="165" t="s">
        <v>254</v>
      </c>
      <c r="D190" s="166">
        <v>2.5112282917777802</v>
      </c>
      <c r="E190" s="167"/>
      <c r="F190" s="168">
        <v>7.0000000000000007E-2</v>
      </c>
      <c r="G190" s="168">
        <v>7.0000000000000007E-2</v>
      </c>
      <c r="H190" s="169"/>
      <c r="I190" s="170">
        <v>5</v>
      </c>
      <c r="J190" s="170">
        <v>5</v>
      </c>
      <c r="K190" s="167"/>
      <c r="L190" s="171">
        <v>322.61516</v>
      </c>
      <c r="M190" s="171">
        <v>-93.955659999999995</v>
      </c>
      <c r="N190" s="171">
        <v>228.65950000000001</v>
      </c>
      <c r="O190" s="166">
        <v>91.054843858152296</v>
      </c>
      <c r="P190" s="172">
        <v>233.029</v>
      </c>
      <c r="Q190" s="173">
        <v>0.39074468782062399</v>
      </c>
      <c r="R190" s="174">
        <v>-410.36690722431501</v>
      </c>
      <c r="S190" s="168"/>
      <c r="T190" s="168"/>
      <c r="U190" s="175">
        <v>357</v>
      </c>
      <c r="V190" s="176">
        <v>474</v>
      </c>
      <c r="W190" s="167"/>
      <c r="X190" s="175">
        <v>2053.2168799999999</v>
      </c>
      <c r="Y190" s="166">
        <v>817.61458594688895</v>
      </c>
      <c r="Z190" s="177">
        <v>573</v>
      </c>
      <c r="AA190" s="178">
        <v>1.42690154615513</v>
      </c>
      <c r="AB190" s="179">
        <v>481.90115818197398</v>
      </c>
      <c r="AC190" s="168">
        <v>0.02</v>
      </c>
      <c r="AD190" s="168">
        <v>0.02</v>
      </c>
      <c r="AE190" s="176">
        <v>0</v>
      </c>
      <c r="AF190" s="176">
        <v>0</v>
      </c>
      <c r="AG190" s="167"/>
      <c r="AH190" s="180">
        <v>198.8</v>
      </c>
      <c r="AI190" s="166">
        <v>79.164447394491205</v>
      </c>
      <c r="AJ190" s="181" t="s">
        <v>53</v>
      </c>
      <c r="AK190" s="178">
        <v>1.2565785300712899</v>
      </c>
      <c r="AL190" s="179">
        <v>26.037538438855801</v>
      </c>
      <c r="AM190" s="168">
        <v>0.02</v>
      </c>
      <c r="AN190" s="168">
        <v>0.02</v>
      </c>
      <c r="AO190" s="176">
        <v>0</v>
      </c>
      <c r="AP190" s="176">
        <v>0</v>
      </c>
      <c r="AQ190" s="167"/>
      <c r="AR190" s="180">
        <v>49.4</v>
      </c>
      <c r="AS190" s="166">
        <v>19.671648396820199</v>
      </c>
      <c r="AT190" s="181" t="s">
        <v>54</v>
      </c>
      <c r="AU190" s="178">
        <v>1.22947802480127</v>
      </c>
      <c r="AV190" s="179">
        <v>5.5238192860586199</v>
      </c>
      <c r="AW190" s="168">
        <v>0.01</v>
      </c>
      <c r="AX190" s="168">
        <v>0.01</v>
      </c>
      <c r="AY190" s="176">
        <v>0</v>
      </c>
      <c r="AZ190" s="176">
        <v>0</v>
      </c>
      <c r="BA190" s="167"/>
      <c r="BB190" s="184">
        <v>138.19999999999999</v>
      </c>
      <c r="BC190" s="180">
        <v>55.0328301303757</v>
      </c>
      <c r="BD190" s="181" t="s">
        <v>55</v>
      </c>
      <c r="BE190" s="178">
        <v>1.71977594157424</v>
      </c>
      <c r="BF190" s="179">
        <v>50.447638572117299</v>
      </c>
      <c r="BG190" s="168">
        <v>0.02</v>
      </c>
      <c r="BH190" s="168">
        <v>0.02</v>
      </c>
      <c r="BI190" s="176">
        <v>0</v>
      </c>
      <c r="BJ190" s="176">
        <v>0</v>
      </c>
      <c r="BK190" s="169"/>
      <c r="BL190" s="185">
        <v>0.8</v>
      </c>
      <c r="BM190" s="188">
        <v>0.78</v>
      </c>
      <c r="BN190" s="186"/>
      <c r="BO190" s="187">
        <v>0.95</v>
      </c>
      <c r="BP190" s="178">
        <v>1</v>
      </c>
      <c r="BQ190" s="186">
        <v>2.5000000000000001E-3</v>
      </c>
    </row>
    <row r="191" spans="1:69" s="156" customFormat="1" ht="22.35" customHeight="1" x14ac:dyDescent="0.2">
      <c r="A191" s="165" t="s">
        <v>220</v>
      </c>
      <c r="B191" s="165" t="s">
        <v>240</v>
      </c>
      <c r="C191" s="165" t="s">
        <v>255</v>
      </c>
      <c r="D191" s="166">
        <v>3.5167137564444402</v>
      </c>
      <c r="E191" s="167"/>
      <c r="F191" s="168">
        <v>0.01</v>
      </c>
      <c r="G191" s="168">
        <v>0.01</v>
      </c>
      <c r="H191" s="169"/>
      <c r="I191" s="170">
        <v>3</v>
      </c>
      <c r="J191" s="170">
        <v>3</v>
      </c>
      <c r="K191" s="167"/>
      <c r="L191" s="171">
        <v>1691.1969899999999</v>
      </c>
      <c r="M191" s="171">
        <v>264.1585</v>
      </c>
      <c r="N191" s="171">
        <v>1955.3554899999999</v>
      </c>
      <c r="O191" s="166">
        <v>556.01781248666396</v>
      </c>
      <c r="P191" s="172">
        <v>232.833</v>
      </c>
      <c r="Q191" s="178">
        <v>2.38805415248983</v>
      </c>
      <c r="R191" s="179">
        <v>1061.21823065278</v>
      </c>
      <c r="S191" s="168">
        <v>0.01</v>
      </c>
      <c r="T191" s="168">
        <v>0.01</v>
      </c>
      <c r="U191" s="175">
        <v>0</v>
      </c>
      <c r="V191" s="176">
        <v>0</v>
      </c>
      <c r="W191" s="167"/>
      <c r="X191" s="175">
        <v>1460.09935</v>
      </c>
      <c r="Y191" s="166">
        <v>415.188568396942</v>
      </c>
      <c r="Z191" s="177">
        <v>573</v>
      </c>
      <c r="AA191" s="188">
        <v>0.72458737940129403</v>
      </c>
      <c r="AB191" s="171">
        <v>-740.36471482738898</v>
      </c>
      <c r="AC191" s="168"/>
      <c r="AD191" s="168"/>
      <c r="AE191" s="176">
        <v>555</v>
      </c>
      <c r="AF191" s="176">
        <v>958</v>
      </c>
      <c r="AG191" s="167"/>
      <c r="AH191" s="180">
        <v>134.80000000000001</v>
      </c>
      <c r="AI191" s="166">
        <v>38.331240281634102</v>
      </c>
      <c r="AJ191" s="181" t="s">
        <v>53</v>
      </c>
      <c r="AK191" s="173">
        <v>0.60843238542276301</v>
      </c>
      <c r="AL191" s="174">
        <v>-107.135839588352</v>
      </c>
      <c r="AM191" s="168"/>
      <c r="AN191" s="168"/>
      <c r="AO191" s="176">
        <v>87</v>
      </c>
      <c r="AP191" s="176">
        <v>132</v>
      </c>
      <c r="AQ191" s="167"/>
      <c r="AR191" s="180">
        <v>31.4</v>
      </c>
      <c r="AS191" s="166">
        <v>8.9287903920126901</v>
      </c>
      <c r="AT191" s="181" t="s">
        <v>54</v>
      </c>
      <c r="AU191" s="173">
        <v>0.55804939950079302</v>
      </c>
      <c r="AV191" s="174">
        <v>-30.0440227525973</v>
      </c>
      <c r="AW191" s="168"/>
      <c r="AX191" s="168"/>
      <c r="AY191" s="176">
        <v>25</v>
      </c>
      <c r="AZ191" s="176">
        <v>37</v>
      </c>
      <c r="BA191" s="167"/>
      <c r="BB191" s="184">
        <v>101.4</v>
      </c>
      <c r="BC191" s="180">
        <v>28.833737125798901</v>
      </c>
      <c r="BD191" s="181" t="s">
        <v>55</v>
      </c>
      <c r="BE191" s="188">
        <v>0.901054285181217</v>
      </c>
      <c r="BF191" s="171">
        <v>-21.488045505194499</v>
      </c>
      <c r="BG191" s="168"/>
      <c r="BH191" s="168"/>
      <c r="BI191" s="176">
        <v>12</v>
      </c>
      <c r="BJ191" s="176">
        <v>34</v>
      </c>
      <c r="BK191" s="169"/>
      <c r="BL191" s="185">
        <v>0.8</v>
      </c>
      <c r="BM191" s="182">
        <v>0.86</v>
      </c>
      <c r="BN191" s="186">
        <v>2.2499999999999998E-3</v>
      </c>
      <c r="BO191" s="187">
        <v>0.95</v>
      </c>
      <c r="BP191" s="178">
        <v>1</v>
      </c>
      <c r="BQ191" s="186">
        <v>2.5000000000000001E-3</v>
      </c>
    </row>
    <row r="192" spans="1:69" s="156" customFormat="1" ht="22.35" customHeight="1" x14ac:dyDescent="0.2">
      <c r="A192" s="165" t="s">
        <v>220</v>
      </c>
      <c r="B192" s="165" t="s">
        <v>240</v>
      </c>
      <c r="C192" s="165" t="s">
        <v>256</v>
      </c>
      <c r="D192" s="166">
        <v>7.4460326411111097</v>
      </c>
      <c r="E192" s="167"/>
      <c r="F192" s="168">
        <v>3.6499999999999998E-2</v>
      </c>
      <c r="G192" s="168">
        <v>1.7999999999999999E-2</v>
      </c>
      <c r="H192" s="169"/>
      <c r="I192" s="170">
        <v>5</v>
      </c>
      <c r="J192" s="170">
        <v>3</v>
      </c>
      <c r="K192" s="167"/>
      <c r="L192" s="171">
        <v>5412.3044399999999</v>
      </c>
      <c r="M192" s="171">
        <v>3870.77934</v>
      </c>
      <c r="N192" s="171">
        <v>9283.0837800000008</v>
      </c>
      <c r="O192" s="166">
        <v>1246.71542919999</v>
      </c>
      <c r="P192" s="172">
        <v>247.167</v>
      </c>
      <c r="Q192" s="178">
        <v>5.0440205577604997</v>
      </c>
      <c r="R192" s="179">
        <v>7273.35218361238</v>
      </c>
      <c r="S192" s="168">
        <v>0.01</v>
      </c>
      <c r="T192" s="168">
        <v>0.01</v>
      </c>
      <c r="U192" s="175">
        <v>0</v>
      </c>
      <c r="V192" s="176">
        <v>0</v>
      </c>
      <c r="W192" s="167"/>
      <c r="X192" s="175">
        <v>4153.0347099999999</v>
      </c>
      <c r="Y192" s="166">
        <v>557.75134359070898</v>
      </c>
      <c r="Z192" s="177">
        <v>573</v>
      </c>
      <c r="AA192" s="182">
        <v>0.97338803418971898</v>
      </c>
      <c r="AB192" s="183">
        <v>-506.06705006547998</v>
      </c>
      <c r="AC192" s="168">
        <v>7.0000000000000001E-3</v>
      </c>
      <c r="AD192" s="168"/>
      <c r="AE192" s="176">
        <v>114</v>
      </c>
      <c r="AF192" s="176">
        <v>967</v>
      </c>
      <c r="AG192" s="167"/>
      <c r="AH192" s="180">
        <v>414</v>
      </c>
      <c r="AI192" s="166">
        <v>55.600078586040397</v>
      </c>
      <c r="AJ192" s="181" t="s">
        <v>53</v>
      </c>
      <c r="AK192" s="188">
        <v>0.88254092993715005</v>
      </c>
      <c r="AL192" s="171">
        <v>-98.257261577879902</v>
      </c>
      <c r="AM192" s="168"/>
      <c r="AN192" s="168"/>
      <c r="AO192" s="176">
        <v>56</v>
      </c>
      <c r="AP192" s="176">
        <v>149</v>
      </c>
      <c r="AQ192" s="167"/>
      <c r="AR192" s="180">
        <v>109.8</v>
      </c>
      <c r="AS192" s="166">
        <v>14.746107798906401</v>
      </c>
      <c r="AT192" s="181" t="s">
        <v>54</v>
      </c>
      <c r="AU192" s="182">
        <v>0.92163173743164795</v>
      </c>
      <c r="AV192" s="183">
        <v>-20.297082305493301</v>
      </c>
      <c r="AW192" s="168">
        <v>5.0000000000000001E-4</v>
      </c>
      <c r="AX192" s="168"/>
      <c r="AY192" s="176">
        <v>10</v>
      </c>
      <c r="AZ192" s="176">
        <v>34</v>
      </c>
      <c r="BA192" s="167"/>
      <c r="BB192" s="184">
        <v>258.39999999999998</v>
      </c>
      <c r="BC192" s="180">
        <v>34.703044218919899</v>
      </c>
      <c r="BD192" s="181" t="s">
        <v>55</v>
      </c>
      <c r="BE192" s="182">
        <v>1.08447013184125</v>
      </c>
      <c r="BF192" s="183">
        <v>-1.79416461098668</v>
      </c>
      <c r="BG192" s="168">
        <v>1.9E-2</v>
      </c>
      <c r="BH192" s="168">
        <v>8.0000000000000002E-3</v>
      </c>
      <c r="BI192" s="176">
        <v>0</v>
      </c>
      <c r="BJ192" s="176">
        <v>28</v>
      </c>
      <c r="BK192" s="169"/>
      <c r="BL192" s="185">
        <v>0.8</v>
      </c>
      <c r="BM192" s="188">
        <v>0.79</v>
      </c>
      <c r="BN192" s="186"/>
      <c r="BO192" s="187">
        <v>0.95</v>
      </c>
      <c r="BP192" s="178">
        <v>1</v>
      </c>
      <c r="BQ192" s="186">
        <v>2.5000000000000001E-3</v>
      </c>
    </row>
    <row r="193" spans="1:69" s="156" customFormat="1" ht="22.35" customHeight="1" x14ac:dyDescent="0.2">
      <c r="A193" s="165" t="s">
        <v>220</v>
      </c>
      <c r="B193" s="165" t="s">
        <v>240</v>
      </c>
      <c r="C193" s="165" t="s">
        <v>257</v>
      </c>
      <c r="D193" s="166">
        <v>10.895669111222199</v>
      </c>
      <c r="E193" s="167"/>
      <c r="F193" s="168">
        <v>0.08</v>
      </c>
      <c r="G193" s="168">
        <v>0.08</v>
      </c>
      <c r="H193" s="169"/>
      <c r="I193" s="170">
        <v>6</v>
      </c>
      <c r="J193" s="170">
        <v>6</v>
      </c>
      <c r="K193" s="167"/>
      <c r="L193" s="171">
        <v>10301.43117</v>
      </c>
      <c r="M193" s="171">
        <v>8405.4289700000008</v>
      </c>
      <c r="N193" s="171">
        <v>18706.860140000001</v>
      </c>
      <c r="O193" s="166">
        <v>1716.90787862973</v>
      </c>
      <c r="P193" s="172">
        <v>236.7</v>
      </c>
      <c r="Q193" s="178">
        <v>7.2535187098847898</v>
      </c>
      <c r="R193" s="179">
        <v>15890.586812540099</v>
      </c>
      <c r="S193" s="168">
        <v>0.01</v>
      </c>
      <c r="T193" s="168">
        <v>0.01</v>
      </c>
      <c r="U193" s="175">
        <v>0</v>
      </c>
      <c r="V193" s="176">
        <v>0</v>
      </c>
      <c r="W193" s="167"/>
      <c r="X193" s="175">
        <v>16623.468495000001</v>
      </c>
      <c r="Y193" s="166">
        <v>1525.6950560180201</v>
      </c>
      <c r="Z193" s="177">
        <v>573</v>
      </c>
      <c r="AA193" s="178">
        <v>2.6626440768202801</v>
      </c>
      <c r="AB193" s="179">
        <v>9805.8740014024806</v>
      </c>
      <c r="AC193" s="168">
        <v>0.02</v>
      </c>
      <c r="AD193" s="168">
        <v>0.02</v>
      </c>
      <c r="AE193" s="176">
        <v>0</v>
      </c>
      <c r="AF193" s="176">
        <v>0</v>
      </c>
      <c r="AG193" s="167"/>
      <c r="AH193" s="180">
        <v>2091.9</v>
      </c>
      <c r="AI193" s="166">
        <v>191.99371591097599</v>
      </c>
      <c r="AJ193" s="181" t="s">
        <v>53</v>
      </c>
      <c r="AK193" s="178">
        <v>3.04751930017422</v>
      </c>
      <c r="AL193" s="179">
        <v>1342.3215478243601</v>
      </c>
      <c r="AM193" s="168">
        <v>0.02</v>
      </c>
      <c r="AN193" s="168">
        <v>0.02</v>
      </c>
      <c r="AO193" s="176">
        <v>0</v>
      </c>
      <c r="AP193" s="176">
        <v>0</v>
      </c>
      <c r="AQ193" s="167"/>
      <c r="AR193" s="180">
        <v>719.7</v>
      </c>
      <c r="AS193" s="166">
        <v>66.053768029604498</v>
      </c>
      <c r="AT193" s="181" t="s">
        <v>54</v>
      </c>
      <c r="AU193" s="178">
        <v>4.1283605018502803</v>
      </c>
      <c r="AV193" s="179">
        <v>529.33086928872501</v>
      </c>
      <c r="AW193" s="168">
        <v>0.01</v>
      </c>
      <c r="AX193" s="168">
        <v>0.01</v>
      </c>
      <c r="AY193" s="176">
        <v>0</v>
      </c>
      <c r="AZ193" s="176">
        <v>0</v>
      </c>
      <c r="BA193" s="167"/>
      <c r="BB193" s="184">
        <v>1267.4000000000001</v>
      </c>
      <c r="BC193" s="180">
        <v>116.32144727069701</v>
      </c>
      <c r="BD193" s="181" t="s">
        <v>55</v>
      </c>
      <c r="BE193" s="178">
        <v>3.6350452272092801</v>
      </c>
      <c r="BF193" s="179">
        <v>886.66173857745105</v>
      </c>
      <c r="BG193" s="168">
        <v>0.02</v>
      </c>
      <c r="BH193" s="168">
        <v>0.02</v>
      </c>
      <c r="BI193" s="176">
        <v>0</v>
      </c>
      <c r="BJ193" s="176">
        <v>0</v>
      </c>
      <c r="BK193" s="169"/>
      <c r="BL193" s="185">
        <v>0.8</v>
      </c>
      <c r="BM193" s="188">
        <v>0.77</v>
      </c>
      <c r="BN193" s="186"/>
      <c r="BO193" s="187">
        <v>0.95</v>
      </c>
      <c r="BP193" s="178">
        <v>1</v>
      </c>
      <c r="BQ193" s="186">
        <v>2.5000000000000001E-3</v>
      </c>
    </row>
    <row r="194" spans="1:69" s="156" customFormat="1" ht="22.35" customHeight="1" x14ac:dyDescent="0.2">
      <c r="A194" s="165" t="s">
        <v>220</v>
      </c>
      <c r="B194" s="165" t="s">
        <v>240</v>
      </c>
      <c r="C194" s="165" t="s">
        <v>258</v>
      </c>
      <c r="D194" s="166">
        <v>1.7385762385555601</v>
      </c>
      <c r="E194" s="167"/>
      <c r="F194" s="168">
        <v>2.4E-2</v>
      </c>
      <c r="G194" s="168">
        <v>8.0000000000000002E-3</v>
      </c>
      <c r="H194" s="169"/>
      <c r="I194" s="170">
        <v>3</v>
      </c>
      <c r="J194" s="170">
        <v>3</v>
      </c>
      <c r="K194" s="167"/>
      <c r="L194" s="171">
        <v>677.33524</v>
      </c>
      <c r="M194" s="171">
        <v>-241.26714999999999</v>
      </c>
      <c r="N194" s="171">
        <v>436.06808999999998</v>
      </c>
      <c r="O194" s="166">
        <v>250.81907846750201</v>
      </c>
      <c r="P194" s="172">
        <v>236.7</v>
      </c>
      <c r="Q194" s="182">
        <v>1.05964967666879</v>
      </c>
      <c r="R194" s="183">
        <v>-13.312837267382299</v>
      </c>
      <c r="S194" s="168">
        <v>8.0000000000000002E-3</v>
      </c>
      <c r="T194" s="168">
        <v>3.0000000000000001E-3</v>
      </c>
      <c r="U194" s="175">
        <v>0</v>
      </c>
      <c r="V194" s="176">
        <v>58</v>
      </c>
      <c r="W194" s="167"/>
      <c r="X194" s="175">
        <v>1047.613605</v>
      </c>
      <c r="Y194" s="166">
        <v>602.56983948565801</v>
      </c>
      <c r="Z194" s="177">
        <v>573</v>
      </c>
      <c r="AA194" s="182">
        <v>1.05160530451249</v>
      </c>
      <c r="AB194" s="183">
        <v>-40.2413646840307</v>
      </c>
      <c r="AC194" s="168">
        <v>1.6E-2</v>
      </c>
      <c r="AD194" s="168">
        <v>5.0000000000000001E-3</v>
      </c>
      <c r="AE194" s="176">
        <v>0</v>
      </c>
      <c r="AF194" s="176">
        <v>148</v>
      </c>
      <c r="AG194" s="167"/>
      <c r="AH194" s="180">
        <v>77.650000000000006</v>
      </c>
      <c r="AI194" s="166">
        <v>44.662982432402998</v>
      </c>
      <c r="AJ194" s="181" t="s">
        <v>53</v>
      </c>
      <c r="AK194" s="173">
        <v>0.70893622908576104</v>
      </c>
      <c r="AL194" s="174">
        <v>-41.957090907668302</v>
      </c>
      <c r="AM194" s="168"/>
      <c r="AN194" s="168"/>
      <c r="AO194" s="176">
        <v>32</v>
      </c>
      <c r="AP194" s="176">
        <v>54</v>
      </c>
      <c r="AQ194" s="167"/>
      <c r="AR194" s="180">
        <v>8</v>
      </c>
      <c r="AS194" s="166">
        <v>4.6014663162810496</v>
      </c>
      <c r="AT194" s="181" t="s">
        <v>54</v>
      </c>
      <c r="AU194" s="173">
        <v>0.28759164476756599</v>
      </c>
      <c r="AV194" s="174">
        <v>-22.376404040042701</v>
      </c>
      <c r="AW194" s="168"/>
      <c r="AX194" s="168"/>
      <c r="AY194" s="176">
        <v>20</v>
      </c>
      <c r="AZ194" s="176">
        <v>26</v>
      </c>
      <c r="BA194" s="167"/>
      <c r="BB194" s="184">
        <v>50.6</v>
      </c>
      <c r="BC194" s="180">
        <v>29.1042744504777</v>
      </c>
      <c r="BD194" s="181" t="s">
        <v>55</v>
      </c>
      <c r="BE194" s="188">
        <v>0.90950857657742701</v>
      </c>
      <c r="BF194" s="171">
        <v>-10.152808080085499</v>
      </c>
      <c r="BG194" s="168">
        <v>0</v>
      </c>
      <c r="BH194" s="168"/>
      <c r="BI194" s="176">
        <v>6</v>
      </c>
      <c r="BJ194" s="176">
        <v>17</v>
      </c>
      <c r="BK194" s="169"/>
      <c r="BL194" s="185">
        <v>0.8</v>
      </c>
      <c r="BM194" s="188">
        <v>0.75</v>
      </c>
      <c r="BN194" s="186"/>
      <c r="BO194" s="187">
        <v>0.95</v>
      </c>
      <c r="BP194" s="178">
        <v>1</v>
      </c>
      <c r="BQ194" s="186">
        <v>2.5000000000000001E-3</v>
      </c>
    </row>
    <row r="195" spans="1:69" s="156" customFormat="1" ht="22.35" customHeight="1" x14ac:dyDescent="0.2">
      <c r="A195" s="165" t="s">
        <v>220</v>
      </c>
      <c r="B195" s="165" t="s">
        <v>240</v>
      </c>
      <c r="C195" s="165" t="s">
        <v>259</v>
      </c>
      <c r="D195" s="166">
        <v>4.5380946794444403</v>
      </c>
      <c r="E195" s="167"/>
      <c r="F195" s="168">
        <v>6.0999999999999999E-2</v>
      </c>
      <c r="G195" s="168">
        <v>4.1000000000000002E-2</v>
      </c>
      <c r="H195" s="169"/>
      <c r="I195" s="170">
        <v>5</v>
      </c>
      <c r="J195" s="170">
        <v>5</v>
      </c>
      <c r="K195" s="167"/>
      <c r="L195" s="171">
        <v>3767.9607900000001</v>
      </c>
      <c r="M195" s="171">
        <v>1546.2014200000001</v>
      </c>
      <c r="N195" s="171">
        <v>5314.1622100000004</v>
      </c>
      <c r="O195" s="166">
        <v>1171.0117539131099</v>
      </c>
      <c r="P195" s="172">
        <v>287.5</v>
      </c>
      <c r="Q195" s="178">
        <v>4.0730843614368997</v>
      </c>
      <c r="R195" s="179">
        <v>3889.4273853884201</v>
      </c>
      <c r="S195" s="168">
        <v>0.01</v>
      </c>
      <c r="T195" s="168">
        <v>0.01</v>
      </c>
      <c r="U195" s="175">
        <v>0</v>
      </c>
      <c r="V195" s="176">
        <v>0</v>
      </c>
      <c r="W195" s="167"/>
      <c r="X195" s="175">
        <v>2620.8349450000001</v>
      </c>
      <c r="Y195" s="166">
        <v>577.51878929966301</v>
      </c>
      <c r="Z195" s="177">
        <v>573</v>
      </c>
      <c r="AA195" s="182">
        <v>1.0078861942402499</v>
      </c>
      <c r="AB195" s="183">
        <v>-218.72350544325801</v>
      </c>
      <c r="AC195" s="168">
        <v>1.0999999999999999E-2</v>
      </c>
      <c r="AD195" s="168">
        <v>1E-3</v>
      </c>
      <c r="AE195" s="176">
        <v>0</v>
      </c>
      <c r="AF195" s="176">
        <v>500</v>
      </c>
      <c r="AG195" s="167"/>
      <c r="AH195" s="180">
        <v>314.05</v>
      </c>
      <c r="AI195" s="166">
        <v>69.203051541103207</v>
      </c>
      <c r="AJ195" s="181" t="s">
        <v>53</v>
      </c>
      <c r="AK195" s="178">
        <v>1.09846113557307</v>
      </c>
      <c r="AL195" s="179">
        <v>1.84723843294029</v>
      </c>
      <c r="AM195" s="168">
        <v>0.02</v>
      </c>
      <c r="AN195" s="168">
        <v>0.01</v>
      </c>
      <c r="AO195" s="176">
        <v>0</v>
      </c>
      <c r="AP195" s="176">
        <v>30</v>
      </c>
      <c r="AQ195" s="167"/>
      <c r="AR195" s="180">
        <v>60.4</v>
      </c>
      <c r="AS195" s="166">
        <v>13.3095504317231</v>
      </c>
      <c r="AT195" s="181" t="s">
        <v>54</v>
      </c>
      <c r="AU195" s="188">
        <v>0.83184690198269196</v>
      </c>
      <c r="AV195" s="171">
        <v>-18.889590239253302</v>
      </c>
      <c r="AW195" s="168"/>
      <c r="AX195" s="168"/>
      <c r="AY195" s="176">
        <v>13</v>
      </c>
      <c r="AZ195" s="176">
        <v>27</v>
      </c>
      <c r="BA195" s="167"/>
      <c r="BB195" s="184">
        <v>192.8</v>
      </c>
      <c r="BC195" s="180">
        <v>42.484790119804799</v>
      </c>
      <c r="BD195" s="181" t="s">
        <v>55</v>
      </c>
      <c r="BE195" s="178">
        <v>1.3276496912439</v>
      </c>
      <c r="BF195" s="179">
        <v>34.220819521493503</v>
      </c>
      <c r="BG195" s="168">
        <v>0.02</v>
      </c>
      <c r="BH195" s="168">
        <v>0.02</v>
      </c>
      <c r="BI195" s="176">
        <v>0</v>
      </c>
      <c r="BJ195" s="176">
        <v>0</v>
      </c>
      <c r="BK195" s="169"/>
      <c r="BL195" s="185">
        <v>0.8</v>
      </c>
      <c r="BM195" s="188">
        <v>0.73</v>
      </c>
      <c r="BN195" s="186"/>
      <c r="BO195" s="187">
        <v>0.95</v>
      </c>
      <c r="BP195" s="178">
        <v>1</v>
      </c>
      <c r="BQ195" s="186">
        <v>2.5000000000000001E-3</v>
      </c>
    </row>
    <row r="196" spans="1:69" s="156" customFormat="1" ht="22.35" customHeight="1" x14ac:dyDescent="0.2">
      <c r="A196" s="165" t="s">
        <v>220</v>
      </c>
      <c r="B196" s="165" t="s">
        <v>260</v>
      </c>
      <c r="C196" s="165" t="s">
        <v>261</v>
      </c>
      <c r="D196" s="166">
        <v>9.6008684323333302</v>
      </c>
      <c r="E196" s="167"/>
      <c r="F196" s="168">
        <v>2.5000000000000001E-2</v>
      </c>
      <c r="G196" s="168">
        <v>1.4999999999999999E-2</v>
      </c>
      <c r="H196" s="169"/>
      <c r="I196" s="170">
        <v>3</v>
      </c>
      <c r="J196" s="170">
        <v>3</v>
      </c>
      <c r="K196" s="167"/>
      <c r="L196" s="171">
        <v>5148.34238</v>
      </c>
      <c r="M196" s="171">
        <v>1734.13166</v>
      </c>
      <c r="N196" s="171">
        <v>6882.4740400000001</v>
      </c>
      <c r="O196" s="166">
        <v>716.85953083385004</v>
      </c>
      <c r="P196" s="172">
        <v>270.3</v>
      </c>
      <c r="Q196" s="178">
        <v>2.6520885343464702</v>
      </c>
      <c r="R196" s="179">
        <v>4048.60874691241</v>
      </c>
      <c r="S196" s="168">
        <v>0.01</v>
      </c>
      <c r="T196" s="168">
        <v>0.01</v>
      </c>
      <c r="U196" s="175">
        <v>0</v>
      </c>
      <c r="V196" s="176">
        <v>0</v>
      </c>
      <c r="W196" s="167"/>
      <c r="X196" s="175">
        <v>4931.3633250000003</v>
      </c>
      <c r="Y196" s="166">
        <v>513.63721519111698</v>
      </c>
      <c r="Z196" s="177">
        <v>573</v>
      </c>
      <c r="AA196" s="188">
        <v>0.89640002651154804</v>
      </c>
      <c r="AB196" s="171">
        <v>-1076.05366700588</v>
      </c>
      <c r="AC196" s="168"/>
      <c r="AD196" s="168"/>
      <c r="AE196" s="176">
        <v>570</v>
      </c>
      <c r="AF196" s="176">
        <v>1671</v>
      </c>
      <c r="AG196" s="167"/>
      <c r="AH196" s="180">
        <v>468.6</v>
      </c>
      <c r="AI196" s="166">
        <v>48.8080847376131</v>
      </c>
      <c r="AJ196" s="181" t="s">
        <v>53</v>
      </c>
      <c r="AK196" s="188">
        <v>0.77473150377163602</v>
      </c>
      <c r="AL196" s="171">
        <v>-191.90134467080401</v>
      </c>
      <c r="AM196" s="168"/>
      <c r="AN196" s="168"/>
      <c r="AO196" s="176">
        <v>137</v>
      </c>
      <c r="AP196" s="176">
        <v>258</v>
      </c>
      <c r="AQ196" s="167"/>
      <c r="AR196" s="180">
        <v>85.8</v>
      </c>
      <c r="AS196" s="166">
        <v>8.9366915716756399</v>
      </c>
      <c r="AT196" s="181" t="s">
        <v>54</v>
      </c>
      <c r="AU196" s="173">
        <v>0.55854322322972805</v>
      </c>
      <c r="AV196" s="174">
        <v>-81.946373249727998</v>
      </c>
      <c r="AW196" s="168"/>
      <c r="AX196" s="168"/>
      <c r="AY196" s="176">
        <v>68</v>
      </c>
      <c r="AZ196" s="176">
        <v>99</v>
      </c>
      <c r="BA196" s="167"/>
      <c r="BB196" s="184">
        <v>322.60000000000002</v>
      </c>
      <c r="BC196" s="180">
        <v>33.601127051544999</v>
      </c>
      <c r="BD196" s="181" t="s">
        <v>55</v>
      </c>
      <c r="BE196" s="182">
        <v>1.0500352203607799</v>
      </c>
      <c r="BF196" s="183">
        <v>-12.8927464994559</v>
      </c>
      <c r="BG196" s="168">
        <v>1.4999999999999999E-2</v>
      </c>
      <c r="BH196" s="168">
        <v>5.0000000000000001E-3</v>
      </c>
      <c r="BI196" s="176">
        <v>0</v>
      </c>
      <c r="BJ196" s="176">
        <v>47</v>
      </c>
      <c r="BK196" s="169"/>
      <c r="BL196" s="185">
        <v>0.8</v>
      </c>
      <c r="BM196" s="188">
        <v>0.71</v>
      </c>
      <c r="BN196" s="186"/>
      <c r="BO196" s="187">
        <v>0.95</v>
      </c>
      <c r="BP196" s="178">
        <v>1</v>
      </c>
      <c r="BQ196" s="186">
        <v>2.5000000000000001E-3</v>
      </c>
    </row>
    <row r="197" spans="1:69" s="156" customFormat="1" ht="22.35" customHeight="1" x14ac:dyDescent="0.2">
      <c r="A197" s="165" t="s">
        <v>220</v>
      </c>
      <c r="B197" s="165" t="s">
        <v>260</v>
      </c>
      <c r="C197" s="165" t="s">
        <v>262</v>
      </c>
      <c r="D197" s="166">
        <v>4.5932318577777798</v>
      </c>
      <c r="E197" s="167"/>
      <c r="F197" s="168">
        <v>2.1000000000000001E-2</v>
      </c>
      <c r="G197" s="168">
        <v>0.01</v>
      </c>
      <c r="H197" s="169"/>
      <c r="I197" s="170">
        <v>5</v>
      </c>
      <c r="J197" s="170">
        <v>3</v>
      </c>
      <c r="K197" s="167"/>
      <c r="L197" s="171">
        <v>1825.9501299999999</v>
      </c>
      <c r="M197" s="171">
        <v>2400.7129500000001</v>
      </c>
      <c r="N197" s="171">
        <v>4226.6630800000003</v>
      </c>
      <c r="O197" s="166">
        <v>920.193713461892</v>
      </c>
      <c r="P197" s="172">
        <v>214.857</v>
      </c>
      <c r="Q197" s="178">
        <v>4.2828193331466604</v>
      </c>
      <c r="R197" s="179">
        <v>3148.9813651449199</v>
      </c>
      <c r="S197" s="168">
        <v>0.01</v>
      </c>
      <c r="T197" s="168">
        <v>0.01</v>
      </c>
      <c r="U197" s="175">
        <v>0</v>
      </c>
      <c r="V197" s="176">
        <v>0</v>
      </c>
      <c r="W197" s="167"/>
      <c r="X197" s="175">
        <v>2609.2435650000002</v>
      </c>
      <c r="Y197" s="166">
        <v>568.062672599846</v>
      </c>
      <c r="Z197" s="177">
        <v>573</v>
      </c>
      <c r="AA197" s="182">
        <v>0.99138337277459998</v>
      </c>
      <c r="AB197" s="183">
        <v>-264.81510012128098</v>
      </c>
      <c r="AC197" s="168">
        <v>8.9999999999999993E-3</v>
      </c>
      <c r="AD197" s="168"/>
      <c r="AE197" s="176">
        <v>23</v>
      </c>
      <c r="AF197" s="176">
        <v>550</v>
      </c>
      <c r="AG197" s="167"/>
      <c r="AH197" s="180">
        <v>230.15</v>
      </c>
      <c r="AI197" s="166">
        <v>50.106331908824501</v>
      </c>
      <c r="AJ197" s="181" t="s">
        <v>53</v>
      </c>
      <c r="AK197" s="188">
        <v>0.79533860172737303</v>
      </c>
      <c r="AL197" s="171">
        <v>-85.845978887680104</v>
      </c>
      <c r="AM197" s="168"/>
      <c r="AN197" s="168"/>
      <c r="AO197" s="176">
        <v>60</v>
      </c>
      <c r="AP197" s="176">
        <v>118</v>
      </c>
      <c r="AQ197" s="167"/>
      <c r="AR197" s="180">
        <v>29.6</v>
      </c>
      <c r="AS197" s="166">
        <v>6.4442642819952498</v>
      </c>
      <c r="AT197" s="181" t="s">
        <v>54</v>
      </c>
      <c r="AU197" s="173">
        <v>0.402766517624703</v>
      </c>
      <c r="AV197" s="174">
        <v>-50.652947019093403</v>
      </c>
      <c r="AW197" s="168"/>
      <c r="AX197" s="168"/>
      <c r="AY197" s="176">
        <v>44</v>
      </c>
      <c r="AZ197" s="176">
        <v>59</v>
      </c>
      <c r="BA197" s="167"/>
      <c r="BB197" s="184">
        <v>136</v>
      </c>
      <c r="BC197" s="180">
        <v>29.6087818361944</v>
      </c>
      <c r="BD197" s="181" t="s">
        <v>55</v>
      </c>
      <c r="BE197" s="182">
        <v>0.92527443238107399</v>
      </c>
      <c r="BF197" s="183">
        <v>-24.5058940381867</v>
      </c>
      <c r="BG197" s="168">
        <v>2E-3</v>
      </c>
      <c r="BH197" s="168"/>
      <c r="BI197" s="176">
        <v>11</v>
      </c>
      <c r="BJ197" s="176">
        <v>41</v>
      </c>
      <c r="BK197" s="169"/>
      <c r="BL197" s="185">
        <v>0.8</v>
      </c>
      <c r="BM197" s="182">
        <v>0.81</v>
      </c>
      <c r="BN197" s="186">
        <v>3.7500000000000001E-4</v>
      </c>
      <c r="BO197" s="187">
        <v>0.95</v>
      </c>
      <c r="BP197" s="178">
        <v>1</v>
      </c>
      <c r="BQ197" s="186">
        <v>2.5000000000000001E-3</v>
      </c>
    </row>
    <row r="198" spans="1:69" s="156" customFormat="1" ht="22.35" customHeight="1" x14ac:dyDescent="0.2">
      <c r="A198" s="165" t="s">
        <v>220</v>
      </c>
      <c r="B198" s="165" t="s">
        <v>260</v>
      </c>
      <c r="C198" s="165" t="s">
        <v>263</v>
      </c>
      <c r="D198" s="166">
        <v>1.9563433723333301</v>
      </c>
      <c r="E198" s="167"/>
      <c r="F198" s="168">
        <v>4.3999999999999997E-2</v>
      </c>
      <c r="G198" s="168">
        <v>3.1E-2</v>
      </c>
      <c r="H198" s="169"/>
      <c r="I198" s="170">
        <v>5</v>
      </c>
      <c r="J198" s="170">
        <v>5</v>
      </c>
      <c r="K198" s="167"/>
      <c r="L198" s="171">
        <v>303.43943999999999</v>
      </c>
      <c r="M198" s="171">
        <v>1778.1423199999999</v>
      </c>
      <c r="N198" s="171">
        <v>2081.58176</v>
      </c>
      <c r="O198" s="166">
        <v>1064.0165675605799</v>
      </c>
      <c r="P198" s="172">
        <v>241.29400000000001</v>
      </c>
      <c r="Q198" s="178">
        <v>4.4096271252520998</v>
      </c>
      <c r="R198" s="179">
        <v>1566.0988818892899</v>
      </c>
      <c r="S198" s="168">
        <v>0.01</v>
      </c>
      <c r="T198" s="168">
        <v>0.01</v>
      </c>
      <c r="U198" s="175">
        <v>0</v>
      </c>
      <c r="V198" s="176">
        <v>0</v>
      </c>
      <c r="W198" s="167"/>
      <c r="X198" s="175">
        <v>1316.923225</v>
      </c>
      <c r="Y198" s="166">
        <v>673.15546116492999</v>
      </c>
      <c r="Z198" s="177">
        <v>573</v>
      </c>
      <c r="AA198" s="178">
        <v>1.17479138074159</v>
      </c>
      <c r="AB198" s="179">
        <v>92.807875437078096</v>
      </c>
      <c r="AC198" s="168">
        <v>0.02</v>
      </c>
      <c r="AD198" s="168">
        <v>1.7000000000000001E-2</v>
      </c>
      <c r="AE198" s="176">
        <v>0</v>
      </c>
      <c r="AF198" s="176">
        <v>29</v>
      </c>
      <c r="AG198" s="167"/>
      <c r="AH198" s="180">
        <v>103.8</v>
      </c>
      <c r="AI198" s="166">
        <v>53.0581703948002</v>
      </c>
      <c r="AJ198" s="181" t="s">
        <v>53</v>
      </c>
      <c r="AK198" s="188">
        <v>0.84219318086984396</v>
      </c>
      <c r="AL198" s="171">
        <v>-30.788598643043802</v>
      </c>
      <c r="AM198" s="168"/>
      <c r="AN198" s="168"/>
      <c r="AO198" s="176">
        <v>20</v>
      </c>
      <c r="AP198" s="176">
        <v>45</v>
      </c>
      <c r="AQ198" s="167"/>
      <c r="AR198" s="180">
        <v>3.8</v>
      </c>
      <c r="AS198" s="166">
        <v>1.94239930154374</v>
      </c>
      <c r="AT198" s="181" t="s">
        <v>54</v>
      </c>
      <c r="AU198" s="173">
        <v>0.121399956346484</v>
      </c>
      <c r="AV198" s="174">
        <v>-30.381231401407899</v>
      </c>
      <c r="AW198" s="168"/>
      <c r="AX198" s="168"/>
      <c r="AY198" s="176">
        <v>28</v>
      </c>
      <c r="AZ198" s="176">
        <v>34</v>
      </c>
      <c r="BA198" s="167"/>
      <c r="BB198" s="184">
        <v>64.8</v>
      </c>
      <c r="BC198" s="180">
        <v>33.123019668430203</v>
      </c>
      <c r="BD198" s="181" t="s">
        <v>55</v>
      </c>
      <c r="BE198" s="182">
        <v>1.0350943646384401</v>
      </c>
      <c r="BF198" s="183">
        <v>-3.5624628028158898</v>
      </c>
      <c r="BG198" s="168">
        <v>1.4E-2</v>
      </c>
      <c r="BH198" s="168">
        <v>4.0000000000000001E-3</v>
      </c>
      <c r="BI198" s="176">
        <v>0</v>
      </c>
      <c r="BJ198" s="176">
        <v>11</v>
      </c>
      <c r="BK198" s="169"/>
      <c r="BL198" s="185">
        <v>0.8</v>
      </c>
      <c r="BM198" s="182">
        <v>0.83</v>
      </c>
      <c r="BN198" s="186">
        <v>1.1249999999999999E-3</v>
      </c>
      <c r="BO198" s="187">
        <v>0.95</v>
      </c>
      <c r="BP198" s="178">
        <v>1</v>
      </c>
      <c r="BQ198" s="186">
        <v>2.5000000000000001E-3</v>
      </c>
    </row>
    <row r="199" spans="1:69" s="156" customFormat="1" ht="22.35" customHeight="1" x14ac:dyDescent="0.2">
      <c r="A199" s="165" t="s">
        <v>220</v>
      </c>
      <c r="B199" s="165" t="s">
        <v>260</v>
      </c>
      <c r="C199" s="165" t="s">
        <v>264</v>
      </c>
      <c r="D199" s="166">
        <v>2.6404956531111101</v>
      </c>
      <c r="E199" s="167"/>
      <c r="F199" s="168">
        <v>0.01</v>
      </c>
      <c r="G199" s="168">
        <v>0.01</v>
      </c>
      <c r="H199" s="169"/>
      <c r="I199" s="170">
        <v>2</v>
      </c>
      <c r="J199" s="170">
        <v>2</v>
      </c>
      <c r="K199" s="167"/>
      <c r="L199" s="171">
        <v>-450.04138999999998</v>
      </c>
      <c r="M199" s="171">
        <v>1658.5014000000001</v>
      </c>
      <c r="N199" s="171">
        <v>1208.46001</v>
      </c>
      <c r="O199" s="166">
        <v>457.66407855137197</v>
      </c>
      <c r="P199" s="172">
        <v>244.16499999999999</v>
      </c>
      <c r="Q199" s="178">
        <v>1.8744049251586901</v>
      </c>
      <c r="R199" s="179">
        <v>504.42945971307302</v>
      </c>
      <c r="S199" s="168">
        <v>0.01</v>
      </c>
      <c r="T199" s="168">
        <v>0.01</v>
      </c>
      <c r="U199" s="175">
        <v>0</v>
      </c>
      <c r="V199" s="176">
        <v>0</v>
      </c>
      <c r="W199" s="167"/>
      <c r="X199" s="175">
        <v>1220.773635</v>
      </c>
      <c r="Y199" s="166">
        <v>462.327454908569</v>
      </c>
      <c r="Z199" s="177">
        <v>573</v>
      </c>
      <c r="AA199" s="188">
        <v>0.80685419704811401</v>
      </c>
      <c r="AB199" s="171">
        <v>-431.42674308207103</v>
      </c>
      <c r="AC199" s="168"/>
      <c r="AD199" s="168"/>
      <c r="AE199" s="176">
        <v>293</v>
      </c>
      <c r="AF199" s="176">
        <v>595</v>
      </c>
      <c r="AG199" s="167"/>
      <c r="AH199" s="180">
        <v>104.7</v>
      </c>
      <c r="AI199" s="166">
        <v>39.651646415944398</v>
      </c>
      <c r="AJ199" s="181" t="s">
        <v>53</v>
      </c>
      <c r="AK199" s="173">
        <v>0.62939121295149902</v>
      </c>
      <c r="AL199" s="174">
        <v>-76.955538951431905</v>
      </c>
      <c r="AM199" s="168"/>
      <c r="AN199" s="168"/>
      <c r="AO199" s="176">
        <v>62</v>
      </c>
      <c r="AP199" s="176">
        <v>95</v>
      </c>
      <c r="AQ199" s="167"/>
      <c r="AR199" s="180">
        <v>11.8</v>
      </c>
      <c r="AS199" s="166">
        <v>4.4688579532774</v>
      </c>
      <c r="AT199" s="181" t="s">
        <v>54</v>
      </c>
      <c r="AU199" s="173">
        <v>0.279303622079837</v>
      </c>
      <c r="AV199" s="174">
        <v>-34.334740051157297</v>
      </c>
      <c r="AW199" s="168"/>
      <c r="AX199" s="168"/>
      <c r="AY199" s="176">
        <v>31</v>
      </c>
      <c r="AZ199" s="176">
        <v>39</v>
      </c>
      <c r="BA199" s="167"/>
      <c r="BB199" s="184">
        <v>75.2</v>
      </c>
      <c r="BC199" s="180">
        <v>28.479501532750898</v>
      </c>
      <c r="BD199" s="181" t="s">
        <v>55</v>
      </c>
      <c r="BE199" s="188">
        <v>0.88998442289846602</v>
      </c>
      <c r="BF199" s="171">
        <v>-17.0694801023146</v>
      </c>
      <c r="BG199" s="168"/>
      <c r="BH199" s="168"/>
      <c r="BI199" s="176">
        <v>10</v>
      </c>
      <c r="BJ199" s="176">
        <v>27</v>
      </c>
      <c r="BK199" s="169"/>
      <c r="BL199" s="185">
        <v>0.8</v>
      </c>
      <c r="BM199" s="188">
        <v>0.74</v>
      </c>
      <c r="BN199" s="186"/>
      <c r="BO199" s="187">
        <v>0.95</v>
      </c>
      <c r="BP199" s="178">
        <v>1</v>
      </c>
      <c r="BQ199" s="186">
        <v>2.5000000000000001E-3</v>
      </c>
    </row>
    <row r="200" spans="1:69" s="156" customFormat="1" ht="22.35" customHeight="1" x14ac:dyDescent="0.2">
      <c r="A200" s="165" t="s">
        <v>220</v>
      </c>
      <c r="B200" s="165" t="s">
        <v>260</v>
      </c>
      <c r="C200" s="165" t="s">
        <v>265</v>
      </c>
      <c r="D200" s="166">
        <v>2.692140728</v>
      </c>
      <c r="E200" s="167"/>
      <c r="F200" s="168">
        <v>5.0999999999999997E-2</v>
      </c>
      <c r="G200" s="168">
        <v>3.5000000000000003E-2</v>
      </c>
      <c r="H200" s="169"/>
      <c r="I200" s="170">
        <v>6</v>
      </c>
      <c r="J200" s="170">
        <v>5</v>
      </c>
      <c r="K200" s="167"/>
      <c r="L200" s="171">
        <v>946.32518000000005</v>
      </c>
      <c r="M200" s="171">
        <v>39.442729999999997</v>
      </c>
      <c r="N200" s="171">
        <v>985.76791000000003</v>
      </c>
      <c r="O200" s="166">
        <v>366.16507441359897</v>
      </c>
      <c r="P200" s="172">
        <v>217.55099999999999</v>
      </c>
      <c r="Q200" s="178">
        <v>1.6831229202053699</v>
      </c>
      <c r="R200" s="179">
        <v>346.207634991296</v>
      </c>
      <c r="S200" s="168">
        <v>0.01</v>
      </c>
      <c r="T200" s="168">
        <v>0.01</v>
      </c>
      <c r="U200" s="175">
        <v>0</v>
      </c>
      <c r="V200" s="176">
        <v>0</v>
      </c>
      <c r="W200" s="167"/>
      <c r="X200" s="175">
        <v>1708.4290699999999</v>
      </c>
      <c r="Y200" s="166">
        <v>634.59872369643801</v>
      </c>
      <c r="Z200" s="177">
        <v>573</v>
      </c>
      <c r="AA200" s="178">
        <v>1.1075021355958801</v>
      </c>
      <c r="AB200" s="179">
        <v>23.9135422387521</v>
      </c>
      <c r="AC200" s="168">
        <v>0.02</v>
      </c>
      <c r="AD200" s="168">
        <v>1.0999999999999999E-2</v>
      </c>
      <c r="AE200" s="176">
        <v>0</v>
      </c>
      <c r="AF200" s="176">
        <v>143</v>
      </c>
      <c r="AG200" s="167"/>
      <c r="AH200" s="180">
        <v>155.9</v>
      </c>
      <c r="AI200" s="166">
        <v>57.909305549498001</v>
      </c>
      <c r="AJ200" s="181" t="s">
        <v>53</v>
      </c>
      <c r="AK200" s="182">
        <v>0.91919532618250799</v>
      </c>
      <c r="AL200" s="183">
        <v>-29.308513523487999</v>
      </c>
      <c r="AM200" s="168">
        <v>1E-3</v>
      </c>
      <c r="AN200" s="168"/>
      <c r="AO200" s="176">
        <v>14</v>
      </c>
      <c r="AP200" s="176">
        <v>48</v>
      </c>
      <c r="AQ200" s="167"/>
      <c r="AR200" s="180">
        <v>24.8</v>
      </c>
      <c r="AS200" s="166">
        <v>9.2119998564948702</v>
      </c>
      <c r="AT200" s="181" t="s">
        <v>54</v>
      </c>
      <c r="AU200" s="173">
        <v>0.57574999103092905</v>
      </c>
      <c r="AV200" s="174">
        <v>-22.237082799616001</v>
      </c>
      <c r="AW200" s="168"/>
      <c r="AX200" s="168"/>
      <c r="AY200" s="176">
        <v>19</v>
      </c>
      <c r="AZ200" s="176">
        <v>27</v>
      </c>
      <c r="BA200" s="167"/>
      <c r="BB200" s="184">
        <v>98.4</v>
      </c>
      <c r="BC200" s="180">
        <v>36.550838140286103</v>
      </c>
      <c r="BD200" s="181" t="s">
        <v>55</v>
      </c>
      <c r="BE200" s="178">
        <v>1.1422136918839401</v>
      </c>
      <c r="BF200" s="179">
        <v>4.3258344007679996</v>
      </c>
      <c r="BG200" s="168">
        <v>0.02</v>
      </c>
      <c r="BH200" s="168">
        <v>1.4E-2</v>
      </c>
      <c r="BI200" s="176">
        <v>0</v>
      </c>
      <c r="BJ200" s="176">
        <v>5</v>
      </c>
      <c r="BK200" s="169"/>
      <c r="BL200" s="185">
        <v>0.8</v>
      </c>
      <c r="BM200" s="182">
        <v>0.81</v>
      </c>
      <c r="BN200" s="186">
        <v>3.7500000000000001E-4</v>
      </c>
      <c r="BO200" s="187">
        <v>0.95</v>
      </c>
      <c r="BP200" s="178">
        <v>1</v>
      </c>
      <c r="BQ200" s="186">
        <v>2.5000000000000001E-3</v>
      </c>
    </row>
    <row r="201" spans="1:69" s="156" customFormat="1" ht="22.35" customHeight="1" x14ac:dyDescent="0.2">
      <c r="A201" s="165" t="s">
        <v>220</v>
      </c>
      <c r="B201" s="165" t="s">
        <v>260</v>
      </c>
      <c r="C201" s="165" t="s">
        <v>266</v>
      </c>
      <c r="D201" s="166">
        <v>3.8745519713333301</v>
      </c>
      <c r="E201" s="167"/>
      <c r="F201" s="168">
        <v>3.2000000000000001E-2</v>
      </c>
      <c r="G201" s="168">
        <v>2.8000000000000001E-2</v>
      </c>
      <c r="H201" s="169"/>
      <c r="I201" s="170">
        <v>4</v>
      </c>
      <c r="J201" s="170">
        <v>3</v>
      </c>
      <c r="K201" s="167"/>
      <c r="L201" s="171">
        <v>2059.1996300000001</v>
      </c>
      <c r="M201" s="171">
        <v>2575.2714099999998</v>
      </c>
      <c r="N201" s="171">
        <v>4634.4710400000004</v>
      </c>
      <c r="O201" s="166">
        <v>1196.1308234575499</v>
      </c>
      <c r="P201" s="172">
        <v>234.35599999999999</v>
      </c>
      <c r="Q201" s="178">
        <v>5.1039052700061003</v>
      </c>
      <c r="R201" s="179">
        <v>3642.9082840411802</v>
      </c>
      <c r="S201" s="168">
        <v>0.01</v>
      </c>
      <c r="T201" s="168">
        <v>0.01</v>
      </c>
      <c r="U201" s="175">
        <v>0</v>
      </c>
      <c r="V201" s="176">
        <v>0</v>
      </c>
      <c r="W201" s="167"/>
      <c r="X201" s="175">
        <v>2057.5146</v>
      </c>
      <c r="Y201" s="166">
        <v>531.03290786210698</v>
      </c>
      <c r="Z201" s="177">
        <v>573</v>
      </c>
      <c r="AA201" s="182">
        <v>0.92675900150455004</v>
      </c>
      <c r="AB201" s="183">
        <v>-366.85456129480599</v>
      </c>
      <c r="AC201" s="168">
        <v>2E-3</v>
      </c>
      <c r="AD201" s="168"/>
      <c r="AE201" s="176">
        <v>163</v>
      </c>
      <c r="AF201" s="176">
        <v>607</v>
      </c>
      <c r="AG201" s="167"/>
      <c r="AH201" s="180">
        <v>221.5</v>
      </c>
      <c r="AI201" s="166">
        <v>57.167900092401197</v>
      </c>
      <c r="AJ201" s="181" t="s">
        <v>53</v>
      </c>
      <c r="AK201" s="188">
        <v>0.90742698559366897</v>
      </c>
      <c r="AL201" s="171">
        <v>-45.053677419847801</v>
      </c>
      <c r="AM201" s="168">
        <v>0</v>
      </c>
      <c r="AN201" s="168"/>
      <c r="AO201" s="176">
        <v>23</v>
      </c>
      <c r="AP201" s="176">
        <v>72</v>
      </c>
      <c r="AQ201" s="167"/>
      <c r="AR201" s="180">
        <v>30.6</v>
      </c>
      <c r="AS201" s="166">
        <v>7.8976873265348804</v>
      </c>
      <c r="AT201" s="181" t="s">
        <v>54</v>
      </c>
      <c r="AU201" s="173">
        <v>0.49360545790843002</v>
      </c>
      <c r="AV201" s="174">
        <v>-37.096172043135901</v>
      </c>
      <c r="AW201" s="168"/>
      <c r="AX201" s="168"/>
      <c r="AY201" s="176">
        <v>32</v>
      </c>
      <c r="AZ201" s="176">
        <v>44</v>
      </c>
      <c r="BA201" s="167"/>
      <c r="BB201" s="184">
        <v>146.19999999999999</v>
      </c>
      <c r="BC201" s="180">
        <v>37.733395004555497</v>
      </c>
      <c r="BD201" s="181" t="s">
        <v>55</v>
      </c>
      <c r="BE201" s="178">
        <v>1.17916859389236</v>
      </c>
      <c r="BF201" s="179">
        <v>10.8076559137281</v>
      </c>
      <c r="BG201" s="168">
        <v>0.02</v>
      </c>
      <c r="BH201" s="168">
        <v>1.7999999999999999E-2</v>
      </c>
      <c r="BI201" s="176">
        <v>0</v>
      </c>
      <c r="BJ201" s="176">
        <v>3</v>
      </c>
      <c r="BK201" s="169"/>
      <c r="BL201" s="185">
        <v>0.8</v>
      </c>
      <c r="BM201" s="188">
        <v>0.73</v>
      </c>
      <c r="BN201" s="186"/>
      <c r="BO201" s="187">
        <v>0.95</v>
      </c>
      <c r="BP201" s="178">
        <v>1</v>
      </c>
      <c r="BQ201" s="186">
        <v>2.5000000000000001E-3</v>
      </c>
    </row>
    <row r="202" spans="1:69" s="156" customFormat="1" ht="22.35" customHeight="1" x14ac:dyDescent="0.2">
      <c r="A202" s="165" t="s">
        <v>220</v>
      </c>
      <c r="B202" s="165" t="s">
        <v>260</v>
      </c>
      <c r="C202" s="165" t="s">
        <v>267</v>
      </c>
      <c r="D202" s="166">
        <v>3.2393056717777799</v>
      </c>
      <c r="E202" s="167"/>
      <c r="F202" s="168">
        <v>4.7E-2</v>
      </c>
      <c r="G202" s="168">
        <v>3.2000000000000001E-2</v>
      </c>
      <c r="H202" s="169"/>
      <c r="I202" s="170">
        <v>5</v>
      </c>
      <c r="J202" s="170">
        <v>4</v>
      </c>
      <c r="K202" s="167"/>
      <c r="L202" s="171">
        <v>2424.6127799999999</v>
      </c>
      <c r="M202" s="171">
        <v>276.06004000000001</v>
      </c>
      <c r="N202" s="171">
        <v>2700.6728199999998</v>
      </c>
      <c r="O202" s="166">
        <v>833.71965897797804</v>
      </c>
      <c r="P202" s="172">
        <v>251.035</v>
      </c>
      <c r="Q202" s="178">
        <v>3.3211291611846101</v>
      </c>
      <c r="R202" s="179">
        <v>1812.68124354831</v>
      </c>
      <c r="S202" s="168">
        <v>0.01</v>
      </c>
      <c r="T202" s="168">
        <v>0.01</v>
      </c>
      <c r="U202" s="175">
        <v>0</v>
      </c>
      <c r="V202" s="176">
        <v>0</v>
      </c>
      <c r="W202" s="167"/>
      <c r="X202" s="175">
        <v>1933.5015450000001</v>
      </c>
      <c r="Y202" s="166">
        <v>596.88764843821195</v>
      </c>
      <c r="Z202" s="177">
        <v>573</v>
      </c>
      <c r="AA202" s="182">
        <v>1.0416887407298601</v>
      </c>
      <c r="AB202" s="183">
        <v>-93.383842722105499</v>
      </c>
      <c r="AC202" s="168">
        <v>1.4E-2</v>
      </c>
      <c r="AD202" s="168">
        <v>4.0000000000000001E-3</v>
      </c>
      <c r="AE202" s="176">
        <v>0</v>
      </c>
      <c r="AF202" s="176">
        <v>294</v>
      </c>
      <c r="AG202" s="167"/>
      <c r="AH202" s="180">
        <v>191.65</v>
      </c>
      <c r="AI202" s="166">
        <v>59.1639133255429</v>
      </c>
      <c r="AJ202" s="181" t="s">
        <v>53</v>
      </c>
      <c r="AK202" s="182">
        <v>0.939109735326078</v>
      </c>
      <c r="AL202" s="183">
        <v>-31.201272995624201</v>
      </c>
      <c r="AM202" s="168">
        <v>3.0000000000000001E-3</v>
      </c>
      <c r="AN202" s="168"/>
      <c r="AO202" s="176">
        <v>13</v>
      </c>
      <c r="AP202" s="176">
        <v>54</v>
      </c>
      <c r="AQ202" s="167"/>
      <c r="AR202" s="180">
        <v>33.1</v>
      </c>
      <c r="AS202" s="166">
        <v>10.2182391394494</v>
      </c>
      <c r="AT202" s="181" t="s">
        <v>54</v>
      </c>
      <c r="AU202" s="173">
        <v>0.63863994621558495</v>
      </c>
      <c r="AV202" s="174">
        <v>-23.497148697301402</v>
      </c>
      <c r="AW202" s="168"/>
      <c r="AX202" s="168"/>
      <c r="AY202" s="176">
        <v>19</v>
      </c>
      <c r="AZ202" s="176">
        <v>30</v>
      </c>
      <c r="BA202" s="167"/>
      <c r="BB202" s="184">
        <v>122.8</v>
      </c>
      <c r="BC202" s="180">
        <v>37.909358499226002</v>
      </c>
      <c r="BD202" s="181" t="s">
        <v>55</v>
      </c>
      <c r="BE202" s="178">
        <v>1.1846674531008099</v>
      </c>
      <c r="BF202" s="179">
        <v>9.6057026053972407</v>
      </c>
      <c r="BG202" s="168">
        <v>0.02</v>
      </c>
      <c r="BH202" s="168">
        <v>1.7999999999999999E-2</v>
      </c>
      <c r="BI202" s="176">
        <v>0</v>
      </c>
      <c r="BJ202" s="176">
        <v>2</v>
      </c>
      <c r="BK202" s="169"/>
      <c r="BL202" s="185">
        <v>0.8</v>
      </c>
      <c r="BM202" s="188">
        <v>0.74</v>
      </c>
      <c r="BN202" s="186"/>
      <c r="BO202" s="187">
        <v>0.95</v>
      </c>
      <c r="BP202" s="178">
        <v>1</v>
      </c>
      <c r="BQ202" s="186">
        <v>2.5000000000000001E-3</v>
      </c>
    </row>
    <row r="203" spans="1:69" s="156" customFormat="1" ht="22.35" customHeight="1" x14ac:dyDescent="0.2">
      <c r="A203" s="165" t="s">
        <v>220</v>
      </c>
      <c r="B203" s="165" t="s">
        <v>260</v>
      </c>
      <c r="C203" s="165" t="s">
        <v>268</v>
      </c>
      <c r="D203" s="166">
        <v>1.60228521777778</v>
      </c>
      <c r="E203" s="167"/>
      <c r="F203" s="168">
        <v>5.3999999999999999E-2</v>
      </c>
      <c r="G203" s="168">
        <v>0.05</v>
      </c>
      <c r="H203" s="169"/>
      <c r="I203" s="170">
        <v>5</v>
      </c>
      <c r="J203" s="170">
        <v>4</v>
      </c>
      <c r="K203" s="167"/>
      <c r="L203" s="171">
        <v>1407.8508899999999</v>
      </c>
      <c r="M203" s="171">
        <v>764.84924999999998</v>
      </c>
      <c r="N203" s="171">
        <v>2172.7001399999999</v>
      </c>
      <c r="O203" s="166">
        <v>1356.00086419903</v>
      </c>
      <c r="P203" s="172">
        <v>221.102</v>
      </c>
      <c r="Q203" s="178">
        <v>6.1329199383046298</v>
      </c>
      <c r="R203" s="179">
        <v>1785.83897488656</v>
      </c>
      <c r="S203" s="168">
        <v>0.01</v>
      </c>
      <c r="T203" s="168">
        <v>0.01</v>
      </c>
      <c r="U203" s="175">
        <v>0</v>
      </c>
      <c r="V203" s="176">
        <v>0</v>
      </c>
      <c r="W203" s="167"/>
      <c r="X203" s="175">
        <v>1481.2113300000001</v>
      </c>
      <c r="Y203" s="166">
        <v>924.43674419857905</v>
      </c>
      <c r="Z203" s="177">
        <v>573</v>
      </c>
      <c r="AA203" s="178">
        <v>1.6133276513064201</v>
      </c>
      <c r="AB203" s="179">
        <v>478.635832672959</v>
      </c>
      <c r="AC203" s="168">
        <v>0.02</v>
      </c>
      <c r="AD203" s="168">
        <v>0.02</v>
      </c>
      <c r="AE203" s="176">
        <v>0</v>
      </c>
      <c r="AF203" s="176">
        <v>0</v>
      </c>
      <c r="AG203" s="167"/>
      <c r="AH203" s="180">
        <v>95.7</v>
      </c>
      <c r="AI203" s="166">
        <v>59.7271939715746</v>
      </c>
      <c r="AJ203" s="181" t="s">
        <v>53</v>
      </c>
      <c r="AK203" s="182">
        <v>0.94805069796150099</v>
      </c>
      <c r="AL203" s="183">
        <v>-14.5308138422402</v>
      </c>
      <c r="AM203" s="168">
        <v>4.0000000000000001E-3</v>
      </c>
      <c r="AN203" s="168"/>
      <c r="AO203" s="176">
        <v>6</v>
      </c>
      <c r="AP203" s="176">
        <v>26</v>
      </c>
      <c r="AQ203" s="167"/>
      <c r="AR203" s="180">
        <v>6</v>
      </c>
      <c r="AS203" s="166">
        <v>3.74465165965985</v>
      </c>
      <c r="AT203" s="181" t="s">
        <v>54</v>
      </c>
      <c r="AU203" s="173">
        <v>0.23404072872874099</v>
      </c>
      <c r="AV203" s="174">
        <v>-21.995127325013399</v>
      </c>
      <c r="AW203" s="168"/>
      <c r="AX203" s="168"/>
      <c r="AY203" s="176">
        <v>20</v>
      </c>
      <c r="AZ203" s="176">
        <v>25</v>
      </c>
      <c r="BA203" s="167"/>
      <c r="BB203" s="184">
        <v>62.6</v>
      </c>
      <c r="BC203" s="180">
        <v>39.069198982451098</v>
      </c>
      <c r="BD203" s="181" t="s">
        <v>55</v>
      </c>
      <c r="BE203" s="178">
        <v>1.2209124682015999</v>
      </c>
      <c r="BF203" s="179">
        <v>6.6097453499732497</v>
      </c>
      <c r="BG203" s="168">
        <v>0.02</v>
      </c>
      <c r="BH203" s="168">
        <v>0.02</v>
      </c>
      <c r="BI203" s="176">
        <v>0</v>
      </c>
      <c r="BJ203" s="176">
        <v>0</v>
      </c>
      <c r="BK203" s="169"/>
      <c r="BL203" s="185">
        <v>0.8</v>
      </c>
      <c r="BM203" s="188">
        <v>0.79</v>
      </c>
      <c r="BN203" s="186"/>
      <c r="BO203" s="187">
        <v>0.95</v>
      </c>
      <c r="BP203" s="178">
        <v>1</v>
      </c>
      <c r="BQ203" s="186">
        <v>2.5000000000000001E-3</v>
      </c>
    </row>
    <row r="204" spans="1:69" s="156" customFormat="1" ht="22.35" customHeight="1" x14ac:dyDescent="0.2">
      <c r="A204" s="165" t="s">
        <v>220</v>
      </c>
      <c r="B204" s="165" t="s">
        <v>260</v>
      </c>
      <c r="C204" s="165" t="s">
        <v>269</v>
      </c>
      <c r="D204" s="166">
        <v>2.8902111342222199</v>
      </c>
      <c r="E204" s="167"/>
      <c r="F204" s="168">
        <v>0.03</v>
      </c>
      <c r="G204" s="168">
        <v>2.1999999999999999E-2</v>
      </c>
      <c r="H204" s="169"/>
      <c r="I204" s="170">
        <v>4</v>
      </c>
      <c r="J204" s="170">
        <v>4</v>
      </c>
      <c r="K204" s="167"/>
      <c r="L204" s="171">
        <v>1599.75488</v>
      </c>
      <c r="M204" s="171">
        <v>984.75071000000003</v>
      </c>
      <c r="N204" s="171">
        <v>2584.5055900000002</v>
      </c>
      <c r="O204" s="166">
        <v>894.22726229151795</v>
      </c>
      <c r="P204" s="172">
        <v>220.88900000000001</v>
      </c>
      <c r="Q204" s="178">
        <v>4.0483105192722002</v>
      </c>
      <c r="R204" s="179">
        <v>1887.35548482788</v>
      </c>
      <c r="S204" s="168">
        <v>0.01</v>
      </c>
      <c r="T204" s="168">
        <v>0.01</v>
      </c>
      <c r="U204" s="175">
        <v>0</v>
      </c>
      <c r="V204" s="176">
        <v>0</v>
      </c>
      <c r="W204" s="167"/>
      <c r="X204" s="175">
        <v>1849.9044349999999</v>
      </c>
      <c r="Y204" s="166">
        <v>640.05858018321703</v>
      </c>
      <c r="Z204" s="177">
        <v>573</v>
      </c>
      <c r="AA204" s="178">
        <v>1.1170306809480199</v>
      </c>
      <c r="AB204" s="179">
        <v>41.453084939009599</v>
      </c>
      <c r="AC204" s="168">
        <v>0.02</v>
      </c>
      <c r="AD204" s="168">
        <v>1.2E-2</v>
      </c>
      <c r="AE204" s="176">
        <v>0</v>
      </c>
      <c r="AF204" s="176">
        <v>138</v>
      </c>
      <c r="AG204" s="167"/>
      <c r="AH204" s="180">
        <v>114.65</v>
      </c>
      <c r="AI204" s="166">
        <v>39.668382230785802</v>
      </c>
      <c r="AJ204" s="181" t="s">
        <v>53</v>
      </c>
      <c r="AK204" s="173">
        <v>0.62965686080612304</v>
      </c>
      <c r="AL204" s="174">
        <v>-84.184965189951797</v>
      </c>
      <c r="AM204" s="168"/>
      <c r="AN204" s="168"/>
      <c r="AO204" s="176">
        <v>68</v>
      </c>
      <c r="AP204" s="176">
        <v>104</v>
      </c>
      <c r="AQ204" s="167"/>
      <c r="AR204" s="180">
        <v>13.5</v>
      </c>
      <c r="AS204" s="166">
        <v>4.6709390328443803</v>
      </c>
      <c r="AT204" s="181" t="s">
        <v>54</v>
      </c>
      <c r="AU204" s="173">
        <v>0.29193368955277399</v>
      </c>
      <c r="AV204" s="174">
        <v>-36.997768937130601</v>
      </c>
      <c r="AW204" s="168"/>
      <c r="AX204" s="168"/>
      <c r="AY204" s="176">
        <v>33</v>
      </c>
      <c r="AZ204" s="176">
        <v>42</v>
      </c>
      <c r="BA204" s="167"/>
      <c r="BB204" s="184">
        <v>72.8</v>
      </c>
      <c r="BC204" s="180">
        <v>25.188471228968201</v>
      </c>
      <c r="BD204" s="181" t="s">
        <v>55</v>
      </c>
      <c r="BE204" s="188">
        <v>0.78713972590525605</v>
      </c>
      <c r="BF204" s="171">
        <v>-28.195537874261301</v>
      </c>
      <c r="BG204" s="168"/>
      <c r="BH204" s="168"/>
      <c r="BI204" s="176">
        <v>20</v>
      </c>
      <c r="BJ204" s="176">
        <v>39</v>
      </c>
      <c r="BK204" s="169"/>
      <c r="BL204" s="185">
        <v>0.8</v>
      </c>
      <c r="BM204" s="182">
        <v>0.82</v>
      </c>
      <c r="BN204" s="186">
        <v>7.5000000000000002E-4</v>
      </c>
      <c r="BO204" s="187">
        <v>0.95</v>
      </c>
      <c r="BP204" s="178">
        <v>1</v>
      </c>
      <c r="BQ204" s="186">
        <v>2.5000000000000001E-3</v>
      </c>
    </row>
    <row r="205" spans="1:69" s="156" customFormat="1" ht="22.35" customHeight="1" x14ac:dyDescent="0.2">
      <c r="A205" s="165" t="s">
        <v>220</v>
      </c>
      <c r="B205" s="165" t="s">
        <v>260</v>
      </c>
      <c r="C205" s="165" t="s">
        <v>270</v>
      </c>
      <c r="D205" s="166">
        <v>2.6579356497777802</v>
      </c>
      <c r="E205" s="167"/>
      <c r="F205" s="168">
        <v>5.7000000000000002E-2</v>
      </c>
      <c r="G205" s="168">
        <v>0.05</v>
      </c>
      <c r="H205" s="169"/>
      <c r="I205" s="170">
        <v>5</v>
      </c>
      <c r="J205" s="170">
        <v>4</v>
      </c>
      <c r="K205" s="167"/>
      <c r="L205" s="171">
        <v>788.83311000000003</v>
      </c>
      <c r="M205" s="171">
        <v>886.92492000000004</v>
      </c>
      <c r="N205" s="171">
        <v>1675.75803</v>
      </c>
      <c r="O205" s="166">
        <v>630.47351433813105</v>
      </c>
      <c r="P205" s="172">
        <v>221.102</v>
      </c>
      <c r="Q205" s="178">
        <v>2.85150525249944</v>
      </c>
      <c r="R205" s="179">
        <v>1034.0170522634101</v>
      </c>
      <c r="S205" s="168">
        <v>0.01</v>
      </c>
      <c r="T205" s="168">
        <v>0.01</v>
      </c>
      <c r="U205" s="175">
        <v>0</v>
      </c>
      <c r="V205" s="176">
        <v>0</v>
      </c>
      <c r="W205" s="167"/>
      <c r="X205" s="175">
        <v>1839.3642850000001</v>
      </c>
      <c r="Y205" s="166">
        <v>692.02739545398094</v>
      </c>
      <c r="Z205" s="177">
        <v>573</v>
      </c>
      <c r="AA205" s="178">
        <v>1.2077266936369599</v>
      </c>
      <c r="AB205" s="179">
        <v>176.251421963647</v>
      </c>
      <c r="AC205" s="168">
        <v>0.02</v>
      </c>
      <c r="AD205" s="168">
        <v>0.02</v>
      </c>
      <c r="AE205" s="176">
        <v>0</v>
      </c>
      <c r="AF205" s="176">
        <v>0</v>
      </c>
      <c r="AG205" s="167"/>
      <c r="AH205" s="180">
        <v>162.6</v>
      </c>
      <c r="AI205" s="166">
        <v>61.175295953306701</v>
      </c>
      <c r="AJ205" s="181" t="s">
        <v>53</v>
      </c>
      <c r="AK205" s="182">
        <v>0.97103644370328002</v>
      </c>
      <c r="AL205" s="183">
        <v>-20.2553409621122</v>
      </c>
      <c r="AM205" s="168">
        <v>7.0000000000000001E-3</v>
      </c>
      <c r="AN205" s="168"/>
      <c r="AO205" s="176">
        <v>5</v>
      </c>
      <c r="AP205" s="176">
        <v>39</v>
      </c>
      <c r="AQ205" s="167"/>
      <c r="AR205" s="180">
        <v>17</v>
      </c>
      <c r="AS205" s="166">
        <v>6.39594115132972</v>
      </c>
      <c r="AT205" s="181" t="s">
        <v>54</v>
      </c>
      <c r="AU205" s="173">
        <v>0.399746321958108</v>
      </c>
      <c r="AV205" s="174">
        <v>-29.4394516729174</v>
      </c>
      <c r="AW205" s="168"/>
      <c r="AX205" s="168"/>
      <c r="AY205" s="176">
        <v>26</v>
      </c>
      <c r="AZ205" s="176">
        <v>35</v>
      </c>
      <c r="BA205" s="167"/>
      <c r="BB205" s="184">
        <v>127.4</v>
      </c>
      <c r="BC205" s="180">
        <v>47.9319354517298</v>
      </c>
      <c r="BD205" s="181" t="s">
        <v>55</v>
      </c>
      <c r="BE205" s="178">
        <v>1.49787298286656</v>
      </c>
      <c r="BF205" s="179">
        <v>34.521096654165298</v>
      </c>
      <c r="BG205" s="168">
        <v>0.02</v>
      </c>
      <c r="BH205" s="168">
        <v>0.02</v>
      </c>
      <c r="BI205" s="176">
        <v>0</v>
      </c>
      <c r="BJ205" s="176">
        <v>0</v>
      </c>
      <c r="BK205" s="169"/>
      <c r="BL205" s="185">
        <v>0.8</v>
      </c>
      <c r="BM205" s="188">
        <v>0.78</v>
      </c>
      <c r="BN205" s="186"/>
      <c r="BO205" s="187">
        <v>0.95</v>
      </c>
      <c r="BP205" s="178">
        <v>1</v>
      </c>
      <c r="BQ205" s="186">
        <v>2.5000000000000001E-3</v>
      </c>
    </row>
    <row r="206" spans="1:69" s="156" customFormat="1" ht="22.35" customHeight="1" x14ac:dyDescent="0.2">
      <c r="A206" s="165" t="s">
        <v>220</v>
      </c>
      <c r="B206" s="165" t="s">
        <v>260</v>
      </c>
      <c r="C206" s="165" t="s">
        <v>271</v>
      </c>
      <c r="D206" s="166">
        <v>1.9523576782222201</v>
      </c>
      <c r="E206" s="167"/>
      <c r="F206" s="168">
        <v>0.01</v>
      </c>
      <c r="G206" s="168">
        <v>0.01</v>
      </c>
      <c r="H206" s="169"/>
      <c r="I206" s="170">
        <v>3</v>
      </c>
      <c r="J206" s="170">
        <v>3</v>
      </c>
      <c r="K206" s="167"/>
      <c r="L206" s="171">
        <v>816.61617999999999</v>
      </c>
      <c r="M206" s="171">
        <v>885.42791999999997</v>
      </c>
      <c r="N206" s="171">
        <v>1702.0441000000001</v>
      </c>
      <c r="O206" s="166">
        <v>871.78907788548599</v>
      </c>
      <c r="P206" s="172">
        <v>214.857</v>
      </c>
      <c r="Q206" s="178">
        <v>4.0575316507513701</v>
      </c>
      <c r="R206" s="179">
        <v>1243.9744366725899</v>
      </c>
      <c r="S206" s="168">
        <v>0.01</v>
      </c>
      <c r="T206" s="168">
        <v>0.01</v>
      </c>
      <c r="U206" s="175">
        <v>0</v>
      </c>
      <c r="V206" s="176">
        <v>0</v>
      </c>
      <c r="W206" s="167"/>
      <c r="X206" s="175">
        <v>630.02453500000001</v>
      </c>
      <c r="Y206" s="166">
        <v>322.69934040656301</v>
      </c>
      <c r="Z206" s="177">
        <v>573</v>
      </c>
      <c r="AA206" s="173">
        <v>0.56317511414758004</v>
      </c>
      <c r="AB206" s="174">
        <v>-591.596901986494</v>
      </c>
      <c r="AC206" s="168"/>
      <c r="AD206" s="168"/>
      <c r="AE206" s="176">
        <v>489</v>
      </c>
      <c r="AF206" s="176">
        <v>713</v>
      </c>
      <c r="AG206" s="167"/>
      <c r="AH206" s="180">
        <v>57</v>
      </c>
      <c r="AI206" s="166">
        <v>29.195469987806199</v>
      </c>
      <c r="AJ206" s="181" t="s">
        <v>53</v>
      </c>
      <c r="AK206" s="173">
        <v>0.46342015853660701</v>
      </c>
      <c r="AL206" s="174">
        <v>-77.314398830975804</v>
      </c>
      <c r="AM206" s="168"/>
      <c r="AN206" s="168"/>
      <c r="AO206" s="176">
        <v>66</v>
      </c>
      <c r="AP206" s="176">
        <v>91</v>
      </c>
      <c r="AQ206" s="167"/>
      <c r="AR206" s="180">
        <v>8.6</v>
      </c>
      <c r="AS206" s="166">
        <v>4.4049305595637502</v>
      </c>
      <c r="AT206" s="181" t="s">
        <v>54</v>
      </c>
      <c r="AU206" s="173">
        <v>0.275308159972734</v>
      </c>
      <c r="AV206" s="174">
        <v>-25.511593353898601</v>
      </c>
      <c r="AW206" s="168"/>
      <c r="AX206" s="168"/>
      <c r="AY206" s="176">
        <v>23</v>
      </c>
      <c r="AZ206" s="176">
        <v>29</v>
      </c>
      <c r="BA206" s="167"/>
      <c r="BB206" s="184">
        <v>37.6</v>
      </c>
      <c r="BC206" s="180">
        <v>19.258766167394999</v>
      </c>
      <c r="BD206" s="181" t="s">
        <v>55</v>
      </c>
      <c r="BE206" s="173">
        <v>0.60183644273109405</v>
      </c>
      <c r="BF206" s="174">
        <v>-30.623186707797299</v>
      </c>
      <c r="BG206" s="168"/>
      <c r="BH206" s="168"/>
      <c r="BI206" s="176">
        <v>25</v>
      </c>
      <c r="BJ206" s="176">
        <v>38</v>
      </c>
      <c r="BK206" s="169"/>
      <c r="BL206" s="185">
        <v>0.8</v>
      </c>
      <c r="BM206" s="182">
        <v>0.83</v>
      </c>
      <c r="BN206" s="186">
        <v>1.1249999999999999E-3</v>
      </c>
      <c r="BO206" s="187">
        <v>0.95</v>
      </c>
      <c r="BP206" s="178">
        <v>1</v>
      </c>
      <c r="BQ206" s="186">
        <v>2.5000000000000001E-3</v>
      </c>
    </row>
    <row r="207" spans="1:69" s="156" customFormat="1" ht="22.35" customHeight="1" x14ac:dyDescent="0.2">
      <c r="A207" s="165" t="s">
        <v>220</v>
      </c>
      <c r="B207" s="165" t="s">
        <v>260</v>
      </c>
      <c r="C207" s="165" t="s">
        <v>272</v>
      </c>
      <c r="D207" s="166">
        <v>9.0627591208888898</v>
      </c>
      <c r="E207" s="167"/>
      <c r="F207" s="168">
        <v>5.6000000000000001E-2</v>
      </c>
      <c r="G207" s="168">
        <v>4.2000000000000003E-2</v>
      </c>
      <c r="H207" s="169"/>
      <c r="I207" s="170">
        <v>5</v>
      </c>
      <c r="J207" s="170">
        <v>4</v>
      </c>
      <c r="K207" s="167"/>
      <c r="L207" s="171">
        <v>4781.7114000000001</v>
      </c>
      <c r="M207" s="171">
        <v>3040.3233399999999</v>
      </c>
      <c r="N207" s="171">
        <v>7822.0347400000001</v>
      </c>
      <c r="O207" s="166">
        <v>863.09639654560306</v>
      </c>
      <c r="P207" s="172">
        <v>241.29400000000001</v>
      </c>
      <c r="Q207" s="178">
        <v>3.57694926747289</v>
      </c>
      <c r="R207" s="179">
        <v>5434.0607159471901</v>
      </c>
      <c r="S207" s="168">
        <v>0.01</v>
      </c>
      <c r="T207" s="168">
        <v>0.01</v>
      </c>
      <c r="U207" s="175">
        <v>0</v>
      </c>
      <c r="V207" s="176">
        <v>0</v>
      </c>
      <c r="W207" s="167"/>
      <c r="X207" s="175">
        <v>5792.0798850000001</v>
      </c>
      <c r="Y207" s="166">
        <v>639.10778249084694</v>
      </c>
      <c r="Z207" s="177">
        <v>573</v>
      </c>
      <c r="AA207" s="178">
        <v>1.1153713481515699</v>
      </c>
      <c r="AB207" s="179">
        <v>121.36649891388799</v>
      </c>
      <c r="AC207" s="168">
        <v>0.02</v>
      </c>
      <c r="AD207" s="168">
        <v>1.2E-2</v>
      </c>
      <c r="AE207" s="176">
        <v>0</v>
      </c>
      <c r="AF207" s="176">
        <v>440</v>
      </c>
      <c r="AG207" s="167"/>
      <c r="AH207" s="180">
        <v>548.6</v>
      </c>
      <c r="AI207" s="166">
        <v>60.533441602295703</v>
      </c>
      <c r="AJ207" s="181" t="s">
        <v>53</v>
      </c>
      <c r="AK207" s="182">
        <v>0.96084827940151896</v>
      </c>
      <c r="AL207" s="183">
        <v>-74.881576480672194</v>
      </c>
      <c r="AM207" s="168">
        <v>6.0000000000000001E-3</v>
      </c>
      <c r="AN207" s="168"/>
      <c r="AO207" s="176">
        <v>23</v>
      </c>
      <c r="AP207" s="176">
        <v>137</v>
      </c>
      <c r="AQ207" s="167"/>
      <c r="AR207" s="180">
        <v>130.4</v>
      </c>
      <c r="AS207" s="166">
        <v>14.3885541103524</v>
      </c>
      <c r="AT207" s="181" t="s">
        <v>54</v>
      </c>
      <c r="AU207" s="188">
        <v>0.89928463189702801</v>
      </c>
      <c r="AV207" s="171">
        <v>-27.944527360170699</v>
      </c>
      <c r="AW207" s="168"/>
      <c r="AX207" s="168"/>
      <c r="AY207" s="176">
        <v>15</v>
      </c>
      <c r="AZ207" s="176">
        <v>44</v>
      </c>
      <c r="BA207" s="167"/>
      <c r="BB207" s="184">
        <v>387.8</v>
      </c>
      <c r="BC207" s="180">
        <v>42.790500644131001</v>
      </c>
      <c r="BD207" s="181" t="s">
        <v>55</v>
      </c>
      <c r="BE207" s="178">
        <v>1.33720314512909</v>
      </c>
      <c r="BF207" s="179">
        <v>71.110945279658594</v>
      </c>
      <c r="BG207" s="168">
        <v>0.02</v>
      </c>
      <c r="BH207" s="168">
        <v>0.02</v>
      </c>
      <c r="BI207" s="176">
        <v>0</v>
      </c>
      <c r="BJ207" s="176">
        <v>0</v>
      </c>
      <c r="BK207" s="169"/>
      <c r="BL207" s="185">
        <v>0.8</v>
      </c>
      <c r="BM207" s="188">
        <v>0.77</v>
      </c>
      <c r="BN207" s="186"/>
      <c r="BO207" s="187">
        <v>0.95</v>
      </c>
      <c r="BP207" s="178">
        <v>1</v>
      </c>
      <c r="BQ207" s="186">
        <v>2.5000000000000001E-3</v>
      </c>
    </row>
    <row r="208" spans="1:69" s="156" customFormat="1" ht="22.35" customHeight="1" x14ac:dyDescent="0.2">
      <c r="A208" s="165" t="s">
        <v>220</v>
      </c>
      <c r="B208" s="165" t="s">
        <v>260</v>
      </c>
      <c r="C208" s="165" t="s">
        <v>273</v>
      </c>
      <c r="D208" s="166">
        <v>3.7574485252222201</v>
      </c>
      <c r="E208" s="167"/>
      <c r="F208" s="168">
        <v>4.5999999999999999E-2</v>
      </c>
      <c r="G208" s="168">
        <v>3.5999999999999997E-2</v>
      </c>
      <c r="H208" s="169"/>
      <c r="I208" s="170">
        <v>5</v>
      </c>
      <c r="J208" s="170">
        <v>5</v>
      </c>
      <c r="K208" s="167"/>
      <c r="L208" s="171">
        <v>1983.7904699999999</v>
      </c>
      <c r="M208" s="171">
        <v>1377.24298</v>
      </c>
      <c r="N208" s="171">
        <v>3361.0334499999999</v>
      </c>
      <c r="O208" s="166">
        <v>894.49886736671203</v>
      </c>
      <c r="P208" s="172">
        <v>224.04499999999999</v>
      </c>
      <c r="Q208" s="178">
        <v>3.9924964510107901</v>
      </c>
      <c r="R208" s="179">
        <v>2441.7468401219098</v>
      </c>
      <c r="S208" s="168">
        <v>0.01</v>
      </c>
      <c r="T208" s="168">
        <v>0.01</v>
      </c>
      <c r="U208" s="175">
        <v>0</v>
      </c>
      <c r="V208" s="176">
        <v>0</v>
      </c>
      <c r="W208" s="167"/>
      <c r="X208" s="175">
        <v>2896.0673550000001</v>
      </c>
      <c r="Y208" s="166">
        <v>770.75370043258897</v>
      </c>
      <c r="Z208" s="177">
        <v>573</v>
      </c>
      <c r="AA208" s="178">
        <v>1.34511989604291</v>
      </c>
      <c r="AB208" s="179">
        <v>544.97169359205395</v>
      </c>
      <c r="AC208" s="168">
        <v>0.02</v>
      </c>
      <c r="AD208" s="168">
        <v>0.02</v>
      </c>
      <c r="AE208" s="176">
        <v>0</v>
      </c>
      <c r="AF208" s="176">
        <v>0</v>
      </c>
      <c r="AG208" s="167"/>
      <c r="AH208" s="180">
        <v>189.9</v>
      </c>
      <c r="AI208" s="166">
        <v>50.539614508429999</v>
      </c>
      <c r="AJ208" s="181" t="s">
        <v>53</v>
      </c>
      <c r="AK208" s="188">
        <v>0.80221610330841298</v>
      </c>
      <c r="AL208" s="171">
        <v>-68.597428741187798</v>
      </c>
      <c r="AM208" s="168"/>
      <c r="AN208" s="168"/>
      <c r="AO208" s="176">
        <v>47</v>
      </c>
      <c r="AP208" s="176">
        <v>95</v>
      </c>
      <c r="AQ208" s="167"/>
      <c r="AR208" s="180">
        <v>32.4</v>
      </c>
      <c r="AS208" s="166">
        <v>8.6228726175520407</v>
      </c>
      <c r="AT208" s="181" t="s">
        <v>54</v>
      </c>
      <c r="AU208" s="173">
        <v>0.53892953859700199</v>
      </c>
      <c r="AV208" s="174">
        <v>-33.250140632682601</v>
      </c>
      <c r="AW208" s="168"/>
      <c r="AX208" s="168"/>
      <c r="AY208" s="176">
        <v>28</v>
      </c>
      <c r="AZ208" s="176">
        <v>40</v>
      </c>
      <c r="BA208" s="167"/>
      <c r="BB208" s="184">
        <v>127.4</v>
      </c>
      <c r="BC208" s="180">
        <v>33.905986773954602</v>
      </c>
      <c r="BD208" s="181" t="s">
        <v>55</v>
      </c>
      <c r="BE208" s="182">
        <v>1.05956208668608</v>
      </c>
      <c r="BF208" s="183">
        <v>-3.9002812653652401</v>
      </c>
      <c r="BG208" s="168">
        <v>1.6E-2</v>
      </c>
      <c r="BH208" s="168">
        <v>6.0000000000000001E-3</v>
      </c>
      <c r="BI208" s="176">
        <v>0</v>
      </c>
      <c r="BJ208" s="176">
        <v>17</v>
      </c>
      <c r="BK208" s="169"/>
      <c r="BL208" s="185">
        <v>0.8</v>
      </c>
      <c r="BM208" s="182">
        <v>0.81</v>
      </c>
      <c r="BN208" s="186">
        <v>3.7500000000000001E-4</v>
      </c>
      <c r="BO208" s="187">
        <v>0.95</v>
      </c>
      <c r="BP208" s="178">
        <v>1</v>
      </c>
      <c r="BQ208" s="186">
        <v>2.5000000000000001E-3</v>
      </c>
    </row>
    <row r="209" spans="1:69" s="156" customFormat="1" ht="22.35" customHeight="1" x14ac:dyDescent="0.2">
      <c r="A209" s="165" t="s">
        <v>220</v>
      </c>
      <c r="B209" s="165" t="s">
        <v>260</v>
      </c>
      <c r="C209" s="165" t="s">
        <v>274</v>
      </c>
      <c r="D209" s="166">
        <v>2.624758167</v>
      </c>
      <c r="E209" s="167"/>
      <c r="F209" s="168">
        <v>5.3999999999999999E-2</v>
      </c>
      <c r="G209" s="168">
        <v>3.5999999999999997E-2</v>
      </c>
      <c r="H209" s="169"/>
      <c r="I209" s="170">
        <v>5</v>
      </c>
      <c r="J209" s="170">
        <v>4</v>
      </c>
      <c r="K209" s="167"/>
      <c r="L209" s="171">
        <v>1598.05528</v>
      </c>
      <c r="M209" s="171">
        <v>252.75029000000001</v>
      </c>
      <c r="N209" s="171">
        <v>1850.80557</v>
      </c>
      <c r="O209" s="166">
        <v>705.13375032771205</v>
      </c>
      <c r="P209" s="172">
        <v>262.75900000000001</v>
      </c>
      <c r="Q209" s="178">
        <v>2.6835760157700101</v>
      </c>
      <c r="R209" s="179">
        <v>1097.6762863265899</v>
      </c>
      <c r="S209" s="168">
        <v>0.01</v>
      </c>
      <c r="T209" s="168">
        <v>0.01</v>
      </c>
      <c r="U209" s="175">
        <v>0</v>
      </c>
      <c r="V209" s="176">
        <v>0</v>
      </c>
      <c r="W209" s="167"/>
      <c r="X209" s="175">
        <v>1477.14858</v>
      </c>
      <c r="Y209" s="166">
        <v>562.77511527407705</v>
      </c>
      <c r="Z209" s="177">
        <v>573</v>
      </c>
      <c r="AA209" s="182">
        <v>0.98215552403852902</v>
      </c>
      <c r="AB209" s="183">
        <v>-165.20460122257199</v>
      </c>
      <c r="AC209" s="168">
        <v>8.0000000000000002E-3</v>
      </c>
      <c r="AD209" s="168"/>
      <c r="AE209" s="176">
        <v>27</v>
      </c>
      <c r="AF209" s="176">
        <v>328</v>
      </c>
      <c r="AG209" s="167"/>
      <c r="AH209" s="180">
        <v>174.85</v>
      </c>
      <c r="AI209" s="166">
        <v>66.615660900999103</v>
      </c>
      <c r="AJ209" s="181" t="s">
        <v>53</v>
      </c>
      <c r="AK209" s="182">
        <v>1.057391442873</v>
      </c>
      <c r="AL209" s="183">
        <v>-5.7228628569320099</v>
      </c>
      <c r="AM209" s="168">
        <v>1.6E-2</v>
      </c>
      <c r="AN209" s="168">
        <v>6.0000000000000001E-3</v>
      </c>
      <c r="AO209" s="176">
        <v>0</v>
      </c>
      <c r="AP209" s="176">
        <v>24</v>
      </c>
      <c r="AQ209" s="167"/>
      <c r="AR209" s="180">
        <v>6.6</v>
      </c>
      <c r="AS209" s="166">
        <v>2.5145173688681401</v>
      </c>
      <c r="AT209" s="181" t="s">
        <v>54</v>
      </c>
      <c r="AU209" s="173">
        <v>0.15715733555425901</v>
      </c>
      <c r="AV209" s="174">
        <v>-39.259774693823999</v>
      </c>
      <c r="AW209" s="168"/>
      <c r="AX209" s="168"/>
      <c r="AY209" s="176">
        <v>36</v>
      </c>
      <c r="AZ209" s="176">
        <v>44</v>
      </c>
      <c r="BA209" s="167"/>
      <c r="BB209" s="184">
        <v>107</v>
      </c>
      <c r="BC209" s="180">
        <v>40.7656603740744</v>
      </c>
      <c r="BD209" s="181" t="s">
        <v>55</v>
      </c>
      <c r="BE209" s="178">
        <v>1.2739268866898199</v>
      </c>
      <c r="BF209" s="179">
        <v>15.280450612352</v>
      </c>
      <c r="BG209" s="168">
        <v>0.02</v>
      </c>
      <c r="BH209" s="168">
        <v>0.02</v>
      </c>
      <c r="BI209" s="176">
        <v>0</v>
      </c>
      <c r="BJ209" s="176">
        <v>0</v>
      </c>
      <c r="BK209" s="169"/>
      <c r="BL209" s="185">
        <v>0.8</v>
      </c>
      <c r="BM209" s="188">
        <v>0.75</v>
      </c>
      <c r="BN209" s="186"/>
      <c r="BO209" s="187">
        <v>0.95</v>
      </c>
      <c r="BP209" s="178">
        <v>1</v>
      </c>
      <c r="BQ209" s="186">
        <v>2.5000000000000001E-3</v>
      </c>
    </row>
    <row r="210" spans="1:69" s="156" customFormat="1" ht="22.35" customHeight="1" x14ac:dyDescent="0.2">
      <c r="A210" s="165" t="s">
        <v>275</v>
      </c>
      <c r="B210" s="165" t="s">
        <v>276</v>
      </c>
      <c r="C210" s="165" t="s">
        <v>277</v>
      </c>
      <c r="D210" s="166">
        <v>3.8480691394444402</v>
      </c>
      <c r="E210" s="167"/>
      <c r="F210" s="168">
        <v>5.6000000000000001E-2</v>
      </c>
      <c r="G210" s="168">
        <v>0.05</v>
      </c>
      <c r="H210" s="169"/>
      <c r="I210" s="170">
        <v>5</v>
      </c>
      <c r="J210" s="170">
        <v>4</v>
      </c>
      <c r="K210" s="167"/>
      <c r="L210" s="171">
        <v>4395.6217200000001</v>
      </c>
      <c r="M210" s="171">
        <v>727.75397999999996</v>
      </c>
      <c r="N210" s="171">
        <v>5123.3756999999996</v>
      </c>
      <c r="O210" s="166">
        <v>1331.41466910849</v>
      </c>
      <c r="P210" s="172">
        <v>287.5</v>
      </c>
      <c r="Q210" s="178">
        <v>4.6310075447251799</v>
      </c>
      <c r="R210" s="179">
        <v>3915.2743936714201</v>
      </c>
      <c r="S210" s="168">
        <v>0.01</v>
      </c>
      <c r="T210" s="168">
        <v>0.01</v>
      </c>
      <c r="U210" s="175">
        <v>0</v>
      </c>
      <c r="V210" s="176">
        <v>0</v>
      </c>
      <c r="W210" s="167"/>
      <c r="X210" s="175">
        <v>3554.1077300000002</v>
      </c>
      <c r="Y210" s="166">
        <v>923.60807490925595</v>
      </c>
      <c r="Z210" s="177">
        <v>573</v>
      </c>
      <c r="AA210" s="178">
        <v>1.6118814570842199</v>
      </c>
      <c r="AB210" s="179">
        <v>1146.3093003433801</v>
      </c>
      <c r="AC210" s="168">
        <v>0.02</v>
      </c>
      <c r="AD210" s="168">
        <v>0.02</v>
      </c>
      <c r="AE210" s="176">
        <v>0</v>
      </c>
      <c r="AF210" s="176">
        <v>0</v>
      </c>
      <c r="AG210" s="167"/>
      <c r="AH210" s="180">
        <v>233.25</v>
      </c>
      <c r="AI210" s="166">
        <v>60.614815261265001</v>
      </c>
      <c r="AJ210" s="181" t="s">
        <v>53</v>
      </c>
      <c r="AK210" s="182">
        <v>0.96213992478198396</v>
      </c>
      <c r="AL210" s="183">
        <v>-31.481764517219698</v>
      </c>
      <c r="AM210" s="168">
        <v>6.0000000000000001E-3</v>
      </c>
      <c r="AN210" s="168"/>
      <c r="AO210" s="176">
        <v>10</v>
      </c>
      <c r="AP210" s="176">
        <v>58</v>
      </c>
      <c r="AQ210" s="167"/>
      <c r="AR210" s="180">
        <v>42.7</v>
      </c>
      <c r="AS210" s="166">
        <v>11.096474219318401</v>
      </c>
      <c r="AT210" s="181" t="s">
        <v>54</v>
      </c>
      <c r="AU210" s="173">
        <v>0.69352963870739903</v>
      </c>
      <c r="AV210" s="174">
        <v>-24.5334640043733</v>
      </c>
      <c r="AW210" s="168"/>
      <c r="AX210" s="168"/>
      <c r="AY210" s="176">
        <v>19</v>
      </c>
      <c r="AZ210" s="176">
        <v>32</v>
      </c>
      <c r="BA210" s="167"/>
      <c r="BB210" s="184">
        <v>185.6</v>
      </c>
      <c r="BC210" s="180">
        <v>48.231981618395601</v>
      </c>
      <c r="BD210" s="181" t="s">
        <v>55</v>
      </c>
      <c r="BE210" s="178">
        <v>1.5072494255748601</v>
      </c>
      <c r="BF210" s="179">
        <v>51.133071991253502</v>
      </c>
      <c r="BG210" s="168">
        <v>0.02</v>
      </c>
      <c r="BH210" s="168">
        <v>0.02</v>
      </c>
      <c r="BI210" s="176">
        <v>0</v>
      </c>
      <c r="BJ210" s="176">
        <v>0</v>
      </c>
      <c r="BK210" s="169"/>
      <c r="BL210" s="185">
        <v>0.8</v>
      </c>
      <c r="BM210" s="188">
        <v>0.78</v>
      </c>
      <c r="BN210" s="186"/>
      <c r="BO210" s="187">
        <v>0.95</v>
      </c>
      <c r="BP210" s="178">
        <v>1</v>
      </c>
      <c r="BQ210" s="186">
        <v>2.5000000000000001E-3</v>
      </c>
    </row>
    <row r="211" spans="1:69" s="156" customFormat="1" ht="22.35" customHeight="1" x14ac:dyDescent="0.2">
      <c r="A211" s="165" t="s">
        <v>275</v>
      </c>
      <c r="B211" s="165" t="s">
        <v>276</v>
      </c>
      <c r="C211" s="165" t="s">
        <v>278</v>
      </c>
      <c r="D211" s="166">
        <v>2.98956710155556</v>
      </c>
      <c r="E211" s="167"/>
      <c r="F211" s="168">
        <v>2.7E-2</v>
      </c>
      <c r="G211" s="168">
        <v>1.2E-2</v>
      </c>
      <c r="H211" s="169"/>
      <c r="I211" s="170">
        <v>5</v>
      </c>
      <c r="J211" s="170">
        <v>4</v>
      </c>
      <c r="K211" s="167"/>
      <c r="L211" s="171">
        <v>1721.72011</v>
      </c>
      <c r="M211" s="171">
        <v>1261.6985099999999</v>
      </c>
      <c r="N211" s="171">
        <v>2983.4186199999999</v>
      </c>
      <c r="O211" s="166">
        <v>997.94335388814102</v>
      </c>
      <c r="P211" s="172">
        <v>222.37200000000001</v>
      </c>
      <c r="Q211" s="178">
        <v>4.4877203689679499</v>
      </c>
      <c r="R211" s="179">
        <v>2257.4613710662302</v>
      </c>
      <c r="S211" s="168">
        <v>0.01</v>
      </c>
      <c r="T211" s="168">
        <v>0.01</v>
      </c>
      <c r="U211" s="175">
        <v>0</v>
      </c>
      <c r="V211" s="176">
        <v>0</v>
      </c>
      <c r="W211" s="167"/>
      <c r="X211" s="175">
        <v>1746.823625</v>
      </c>
      <c r="Y211" s="166">
        <v>584.30654528245202</v>
      </c>
      <c r="Z211" s="177">
        <v>573</v>
      </c>
      <c r="AA211" s="182">
        <v>1.01973219071981</v>
      </c>
      <c r="AB211" s="183">
        <v>-123.796343516939</v>
      </c>
      <c r="AC211" s="168">
        <v>1.2E-2</v>
      </c>
      <c r="AD211" s="168">
        <v>2E-3</v>
      </c>
      <c r="AE211" s="176">
        <v>0</v>
      </c>
      <c r="AF211" s="176">
        <v>309</v>
      </c>
      <c r="AG211" s="167"/>
      <c r="AH211" s="180">
        <v>126.55</v>
      </c>
      <c r="AI211" s="166">
        <v>42.330543420200399</v>
      </c>
      <c r="AJ211" s="181" t="s">
        <v>53</v>
      </c>
      <c r="AK211" s="173">
        <v>0.67191338762222796</v>
      </c>
      <c r="AL211" s="174">
        <v>-79.120258318616393</v>
      </c>
      <c r="AM211" s="168"/>
      <c r="AN211" s="168"/>
      <c r="AO211" s="176">
        <v>62</v>
      </c>
      <c r="AP211" s="176">
        <v>100</v>
      </c>
      <c r="AQ211" s="167"/>
      <c r="AR211" s="180">
        <v>5</v>
      </c>
      <c r="AS211" s="166">
        <v>1.6724829482497201</v>
      </c>
      <c r="AT211" s="181" t="s">
        <v>54</v>
      </c>
      <c r="AU211" s="173">
        <v>0.10453018426560801</v>
      </c>
      <c r="AV211" s="174">
        <v>-47.233716398378803</v>
      </c>
      <c r="AW211" s="168"/>
      <c r="AX211" s="168"/>
      <c r="AY211" s="176">
        <v>43</v>
      </c>
      <c r="AZ211" s="176">
        <v>53</v>
      </c>
      <c r="BA211" s="167"/>
      <c r="BB211" s="184">
        <v>91.8</v>
      </c>
      <c r="BC211" s="180">
        <v>30.706786929864801</v>
      </c>
      <c r="BD211" s="181" t="s">
        <v>55</v>
      </c>
      <c r="BE211" s="182">
        <v>0.95958709155827604</v>
      </c>
      <c r="BF211" s="183">
        <v>-12.667432796757501</v>
      </c>
      <c r="BG211" s="168">
        <v>5.0000000000000001E-3</v>
      </c>
      <c r="BH211" s="168"/>
      <c r="BI211" s="176">
        <v>4</v>
      </c>
      <c r="BJ211" s="176">
        <v>23</v>
      </c>
      <c r="BK211" s="169"/>
      <c r="BL211" s="185">
        <v>0.8</v>
      </c>
      <c r="BM211" s="182">
        <v>0.81</v>
      </c>
      <c r="BN211" s="186">
        <v>3.7500000000000001E-4</v>
      </c>
      <c r="BO211" s="187">
        <v>0.95</v>
      </c>
      <c r="BP211" s="178">
        <v>1</v>
      </c>
      <c r="BQ211" s="186">
        <v>2.5000000000000001E-3</v>
      </c>
    </row>
    <row r="212" spans="1:69" s="156" customFormat="1" ht="22.35" customHeight="1" x14ac:dyDescent="0.2">
      <c r="A212" s="165" t="s">
        <v>275</v>
      </c>
      <c r="B212" s="165" t="s">
        <v>276</v>
      </c>
      <c r="C212" s="165" t="s">
        <v>279</v>
      </c>
      <c r="D212" s="166">
        <v>3.33559711066667</v>
      </c>
      <c r="E212" s="167"/>
      <c r="F212" s="168">
        <v>0.03</v>
      </c>
      <c r="G212" s="168">
        <v>0.03</v>
      </c>
      <c r="H212" s="169"/>
      <c r="I212" s="170">
        <v>3</v>
      </c>
      <c r="J212" s="170">
        <v>3</v>
      </c>
      <c r="K212" s="167"/>
      <c r="L212" s="171">
        <v>1652.8897300000001</v>
      </c>
      <c r="M212" s="171">
        <v>-185.16573</v>
      </c>
      <c r="N212" s="171">
        <v>1467.7239999999999</v>
      </c>
      <c r="O212" s="166">
        <v>440.01836891705898</v>
      </c>
      <c r="P212" s="172">
        <v>230.685</v>
      </c>
      <c r="Q212" s="178">
        <v>1.9074424818131199</v>
      </c>
      <c r="R212" s="179">
        <v>627.46033633423804</v>
      </c>
      <c r="S212" s="168">
        <v>0.01</v>
      </c>
      <c r="T212" s="168">
        <v>0.01</v>
      </c>
      <c r="U212" s="175">
        <v>0</v>
      </c>
      <c r="V212" s="176">
        <v>0</v>
      </c>
      <c r="W212" s="167"/>
      <c r="X212" s="175">
        <v>2727.9404199999999</v>
      </c>
      <c r="Y212" s="166">
        <v>817.82671272753998</v>
      </c>
      <c r="Z212" s="177">
        <v>573</v>
      </c>
      <c r="AA212" s="178">
        <v>1.4272717499608001</v>
      </c>
      <c r="AB212" s="179">
        <v>640.80393830209402</v>
      </c>
      <c r="AC212" s="168">
        <v>0.02</v>
      </c>
      <c r="AD212" s="168">
        <v>0.02</v>
      </c>
      <c r="AE212" s="176">
        <v>0</v>
      </c>
      <c r="AF212" s="176">
        <v>0</v>
      </c>
      <c r="AG212" s="167"/>
      <c r="AH212" s="180">
        <v>125.5</v>
      </c>
      <c r="AI212" s="166">
        <v>37.624447988239503</v>
      </c>
      <c r="AJ212" s="181" t="s">
        <v>53</v>
      </c>
      <c r="AK212" s="173">
        <v>0.59721346013078602</v>
      </c>
      <c r="AL212" s="174">
        <v>-103.975738825424</v>
      </c>
      <c r="AM212" s="168"/>
      <c r="AN212" s="168"/>
      <c r="AO212" s="176">
        <v>85</v>
      </c>
      <c r="AP212" s="176">
        <v>127</v>
      </c>
      <c r="AQ212" s="167"/>
      <c r="AR212" s="180">
        <v>12</v>
      </c>
      <c r="AS212" s="166">
        <v>3.5975567797519901</v>
      </c>
      <c r="AT212" s="181" t="s">
        <v>54</v>
      </c>
      <c r="AU212" s="173">
        <v>0.22484729873449899</v>
      </c>
      <c r="AV212" s="174">
        <v>-46.279552717568102</v>
      </c>
      <c r="AW212" s="168"/>
      <c r="AX212" s="168"/>
      <c r="AY212" s="176">
        <v>42</v>
      </c>
      <c r="AZ212" s="176">
        <v>53</v>
      </c>
      <c r="BA212" s="167"/>
      <c r="BB212" s="184">
        <v>93.2</v>
      </c>
      <c r="BC212" s="180">
        <v>27.9410243227404</v>
      </c>
      <c r="BD212" s="181" t="s">
        <v>55</v>
      </c>
      <c r="BE212" s="188">
        <v>0.87315701008563795</v>
      </c>
      <c r="BF212" s="171">
        <v>-23.359105435136101</v>
      </c>
      <c r="BG212" s="168"/>
      <c r="BH212" s="168"/>
      <c r="BI212" s="176">
        <v>14</v>
      </c>
      <c r="BJ212" s="176">
        <v>35</v>
      </c>
      <c r="BK212" s="169"/>
      <c r="BL212" s="185">
        <v>0.8</v>
      </c>
      <c r="BM212" s="188">
        <v>0.75</v>
      </c>
      <c r="BN212" s="186"/>
      <c r="BO212" s="187">
        <v>0.95</v>
      </c>
      <c r="BP212" s="178">
        <v>1</v>
      </c>
      <c r="BQ212" s="186">
        <v>2.5000000000000001E-3</v>
      </c>
    </row>
    <row r="213" spans="1:69" s="156" customFormat="1" ht="22.35" customHeight="1" x14ac:dyDescent="0.2">
      <c r="A213" s="165" t="s">
        <v>275</v>
      </c>
      <c r="B213" s="165" t="s">
        <v>276</v>
      </c>
      <c r="C213" s="165" t="s">
        <v>280</v>
      </c>
      <c r="D213" s="166">
        <v>3.7485562538888901</v>
      </c>
      <c r="E213" s="167"/>
      <c r="F213" s="168">
        <v>3.9E-2</v>
      </c>
      <c r="G213" s="168">
        <v>0.02</v>
      </c>
      <c r="H213" s="169"/>
      <c r="I213" s="170">
        <v>4</v>
      </c>
      <c r="J213" s="170">
        <v>3</v>
      </c>
      <c r="K213" s="167"/>
      <c r="L213" s="171">
        <v>1573.6742999999999</v>
      </c>
      <c r="M213" s="171">
        <v>1708.3847000000001</v>
      </c>
      <c r="N213" s="171">
        <v>3282.0590000000002</v>
      </c>
      <c r="O213" s="166">
        <v>875.55282026115299</v>
      </c>
      <c r="P213" s="172">
        <v>260.827</v>
      </c>
      <c r="Q213" s="178">
        <v>3.3568335343394402</v>
      </c>
      <c r="R213" s="179">
        <v>2214.38364721988</v>
      </c>
      <c r="S213" s="168">
        <v>0.01</v>
      </c>
      <c r="T213" s="168">
        <v>0.01</v>
      </c>
      <c r="U213" s="175">
        <v>0</v>
      </c>
      <c r="V213" s="176">
        <v>0</v>
      </c>
      <c r="W213" s="167"/>
      <c r="X213" s="175">
        <v>1895.7929549999999</v>
      </c>
      <c r="Y213" s="166">
        <v>505.73949718194399</v>
      </c>
      <c r="Z213" s="177">
        <v>573</v>
      </c>
      <c r="AA213" s="188">
        <v>0.88261692352869903</v>
      </c>
      <c r="AB213" s="171">
        <v>-449.73866995834101</v>
      </c>
      <c r="AC213" s="168"/>
      <c r="AD213" s="168"/>
      <c r="AE213" s="176">
        <v>253</v>
      </c>
      <c r="AF213" s="176">
        <v>682</v>
      </c>
      <c r="AG213" s="167"/>
      <c r="AH213" s="180">
        <v>233.2</v>
      </c>
      <c r="AI213" s="166">
        <v>62.210617689962604</v>
      </c>
      <c r="AJ213" s="181" t="s">
        <v>53</v>
      </c>
      <c r="AK213" s="182">
        <v>0.98747012206289797</v>
      </c>
      <c r="AL213" s="183">
        <v>-24.685676042540099</v>
      </c>
      <c r="AM213" s="168">
        <v>8.9999999999999993E-3</v>
      </c>
      <c r="AN213" s="168"/>
      <c r="AO213" s="176">
        <v>3</v>
      </c>
      <c r="AP213" s="176">
        <v>51</v>
      </c>
      <c r="AQ213" s="167"/>
      <c r="AR213" s="180">
        <v>26</v>
      </c>
      <c r="AS213" s="166">
        <v>6.9360036875601496</v>
      </c>
      <c r="AT213" s="181" t="s">
        <v>54</v>
      </c>
      <c r="AU213" s="173">
        <v>0.43350023047250902</v>
      </c>
      <c r="AV213" s="174">
        <v>-39.494774867946703</v>
      </c>
      <c r="AW213" s="168"/>
      <c r="AX213" s="168"/>
      <c r="AY213" s="176">
        <v>34</v>
      </c>
      <c r="AZ213" s="176">
        <v>46</v>
      </c>
      <c r="BA213" s="167"/>
      <c r="BB213" s="184">
        <v>132</v>
      </c>
      <c r="BC213" s="180">
        <v>35.213557182997697</v>
      </c>
      <c r="BD213" s="181" t="s">
        <v>55</v>
      </c>
      <c r="BE213" s="178">
        <v>1.10042366196868</v>
      </c>
      <c r="BF213" s="179">
        <v>1.01045026410662</v>
      </c>
      <c r="BG213" s="168">
        <v>0.02</v>
      </c>
      <c r="BH213" s="168">
        <v>0.01</v>
      </c>
      <c r="BI213" s="176">
        <v>0</v>
      </c>
      <c r="BJ213" s="176">
        <v>12</v>
      </c>
      <c r="BK213" s="169"/>
      <c r="BL213" s="185">
        <v>0.8</v>
      </c>
      <c r="BM213" s="188">
        <v>0.79</v>
      </c>
      <c r="BN213" s="186"/>
      <c r="BO213" s="187">
        <v>0.95</v>
      </c>
      <c r="BP213" s="178">
        <v>1</v>
      </c>
      <c r="BQ213" s="186">
        <v>2.5000000000000001E-3</v>
      </c>
    </row>
    <row r="214" spans="1:69" s="156" customFormat="1" ht="22.35" customHeight="1" x14ac:dyDescent="0.2">
      <c r="A214" s="165" t="s">
        <v>275</v>
      </c>
      <c r="B214" s="165" t="s">
        <v>276</v>
      </c>
      <c r="C214" s="165" t="s">
        <v>281</v>
      </c>
      <c r="D214" s="166">
        <v>3.10896044855556</v>
      </c>
      <c r="E214" s="167"/>
      <c r="F214" s="168">
        <v>2.5000000000000001E-2</v>
      </c>
      <c r="G214" s="168">
        <v>1.4999999999999999E-2</v>
      </c>
      <c r="H214" s="169"/>
      <c r="I214" s="170">
        <v>4</v>
      </c>
      <c r="J214" s="170">
        <v>4</v>
      </c>
      <c r="K214" s="167"/>
      <c r="L214" s="171">
        <v>2186.4463599999999</v>
      </c>
      <c r="M214" s="171">
        <v>2392.16777</v>
      </c>
      <c r="N214" s="171">
        <v>4578.6141299999999</v>
      </c>
      <c r="O214" s="166">
        <v>1472.71546414405</v>
      </c>
      <c r="P214" s="172">
        <v>237.98699999999999</v>
      </c>
      <c r="Q214" s="178">
        <v>6.1882181133593397</v>
      </c>
      <c r="R214" s="179">
        <v>3770.65188006473</v>
      </c>
      <c r="S214" s="168">
        <v>0.01</v>
      </c>
      <c r="T214" s="168">
        <v>0.01</v>
      </c>
      <c r="U214" s="175">
        <v>0</v>
      </c>
      <c r="V214" s="176">
        <v>0</v>
      </c>
      <c r="W214" s="167"/>
      <c r="X214" s="175">
        <v>1870.383435</v>
      </c>
      <c r="Y214" s="166">
        <v>601.61055952609297</v>
      </c>
      <c r="Z214" s="177">
        <v>573</v>
      </c>
      <c r="AA214" s="182">
        <v>1.0499311684574</v>
      </c>
      <c r="AB214" s="183">
        <v>-74.942861028390794</v>
      </c>
      <c r="AC214" s="168">
        <v>1.4999999999999999E-2</v>
      </c>
      <c r="AD214" s="168">
        <v>5.0000000000000001E-3</v>
      </c>
      <c r="AE214" s="176">
        <v>0</v>
      </c>
      <c r="AF214" s="176">
        <v>268</v>
      </c>
      <c r="AG214" s="167"/>
      <c r="AH214" s="180">
        <v>82.5</v>
      </c>
      <c r="AI214" s="166">
        <v>26.536201204595599</v>
      </c>
      <c r="AJ214" s="181" t="s">
        <v>53</v>
      </c>
      <c r="AK214" s="173">
        <v>0.421209542930089</v>
      </c>
      <c r="AL214" s="174">
        <v>-131.38404301882801</v>
      </c>
      <c r="AM214" s="168"/>
      <c r="AN214" s="168"/>
      <c r="AO214" s="176">
        <v>114</v>
      </c>
      <c r="AP214" s="176">
        <v>153</v>
      </c>
      <c r="AQ214" s="167"/>
      <c r="AR214" s="180">
        <v>5.8</v>
      </c>
      <c r="AS214" s="166">
        <v>1.8655753574139899</v>
      </c>
      <c r="AT214" s="181" t="s">
        <v>54</v>
      </c>
      <c r="AU214" s="173">
        <v>0.116598459838374</v>
      </c>
      <c r="AV214" s="174">
        <v>-48.519756957162798</v>
      </c>
      <c r="AW214" s="168"/>
      <c r="AX214" s="168"/>
      <c r="AY214" s="176">
        <v>44</v>
      </c>
      <c r="AZ214" s="176">
        <v>54</v>
      </c>
      <c r="BA214" s="167"/>
      <c r="BB214" s="184">
        <v>62.6</v>
      </c>
      <c r="BC214" s="180">
        <v>20.1353478231234</v>
      </c>
      <c r="BD214" s="181" t="s">
        <v>55</v>
      </c>
      <c r="BE214" s="173">
        <v>0.62922961947260803</v>
      </c>
      <c r="BF214" s="174">
        <v>-46.039513914325497</v>
      </c>
      <c r="BG214" s="168"/>
      <c r="BH214" s="168"/>
      <c r="BI214" s="176">
        <v>37</v>
      </c>
      <c r="BJ214" s="176">
        <v>57</v>
      </c>
      <c r="BK214" s="169"/>
      <c r="BL214" s="185">
        <v>0.8</v>
      </c>
      <c r="BM214" s="182">
        <v>0.88</v>
      </c>
      <c r="BN214" s="186">
        <v>3.0000000000000001E-3</v>
      </c>
      <c r="BO214" s="187">
        <v>0.95</v>
      </c>
      <c r="BP214" s="178">
        <v>1</v>
      </c>
      <c r="BQ214" s="186">
        <v>2.5000000000000001E-3</v>
      </c>
    </row>
    <row r="215" spans="1:69" s="156" customFormat="1" ht="22.35" customHeight="1" x14ac:dyDescent="0.2">
      <c r="A215" s="165" t="s">
        <v>275</v>
      </c>
      <c r="B215" s="165" t="s">
        <v>276</v>
      </c>
      <c r="C215" s="165" t="s">
        <v>282</v>
      </c>
      <c r="D215" s="166">
        <v>3.74723678633333</v>
      </c>
      <c r="E215" s="167"/>
      <c r="F215" s="168">
        <v>3.4000000000000002E-2</v>
      </c>
      <c r="G215" s="168">
        <v>0.03</v>
      </c>
      <c r="H215" s="169"/>
      <c r="I215" s="170">
        <v>5</v>
      </c>
      <c r="J215" s="170">
        <v>4</v>
      </c>
      <c r="K215" s="167"/>
      <c r="L215" s="171">
        <v>1372.8374699999999</v>
      </c>
      <c r="M215" s="171">
        <v>4610.31538</v>
      </c>
      <c r="N215" s="171">
        <v>5983.1528500000004</v>
      </c>
      <c r="O215" s="166">
        <v>1596.6839543797601</v>
      </c>
      <c r="P215" s="172">
        <v>287.5</v>
      </c>
      <c r="Q215" s="178">
        <v>5.5536833195817703</v>
      </c>
      <c r="R215" s="179">
        <v>4806.70786093065</v>
      </c>
      <c r="S215" s="168">
        <v>0.01</v>
      </c>
      <c r="T215" s="168">
        <v>0.01</v>
      </c>
      <c r="U215" s="175">
        <v>0</v>
      </c>
      <c r="V215" s="176">
        <v>0</v>
      </c>
      <c r="W215" s="167"/>
      <c r="X215" s="175">
        <v>2035.99938</v>
      </c>
      <c r="Y215" s="166">
        <v>543.33352710070506</v>
      </c>
      <c r="Z215" s="177">
        <v>573</v>
      </c>
      <c r="AA215" s="182">
        <v>0.94822605078656996</v>
      </c>
      <c r="AB215" s="183">
        <v>-308.70663299734599</v>
      </c>
      <c r="AC215" s="168">
        <v>4.0000000000000001E-3</v>
      </c>
      <c r="AD215" s="168"/>
      <c r="AE215" s="176">
        <v>112</v>
      </c>
      <c r="AF215" s="176">
        <v>541</v>
      </c>
      <c r="AG215" s="167"/>
      <c r="AH215" s="180">
        <v>132.44999999999999</v>
      </c>
      <c r="AI215" s="166">
        <v>35.346044979880297</v>
      </c>
      <c r="AJ215" s="181" t="s">
        <v>53</v>
      </c>
      <c r="AK215" s="173">
        <v>0.56104833301397306</v>
      </c>
      <c r="AL215" s="174">
        <v>-125.344901952588</v>
      </c>
      <c r="AM215" s="168"/>
      <c r="AN215" s="168"/>
      <c r="AO215" s="176">
        <v>104</v>
      </c>
      <c r="AP215" s="176">
        <v>151</v>
      </c>
      <c r="AQ215" s="167"/>
      <c r="AR215" s="180">
        <v>36.200000000000003</v>
      </c>
      <c r="AS215" s="166">
        <v>9.6604517045803409</v>
      </c>
      <c r="AT215" s="181" t="s">
        <v>54</v>
      </c>
      <c r="AU215" s="173">
        <v>0.60377823153627097</v>
      </c>
      <c r="AV215" s="174">
        <v>-29.271721130815902</v>
      </c>
      <c r="AW215" s="168"/>
      <c r="AX215" s="168"/>
      <c r="AY215" s="176">
        <v>24</v>
      </c>
      <c r="AZ215" s="176">
        <v>36</v>
      </c>
      <c r="BA215" s="167"/>
      <c r="BB215" s="184">
        <v>149</v>
      </c>
      <c r="BC215" s="180">
        <v>39.762632706698099</v>
      </c>
      <c r="BD215" s="181" t="s">
        <v>55</v>
      </c>
      <c r="BE215" s="178">
        <v>1.24258227208431</v>
      </c>
      <c r="BF215" s="179">
        <v>18.056557738368099</v>
      </c>
      <c r="BG215" s="168">
        <v>0.02</v>
      </c>
      <c r="BH215" s="168">
        <v>0.02</v>
      </c>
      <c r="BI215" s="176">
        <v>0</v>
      </c>
      <c r="BJ215" s="176">
        <v>0</v>
      </c>
      <c r="BK215" s="169"/>
      <c r="BL215" s="185">
        <v>0.8</v>
      </c>
      <c r="BM215" s="182">
        <v>0.84</v>
      </c>
      <c r="BN215" s="186">
        <v>1.5E-3</v>
      </c>
      <c r="BO215" s="187">
        <v>0.95</v>
      </c>
      <c r="BP215" s="178">
        <v>1</v>
      </c>
      <c r="BQ215" s="186">
        <v>2.5000000000000001E-3</v>
      </c>
    </row>
    <row r="216" spans="1:69" s="156" customFormat="1" ht="22.35" customHeight="1" x14ac:dyDescent="0.2">
      <c r="A216" s="165" t="s">
        <v>275</v>
      </c>
      <c r="B216" s="165" t="s">
        <v>276</v>
      </c>
      <c r="C216" s="165" t="s">
        <v>283</v>
      </c>
      <c r="D216" s="166">
        <v>4.8968438782222199</v>
      </c>
      <c r="E216" s="167"/>
      <c r="F216" s="168">
        <v>4.4999999999999998E-2</v>
      </c>
      <c r="G216" s="168">
        <v>3.5000000000000003E-2</v>
      </c>
      <c r="H216" s="169"/>
      <c r="I216" s="170">
        <v>4</v>
      </c>
      <c r="J216" s="170">
        <v>4</v>
      </c>
      <c r="K216" s="167"/>
      <c r="L216" s="171">
        <v>4595.4805900000001</v>
      </c>
      <c r="M216" s="171">
        <v>4195.9085100000002</v>
      </c>
      <c r="N216" s="171">
        <v>8791.3891000000003</v>
      </c>
      <c r="O216" s="166">
        <v>1795.31741640734</v>
      </c>
      <c r="P216" s="172">
        <v>287.5</v>
      </c>
      <c r="Q216" s="178">
        <v>6.24458231793857</v>
      </c>
      <c r="R216" s="179">
        <v>7254.0249644321302</v>
      </c>
      <c r="S216" s="168">
        <v>0.01</v>
      </c>
      <c r="T216" s="168">
        <v>0.01</v>
      </c>
      <c r="U216" s="175">
        <v>0</v>
      </c>
      <c r="V216" s="176">
        <v>0</v>
      </c>
      <c r="W216" s="167"/>
      <c r="X216" s="175">
        <v>2943.4045099999998</v>
      </c>
      <c r="Y216" s="166">
        <v>601.08195874698595</v>
      </c>
      <c r="Z216" s="177">
        <v>573</v>
      </c>
      <c r="AA216" s="182">
        <v>1.0490086540087</v>
      </c>
      <c r="AB216" s="183">
        <v>-120.629054105694</v>
      </c>
      <c r="AC216" s="168">
        <v>1.4999999999999999E-2</v>
      </c>
      <c r="AD216" s="168">
        <v>5.0000000000000001E-3</v>
      </c>
      <c r="AE216" s="176">
        <v>0</v>
      </c>
      <c r="AF216" s="176">
        <v>424</v>
      </c>
      <c r="AG216" s="167"/>
      <c r="AH216" s="180">
        <v>204.1</v>
      </c>
      <c r="AI216" s="166">
        <v>41.679907523230597</v>
      </c>
      <c r="AJ216" s="181" t="s">
        <v>53</v>
      </c>
      <c r="AK216" s="173">
        <v>0.66158583370207202</v>
      </c>
      <c r="AL216" s="174">
        <v>-132.783271446176</v>
      </c>
      <c r="AM216" s="168"/>
      <c r="AN216" s="168"/>
      <c r="AO216" s="176">
        <v>105</v>
      </c>
      <c r="AP216" s="176">
        <v>167</v>
      </c>
      <c r="AQ216" s="167"/>
      <c r="AR216" s="180">
        <v>56.3</v>
      </c>
      <c r="AS216" s="166">
        <v>11.497201340313</v>
      </c>
      <c r="AT216" s="181" t="s">
        <v>54</v>
      </c>
      <c r="AU216" s="173">
        <v>0.71857508376956203</v>
      </c>
      <c r="AV216" s="174">
        <v>-29.257656240298601</v>
      </c>
      <c r="AW216" s="168"/>
      <c r="AX216" s="168"/>
      <c r="AY216" s="176">
        <v>23</v>
      </c>
      <c r="AZ216" s="176">
        <v>38</v>
      </c>
      <c r="BA216" s="167"/>
      <c r="BB216" s="184">
        <v>190.2</v>
      </c>
      <c r="BC216" s="180">
        <v>38.841344492496098</v>
      </c>
      <c r="BD216" s="181" t="s">
        <v>55</v>
      </c>
      <c r="BE216" s="178">
        <v>1.2137920153905</v>
      </c>
      <c r="BF216" s="179">
        <v>19.084687519402799</v>
      </c>
      <c r="BG216" s="168">
        <v>0.02</v>
      </c>
      <c r="BH216" s="168">
        <v>0.02</v>
      </c>
      <c r="BI216" s="176">
        <v>0</v>
      </c>
      <c r="BJ216" s="176">
        <v>0</v>
      </c>
      <c r="BK216" s="169"/>
      <c r="BL216" s="185">
        <v>0.8</v>
      </c>
      <c r="BM216" s="188">
        <v>0.74</v>
      </c>
      <c r="BN216" s="186"/>
      <c r="BO216" s="187">
        <v>0.95</v>
      </c>
      <c r="BP216" s="178">
        <v>1</v>
      </c>
      <c r="BQ216" s="186">
        <v>2.5000000000000001E-3</v>
      </c>
    </row>
    <row r="217" spans="1:69" s="156" customFormat="1" ht="22.35" customHeight="1" x14ac:dyDescent="0.2">
      <c r="A217" s="165" t="s">
        <v>275</v>
      </c>
      <c r="B217" s="165" t="s">
        <v>276</v>
      </c>
      <c r="C217" s="165" t="s">
        <v>284</v>
      </c>
      <c r="D217" s="166">
        <v>2.87505723911111</v>
      </c>
      <c r="E217" s="167"/>
      <c r="F217" s="168">
        <v>0.03</v>
      </c>
      <c r="G217" s="168">
        <v>2.3E-2</v>
      </c>
      <c r="H217" s="169"/>
      <c r="I217" s="170">
        <v>3</v>
      </c>
      <c r="J217" s="170">
        <v>3</v>
      </c>
      <c r="K217" s="167"/>
      <c r="L217" s="171">
        <v>738.97694000000001</v>
      </c>
      <c r="M217" s="171">
        <v>1787.9275600000001</v>
      </c>
      <c r="N217" s="171">
        <v>2526.9045000000001</v>
      </c>
      <c r="O217" s="166">
        <v>878.90580598710096</v>
      </c>
      <c r="P217" s="172">
        <v>287.5</v>
      </c>
      <c r="Q217" s="178">
        <v>3.05706367299861</v>
      </c>
      <c r="R217" s="179">
        <v>1624.28027978107</v>
      </c>
      <c r="S217" s="168">
        <v>0.01</v>
      </c>
      <c r="T217" s="168">
        <v>0.01</v>
      </c>
      <c r="U217" s="175">
        <v>0</v>
      </c>
      <c r="V217" s="176">
        <v>0</v>
      </c>
      <c r="W217" s="167"/>
      <c r="X217" s="175">
        <v>1856.9513850000001</v>
      </c>
      <c r="Y217" s="166">
        <v>645.88327485755303</v>
      </c>
      <c r="Z217" s="177">
        <v>573</v>
      </c>
      <c r="AA217" s="178">
        <v>1.1271959421597799</v>
      </c>
      <c r="AB217" s="179">
        <v>57.9820695723527</v>
      </c>
      <c r="AC217" s="168">
        <v>0.02</v>
      </c>
      <c r="AD217" s="168">
        <v>1.2999999999999999E-2</v>
      </c>
      <c r="AE217" s="176">
        <v>0</v>
      </c>
      <c r="AF217" s="176">
        <v>120</v>
      </c>
      <c r="AG217" s="167"/>
      <c r="AH217" s="180">
        <v>111.55</v>
      </c>
      <c r="AI217" s="166">
        <v>38.799227536244899</v>
      </c>
      <c r="AJ217" s="181" t="s">
        <v>53</v>
      </c>
      <c r="AK217" s="173">
        <v>0.61586075454356903</v>
      </c>
      <c r="AL217" s="174">
        <v>-86.242437821888004</v>
      </c>
      <c r="AM217" s="168"/>
      <c r="AN217" s="168"/>
      <c r="AO217" s="176">
        <v>70</v>
      </c>
      <c r="AP217" s="176">
        <v>106</v>
      </c>
      <c r="AQ217" s="167"/>
      <c r="AR217" s="180">
        <v>22.6</v>
      </c>
      <c r="AS217" s="166">
        <v>7.8607130642683503</v>
      </c>
      <c r="AT217" s="181" t="s">
        <v>54</v>
      </c>
      <c r="AU217" s="173">
        <v>0.491294566516772</v>
      </c>
      <c r="AV217" s="174">
        <v>-27.633000081749302</v>
      </c>
      <c r="AW217" s="168"/>
      <c r="AX217" s="168"/>
      <c r="AY217" s="176">
        <v>24</v>
      </c>
      <c r="AZ217" s="176">
        <v>33</v>
      </c>
      <c r="BA217" s="167"/>
      <c r="BB217" s="184">
        <v>73</v>
      </c>
      <c r="BC217" s="180">
        <v>25.390798835910999</v>
      </c>
      <c r="BD217" s="181" t="s">
        <v>55</v>
      </c>
      <c r="BE217" s="188">
        <v>0.79346246362221995</v>
      </c>
      <c r="BF217" s="171">
        <v>-27.466000163498599</v>
      </c>
      <c r="BG217" s="168"/>
      <c r="BH217" s="168"/>
      <c r="BI217" s="176">
        <v>20</v>
      </c>
      <c r="BJ217" s="176">
        <v>38</v>
      </c>
      <c r="BK217" s="169"/>
      <c r="BL217" s="185">
        <v>0.8</v>
      </c>
      <c r="BM217" s="188">
        <v>0.73</v>
      </c>
      <c r="BN217" s="186"/>
      <c r="BO217" s="187">
        <v>0.95</v>
      </c>
      <c r="BP217" s="178">
        <v>1</v>
      </c>
      <c r="BQ217" s="186">
        <v>2.5000000000000001E-3</v>
      </c>
    </row>
    <row r="218" spans="1:69" s="156" customFormat="1" ht="22.35" customHeight="1" x14ac:dyDescent="0.2">
      <c r="A218" s="165" t="s">
        <v>275</v>
      </c>
      <c r="B218" s="165" t="s">
        <v>276</v>
      </c>
      <c r="C218" s="165" t="s">
        <v>285</v>
      </c>
      <c r="D218" s="166">
        <v>2.5461804328888902</v>
      </c>
      <c r="E218" s="167"/>
      <c r="F218" s="168">
        <v>3.5999999999999997E-2</v>
      </c>
      <c r="G218" s="168">
        <v>0.03</v>
      </c>
      <c r="H218" s="169"/>
      <c r="I218" s="170">
        <v>5</v>
      </c>
      <c r="J218" s="170">
        <v>4</v>
      </c>
      <c r="K218" s="167"/>
      <c r="L218" s="171">
        <v>3312.1167399999999</v>
      </c>
      <c r="M218" s="171">
        <v>2289.2093500000001</v>
      </c>
      <c r="N218" s="171">
        <v>5601.3260899999996</v>
      </c>
      <c r="O218" s="166">
        <v>2199.89362012524</v>
      </c>
      <c r="P218" s="172">
        <v>271.947</v>
      </c>
      <c r="Q218" s="178">
        <v>8.0894204390018594</v>
      </c>
      <c r="R218" s="179">
        <v>4845.1967558403403</v>
      </c>
      <c r="S218" s="168">
        <v>0.01</v>
      </c>
      <c r="T218" s="168">
        <v>0.01</v>
      </c>
      <c r="U218" s="175">
        <v>0</v>
      </c>
      <c r="V218" s="176">
        <v>0</v>
      </c>
      <c r="W218" s="167"/>
      <c r="X218" s="175">
        <v>2346.3714450000002</v>
      </c>
      <c r="Y218" s="166">
        <v>921.52599033911099</v>
      </c>
      <c r="Z218" s="177">
        <v>573</v>
      </c>
      <c r="AA218" s="178">
        <v>1.6082478016389401</v>
      </c>
      <c r="AB218" s="179">
        <v>753.18560925449503</v>
      </c>
      <c r="AC218" s="168">
        <v>0.02</v>
      </c>
      <c r="AD218" s="168">
        <v>0.02</v>
      </c>
      <c r="AE218" s="176">
        <v>0</v>
      </c>
      <c r="AF218" s="176">
        <v>0</v>
      </c>
      <c r="AG218" s="167"/>
      <c r="AH218" s="180">
        <v>133.35</v>
      </c>
      <c r="AI218" s="166">
        <v>52.372564912338703</v>
      </c>
      <c r="AJ218" s="181" t="s">
        <v>53</v>
      </c>
      <c r="AK218" s="188">
        <v>0.83131055416410604</v>
      </c>
      <c r="AL218" s="171">
        <v>-41.817029061024101</v>
      </c>
      <c r="AM218" s="168"/>
      <c r="AN218" s="168"/>
      <c r="AO218" s="176">
        <v>28</v>
      </c>
      <c r="AP218" s="176">
        <v>60</v>
      </c>
      <c r="AQ218" s="167"/>
      <c r="AR218" s="180">
        <v>17.8</v>
      </c>
      <c r="AS218" s="166">
        <v>6.9908635578524896</v>
      </c>
      <c r="AT218" s="181" t="s">
        <v>54</v>
      </c>
      <c r="AU218" s="173">
        <v>0.43692897236578099</v>
      </c>
      <c r="AV218" s="174">
        <v>-26.6868645234347</v>
      </c>
      <c r="AW218" s="168"/>
      <c r="AX218" s="168"/>
      <c r="AY218" s="176">
        <v>23</v>
      </c>
      <c r="AZ218" s="176">
        <v>32</v>
      </c>
      <c r="BA218" s="167"/>
      <c r="BB218" s="184">
        <v>78.599999999999994</v>
      </c>
      <c r="BC218" s="180">
        <v>30.869768294786802</v>
      </c>
      <c r="BD218" s="181" t="s">
        <v>55</v>
      </c>
      <c r="BE218" s="182">
        <v>0.964680259212088</v>
      </c>
      <c r="BF218" s="183">
        <v>-10.3737290468694</v>
      </c>
      <c r="BG218" s="168">
        <v>6.0000000000000001E-3</v>
      </c>
      <c r="BH218" s="168"/>
      <c r="BI218" s="176">
        <v>3</v>
      </c>
      <c r="BJ218" s="176">
        <v>20</v>
      </c>
      <c r="BK218" s="169"/>
      <c r="BL218" s="185">
        <v>0.8</v>
      </c>
      <c r="BM218" s="182">
        <v>0.82</v>
      </c>
      <c r="BN218" s="186">
        <v>7.5000000000000002E-4</v>
      </c>
      <c r="BO218" s="187">
        <v>0.95</v>
      </c>
      <c r="BP218" s="178">
        <v>1</v>
      </c>
      <c r="BQ218" s="186">
        <v>2.5000000000000001E-3</v>
      </c>
    </row>
    <row r="219" spans="1:69" s="156" customFormat="1" ht="22.35" customHeight="1" x14ac:dyDescent="0.2">
      <c r="A219" s="165" t="s">
        <v>275</v>
      </c>
      <c r="B219" s="165" t="s">
        <v>276</v>
      </c>
      <c r="C219" s="165" t="s">
        <v>286</v>
      </c>
      <c r="D219" s="166">
        <v>3.79118941177778</v>
      </c>
      <c r="E219" s="167"/>
      <c r="F219" s="168">
        <v>0.03</v>
      </c>
      <c r="G219" s="168">
        <v>0.03</v>
      </c>
      <c r="H219" s="169"/>
      <c r="I219" s="170">
        <v>3</v>
      </c>
      <c r="J219" s="170">
        <v>3</v>
      </c>
      <c r="K219" s="167"/>
      <c r="L219" s="171">
        <v>3186.43624</v>
      </c>
      <c r="M219" s="171">
        <v>2659.6786499999998</v>
      </c>
      <c r="N219" s="171">
        <v>5846.1148899999998</v>
      </c>
      <c r="O219" s="166">
        <v>1542.02659245628</v>
      </c>
      <c r="P219" s="172">
        <v>272.346</v>
      </c>
      <c r="Q219" s="178">
        <v>5.6620129998468096</v>
      </c>
      <c r="R219" s="179">
        <v>4718.6082134782901</v>
      </c>
      <c r="S219" s="168">
        <v>0.01</v>
      </c>
      <c r="T219" s="168">
        <v>0.01</v>
      </c>
      <c r="U219" s="175">
        <v>0</v>
      </c>
      <c r="V219" s="176">
        <v>0</v>
      </c>
      <c r="W219" s="167"/>
      <c r="X219" s="175">
        <v>1589.7305550000001</v>
      </c>
      <c r="Y219" s="166">
        <v>419.32237678795798</v>
      </c>
      <c r="Z219" s="177">
        <v>573</v>
      </c>
      <c r="AA219" s="188">
        <v>0.73180170469102701</v>
      </c>
      <c r="AB219" s="171">
        <v>-782.47731897994504</v>
      </c>
      <c r="AC219" s="168"/>
      <c r="AD219" s="168"/>
      <c r="AE219" s="176">
        <v>583</v>
      </c>
      <c r="AF219" s="176">
        <v>1018</v>
      </c>
      <c r="AG219" s="167"/>
      <c r="AH219" s="180">
        <v>84.9</v>
      </c>
      <c r="AI219" s="166">
        <v>22.394027514491398</v>
      </c>
      <c r="AJ219" s="181" t="s">
        <v>53</v>
      </c>
      <c r="AK219" s="173">
        <v>0.355460754198276</v>
      </c>
      <c r="AL219" s="174">
        <v>-175.91866677266401</v>
      </c>
      <c r="AM219" s="168"/>
      <c r="AN219" s="168"/>
      <c r="AO219" s="176">
        <v>154</v>
      </c>
      <c r="AP219" s="176">
        <v>202</v>
      </c>
      <c r="AQ219" s="167"/>
      <c r="AR219" s="180">
        <v>33</v>
      </c>
      <c r="AS219" s="166">
        <v>8.7043923201203306</v>
      </c>
      <c r="AT219" s="181" t="s">
        <v>54</v>
      </c>
      <c r="AU219" s="173">
        <v>0.544024520007521</v>
      </c>
      <c r="AV219" s="174">
        <v>-33.239661402581397</v>
      </c>
      <c r="AW219" s="168"/>
      <c r="AX219" s="168"/>
      <c r="AY219" s="176">
        <v>28</v>
      </c>
      <c r="AZ219" s="176">
        <v>40</v>
      </c>
      <c r="BA219" s="167"/>
      <c r="BB219" s="184">
        <v>179.4</v>
      </c>
      <c r="BC219" s="180">
        <v>47.320241885745098</v>
      </c>
      <c r="BD219" s="181" t="s">
        <v>55</v>
      </c>
      <c r="BE219" s="178">
        <v>1.4787575589295301</v>
      </c>
      <c r="BF219" s="179">
        <v>46.920677194837303</v>
      </c>
      <c r="BG219" s="168">
        <v>0.02</v>
      </c>
      <c r="BH219" s="168">
        <v>0.02</v>
      </c>
      <c r="BI219" s="176">
        <v>0</v>
      </c>
      <c r="BJ219" s="176">
        <v>0</v>
      </c>
      <c r="BK219" s="169"/>
      <c r="BL219" s="185">
        <v>0.8</v>
      </c>
      <c r="BM219" s="188">
        <v>0.75</v>
      </c>
      <c r="BN219" s="186"/>
      <c r="BO219" s="187">
        <v>0.95</v>
      </c>
      <c r="BP219" s="178">
        <v>1</v>
      </c>
      <c r="BQ219" s="186">
        <v>2.5000000000000001E-3</v>
      </c>
    </row>
    <row r="220" spans="1:69" s="156" customFormat="1" ht="22.35" customHeight="1" x14ac:dyDescent="0.2">
      <c r="A220" s="165" t="s">
        <v>275</v>
      </c>
      <c r="B220" s="165" t="s">
        <v>276</v>
      </c>
      <c r="C220" s="165" t="s">
        <v>287</v>
      </c>
      <c r="D220" s="166">
        <v>4.0983728111111102</v>
      </c>
      <c r="E220" s="167"/>
      <c r="F220" s="168">
        <v>0.03</v>
      </c>
      <c r="G220" s="168">
        <v>2.1000000000000001E-2</v>
      </c>
      <c r="H220" s="169"/>
      <c r="I220" s="170">
        <v>3</v>
      </c>
      <c r="J220" s="170">
        <v>3</v>
      </c>
      <c r="K220" s="167"/>
      <c r="L220" s="171">
        <v>2130.9472000000001</v>
      </c>
      <c r="M220" s="171">
        <v>2264.4539500000001</v>
      </c>
      <c r="N220" s="171">
        <v>4395.4011499999997</v>
      </c>
      <c r="O220" s="166">
        <v>1072.47469973537</v>
      </c>
      <c r="P220" s="172">
        <v>276.21300000000002</v>
      </c>
      <c r="Q220" s="178">
        <v>3.8827814032481101</v>
      </c>
      <c r="R220" s="179">
        <v>3159.2311065912299</v>
      </c>
      <c r="S220" s="168">
        <v>0.01</v>
      </c>
      <c r="T220" s="168">
        <v>0.01</v>
      </c>
      <c r="U220" s="175">
        <v>0</v>
      </c>
      <c r="V220" s="176">
        <v>0</v>
      </c>
      <c r="W220" s="167"/>
      <c r="X220" s="175">
        <v>1874.639555</v>
      </c>
      <c r="Y220" s="166">
        <v>457.41069478053799</v>
      </c>
      <c r="Z220" s="177">
        <v>573</v>
      </c>
      <c r="AA220" s="188">
        <v>0.79827346384038</v>
      </c>
      <c r="AB220" s="171">
        <v>-689.77788687719897</v>
      </c>
      <c r="AC220" s="168"/>
      <c r="AD220" s="168"/>
      <c r="AE220" s="176">
        <v>474</v>
      </c>
      <c r="AF220" s="176">
        <v>944</v>
      </c>
      <c r="AG220" s="167"/>
      <c r="AH220" s="180">
        <v>149.94999999999999</v>
      </c>
      <c r="AI220" s="166">
        <v>36.587691484159301</v>
      </c>
      <c r="AJ220" s="181" t="s">
        <v>53</v>
      </c>
      <c r="AK220" s="173">
        <v>0.58075700768506799</v>
      </c>
      <c r="AL220" s="174">
        <v>-132.00165591320001</v>
      </c>
      <c r="AM220" s="168"/>
      <c r="AN220" s="168"/>
      <c r="AO220" s="176">
        <v>109</v>
      </c>
      <c r="AP220" s="176">
        <v>160</v>
      </c>
      <c r="AQ220" s="167"/>
      <c r="AR220" s="180">
        <v>27.8</v>
      </c>
      <c r="AS220" s="166">
        <v>6.7831798816914199</v>
      </c>
      <c r="AT220" s="181" t="s">
        <v>54</v>
      </c>
      <c r="AU220" s="173">
        <v>0.42394874260571402</v>
      </c>
      <c r="AV220" s="174">
        <v>-43.806769755733299</v>
      </c>
      <c r="AW220" s="168"/>
      <c r="AX220" s="168"/>
      <c r="AY220" s="176">
        <v>38</v>
      </c>
      <c r="AZ220" s="176">
        <v>51</v>
      </c>
      <c r="BA220" s="167"/>
      <c r="BB220" s="184">
        <v>145.80000000000001</v>
      </c>
      <c r="BC220" s="180">
        <v>35.575094487431997</v>
      </c>
      <c r="BD220" s="181" t="s">
        <v>55</v>
      </c>
      <c r="BE220" s="178">
        <v>1.1117217027322499</v>
      </c>
      <c r="BF220" s="179">
        <v>2.5864604885333899</v>
      </c>
      <c r="BG220" s="168">
        <v>0.02</v>
      </c>
      <c r="BH220" s="168">
        <v>1.0999999999999999E-2</v>
      </c>
      <c r="BI220" s="176">
        <v>0</v>
      </c>
      <c r="BJ220" s="176">
        <v>12</v>
      </c>
      <c r="BK220" s="169"/>
      <c r="BL220" s="185">
        <v>0.8</v>
      </c>
      <c r="BM220" s="188">
        <v>0.77</v>
      </c>
      <c r="BN220" s="186"/>
      <c r="BO220" s="187">
        <v>0.95</v>
      </c>
      <c r="BP220" s="178">
        <v>1</v>
      </c>
      <c r="BQ220" s="186">
        <v>2.5000000000000001E-3</v>
      </c>
    </row>
    <row r="221" spans="1:69" s="156" customFormat="1" ht="22.35" customHeight="1" x14ac:dyDescent="0.2">
      <c r="A221" s="165" t="s">
        <v>275</v>
      </c>
      <c r="B221" s="165" t="s">
        <v>276</v>
      </c>
      <c r="C221" s="165" t="s">
        <v>288</v>
      </c>
      <c r="D221" s="166">
        <v>3.0671238162222201</v>
      </c>
      <c r="E221" s="167"/>
      <c r="F221" s="168">
        <v>1.7999999999999999E-2</v>
      </c>
      <c r="G221" s="168">
        <v>0.01</v>
      </c>
      <c r="H221" s="169"/>
      <c r="I221" s="170">
        <v>4</v>
      </c>
      <c r="J221" s="170">
        <v>3</v>
      </c>
      <c r="K221" s="167"/>
      <c r="L221" s="171">
        <v>611.30375000000004</v>
      </c>
      <c r="M221" s="171">
        <v>1013.61146</v>
      </c>
      <c r="N221" s="171">
        <v>1624.9152099999999</v>
      </c>
      <c r="O221" s="166">
        <v>529.78468016377894</v>
      </c>
      <c r="P221" s="172">
        <v>259.01299999999998</v>
      </c>
      <c r="Q221" s="178">
        <v>2.0453980308470201</v>
      </c>
      <c r="R221" s="179">
        <v>757.40317441580703</v>
      </c>
      <c r="S221" s="168">
        <v>0.01</v>
      </c>
      <c r="T221" s="168">
        <v>0.01</v>
      </c>
      <c r="U221" s="175">
        <v>0</v>
      </c>
      <c r="V221" s="176">
        <v>0</v>
      </c>
      <c r="W221" s="167"/>
      <c r="X221" s="175">
        <v>1139.5952299999999</v>
      </c>
      <c r="Y221" s="166">
        <v>371.55175280913198</v>
      </c>
      <c r="Z221" s="177">
        <v>573</v>
      </c>
      <c r="AA221" s="173">
        <v>0.64843237837544798</v>
      </c>
      <c r="AB221" s="174">
        <v>-779.55321579130305</v>
      </c>
      <c r="AC221" s="168"/>
      <c r="AD221" s="168"/>
      <c r="AE221" s="176">
        <v>618</v>
      </c>
      <c r="AF221" s="176">
        <v>970</v>
      </c>
      <c r="AG221" s="167"/>
      <c r="AH221" s="180">
        <v>102.25</v>
      </c>
      <c r="AI221" s="166">
        <v>33.337421677987997</v>
      </c>
      <c r="AJ221" s="181" t="s">
        <v>53</v>
      </c>
      <c r="AK221" s="173">
        <v>0.52916542346012696</v>
      </c>
      <c r="AL221" s="174">
        <v>-108.755850060824</v>
      </c>
      <c r="AM221" s="168"/>
      <c r="AN221" s="168"/>
      <c r="AO221" s="176">
        <v>91</v>
      </c>
      <c r="AP221" s="176">
        <v>130</v>
      </c>
      <c r="AQ221" s="167"/>
      <c r="AR221" s="180">
        <v>16.600000000000001</v>
      </c>
      <c r="AS221" s="166">
        <v>5.4122366733946299</v>
      </c>
      <c r="AT221" s="181" t="s">
        <v>54</v>
      </c>
      <c r="AU221" s="173">
        <v>0.33826479208716398</v>
      </c>
      <c r="AV221" s="174">
        <v>-36.9887873170346</v>
      </c>
      <c r="AW221" s="168"/>
      <c r="AX221" s="168"/>
      <c r="AY221" s="176">
        <v>33</v>
      </c>
      <c r="AZ221" s="176">
        <v>43</v>
      </c>
      <c r="BA221" s="167"/>
      <c r="BB221" s="184">
        <v>96.8</v>
      </c>
      <c r="BC221" s="180">
        <v>31.560512649674699</v>
      </c>
      <c r="BD221" s="181" t="s">
        <v>55</v>
      </c>
      <c r="BE221" s="182">
        <v>0.98626602030233401</v>
      </c>
      <c r="BF221" s="183">
        <v>-10.377574634069299</v>
      </c>
      <c r="BG221" s="168">
        <v>8.0000000000000002E-3</v>
      </c>
      <c r="BH221" s="168"/>
      <c r="BI221" s="176">
        <v>2</v>
      </c>
      <c r="BJ221" s="176">
        <v>21</v>
      </c>
      <c r="BK221" s="169"/>
      <c r="BL221" s="185">
        <v>0.8</v>
      </c>
      <c r="BM221" s="182">
        <v>0.81</v>
      </c>
      <c r="BN221" s="186">
        <v>3.7500000000000001E-4</v>
      </c>
      <c r="BO221" s="187">
        <v>0.95</v>
      </c>
      <c r="BP221" s="178">
        <v>1</v>
      </c>
      <c r="BQ221" s="186">
        <v>2.5000000000000001E-3</v>
      </c>
    </row>
    <row r="222" spans="1:69" s="156" customFormat="1" ht="22.35" customHeight="1" x14ac:dyDescent="0.2">
      <c r="A222" s="165" t="s">
        <v>275</v>
      </c>
      <c r="B222" s="165" t="s">
        <v>276</v>
      </c>
      <c r="C222" s="165" t="s">
        <v>289</v>
      </c>
      <c r="D222" s="166">
        <v>7.3002462538888899</v>
      </c>
      <c r="E222" s="167"/>
      <c r="F222" s="168">
        <v>2.3E-2</v>
      </c>
      <c r="G222" s="168">
        <v>1.2E-2</v>
      </c>
      <c r="H222" s="169"/>
      <c r="I222" s="170">
        <v>3</v>
      </c>
      <c r="J222" s="170">
        <v>3</v>
      </c>
      <c r="K222" s="167"/>
      <c r="L222" s="171">
        <v>4496.5194600000004</v>
      </c>
      <c r="M222" s="171">
        <v>2573.01658</v>
      </c>
      <c r="N222" s="171">
        <v>7069.53604</v>
      </c>
      <c r="O222" s="166">
        <v>968.39692719050595</v>
      </c>
      <c r="P222" s="172">
        <v>287.5</v>
      </c>
      <c r="Q222" s="178">
        <v>3.36833713805393</v>
      </c>
      <c r="R222" s="179">
        <v>4777.6237285915804</v>
      </c>
      <c r="S222" s="168">
        <v>0.01</v>
      </c>
      <c r="T222" s="168">
        <v>0.01</v>
      </c>
      <c r="U222" s="175">
        <v>0</v>
      </c>
      <c r="V222" s="176">
        <v>0</v>
      </c>
      <c r="W222" s="167"/>
      <c r="X222" s="175">
        <v>3139.4278749999999</v>
      </c>
      <c r="Y222" s="166">
        <v>430.04410615978998</v>
      </c>
      <c r="Z222" s="177">
        <v>573</v>
      </c>
      <c r="AA222" s="188">
        <v>0.75051327427537495</v>
      </c>
      <c r="AB222" s="171">
        <v>-1428.4530099983399</v>
      </c>
      <c r="AC222" s="168"/>
      <c r="AD222" s="168"/>
      <c r="AE222" s="176">
        <v>1044</v>
      </c>
      <c r="AF222" s="176">
        <v>1881</v>
      </c>
      <c r="AG222" s="167"/>
      <c r="AH222" s="180">
        <v>250.4</v>
      </c>
      <c r="AI222" s="166">
        <v>34.300212799891497</v>
      </c>
      <c r="AJ222" s="181" t="s">
        <v>53</v>
      </c>
      <c r="AK222" s="173">
        <v>0.54444782222050103</v>
      </c>
      <c r="AL222" s="174">
        <v>-251.82774128253999</v>
      </c>
      <c r="AM222" s="168"/>
      <c r="AN222" s="168"/>
      <c r="AO222" s="176">
        <v>210</v>
      </c>
      <c r="AP222" s="176">
        <v>302</v>
      </c>
      <c r="AQ222" s="167"/>
      <c r="AR222" s="180">
        <v>59.8</v>
      </c>
      <c r="AS222" s="166">
        <v>8.1915044945427908</v>
      </c>
      <c r="AT222" s="181" t="s">
        <v>54</v>
      </c>
      <c r="AU222" s="173">
        <v>0.51196903090892398</v>
      </c>
      <c r="AV222" s="174">
        <v>-67.749902547946704</v>
      </c>
      <c r="AW222" s="168"/>
      <c r="AX222" s="168"/>
      <c r="AY222" s="176">
        <v>58</v>
      </c>
      <c r="AZ222" s="176">
        <v>81</v>
      </c>
      <c r="BA222" s="167"/>
      <c r="BB222" s="184">
        <v>239.4</v>
      </c>
      <c r="BC222" s="180">
        <v>32.793414314273299</v>
      </c>
      <c r="BD222" s="181" t="s">
        <v>55</v>
      </c>
      <c r="BE222" s="182">
        <v>1.0247941973210399</v>
      </c>
      <c r="BF222" s="183">
        <v>-15.6998050958933</v>
      </c>
      <c r="BG222" s="168">
        <v>1.2999999999999999E-2</v>
      </c>
      <c r="BH222" s="168">
        <v>2E-3</v>
      </c>
      <c r="BI222" s="176">
        <v>0</v>
      </c>
      <c r="BJ222" s="176">
        <v>41</v>
      </c>
      <c r="BK222" s="169"/>
      <c r="BL222" s="185">
        <v>0.8</v>
      </c>
      <c r="BM222" s="173">
        <v>0.65</v>
      </c>
      <c r="BN222" s="186"/>
      <c r="BO222" s="187">
        <v>0.95</v>
      </c>
      <c r="BP222" s="178">
        <v>1</v>
      </c>
      <c r="BQ222" s="186">
        <v>2.5000000000000001E-3</v>
      </c>
    </row>
    <row r="223" spans="1:69" s="156" customFormat="1" ht="22.35" customHeight="1" x14ac:dyDescent="0.2">
      <c r="A223" s="165" t="s">
        <v>275</v>
      </c>
      <c r="B223" s="165" t="s">
        <v>276</v>
      </c>
      <c r="C223" s="165" t="s">
        <v>290</v>
      </c>
      <c r="D223" s="166">
        <v>2.9612506945555599</v>
      </c>
      <c r="E223" s="167"/>
      <c r="F223" s="168">
        <v>0.06</v>
      </c>
      <c r="G223" s="168">
        <v>5.0999999999999997E-2</v>
      </c>
      <c r="H223" s="169"/>
      <c r="I223" s="170">
        <v>6</v>
      </c>
      <c r="J223" s="170">
        <v>6</v>
      </c>
      <c r="K223" s="167"/>
      <c r="L223" s="171">
        <v>1364.66688</v>
      </c>
      <c r="M223" s="171">
        <v>793.30652999999995</v>
      </c>
      <c r="N223" s="171">
        <v>2157.9734100000001</v>
      </c>
      <c r="O223" s="166">
        <v>728.73715621834003</v>
      </c>
      <c r="P223" s="172">
        <v>273.31099999999998</v>
      </c>
      <c r="Q223" s="178">
        <v>2.66632940576245</v>
      </c>
      <c r="R223" s="179">
        <v>1274.1715216709999</v>
      </c>
      <c r="S223" s="168">
        <v>0.01</v>
      </c>
      <c r="T223" s="168">
        <v>0.01</v>
      </c>
      <c r="U223" s="175">
        <v>0</v>
      </c>
      <c r="V223" s="176">
        <v>0</v>
      </c>
      <c r="W223" s="167"/>
      <c r="X223" s="175">
        <v>1881.4585400000001</v>
      </c>
      <c r="Y223" s="166">
        <v>635.35942548166497</v>
      </c>
      <c r="Z223" s="177">
        <v>573</v>
      </c>
      <c r="AA223" s="178">
        <v>1.10882971288249</v>
      </c>
      <c r="AB223" s="179">
        <v>28.556600405473301</v>
      </c>
      <c r="AC223" s="168">
        <v>0.02</v>
      </c>
      <c r="AD223" s="168">
        <v>1.0999999999999999E-2</v>
      </c>
      <c r="AE223" s="176">
        <v>0</v>
      </c>
      <c r="AF223" s="176">
        <v>155</v>
      </c>
      <c r="AG223" s="167"/>
      <c r="AH223" s="180">
        <v>147.15</v>
      </c>
      <c r="AI223" s="166">
        <v>49.691841447447999</v>
      </c>
      <c r="AJ223" s="181" t="s">
        <v>53</v>
      </c>
      <c r="AK223" s="188">
        <v>0.78875938805473</v>
      </c>
      <c r="AL223" s="171">
        <v>-56.572202782644297</v>
      </c>
      <c r="AM223" s="168"/>
      <c r="AN223" s="168"/>
      <c r="AO223" s="176">
        <v>40</v>
      </c>
      <c r="AP223" s="176">
        <v>77</v>
      </c>
      <c r="AQ223" s="167"/>
      <c r="AR223" s="180">
        <v>69</v>
      </c>
      <c r="AS223" s="166">
        <v>23.300965408589299</v>
      </c>
      <c r="AT223" s="181" t="s">
        <v>54</v>
      </c>
      <c r="AU223" s="178">
        <v>1.4563103380368301</v>
      </c>
      <c r="AV223" s="179">
        <v>17.2610278647253</v>
      </c>
      <c r="AW223" s="168">
        <v>0.01</v>
      </c>
      <c r="AX223" s="168">
        <v>0.01</v>
      </c>
      <c r="AY223" s="176">
        <v>0</v>
      </c>
      <c r="AZ223" s="176">
        <v>0</v>
      </c>
      <c r="BA223" s="167"/>
      <c r="BB223" s="184">
        <v>229.4</v>
      </c>
      <c r="BC223" s="180">
        <v>77.467267604788105</v>
      </c>
      <c r="BD223" s="181" t="s">
        <v>55</v>
      </c>
      <c r="BE223" s="178">
        <v>2.4208521126496301</v>
      </c>
      <c r="BF223" s="179">
        <v>125.922055729451</v>
      </c>
      <c r="BG223" s="168">
        <v>0.02</v>
      </c>
      <c r="BH223" s="168">
        <v>0.02</v>
      </c>
      <c r="BI223" s="176">
        <v>0</v>
      </c>
      <c r="BJ223" s="176">
        <v>0</v>
      </c>
      <c r="BK223" s="169"/>
      <c r="BL223" s="185">
        <v>0.8</v>
      </c>
      <c r="BM223" s="182">
        <v>0.81</v>
      </c>
      <c r="BN223" s="186">
        <v>3.7500000000000001E-4</v>
      </c>
      <c r="BO223" s="187">
        <v>0.95</v>
      </c>
      <c r="BP223" s="178">
        <v>1</v>
      </c>
      <c r="BQ223" s="186">
        <v>2.5000000000000001E-3</v>
      </c>
    </row>
    <row r="224" spans="1:69" s="156" customFormat="1" ht="22.35" customHeight="1" x14ac:dyDescent="0.2">
      <c r="A224" s="165" t="s">
        <v>275</v>
      </c>
      <c r="B224" s="165" t="s">
        <v>276</v>
      </c>
      <c r="C224" s="165" t="s">
        <v>291</v>
      </c>
      <c r="D224" s="166">
        <v>3.1521611030000001</v>
      </c>
      <c r="E224" s="167"/>
      <c r="F224" s="168">
        <v>3.3000000000000002E-2</v>
      </c>
      <c r="G224" s="168">
        <v>0.03</v>
      </c>
      <c r="H224" s="169"/>
      <c r="I224" s="170">
        <v>4</v>
      </c>
      <c r="J224" s="170">
        <v>3</v>
      </c>
      <c r="K224" s="167"/>
      <c r="L224" s="171">
        <v>1560.8911900000001</v>
      </c>
      <c r="M224" s="171">
        <v>1129.22658</v>
      </c>
      <c r="N224" s="171">
        <v>2690.1177699999998</v>
      </c>
      <c r="O224" s="166">
        <v>853.42014005557598</v>
      </c>
      <c r="P224" s="172">
        <v>216.041</v>
      </c>
      <c r="Q224" s="178">
        <v>3.95026934727934</v>
      </c>
      <c r="R224" s="179">
        <v>1946.47009775628</v>
      </c>
      <c r="S224" s="168">
        <v>0.01</v>
      </c>
      <c r="T224" s="168">
        <v>0.01</v>
      </c>
      <c r="U224" s="175">
        <v>0</v>
      </c>
      <c r="V224" s="176">
        <v>0</v>
      </c>
      <c r="W224" s="167"/>
      <c r="X224" s="175">
        <v>1586.928715</v>
      </c>
      <c r="Y224" s="166">
        <v>503.44150033755398</v>
      </c>
      <c r="Z224" s="177">
        <v>573</v>
      </c>
      <c r="AA224" s="188">
        <v>0.87860645783168301</v>
      </c>
      <c r="AB224" s="171">
        <v>-385.42892172474802</v>
      </c>
      <c r="AC224" s="168"/>
      <c r="AD224" s="168"/>
      <c r="AE224" s="176">
        <v>220</v>
      </c>
      <c r="AF224" s="176">
        <v>581</v>
      </c>
      <c r="AG224" s="167"/>
      <c r="AH224" s="180">
        <v>185.55</v>
      </c>
      <c r="AI224" s="166">
        <v>58.864377148555903</v>
      </c>
      <c r="AJ224" s="181" t="s">
        <v>53</v>
      </c>
      <c r="AK224" s="182">
        <v>0.93435519283422097</v>
      </c>
      <c r="AL224" s="183">
        <v>-31.306075241988001</v>
      </c>
      <c r="AM224" s="168">
        <v>3.0000000000000001E-3</v>
      </c>
      <c r="AN224" s="168"/>
      <c r="AO224" s="176">
        <v>14</v>
      </c>
      <c r="AP224" s="176">
        <v>53</v>
      </c>
      <c r="AQ224" s="167"/>
      <c r="AR224" s="180">
        <v>8</v>
      </c>
      <c r="AS224" s="166">
        <v>2.5379413483613402</v>
      </c>
      <c r="AT224" s="181" t="s">
        <v>54</v>
      </c>
      <c r="AU224" s="173">
        <v>0.15862133427258401</v>
      </c>
      <c r="AV224" s="174">
        <v>-47.074558791615999</v>
      </c>
      <c r="AW224" s="168"/>
      <c r="AX224" s="168"/>
      <c r="AY224" s="176">
        <v>43</v>
      </c>
      <c r="AZ224" s="176">
        <v>53</v>
      </c>
      <c r="BA224" s="167"/>
      <c r="BB224" s="184">
        <v>129.6</v>
      </c>
      <c r="BC224" s="180">
        <v>41.114649843453797</v>
      </c>
      <c r="BD224" s="181" t="s">
        <v>55</v>
      </c>
      <c r="BE224" s="178">
        <v>1.2848328076079301</v>
      </c>
      <c r="BF224" s="179">
        <v>19.450882416768</v>
      </c>
      <c r="BG224" s="168">
        <v>0.02</v>
      </c>
      <c r="BH224" s="168">
        <v>0.02</v>
      </c>
      <c r="BI224" s="176">
        <v>0</v>
      </c>
      <c r="BJ224" s="176">
        <v>0</v>
      </c>
      <c r="BK224" s="169"/>
      <c r="BL224" s="185">
        <v>0.8</v>
      </c>
      <c r="BM224" s="188">
        <v>0.72</v>
      </c>
      <c r="BN224" s="186"/>
      <c r="BO224" s="187">
        <v>0.95</v>
      </c>
      <c r="BP224" s="178">
        <v>1</v>
      </c>
      <c r="BQ224" s="186">
        <v>2.5000000000000001E-3</v>
      </c>
    </row>
    <row r="225" spans="1:69" s="156" customFormat="1" ht="22.35" customHeight="1" x14ac:dyDescent="0.2">
      <c r="A225" s="165" t="s">
        <v>275</v>
      </c>
      <c r="B225" s="165" t="s">
        <v>276</v>
      </c>
      <c r="C225" s="165" t="s">
        <v>292</v>
      </c>
      <c r="D225" s="166">
        <v>7.7095109328888896</v>
      </c>
      <c r="E225" s="167"/>
      <c r="F225" s="168">
        <v>5.3999999999999999E-2</v>
      </c>
      <c r="G225" s="168">
        <v>3.9E-2</v>
      </c>
      <c r="H225" s="169"/>
      <c r="I225" s="170">
        <v>5</v>
      </c>
      <c r="J225" s="170">
        <v>5</v>
      </c>
      <c r="K225" s="167"/>
      <c r="L225" s="171">
        <v>3662.8444199999999</v>
      </c>
      <c r="M225" s="171">
        <v>1053.55774</v>
      </c>
      <c r="N225" s="171">
        <v>4716.4021599999996</v>
      </c>
      <c r="O225" s="166">
        <v>611.76411850974296</v>
      </c>
      <c r="P225" s="172">
        <v>287.5</v>
      </c>
      <c r="Q225" s="178">
        <v>2.1278751948164998</v>
      </c>
      <c r="R225" s="179">
        <v>2296.00120261953</v>
      </c>
      <c r="S225" s="168">
        <v>0.01</v>
      </c>
      <c r="T225" s="168">
        <v>0.01</v>
      </c>
      <c r="U225" s="175">
        <v>0</v>
      </c>
      <c r="V225" s="176">
        <v>0</v>
      </c>
      <c r="W225" s="167"/>
      <c r="X225" s="175">
        <v>4758.2896899999996</v>
      </c>
      <c r="Y225" s="166">
        <v>617.19734642324295</v>
      </c>
      <c r="Z225" s="177">
        <v>573</v>
      </c>
      <c r="AA225" s="182">
        <v>1.07713323983114</v>
      </c>
      <c r="AB225" s="183">
        <v>-65.674652883503796</v>
      </c>
      <c r="AC225" s="168">
        <v>1.7999999999999999E-2</v>
      </c>
      <c r="AD225" s="168">
        <v>8.0000000000000002E-3</v>
      </c>
      <c r="AE225" s="176">
        <v>0</v>
      </c>
      <c r="AF225" s="176">
        <v>543</v>
      </c>
      <c r="AG225" s="167"/>
      <c r="AH225" s="180">
        <v>248.6</v>
      </c>
      <c r="AI225" s="166">
        <v>32.245884617592097</v>
      </c>
      <c r="AJ225" s="181" t="s">
        <v>53</v>
      </c>
      <c r="AK225" s="173">
        <v>0.51183943837447798</v>
      </c>
      <c r="AL225" s="174">
        <v>-281.78351413902402</v>
      </c>
      <c r="AM225" s="168"/>
      <c r="AN225" s="168"/>
      <c r="AO225" s="176">
        <v>238</v>
      </c>
      <c r="AP225" s="176">
        <v>335</v>
      </c>
      <c r="AQ225" s="167"/>
      <c r="AR225" s="180">
        <v>125.5</v>
      </c>
      <c r="AS225" s="166">
        <v>16.2785942055825</v>
      </c>
      <c r="AT225" s="181" t="s">
        <v>54</v>
      </c>
      <c r="AU225" s="182">
        <v>1.01741213784891</v>
      </c>
      <c r="AV225" s="183">
        <v>-9.2005750194346891</v>
      </c>
      <c r="AW225" s="168">
        <v>6.0000000000000001E-3</v>
      </c>
      <c r="AX225" s="168">
        <v>1E-3</v>
      </c>
      <c r="AY225" s="176">
        <v>0</v>
      </c>
      <c r="AZ225" s="176">
        <v>23</v>
      </c>
      <c r="BA225" s="167"/>
      <c r="BB225" s="184">
        <v>297.39999999999998</v>
      </c>
      <c r="BC225" s="180">
        <v>38.5757284202409</v>
      </c>
      <c r="BD225" s="181" t="s">
        <v>55</v>
      </c>
      <c r="BE225" s="178">
        <v>1.2054915131325299</v>
      </c>
      <c r="BF225" s="179">
        <v>27.998849961130599</v>
      </c>
      <c r="BG225" s="168">
        <v>0.02</v>
      </c>
      <c r="BH225" s="168">
        <v>0.02</v>
      </c>
      <c r="BI225" s="176">
        <v>0</v>
      </c>
      <c r="BJ225" s="176">
        <v>0</v>
      </c>
      <c r="BK225" s="169"/>
      <c r="BL225" s="185">
        <v>0.8</v>
      </c>
      <c r="BM225" s="188">
        <v>0.78</v>
      </c>
      <c r="BN225" s="186"/>
      <c r="BO225" s="187">
        <v>0.95</v>
      </c>
      <c r="BP225" s="178">
        <v>1</v>
      </c>
      <c r="BQ225" s="186">
        <v>2.5000000000000001E-3</v>
      </c>
    </row>
    <row r="226" spans="1:69" s="156" customFormat="1" ht="22.35" customHeight="1" x14ac:dyDescent="0.2">
      <c r="A226" s="165" t="s">
        <v>275</v>
      </c>
      <c r="B226" s="165" t="s">
        <v>276</v>
      </c>
      <c r="C226" s="165" t="s">
        <v>293</v>
      </c>
      <c r="D226" s="166">
        <v>2.83696294222222</v>
      </c>
      <c r="E226" s="167"/>
      <c r="F226" s="168">
        <v>2.3E-2</v>
      </c>
      <c r="G226" s="168">
        <v>1.2999999999999999E-2</v>
      </c>
      <c r="H226" s="169"/>
      <c r="I226" s="170">
        <v>4</v>
      </c>
      <c r="J226" s="170">
        <v>4</v>
      </c>
      <c r="K226" s="167"/>
      <c r="L226" s="171">
        <v>551.51557000000003</v>
      </c>
      <c r="M226" s="171">
        <v>2016.9095199999999</v>
      </c>
      <c r="N226" s="171">
        <v>2568.4250900000002</v>
      </c>
      <c r="O226" s="166">
        <v>905.34319351670001</v>
      </c>
      <c r="P226" s="172">
        <v>287.5</v>
      </c>
      <c r="Q226" s="178">
        <v>3.1490198035363499</v>
      </c>
      <c r="R226" s="179">
        <v>1677.76057428933</v>
      </c>
      <c r="S226" s="168">
        <v>0.01</v>
      </c>
      <c r="T226" s="168">
        <v>0.01</v>
      </c>
      <c r="U226" s="175">
        <v>0</v>
      </c>
      <c r="V226" s="176">
        <v>0</v>
      </c>
      <c r="W226" s="167"/>
      <c r="X226" s="175">
        <v>1676.7995149999999</v>
      </c>
      <c r="Y226" s="166">
        <v>591.05443008943405</v>
      </c>
      <c r="Z226" s="177">
        <v>573</v>
      </c>
      <c r="AA226" s="182">
        <v>1.0315086039955199</v>
      </c>
      <c r="AB226" s="183">
        <v>-98.333589355518399</v>
      </c>
      <c r="AC226" s="168">
        <v>1.2999999999999999E-2</v>
      </c>
      <c r="AD226" s="168">
        <v>3.0000000000000001E-3</v>
      </c>
      <c r="AE226" s="176">
        <v>0</v>
      </c>
      <c r="AF226" s="176">
        <v>274</v>
      </c>
      <c r="AG226" s="167"/>
      <c r="AH226" s="180">
        <v>113.5</v>
      </c>
      <c r="AI226" s="166">
        <v>40.007572291760098</v>
      </c>
      <c r="AJ226" s="181" t="s">
        <v>53</v>
      </c>
      <c r="AK226" s="173">
        <v>0.63504083002793799</v>
      </c>
      <c r="AL226" s="174">
        <v>-81.671702573119802</v>
      </c>
      <c r="AM226" s="168"/>
      <c r="AN226" s="168"/>
      <c r="AO226" s="176">
        <v>66</v>
      </c>
      <c r="AP226" s="176">
        <v>101</v>
      </c>
      <c r="AQ226" s="167"/>
      <c r="AR226" s="180">
        <v>7.6</v>
      </c>
      <c r="AS226" s="166">
        <v>2.6789211402412101</v>
      </c>
      <c r="AT226" s="181" t="s">
        <v>54</v>
      </c>
      <c r="AU226" s="173">
        <v>0.16743257126507599</v>
      </c>
      <c r="AV226" s="174">
        <v>-41.967416526506597</v>
      </c>
      <c r="AW226" s="168"/>
      <c r="AX226" s="168"/>
      <c r="AY226" s="176">
        <v>38</v>
      </c>
      <c r="AZ226" s="176">
        <v>47</v>
      </c>
      <c r="BA226" s="167"/>
      <c r="BB226" s="184">
        <v>71.400000000000006</v>
      </c>
      <c r="BC226" s="180">
        <v>25.1677591333187</v>
      </c>
      <c r="BD226" s="181" t="s">
        <v>55</v>
      </c>
      <c r="BE226" s="188">
        <v>0.78649247291620905</v>
      </c>
      <c r="BF226" s="171">
        <v>-27.734833053013201</v>
      </c>
      <c r="BG226" s="168"/>
      <c r="BH226" s="168"/>
      <c r="BI226" s="176">
        <v>20</v>
      </c>
      <c r="BJ226" s="176">
        <v>38</v>
      </c>
      <c r="BK226" s="169"/>
      <c r="BL226" s="185">
        <v>0.8</v>
      </c>
      <c r="BM226" s="182">
        <v>0.86</v>
      </c>
      <c r="BN226" s="186">
        <v>2.2499999999999998E-3</v>
      </c>
      <c r="BO226" s="187">
        <v>0.95</v>
      </c>
      <c r="BP226" s="178">
        <v>1</v>
      </c>
      <c r="BQ226" s="186">
        <v>2.5000000000000001E-3</v>
      </c>
    </row>
    <row r="227" spans="1:69" s="156" customFormat="1" ht="22.35" customHeight="1" x14ac:dyDescent="0.2">
      <c r="A227" s="165" t="s">
        <v>275</v>
      </c>
      <c r="B227" s="165" t="s">
        <v>276</v>
      </c>
      <c r="C227" s="165" t="s">
        <v>294</v>
      </c>
      <c r="D227" s="166">
        <v>2.9777762321111099</v>
      </c>
      <c r="E227" s="167"/>
      <c r="F227" s="168">
        <v>0.05</v>
      </c>
      <c r="G227" s="168">
        <v>0.04</v>
      </c>
      <c r="H227" s="169"/>
      <c r="I227" s="170">
        <v>5</v>
      </c>
      <c r="J227" s="170">
        <v>5</v>
      </c>
      <c r="K227" s="167"/>
      <c r="L227" s="171">
        <v>2254.32008</v>
      </c>
      <c r="M227" s="171">
        <v>929.67911000000004</v>
      </c>
      <c r="N227" s="171">
        <v>3183.99919</v>
      </c>
      <c r="O227" s="166">
        <v>1069.2540143430101</v>
      </c>
      <c r="P227" s="172">
        <v>252.76900000000001</v>
      </c>
      <c r="Q227" s="178">
        <v>4.2301627744818804</v>
      </c>
      <c r="R227" s="179">
        <v>2362.0622337073701</v>
      </c>
      <c r="S227" s="168">
        <v>0.01</v>
      </c>
      <c r="T227" s="168">
        <v>0.01</v>
      </c>
      <c r="U227" s="175">
        <v>0</v>
      </c>
      <c r="V227" s="176">
        <v>0</v>
      </c>
      <c r="W227" s="167"/>
      <c r="X227" s="175">
        <v>2388.0721800000001</v>
      </c>
      <c r="Y227" s="166">
        <v>801.964954333376</v>
      </c>
      <c r="Z227" s="177">
        <v>573</v>
      </c>
      <c r="AA227" s="178">
        <v>1.3995897981385299</v>
      </c>
      <c r="AB227" s="179">
        <v>524.82994714836502</v>
      </c>
      <c r="AC227" s="168">
        <v>0.02</v>
      </c>
      <c r="AD227" s="168">
        <v>0.02</v>
      </c>
      <c r="AE227" s="176">
        <v>0</v>
      </c>
      <c r="AF227" s="176">
        <v>0</v>
      </c>
      <c r="AG227" s="167"/>
      <c r="AH227" s="180">
        <v>136.15</v>
      </c>
      <c r="AI227" s="166">
        <v>45.7220386581821</v>
      </c>
      <c r="AJ227" s="181" t="s">
        <v>53</v>
      </c>
      <c r="AK227" s="188">
        <v>0.72574664536796996</v>
      </c>
      <c r="AL227" s="171">
        <v>-68.709093664315901</v>
      </c>
      <c r="AM227" s="168"/>
      <c r="AN227" s="168"/>
      <c r="AO227" s="176">
        <v>52</v>
      </c>
      <c r="AP227" s="176">
        <v>89</v>
      </c>
      <c r="AQ227" s="167"/>
      <c r="AR227" s="180">
        <v>11.3</v>
      </c>
      <c r="AS227" s="166">
        <v>3.7947780891476901</v>
      </c>
      <c r="AT227" s="181" t="s">
        <v>54</v>
      </c>
      <c r="AU227" s="173">
        <v>0.23717363057173099</v>
      </c>
      <c r="AV227" s="174">
        <v>-40.727706327445297</v>
      </c>
      <c r="AW227" s="168"/>
      <c r="AX227" s="168"/>
      <c r="AY227" s="176">
        <v>37</v>
      </c>
      <c r="AZ227" s="176">
        <v>46</v>
      </c>
      <c r="BA227" s="167"/>
      <c r="BB227" s="184">
        <v>104.4</v>
      </c>
      <c r="BC227" s="180">
        <v>35.059719690886602</v>
      </c>
      <c r="BD227" s="181" t="s">
        <v>55</v>
      </c>
      <c r="BE227" s="178">
        <v>1.0956162403402101</v>
      </c>
      <c r="BF227" s="179">
        <v>0.344587345109375</v>
      </c>
      <c r="BG227" s="168">
        <v>0.02</v>
      </c>
      <c r="BH227" s="168">
        <v>0.01</v>
      </c>
      <c r="BI227" s="176">
        <v>0</v>
      </c>
      <c r="BJ227" s="176">
        <v>10</v>
      </c>
      <c r="BK227" s="169"/>
      <c r="BL227" s="185">
        <v>0.8</v>
      </c>
      <c r="BM227" s="182">
        <v>0.81</v>
      </c>
      <c r="BN227" s="186">
        <v>3.7500000000000001E-4</v>
      </c>
      <c r="BO227" s="187">
        <v>0.95</v>
      </c>
      <c r="BP227" s="178">
        <v>1</v>
      </c>
      <c r="BQ227" s="186">
        <v>2.5000000000000001E-3</v>
      </c>
    </row>
    <row r="228" spans="1:69" s="156" customFormat="1" ht="22.35" customHeight="1" x14ac:dyDescent="0.2">
      <c r="A228" s="165" t="s">
        <v>275</v>
      </c>
      <c r="B228" s="165" t="s">
        <v>276</v>
      </c>
      <c r="C228" s="165" t="s">
        <v>295</v>
      </c>
      <c r="D228" s="166">
        <v>3.3124110478888902</v>
      </c>
      <c r="E228" s="167"/>
      <c r="F228" s="168">
        <v>1.4999999999999999E-2</v>
      </c>
      <c r="G228" s="168">
        <v>0.01</v>
      </c>
      <c r="H228" s="169"/>
      <c r="I228" s="170">
        <v>4</v>
      </c>
      <c r="J228" s="170">
        <v>3</v>
      </c>
      <c r="K228" s="167"/>
      <c r="L228" s="171">
        <v>1735.43983</v>
      </c>
      <c r="M228" s="171">
        <v>477.32089000000002</v>
      </c>
      <c r="N228" s="171">
        <v>2212.7607200000002</v>
      </c>
      <c r="O228" s="166">
        <v>668.02117491132799</v>
      </c>
      <c r="P228" s="172">
        <v>266.572</v>
      </c>
      <c r="Q228" s="178">
        <v>2.5059690249213298</v>
      </c>
      <c r="R228" s="179">
        <v>1248.5290466592401</v>
      </c>
      <c r="S228" s="168">
        <v>0.01</v>
      </c>
      <c r="T228" s="168">
        <v>0.01</v>
      </c>
      <c r="U228" s="175">
        <v>0</v>
      </c>
      <c r="V228" s="176">
        <v>0</v>
      </c>
      <c r="W228" s="167"/>
      <c r="X228" s="175">
        <v>1578.5626549999999</v>
      </c>
      <c r="Y228" s="166">
        <v>476.56001389262099</v>
      </c>
      <c r="Z228" s="177">
        <v>573</v>
      </c>
      <c r="AA228" s="188">
        <v>0.83169286892255001</v>
      </c>
      <c r="AB228" s="171">
        <v>-494.06593624084502</v>
      </c>
      <c r="AC228" s="168"/>
      <c r="AD228" s="168"/>
      <c r="AE228" s="176">
        <v>320</v>
      </c>
      <c r="AF228" s="176">
        <v>700</v>
      </c>
      <c r="AG228" s="167"/>
      <c r="AH228" s="180">
        <v>156.85</v>
      </c>
      <c r="AI228" s="166">
        <v>47.3522149673923</v>
      </c>
      <c r="AJ228" s="181" t="s">
        <v>53</v>
      </c>
      <c r="AK228" s="188">
        <v>0.75162245979987796</v>
      </c>
      <c r="AL228" s="171">
        <v>-71.030630450564104</v>
      </c>
      <c r="AM228" s="168"/>
      <c r="AN228" s="168"/>
      <c r="AO228" s="176">
        <v>52</v>
      </c>
      <c r="AP228" s="176">
        <v>94</v>
      </c>
      <c r="AQ228" s="167"/>
      <c r="AR228" s="180">
        <v>29.8</v>
      </c>
      <c r="AS228" s="166">
        <v>8.9964680014554794</v>
      </c>
      <c r="AT228" s="181" t="s">
        <v>54</v>
      </c>
      <c r="AU228" s="173">
        <v>0.56227925009096802</v>
      </c>
      <c r="AV228" s="174">
        <v>-28.074445828714701</v>
      </c>
      <c r="AW228" s="168"/>
      <c r="AX228" s="168"/>
      <c r="AY228" s="176">
        <v>24</v>
      </c>
      <c r="AZ228" s="176">
        <v>34</v>
      </c>
      <c r="BA228" s="167"/>
      <c r="BB228" s="184">
        <v>100.8</v>
      </c>
      <c r="BC228" s="180">
        <v>30.431005857272201</v>
      </c>
      <c r="BD228" s="181" t="s">
        <v>55</v>
      </c>
      <c r="BE228" s="182">
        <v>0.95096893303975705</v>
      </c>
      <c r="BF228" s="183">
        <v>-14.9488916574294</v>
      </c>
      <c r="BG228" s="168">
        <v>5.0000000000000001E-3</v>
      </c>
      <c r="BH228" s="168"/>
      <c r="BI228" s="176">
        <v>6</v>
      </c>
      <c r="BJ228" s="176">
        <v>27</v>
      </c>
      <c r="BK228" s="169"/>
      <c r="BL228" s="185">
        <v>0.8</v>
      </c>
      <c r="BM228" s="182">
        <v>0.83</v>
      </c>
      <c r="BN228" s="186">
        <v>1.1249999999999999E-3</v>
      </c>
      <c r="BO228" s="187">
        <v>0.95</v>
      </c>
      <c r="BP228" s="178">
        <v>1</v>
      </c>
      <c r="BQ228" s="186">
        <v>2.5000000000000001E-3</v>
      </c>
    </row>
    <row r="229" spans="1:69" s="156" customFormat="1" ht="22.35" customHeight="1" x14ac:dyDescent="0.2">
      <c r="A229" s="165" t="s">
        <v>275</v>
      </c>
      <c r="B229" s="165" t="s">
        <v>276</v>
      </c>
      <c r="C229" s="165" t="s">
        <v>296</v>
      </c>
      <c r="D229" s="166">
        <v>3.82718426455556</v>
      </c>
      <c r="E229" s="167"/>
      <c r="F229" s="168">
        <v>0.01</v>
      </c>
      <c r="G229" s="168">
        <v>0.01</v>
      </c>
      <c r="H229" s="169"/>
      <c r="I229" s="170">
        <v>2</v>
      </c>
      <c r="J229" s="170">
        <v>2</v>
      </c>
      <c r="K229" s="167"/>
      <c r="L229" s="171">
        <v>1955.7683099999999</v>
      </c>
      <c r="M229" s="171">
        <v>1788.9398900000001</v>
      </c>
      <c r="N229" s="171">
        <v>3744.7082</v>
      </c>
      <c r="O229" s="166">
        <v>978.44993633586296</v>
      </c>
      <c r="P229" s="172">
        <v>255.06700000000001</v>
      </c>
      <c r="Q229" s="178">
        <v>3.8360506703566601</v>
      </c>
      <c r="R229" s="179">
        <v>2678.71045758233</v>
      </c>
      <c r="S229" s="168">
        <v>0.01</v>
      </c>
      <c r="T229" s="168">
        <v>0.01</v>
      </c>
      <c r="U229" s="175">
        <v>0</v>
      </c>
      <c r="V229" s="176">
        <v>0</v>
      </c>
      <c r="W229" s="167"/>
      <c r="X229" s="175">
        <v>1727.88093</v>
      </c>
      <c r="Y229" s="166">
        <v>451.47576143702003</v>
      </c>
      <c r="Z229" s="177">
        <v>573</v>
      </c>
      <c r="AA229" s="188">
        <v>0.78791581402621202</v>
      </c>
      <c r="AB229" s="171">
        <v>-666.84949928064702</v>
      </c>
      <c r="AC229" s="168"/>
      <c r="AD229" s="168"/>
      <c r="AE229" s="176">
        <v>466</v>
      </c>
      <c r="AF229" s="176">
        <v>904</v>
      </c>
      <c r="AG229" s="167"/>
      <c r="AH229" s="180">
        <v>110.8</v>
      </c>
      <c r="AI229" s="166">
        <v>28.950787926817299</v>
      </c>
      <c r="AJ229" s="181" t="s">
        <v>53</v>
      </c>
      <c r="AK229" s="173">
        <v>0.45953631629868702</v>
      </c>
      <c r="AL229" s="174">
        <v>-152.494968664364</v>
      </c>
      <c r="AM229" s="168"/>
      <c r="AN229" s="168"/>
      <c r="AO229" s="176">
        <v>131</v>
      </c>
      <c r="AP229" s="176">
        <v>179</v>
      </c>
      <c r="AQ229" s="167"/>
      <c r="AR229" s="180">
        <v>10</v>
      </c>
      <c r="AS229" s="166">
        <v>2.61288699700517</v>
      </c>
      <c r="AT229" s="181" t="s">
        <v>54</v>
      </c>
      <c r="AU229" s="173">
        <v>0.16330543731282299</v>
      </c>
      <c r="AV229" s="174">
        <v>-56.868563470314797</v>
      </c>
      <c r="AW229" s="168"/>
      <c r="AX229" s="168"/>
      <c r="AY229" s="176">
        <v>52</v>
      </c>
      <c r="AZ229" s="176">
        <v>64</v>
      </c>
      <c r="BA229" s="167"/>
      <c r="BB229" s="184">
        <v>97.6</v>
      </c>
      <c r="BC229" s="180">
        <v>25.5017770907704</v>
      </c>
      <c r="BD229" s="181" t="s">
        <v>55</v>
      </c>
      <c r="BE229" s="188">
        <v>0.79693053408657599</v>
      </c>
      <c r="BF229" s="171">
        <v>-36.1371269406295</v>
      </c>
      <c r="BG229" s="168"/>
      <c r="BH229" s="168"/>
      <c r="BI229" s="176">
        <v>25</v>
      </c>
      <c r="BJ229" s="176">
        <v>50</v>
      </c>
      <c r="BK229" s="169"/>
      <c r="BL229" s="185">
        <v>0.8</v>
      </c>
      <c r="BM229" s="188">
        <v>0.78</v>
      </c>
      <c r="BN229" s="186"/>
      <c r="BO229" s="187">
        <v>0.95</v>
      </c>
      <c r="BP229" s="178">
        <v>1</v>
      </c>
      <c r="BQ229" s="186">
        <v>2.5000000000000001E-3</v>
      </c>
    </row>
    <row r="230" spans="1:69" s="156" customFormat="1" ht="22.35" customHeight="1" x14ac:dyDescent="0.2">
      <c r="A230" s="165" t="s">
        <v>275</v>
      </c>
      <c r="B230" s="165" t="s">
        <v>276</v>
      </c>
      <c r="C230" s="165" t="s">
        <v>297</v>
      </c>
      <c r="D230" s="166">
        <v>6.0225891787777801</v>
      </c>
      <c r="E230" s="167"/>
      <c r="F230" s="168">
        <v>4.2000000000000003E-2</v>
      </c>
      <c r="G230" s="168">
        <v>3.2000000000000001E-2</v>
      </c>
      <c r="H230" s="169"/>
      <c r="I230" s="170">
        <v>5</v>
      </c>
      <c r="J230" s="170">
        <v>5</v>
      </c>
      <c r="K230" s="167"/>
      <c r="L230" s="171">
        <v>3584.4030400000001</v>
      </c>
      <c r="M230" s="171">
        <v>3683.1307499999998</v>
      </c>
      <c r="N230" s="171">
        <v>7267.5337900000004</v>
      </c>
      <c r="O230" s="166">
        <v>1206.7125241763299</v>
      </c>
      <c r="P230" s="172">
        <v>287.5</v>
      </c>
      <c r="Q230" s="178">
        <v>4.1972609536567997</v>
      </c>
      <c r="R230" s="179">
        <v>5376.7419173227199</v>
      </c>
      <c r="S230" s="168">
        <v>0.01</v>
      </c>
      <c r="T230" s="168">
        <v>0.01</v>
      </c>
      <c r="U230" s="175">
        <v>0</v>
      </c>
      <c r="V230" s="176">
        <v>0</v>
      </c>
      <c r="W230" s="167"/>
      <c r="X230" s="175">
        <v>3503.1975849999999</v>
      </c>
      <c r="Y230" s="166">
        <v>581.67633238947496</v>
      </c>
      <c r="Z230" s="177">
        <v>573</v>
      </c>
      <c r="AA230" s="182">
        <v>1.0151419413428899</v>
      </c>
      <c r="AB230" s="183">
        <v>-265.23282558811798</v>
      </c>
      <c r="AC230" s="168">
        <v>1.2E-2</v>
      </c>
      <c r="AD230" s="168">
        <v>2E-3</v>
      </c>
      <c r="AE230" s="176">
        <v>0</v>
      </c>
      <c r="AF230" s="176">
        <v>638</v>
      </c>
      <c r="AG230" s="167"/>
      <c r="AH230" s="180">
        <v>322.35000000000002</v>
      </c>
      <c r="AI230" s="166">
        <v>53.523491380731599</v>
      </c>
      <c r="AJ230" s="181" t="s">
        <v>53</v>
      </c>
      <c r="AK230" s="188">
        <v>0.84957922826558097</v>
      </c>
      <c r="AL230" s="171">
        <v>-91.980045143196094</v>
      </c>
      <c r="AM230" s="168"/>
      <c r="AN230" s="168"/>
      <c r="AO230" s="176">
        <v>58</v>
      </c>
      <c r="AP230" s="176">
        <v>133</v>
      </c>
      <c r="AQ230" s="167"/>
      <c r="AR230" s="180">
        <v>47.7</v>
      </c>
      <c r="AS230" s="166">
        <v>7.9201816003130103</v>
      </c>
      <c r="AT230" s="181" t="s">
        <v>54</v>
      </c>
      <c r="AU230" s="173">
        <v>0.49501135001956298</v>
      </c>
      <c r="AV230" s="174">
        <v>-57.526678131605401</v>
      </c>
      <c r="AW230" s="168"/>
      <c r="AX230" s="168"/>
      <c r="AY230" s="176">
        <v>49</v>
      </c>
      <c r="AZ230" s="176">
        <v>68</v>
      </c>
      <c r="BA230" s="167"/>
      <c r="BB230" s="184">
        <v>242.2</v>
      </c>
      <c r="BC230" s="180">
        <v>40.215261710603997</v>
      </c>
      <c r="BD230" s="181" t="s">
        <v>55</v>
      </c>
      <c r="BE230" s="178">
        <v>1.25672692845637</v>
      </c>
      <c r="BF230" s="179">
        <v>31.746643736789299</v>
      </c>
      <c r="BG230" s="168">
        <v>0.02</v>
      </c>
      <c r="BH230" s="168">
        <v>0.02</v>
      </c>
      <c r="BI230" s="176">
        <v>0</v>
      </c>
      <c r="BJ230" s="176">
        <v>0</v>
      </c>
      <c r="BK230" s="169"/>
      <c r="BL230" s="185">
        <v>0.8</v>
      </c>
      <c r="BM230" s="182">
        <v>0.82</v>
      </c>
      <c r="BN230" s="186">
        <v>7.5000000000000002E-4</v>
      </c>
      <c r="BO230" s="187">
        <v>0.95</v>
      </c>
      <c r="BP230" s="178">
        <v>1</v>
      </c>
      <c r="BQ230" s="186">
        <v>2.5000000000000001E-3</v>
      </c>
    </row>
    <row r="231" spans="1:69" s="156" customFormat="1" ht="22.35" customHeight="1" x14ac:dyDescent="0.2">
      <c r="A231" s="165" t="s">
        <v>275</v>
      </c>
      <c r="B231" s="165" t="s">
        <v>276</v>
      </c>
      <c r="C231" s="165" t="s">
        <v>298</v>
      </c>
      <c r="D231" s="166">
        <v>5.7046753833333304</v>
      </c>
      <c r="E231" s="167"/>
      <c r="F231" s="168">
        <v>0.03</v>
      </c>
      <c r="G231" s="168">
        <v>0.03</v>
      </c>
      <c r="H231" s="169"/>
      <c r="I231" s="170">
        <v>3</v>
      </c>
      <c r="J231" s="170">
        <v>3</v>
      </c>
      <c r="K231" s="167"/>
      <c r="L231" s="171">
        <v>3471.5504000000001</v>
      </c>
      <c r="M231" s="171">
        <v>2040.64696</v>
      </c>
      <c r="N231" s="171">
        <v>5512.1973600000001</v>
      </c>
      <c r="O231" s="166">
        <v>966.25960104659498</v>
      </c>
      <c r="P231" s="172">
        <v>221.803</v>
      </c>
      <c r="Q231" s="178">
        <v>4.3563865278945499</v>
      </c>
      <c r="R231" s="179">
        <v>4130.47434745796</v>
      </c>
      <c r="S231" s="168">
        <v>0.01</v>
      </c>
      <c r="T231" s="168">
        <v>0.01</v>
      </c>
      <c r="U231" s="175">
        <v>0</v>
      </c>
      <c r="V231" s="176">
        <v>0</v>
      </c>
      <c r="W231" s="167"/>
      <c r="X231" s="175">
        <v>2936.9269850000001</v>
      </c>
      <c r="Y231" s="166">
        <v>514.82806428924403</v>
      </c>
      <c r="Z231" s="177">
        <v>573</v>
      </c>
      <c r="AA231" s="188">
        <v>0.89847829718890704</v>
      </c>
      <c r="AB231" s="171">
        <v>-632.57967715779796</v>
      </c>
      <c r="AC231" s="168"/>
      <c r="AD231" s="168"/>
      <c r="AE231" s="176">
        <v>332</v>
      </c>
      <c r="AF231" s="176">
        <v>986</v>
      </c>
      <c r="AG231" s="167"/>
      <c r="AH231" s="180">
        <v>271.14999999999998</v>
      </c>
      <c r="AI231" s="166">
        <v>47.531188328820001</v>
      </c>
      <c r="AJ231" s="181" t="s">
        <v>53</v>
      </c>
      <c r="AK231" s="188">
        <v>0.75446330680666596</v>
      </c>
      <c r="AL231" s="171">
        <v>-121.3088476718</v>
      </c>
      <c r="AM231" s="168"/>
      <c r="AN231" s="168"/>
      <c r="AO231" s="176">
        <v>89</v>
      </c>
      <c r="AP231" s="176">
        <v>161</v>
      </c>
      <c r="AQ231" s="167"/>
      <c r="AR231" s="180">
        <v>21.6</v>
      </c>
      <c r="AS231" s="166">
        <v>3.7863679435829298</v>
      </c>
      <c r="AT231" s="181" t="s">
        <v>54</v>
      </c>
      <c r="AU231" s="173">
        <v>0.236647996473933</v>
      </c>
      <c r="AV231" s="174">
        <v>-78.072088297600004</v>
      </c>
      <c r="AW231" s="168"/>
      <c r="AX231" s="168"/>
      <c r="AY231" s="176">
        <v>70</v>
      </c>
      <c r="AZ231" s="176">
        <v>88</v>
      </c>
      <c r="BA231" s="167"/>
      <c r="BB231" s="184">
        <v>249.6</v>
      </c>
      <c r="BC231" s="180">
        <v>43.753585125847202</v>
      </c>
      <c r="BD231" s="181" t="s">
        <v>55</v>
      </c>
      <c r="BE231" s="178">
        <v>1.36729953518272</v>
      </c>
      <c r="BF231" s="179">
        <v>50.255823404800097</v>
      </c>
      <c r="BG231" s="168">
        <v>0.02</v>
      </c>
      <c r="BH231" s="168">
        <v>0.02</v>
      </c>
      <c r="BI231" s="176">
        <v>0</v>
      </c>
      <c r="BJ231" s="176">
        <v>0</v>
      </c>
      <c r="BK231" s="169"/>
      <c r="BL231" s="185">
        <v>0.8</v>
      </c>
      <c r="BM231" s="188">
        <v>0.78</v>
      </c>
      <c r="BN231" s="186"/>
      <c r="BO231" s="187">
        <v>0.95</v>
      </c>
      <c r="BP231" s="178">
        <v>1</v>
      </c>
      <c r="BQ231" s="186">
        <v>2.5000000000000001E-3</v>
      </c>
    </row>
    <row r="232" spans="1:69" s="156" customFormat="1" ht="22.35" customHeight="1" x14ac:dyDescent="0.2">
      <c r="A232" s="165" t="s">
        <v>275</v>
      </c>
      <c r="B232" s="165" t="s">
        <v>299</v>
      </c>
      <c r="C232" s="165" t="s">
        <v>300</v>
      </c>
      <c r="D232" s="166">
        <v>2.4562906796666701</v>
      </c>
      <c r="E232" s="167"/>
      <c r="F232" s="168">
        <v>6.3E-2</v>
      </c>
      <c r="G232" s="168">
        <v>5.2999999999999999E-2</v>
      </c>
      <c r="H232" s="169"/>
      <c r="I232" s="170">
        <v>6</v>
      </c>
      <c r="J232" s="170">
        <v>6</v>
      </c>
      <c r="K232" s="167"/>
      <c r="L232" s="171">
        <v>453.65481999999997</v>
      </c>
      <c r="M232" s="171">
        <v>514.88748999999996</v>
      </c>
      <c r="N232" s="171">
        <v>968.54231000000004</v>
      </c>
      <c r="O232" s="166">
        <v>394.31094944000603</v>
      </c>
      <c r="P232" s="172">
        <v>232.92099999999999</v>
      </c>
      <c r="Q232" s="178">
        <v>1.6928956574976299</v>
      </c>
      <c r="R232" s="179">
        <v>343.78543391268499</v>
      </c>
      <c r="S232" s="168">
        <v>0.01</v>
      </c>
      <c r="T232" s="168">
        <v>0.01</v>
      </c>
      <c r="U232" s="175">
        <v>0</v>
      </c>
      <c r="V232" s="176">
        <v>0</v>
      </c>
      <c r="W232" s="167"/>
      <c r="X232" s="175">
        <v>2000.6537499999999</v>
      </c>
      <c r="Y232" s="166">
        <v>814.50203209316396</v>
      </c>
      <c r="Z232" s="177">
        <v>573</v>
      </c>
      <c r="AA232" s="178">
        <v>1.4214695149968</v>
      </c>
      <c r="AB232" s="179">
        <v>463.71337108169001</v>
      </c>
      <c r="AC232" s="168">
        <v>0.02</v>
      </c>
      <c r="AD232" s="168">
        <v>0.02</v>
      </c>
      <c r="AE232" s="176">
        <v>0</v>
      </c>
      <c r="AF232" s="176">
        <v>0</v>
      </c>
      <c r="AG232" s="167"/>
      <c r="AH232" s="180">
        <v>158.69999999999999</v>
      </c>
      <c r="AI232" s="166">
        <v>64.609616978042894</v>
      </c>
      <c r="AJ232" s="181" t="s">
        <v>53</v>
      </c>
      <c r="AK232" s="182">
        <v>1.0255494758419501</v>
      </c>
      <c r="AL232" s="183">
        <v>-10.2829735983482</v>
      </c>
      <c r="AM232" s="168">
        <v>1.2999999999999999E-2</v>
      </c>
      <c r="AN232" s="168">
        <v>3.0000000000000001E-3</v>
      </c>
      <c r="AO232" s="176">
        <v>0</v>
      </c>
      <c r="AP232" s="176">
        <v>27</v>
      </c>
      <c r="AQ232" s="167"/>
      <c r="AR232" s="180">
        <v>9</v>
      </c>
      <c r="AS232" s="166">
        <v>3.6640614543313599</v>
      </c>
      <c r="AT232" s="181" t="s">
        <v>54</v>
      </c>
      <c r="AU232" s="173">
        <v>0.22900384089570999</v>
      </c>
      <c r="AV232" s="174">
        <v>-33.916310755136102</v>
      </c>
      <c r="AW232" s="168"/>
      <c r="AX232" s="168"/>
      <c r="AY232" s="176">
        <v>31</v>
      </c>
      <c r="AZ232" s="176">
        <v>39</v>
      </c>
      <c r="BA232" s="167"/>
      <c r="BB232" s="184">
        <v>96.6</v>
      </c>
      <c r="BC232" s="180">
        <v>39.327592943156503</v>
      </c>
      <c r="BD232" s="181" t="s">
        <v>55</v>
      </c>
      <c r="BE232" s="178">
        <v>1.2289872794736401</v>
      </c>
      <c r="BF232" s="179">
        <v>10.7673784897279</v>
      </c>
      <c r="BG232" s="168">
        <v>0.02</v>
      </c>
      <c r="BH232" s="168">
        <v>0.02</v>
      </c>
      <c r="BI232" s="176">
        <v>0</v>
      </c>
      <c r="BJ232" s="176">
        <v>0</v>
      </c>
      <c r="BK232" s="169"/>
      <c r="BL232" s="185">
        <v>0.8</v>
      </c>
      <c r="BM232" s="182">
        <v>0.85</v>
      </c>
      <c r="BN232" s="186">
        <v>1.8749999999999999E-3</v>
      </c>
      <c r="BO232" s="187">
        <v>0.95</v>
      </c>
      <c r="BP232" s="178">
        <v>1</v>
      </c>
      <c r="BQ232" s="186">
        <v>2.5000000000000001E-3</v>
      </c>
    </row>
    <row r="233" spans="1:69" s="156" customFormat="1" ht="22.35" customHeight="1" x14ac:dyDescent="0.2">
      <c r="A233" s="165" t="s">
        <v>275</v>
      </c>
      <c r="B233" s="165" t="s">
        <v>299</v>
      </c>
      <c r="C233" s="165" t="s">
        <v>301</v>
      </c>
      <c r="D233" s="166">
        <v>3.3263409928888898</v>
      </c>
      <c r="E233" s="167"/>
      <c r="F233" s="168">
        <v>4.3999999999999997E-2</v>
      </c>
      <c r="G233" s="168">
        <v>3.4000000000000002E-2</v>
      </c>
      <c r="H233" s="169"/>
      <c r="I233" s="170">
        <v>4</v>
      </c>
      <c r="J233" s="170">
        <v>4</v>
      </c>
      <c r="K233" s="167"/>
      <c r="L233" s="171">
        <v>995.75178000000005</v>
      </c>
      <c r="M233" s="171">
        <v>1654.8892499999999</v>
      </c>
      <c r="N233" s="171">
        <v>2650.6410299999998</v>
      </c>
      <c r="O233" s="166">
        <v>796.86389208640605</v>
      </c>
      <c r="P233" s="172">
        <v>222.845</v>
      </c>
      <c r="Q233" s="178">
        <v>3.5758661495048401</v>
      </c>
      <c r="R233" s="179">
        <v>1841.18679325212</v>
      </c>
      <c r="S233" s="168">
        <v>0.01</v>
      </c>
      <c r="T233" s="168">
        <v>0.01</v>
      </c>
      <c r="U233" s="175">
        <v>0</v>
      </c>
      <c r="V233" s="176">
        <v>0</v>
      </c>
      <c r="W233" s="167"/>
      <c r="X233" s="175">
        <v>1977.1868300000001</v>
      </c>
      <c r="Y233" s="166">
        <v>594.40292929283703</v>
      </c>
      <c r="Z233" s="177">
        <v>573</v>
      </c>
      <c r="AA233" s="182">
        <v>1.03735240714282</v>
      </c>
      <c r="AB233" s="183">
        <v>-104.15795070646401</v>
      </c>
      <c r="AC233" s="168">
        <v>1.4E-2</v>
      </c>
      <c r="AD233" s="168">
        <v>4.0000000000000001E-3</v>
      </c>
      <c r="AE233" s="176">
        <v>0</v>
      </c>
      <c r="AF233" s="176">
        <v>311</v>
      </c>
      <c r="AG233" s="167"/>
      <c r="AH233" s="180">
        <v>186.65</v>
      </c>
      <c r="AI233" s="166">
        <v>56.112707746747503</v>
      </c>
      <c r="AJ233" s="181" t="s">
        <v>53</v>
      </c>
      <c r="AK233" s="188">
        <v>0.89067790074202302</v>
      </c>
      <c r="AL233" s="171">
        <v>-42.188954946784101</v>
      </c>
      <c r="AM233" s="168"/>
      <c r="AN233" s="168"/>
      <c r="AO233" s="176">
        <v>23</v>
      </c>
      <c r="AP233" s="176">
        <v>65</v>
      </c>
      <c r="AQ233" s="167"/>
      <c r="AR233" s="180">
        <v>29.2</v>
      </c>
      <c r="AS233" s="166">
        <v>8.7784144988214603</v>
      </c>
      <c r="AT233" s="181" t="s">
        <v>54</v>
      </c>
      <c r="AU233" s="173">
        <v>0.54865090617634105</v>
      </c>
      <c r="AV233" s="174">
        <v>-28.917829827754701</v>
      </c>
      <c r="AW233" s="168"/>
      <c r="AX233" s="168"/>
      <c r="AY233" s="176">
        <v>25</v>
      </c>
      <c r="AZ233" s="176">
        <v>35</v>
      </c>
      <c r="BA233" s="167"/>
      <c r="BB233" s="184">
        <v>158.6</v>
      </c>
      <c r="BC233" s="180">
        <v>47.680018476475503</v>
      </c>
      <c r="BD233" s="181" t="s">
        <v>55</v>
      </c>
      <c r="BE233" s="178">
        <v>1.4900005773898599</v>
      </c>
      <c r="BF233" s="179">
        <v>42.3643403444906</v>
      </c>
      <c r="BG233" s="168">
        <v>0.02</v>
      </c>
      <c r="BH233" s="168">
        <v>0.02</v>
      </c>
      <c r="BI233" s="176">
        <v>0</v>
      </c>
      <c r="BJ233" s="176">
        <v>0</v>
      </c>
      <c r="BK233" s="169"/>
      <c r="BL233" s="185">
        <v>0.8</v>
      </c>
      <c r="BM233" s="188">
        <v>0.72</v>
      </c>
      <c r="BN233" s="186"/>
      <c r="BO233" s="187">
        <v>0.95</v>
      </c>
      <c r="BP233" s="178">
        <v>1</v>
      </c>
      <c r="BQ233" s="186">
        <v>2.5000000000000001E-3</v>
      </c>
    </row>
    <row r="234" spans="1:69" s="156" customFormat="1" ht="22.35" customHeight="1" x14ac:dyDescent="0.2">
      <c r="A234" s="165" t="s">
        <v>275</v>
      </c>
      <c r="B234" s="165" t="s">
        <v>299</v>
      </c>
      <c r="C234" s="165" t="s">
        <v>302</v>
      </c>
      <c r="D234" s="166">
        <v>2.2747145523333301</v>
      </c>
      <c r="E234" s="167"/>
      <c r="F234" s="168">
        <v>0.04</v>
      </c>
      <c r="G234" s="168">
        <v>0.03</v>
      </c>
      <c r="H234" s="169"/>
      <c r="I234" s="170">
        <v>5</v>
      </c>
      <c r="J234" s="170">
        <v>4</v>
      </c>
      <c r="K234" s="167"/>
      <c r="L234" s="171">
        <v>1235.28027</v>
      </c>
      <c r="M234" s="171">
        <v>788.38747000000001</v>
      </c>
      <c r="N234" s="171">
        <v>2023.6677400000001</v>
      </c>
      <c r="O234" s="166">
        <v>889.63590527179895</v>
      </c>
      <c r="P234" s="172">
        <v>212.5</v>
      </c>
      <c r="Q234" s="178">
        <v>4.1865219071614099</v>
      </c>
      <c r="R234" s="179">
        <v>1495.82022813105</v>
      </c>
      <c r="S234" s="168">
        <v>0.01</v>
      </c>
      <c r="T234" s="168">
        <v>0.01</v>
      </c>
      <c r="U234" s="175">
        <v>0</v>
      </c>
      <c r="V234" s="176">
        <v>0</v>
      </c>
      <c r="W234" s="167"/>
      <c r="X234" s="175">
        <v>1678.911515</v>
      </c>
      <c r="Y234" s="166">
        <v>738.07569098189595</v>
      </c>
      <c r="Z234" s="177">
        <v>573</v>
      </c>
      <c r="AA234" s="178">
        <v>1.28809021113769</v>
      </c>
      <c r="AB234" s="179">
        <v>255.586224172198</v>
      </c>
      <c r="AC234" s="168">
        <v>0.02</v>
      </c>
      <c r="AD234" s="168">
        <v>0.02</v>
      </c>
      <c r="AE234" s="176">
        <v>0</v>
      </c>
      <c r="AF234" s="176">
        <v>0</v>
      </c>
      <c r="AG234" s="167"/>
      <c r="AH234" s="180">
        <v>119.8</v>
      </c>
      <c r="AI234" s="166">
        <v>52.665948735023797</v>
      </c>
      <c r="AJ234" s="181" t="s">
        <v>53</v>
      </c>
      <c r="AK234" s="188">
        <v>0.83596744023847303</v>
      </c>
      <c r="AL234" s="171">
        <v>-36.691262342323803</v>
      </c>
      <c r="AM234" s="168"/>
      <c r="AN234" s="168"/>
      <c r="AO234" s="176">
        <v>24</v>
      </c>
      <c r="AP234" s="176">
        <v>53</v>
      </c>
      <c r="AQ234" s="167"/>
      <c r="AR234" s="180">
        <v>19.600000000000001</v>
      </c>
      <c r="AS234" s="166">
        <v>8.6164657362810306</v>
      </c>
      <c r="AT234" s="181" t="s">
        <v>54</v>
      </c>
      <c r="AU234" s="173">
        <v>0.53852910851756397</v>
      </c>
      <c r="AV234" s="174">
        <v>-20.143812658367899</v>
      </c>
      <c r="AW234" s="168"/>
      <c r="AX234" s="168"/>
      <c r="AY234" s="176">
        <v>17</v>
      </c>
      <c r="AZ234" s="176">
        <v>25</v>
      </c>
      <c r="BA234" s="167"/>
      <c r="BB234" s="184">
        <v>72.599999999999994</v>
      </c>
      <c r="BC234" s="180">
        <v>31.916092472142999</v>
      </c>
      <c r="BD234" s="181" t="s">
        <v>55</v>
      </c>
      <c r="BE234" s="182">
        <v>0.99737788975446795</v>
      </c>
      <c r="BF234" s="183">
        <v>-6.8876253167358801</v>
      </c>
      <c r="BG234" s="168">
        <v>0.01</v>
      </c>
      <c r="BH234" s="168">
        <v>0</v>
      </c>
      <c r="BI234" s="176">
        <v>1</v>
      </c>
      <c r="BJ234" s="176">
        <v>15</v>
      </c>
      <c r="BK234" s="169"/>
      <c r="BL234" s="185">
        <v>0.8</v>
      </c>
      <c r="BM234" s="182">
        <v>0.82</v>
      </c>
      <c r="BN234" s="186">
        <v>7.5000000000000002E-4</v>
      </c>
      <c r="BO234" s="187">
        <v>0.95</v>
      </c>
      <c r="BP234" s="178">
        <v>1</v>
      </c>
      <c r="BQ234" s="186">
        <v>2.5000000000000001E-3</v>
      </c>
    </row>
    <row r="235" spans="1:69" s="156" customFormat="1" ht="22.35" customHeight="1" x14ac:dyDescent="0.2">
      <c r="A235" s="165" t="s">
        <v>275</v>
      </c>
      <c r="B235" s="165" t="s">
        <v>299</v>
      </c>
      <c r="C235" s="165" t="s">
        <v>303</v>
      </c>
      <c r="D235" s="166">
        <v>2.9376340330000001</v>
      </c>
      <c r="E235" s="167"/>
      <c r="F235" s="168">
        <v>7.0000000000000007E-2</v>
      </c>
      <c r="G235" s="168">
        <v>5.5E-2</v>
      </c>
      <c r="H235" s="169"/>
      <c r="I235" s="170">
        <v>5</v>
      </c>
      <c r="J235" s="170">
        <v>5</v>
      </c>
      <c r="K235" s="167"/>
      <c r="L235" s="171">
        <v>1175.88912</v>
      </c>
      <c r="M235" s="171">
        <v>1777.44262</v>
      </c>
      <c r="N235" s="171">
        <v>2953.3317400000001</v>
      </c>
      <c r="O235" s="166">
        <v>1005.3436564336</v>
      </c>
      <c r="P235" s="172">
        <v>229.05500000000001</v>
      </c>
      <c r="Q235" s="178">
        <v>4.3890928223946197</v>
      </c>
      <c r="R235" s="179">
        <v>2218.5470383357301</v>
      </c>
      <c r="S235" s="168">
        <v>0.01</v>
      </c>
      <c r="T235" s="168">
        <v>0.01</v>
      </c>
      <c r="U235" s="175">
        <v>0</v>
      </c>
      <c r="V235" s="176">
        <v>0</v>
      </c>
      <c r="W235" s="167"/>
      <c r="X235" s="175">
        <v>1879.09563</v>
      </c>
      <c r="Y235" s="166">
        <v>639.66294265763599</v>
      </c>
      <c r="Z235" s="177">
        <v>573</v>
      </c>
      <c r="AA235" s="178">
        <v>1.1163402140621901</v>
      </c>
      <c r="AB235" s="179">
        <v>40.971013407371899</v>
      </c>
      <c r="AC235" s="168">
        <v>0.02</v>
      </c>
      <c r="AD235" s="168">
        <v>1.2E-2</v>
      </c>
      <c r="AE235" s="176">
        <v>0</v>
      </c>
      <c r="AF235" s="176">
        <v>141</v>
      </c>
      <c r="AG235" s="167"/>
      <c r="AH235" s="180">
        <v>210</v>
      </c>
      <c r="AI235" s="166">
        <v>71.486099916108898</v>
      </c>
      <c r="AJ235" s="181" t="s">
        <v>53</v>
      </c>
      <c r="AK235" s="178">
        <v>1.1346999986684001</v>
      </c>
      <c r="AL235" s="179">
        <v>7.9025290657319802</v>
      </c>
      <c r="AM235" s="168">
        <v>0.02</v>
      </c>
      <c r="AN235" s="168">
        <v>1.2999999999999999E-2</v>
      </c>
      <c r="AO235" s="176">
        <v>0</v>
      </c>
      <c r="AP235" s="176">
        <v>13</v>
      </c>
      <c r="AQ235" s="167"/>
      <c r="AR235" s="180">
        <v>25.1</v>
      </c>
      <c r="AS235" s="166">
        <v>8.5442909899730193</v>
      </c>
      <c r="AT235" s="181" t="s">
        <v>54</v>
      </c>
      <c r="AU235" s="173">
        <v>0.53401818687331404</v>
      </c>
      <c r="AV235" s="174">
        <v>-26.226341824576</v>
      </c>
      <c r="AW235" s="168"/>
      <c r="AX235" s="168"/>
      <c r="AY235" s="176">
        <v>22</v>
      </c>
      <c r="AZ235" s="176">
        <v>32</v>
      </c>
      <c r="BA235" s="167"/>
      <c r="BB235" s="184">
        <v>123.6</v>
      </c>
      <c r="BC235" s="180">
        <v>42.074675950624098</v>
      </c>
      <c r="BD235" s="181" t="s">
        <v>55</v>
      </c>
      <c r="BE235" s="178">
        <v>1.3148336234569999</v>
      </c>
      <c r="BF235" s="179">
        <v>20.947316350847998</v>
      </c>
      <c r="BG235" s="168">
        <v>0.02</v>
      </c>
      <c r="BH235" s="168">
        <v>0.02</v>
      </c>
      <c r="BI235" s="176">
        <v>0</v>
      </c>
      <c r="BJ235" s="176">
        <v>0</v>
      </c>
      <c r="BK235" s="169"/>
      <c r="BL235" s="185">
        <v>0.8</v>
      </c>
      <c r="BM235" s="188">
        <v>0.76</v>
      </c>
      <c r="BN235" s="186"/>
      <c r="BO235" s="187">
        <v>0.95</v>
      </c>
      <c r="BP235" s="178">
        <v>1</v>
      </c>
      <c r="BQ235" s="186">
        <v>2.5000000000000001E-3</v>
      </c>
    </row>
    <row r="236" spans="1:69" s="156" customFormat="1" ht="22.35" customHeight="1" x14ac:dyDescent="0.2">
      <c r="A236" s="165" t="s">
        <v>275</v>
      </c>
      <c r="B236" s="165" t="s">
        <v>299</v>
      </c>
      <c r="C236" s="165" t="s">
        <v>304</v>
      </c>
      <c r="D236" s="166">
        <v>3.2454949072222199</v>
      </c>
      <c r="E236" s="167"/>
      <c r="F236" s="168">
        <v>0.01</v>
      </c>
      <c r="G236" s="168">
        <v>0.01</v>
      </c>
      <c r="H236" s="169"/>
      <c r="I236" s="170">
        <v>2</v>
      </c>
      <c r="J236" s="170">
        <v>2</v>
      </c>
      <c r="K236" s="167"/>
      <c r="L236" s="171">
        <v>1795.58215</v>
      </c>
      <c r="M236" s="171">
        <v>-126.78068</v>
      </c>
      <c r="N236" s="171">
        <v>1668.8014700000001</v>
      </c>
      <c r="O236" s="166">
        <v>514.19013669884498</v>
      </c>
      <c r="P236" s="172">
        <v>242.61199999999999</v>
      </c>
      <c r="Q236" s="178">
        <v>2.1193928441249601</v>
      </c>
      <c r="R236" s="179">
        <v>808.96502660935096</v>
      </c>
      <c r="S236" s="168">
        <v>0.01</v>
      </c>
      <c r="T236" s="168">
        <v>0.01</v>
      </c>
      <c r="U236" s="175">
        <v>0</v>
      </c>
      <c r="V236" s="176">
        <v>0</v>
      </c>
      <c r="W236" s="167"/>
      <c r="X236" s="175">
        <v>1229.027525</v>
      </c>
      <c r="Y236" s="166">
        <v>378.68724497611601</v>
      </c>
      <c r="Z236" s="177">
        <v>573</v>
      </c>
      <c r="AA236" s="173">
        <v>0.66088524428641604</v>
      </c>
      <c r="AB236" s="174">
        <v>-801.73056636745901</v>
      </c>
      <c r="AC236" s="168"/>
      <c r="AD236" s="168"/>
      <c r="AE236" s="176">
        <v>631</v>
      </c>
      <c r="AF236" s="176">
        <v>1003</v>
      </c>
      <c r="AG236" s="167"/>
      <c r="AH236" s="180">
        <v>138.30000000000001</v>
      </c>
      <c r="AI236" s="166">
        <v>42.612915426932297</v>
      </c>
      <c r="AJ236" s="181" t="s">
        <v>53</v>
      </c>
      <c r="AK236" s="173">
        <v>0.676395482967179</v>
      </c>
      <c r="AL236" s="174">
        <v>-84.977067637259793</v>
      </c>
      <c r="AM236" s="168"/>
      <c r="AN236" s="168"/>
      <c r="AO236" s="176">
        <v>67</v>
      </c>
      <c r="AP236" s="176">
        <v>108</v>
      </c>
      <c r="AQ236" s="167"/>
      <c r="AR236" s="180">
        <v>11.8</v>
      </c>
      <c r="AS236" s="166">
        <v>3.6358091253637101</v>
      </c>
      <c r="AT236" s="181" t="s">
        <v>54</v>
      </c>
      <c r="AU236" s="173">
        <v>0.227238070335232</v>
      </c>
      <c r="AV236" s="174">
        <v>-44.905287018986598</v>
      </c>
      <c r="AW236" s="168"/>
      <c r="AX236" s="168"/>
      <c r="AY236" s="176">
        <v>41</v>
      </c>
      <c r="AZ236" s="176">
        <v>51</v>
      </c>
      <c r="BA236" s="167"/>
      <c r="BB236" s="184">
        <v>79</v>
      </c>
      <c r="BC236" s="180">
        <v>24.341433974892599</v>
      </c>
      <c r="BD236" s="181" t="s">
        <v>55</v>
      </c>
      <c r="BE236" s="188">
        <v>0.76066981171539405</v>
      </c>
      <c r="BF236" s="171">
        <v>-34.410574037973298</v>
      </c>
      <c r="BG236" s="168"/>
      <c r="BH236" s="168"/>
      <c r="BI236" s="176">
        <v>25</v>
      </c>
      <c r="BJ236" s="176">
        <v>46</v>
      </c>
      <c r="BK236" s="169"/>
      <c r="BL236" s="185">
        <v>0.8</v>
      </c>
      <c r="BM236" s="188">
        <v>0.74</v>
      </c>
      <c r="BN236" s="186"/>
      <c r="BO236" s="187">
        <v>0.95</v>
      </c>
      <c r="BP236" s="178">
        <v>1</v>
      </c>
      <c r="BQ236" s="186">
        <v>2.5000000000000001E-3</v>
      </c>
    </row>
    <row r="237" spans="1:69" s="156" customFormat="1" ht="22.35" customHeight="1" x14ac:dyDescent="0.2">
      <c r="A237" s="165" t="s">
        <v>275</v>
      </c>
      <c r="B237" s="165" t="s">
        <v>299</v>
      </c>
      <c r="C237" s="165" t="s">
        <v>305</v>
      </c>
      <c r="D237" s="166">
        <v>2.8560806016666702</v>
      </c>
      <c r="E237" s="167"/>
      <c r="F237" s="168">
        <v>6.0999999999999999E-2</v>
      </c>
      <c r="G237" s="168">
        <v>0.04</v>
      </c>
      <c r="H237" s="169"/>
      <c r="I237" s="170">
        <v>7</v>
      </c>
      <c r="J237" s="170">
        <v>7</v>
      </c>
      <c r="K237" s="167"/>
      <c r="L237" s="171">
        <v>1844.8951500000001</v>
      </c>
      <c r="M237" s="171">
        <v>1835.6639</v>
      </c>
      <c r="N237" s="171">
        <v>3680.5590499999998</v>
      </c>
      <c r="O237" s="166">
        <v>1288.6747831458999</v>
      </c>
      <c r="P237" s="172">
        <v>215.88200000000001</v>
      </c>
      <c r="Q237" s="178">
        <v>5.9693479917079699</v>
      </c>
      <c r="R237" s="179">
        <v>3007.2576294456899</v>
      </c>
      <c r="S237" s="168">
        <v>0.01</v>
      </c>
      <c r="T237" s="168">
        <v>0.01</v>
      </c>
      <c r="U237" s="175">
        <v>0</v>
      </c>
      <c r="V237" s="176">
        <v>0</v>
      </c>
      <c r="W237" s="167"/>
      <c r="X237" s="175">
        <v>1640.8411599999999</v>
      </c>
      <c r="Y237" s="166">
        <v>574.50800199493199</v>
      </c>
      <c r="Z237" s="177">
        <v>573</v>
      </c>
      <c r="AA237" s="182">
        <v>1.0026317661342601</v>
      </c>
      <c r="AB237" s="183">
        <v>-146.25416975246199</v>
      </c>
      <c r="AC237" s="168">
        <v>0.01</v>
      </c>
      <c r="AD237" s="168">
        <v>1E-3</v>
      </c>
      <c r="AE237" s="176">
        <v>0</v>
      </c>
      <c r="AF237" s="176">
        <v>323</v>
      </c>
      <c r="AG237" s="167"/>
      <c r="AH237" s="180">
        <v>181.5</v>
      </c>
      <c r="AI237" s="166">
        <v>63.548626706853298</v>
      </c>
      <c r="AJ237" s="181" t="s">
        <v>53</v>
      </c>
      <c r="AK237" s="182">
        <v>1.0087083604262399</v>
      </c>
      <c r="AL237" s="183">
        <v>-14.9869210722603</v>
      </c>
      <c r="AM237" s="168">
        <v>1.0999999999999999E-2</v>
      </c>
      <c r="AN237" s="168">
        <v>1E-3</v>
      </c>
      <c r="AO237" s="176">
        <v>0</v>
      </c>
      <c r="AP237" s="176">
        <v>35</v>
      </c>
      <c r="AQ237" s="167"/>
      <c r="AR237" s="180">
        <v>52.8</v>
      </c>
      <c r="AS237" s="166">
        <v>18.486873223811902</v>
      </c>
      <c r="AT237" s="181" t="s">
        <v>54</v>
      </c>
      <c r="AU237" s="178">
        <v>1.1554295764882401</v>
      </c>
      <c r="AV237" s="179">
        <v>2.89855972767994</v>
      </c>
      <c r="AW237" s="168">
        <v>0.01</v>
      </c>
      <c r="AX237" s="168">
        <v>8.0000000000000002E-3</v>
      </c>
      <c r="AY237" s="176">
        <v>0</v>
      </c>
      <c r="AZ237" s="176">
        <v>3</v>
      </c>
      <c r="BA237" s="167"/>
      <c r="BB237" s="184">
        <v>131.6</v>
      </c>
      <c r="BC237" s="180">
        <v>46.077130989652296</v>
      </c>
      <c r="BD237" s="181" t="s">
        <v>55</v>
      </c>
      <c r="BE237" s="178">
        <v>1.43991034342663</v>
      </c>
      <c r="BF237" s="179">
        <v>31.797119455359901</v>
      </c>
      <c r="BG237" s="168">
        <v>0.02</v>
      </c>
      <c r="BH237" s="168">
        <v>0.02</v>
      </c>
      <c r="BI237" s="176">
        <v>0</v>
      </c>
      <c r="BJ237" s="176">
        <v>0</v>
      </c>
      <c r="BK237" s="169"/>
      <c r="BL237" s="185">
        <v>0.8</v>
      </c>
      <c r="BM237" s="182">
        <v>0.81</v>
      </c>
      <c r="BN237" s="186">
        <v>3.7500000000000001E-4</v>
      </c>
      <c r="BO237" s="187">
        <v>0.95</v>
      </c>
      <c r="BP237" s="178">
        <v>1</v>
      </c>
      <c r="BQ237" s="186">
        <v>2.5000000000000001E-3</v>
      </c>
    </row>
    <row r="238" spans="1:69" s="156" customFormat="1" ht="22.35" customHeight="1" x14ac:dyDescent="0.2">
      <c r="A238" s="165" t="s">
        <v>275</v>
      </c>
      <c r="B238" s="165" t="s">
        <v>299</v>
      </c>
      <c r="C238" s="165" t="s">
        <v>306</v>
      </c>
      <c r="D238" s="166">
        <v>9.2014397199999998</v>
      </c>
      <c r="E238" s="167"/>
      <c r="F238" s="168">
        <v>3.6999999999999998E-2</v>
      </c>
      <c r="G238" s="168">
        <v>0.03</v>
      </c>
      <c r="H238" s="169"/>
      <c r="I238" s="170">
        <v>4</v>
      </c>
      <c r="J238" s="170">
        <v>3</v>
      </c>
      <c r="K238" s="167"/>
      <c r="L238" s="171">
        <v>6734.0102999999999</v>
      </c>
      <c r="M238" s="171">
        <v>-1971.1082100000001</v>
      </c>
      <c r="N238" s="171">
        <v>4762.9020899999996</v>
      </c>
      <c r="O238" s="166">
        <v>517.62574498504705</v>
      </c>
      <c r="P238" s="172">
        <v>232.92099999999999</v>
      </c>
      <c r="Q238" s="178">
        <v>2.2223232125271899</v>
      </c>
      <c r="R238" s="179">
        <v>2422.5183632038402</v>
      </c>
      <c r="S238" s="168">
        <v>0.01</v>
      </c>
      <c r="T238" s="168">
        <v>0.01</v>
      </c>
      <c r="U238" s="175">
        <v>0</v>
      </c>
      <c r="V238" s="176">
        <v>0</v>
      </c>
      <c r="W238" s="167"/>
      <c r="X238" s="175">
        <v>5144.4683949999999</v>
      </c>
      <c r="Y238" s="166">
        <v>559.09385395615004</v>
      </c>
      <c r="Z238" s="177">
        <v>573</v>
      </c>
      <c r="AA238" s="182">
        <v>0.97573098421666704</v>
      </c>
      <c r="AB238" s="183">
        <v>-613.01966083952004</v>
      </c>
      <c r="AC238" s="168">
        <v>7.0000000000000001E-3</v>
      </c>
      <c r="AD238" s="168"/>
      <c r="AE238" s="176">
        <v>128</v>
      </c>
      <c r="AF238" s="176">
        <v>1183</v>
      </c>
      <c r="AG238" s="167"/>
      <c r="AH238" s="180">
        <v>525.79999999999995</v>
      </c>
      <c r="AI238" s="166">
        <v>57.143231494212301</v>
      </c>
      <c r="AJ238" s="181" t="s">
        <v>53</v>
      </c>
      <c r="AK238" s="188">
        <v>0.90703542054305197</v>
      </c>
      <c r="AL238" s="171">
        <v>-107.22224697711999</v>
      </c>
      <c r="AM238" s="168">
        <v>0</v>
      </c>
      <c r="AN238" s="168"/>
      <c r="AO238" s="176">
        <v>54</v>
      </c>
      <c r="AP238" s="176">
        <v>170</v>
      </c>
      <c r="AQ238" s="167"/>
      <c r="AR238" s="180">
        <v>48.8</v>
      </c>
      <c r="AS238" s="166">
        <v>5.3035178716575899</v>
      </c>
      <c r="AT238" s="181" t="s">
        <v>54</v>
      </c>
      <c r="AU238" s="173">
        <v>0.33146986697859898</v>
      </c>
      <c r="AV238" s="174">
        <v>-111.96755478784</v>
      </c>
      <c r="AW238" s="168"/>
      <c r="AX238" s="168"/>
      <c r="AY238" s="176">
        <v>99</v>
      </c>
      <c r="AZ238" s="176">
        <v>128</v>
      </c>
      <c r="BA238" s="167"/>
      <c r="BB238" s="184">
        <v>356</v>
      </c>
      <c r="BC238" s="180">
        <v>38.689597588321703</v>
      </c>
      <c r="BD238" s="181" t="s">
        <v>55</v>
      </c>
      <c r="BE238" s="178">
        <v>1.2090499246350499</v>
      </c>
      <c r="BF238" s="179">
        <v>34.464890424319996</v>
      </c>
      <c r="BG238" s="168">
        <v>0.02</v>
      </c>
      <c r="BH238" s="168">
        <v>0.02</v>
      </c>
      <c r="BI238" s="176">
        <v>0</v>
      </c>
      <c r="BJ238" s="176">
        <v>0</v>
      </c>
      <c r="BK238" s="169"/>
      <c r="BL238" s="185">
        <v>0.8</v>
      </c>
      <c r="BM238" s="188">
        <v>0.77</v>
      </c>
      <c r="BN238" s="186"/>
      <c r="BO238" s="187">
        <v>0.95</v>
      </c>
      <c r="BP238" s="178">
        <v>1</v>
      </c>
      <c r="BQ238" s="186">
        <v>2.5000000000000001E-3</v>
      </c>
    </row>
    <row r="239" spans="1:69" s="156" customFormat="1" ht="22.35" customHeight="1" x14ac:dyDescent="0.2">
      <c r="A239" s="165" t="s">
        <v>275</v>
      </c>
      <c r="B239" s="165" t="s">
        <v>299</v>
      </c>
      <c r="C239" s="165" t="s">
        <v>307</v>
      </c>
      <c r="D239" s="166">
        <v>2.4944492774444398</v>
      </c>
      <c r="E239" s="167"/>
      <c r="F239" s="168">
        <v>0.05</v>
      </c>
      <c r="G239" s="168">
        <v>3.4000000000000002E-2</v>
      </c>
      <c r="H239" s="169"/>
      <c r="I239" s="170">
        <v>4</v>
      </c>
      <c r="J239" s="170">
        <v>4</v>
      </c>
      <c r="K239" s="167"/>
      <c r="L239" s="171">
        <v>1761.67652</v>
      </c>
      <c r="M239" s="171">
        <v>-20.295839999999998</v>
      </c>
      <c r="N239" s="171">
        <v>1741.38068</v>
      </c>
      <c r="O239" s="166">
        <v>698.10226078601204</v>
      </c>
      <c r="P239" s="172">
        <v>245.339</v>
      </c>
      <c r="Q239" s="178">
        <v>2.8454597955727001</v>
      </c>
      <c r="R239" s="179">
        <v>1073.0923051233999</v>
      </c>
      <c r="S239" s="168">
        <v>0.01</v>
      </c>
      <c r="T239" s="168">
        <v>0.01</v>
      </c>
      <c r="U239" s="175">
        <v>0</v>
      </c>
      <c r="V239" s="176">
        <v>0</v>
      </c>
      <c r="W239" s="167"/>
      <c r="X239" s="175">
        <v>1639.890635</v>
      </c>
      <c r="Y239" s="166">
        <v>657.415907322061</v>
      </c>
      <c r="Z239" s="177">
        <v>573</v>
      </c>
      <c r="AA239" s="178">
        <v>1.1473227003875399</v>
      </c>
      <c r="AB239" s="179">
        <v>79.073810914574807</v>
      </c>
      <c r="AC239" s="168">
        <v>0.02</v>
      </c>
      <c r="AD239" s="168">
        <v>1.4999999999999999E-2</v>
      </c>
      <c r="AE239" s="176">
        <v>0</v>
      </c>
      <c r="AF239" s="176">
        <v>76</v>
      </c>
      <c r="AG239" s="167"/>
      <c r="AH239" s="180">
        <v>85.7</v>
      </c>
      <c r="AI239" s="166">
        <v>34.356280873267302</v>
      </c>
      <c r="AJ239" s="181" t="s">
        <v>53</v>
      </c>
      <c r="AK239" s="173">
        <v>0.54533779163916296</v>
      </c>
      <c r="AL239" s="174">
        <v>-85.908132491067704</v>
      </c>
      <c r="AM239" s="168"/>
      <c r="AN239" s="168"/>
      <c r="AO239" s="176">
        <v>72</v>
      </c>
      <c r="AP239" s="176">
        <v>103</v>
      </c>
      <c r="AQ239" s="167"/>
      <c r="AR239" s="180">
        <v>11</v>
      </c>
      <c r="AS239" s="166">
        <v>4.4097910105710696</v>
      </c>
      <c r="AT239" s="181" t="s">
        <v>54</v>
      </c>
      <c r="AU239" s="173">
        <v>0.27561193816069202</v>
      </c>
      <c r="AV239" s="174">
        <v>-32.583017775509298</v>
      </c>
      <c r="AW239" s="168"/>
      <c r="AX239" s="168"/>
      <c r="AY239" s="176">
        <v>29</v>
      </c>
      <c r="AZ239" s="176">
        <v>37</v>
      </c>
      <c r="BA239" s="167"/>
      <c r="BB239" s="184">
        <v>87</v>
      </c>
      <c r="BC239" s="180">
        <v>34.877437992698397</v>
      </c>
      <c r="BD239" s="181" t="s">
        <v>55</v>
      </c>
      <c r="BE239" s="178">
        <v>1.08991993727183</v>
      </c>
      <c r="BF239" s="179">
        <v>-0.16603555101851</v>
      </c>
      <c r="BG239" s="168">
        <v>0.02</v>
      </c>
      <c r="BH239" s="168">
        <v>8.9999999999999993E-3</v>
      </c>
      <c r="BI239" s="176">
        <v>0</v>
      </c>
      <c r="BJ239" s="176">
        <v>9</v>
      </c>
      <c r="BK239" s="169"/>
      <c r="BL239" s="185">
        <v>0.8</v>
      </c>
      <c r="BM239" s="188">
        <v>0.79</v>
      </c>
      <c r="BN239" s="186"/>
      <c r="BO239" s="187">
        <v>0.95</v>
      </c>
      <c r="BP239" s="178">
        <v>1</v>
      </c>
      <c r="BQ239" s="186">
        <v>2.5000000000000001E-3</v>
      </c>
    </row>
    <row r="240" spans="1:69" s="156" customFormat="1" ht="22.35" customHeight="1" x14ac:dyDescent="0.2">
      <c r="A240" s="165" t="s">
        <v>275</v>
      </c>
      <c r="B240" s="165" t="s">
        <v>299</v>
      </c>
      <c r="C240" s="165" t="s">
        <v>308</v>
      </c>
      <c r="D240" s="166">
        <v>2.6001805638888902</v>
      </c>
      <c r="E240" s="167"/>
      <c r="F240" s="168"/>
      <c r="G240" s="168"/>
      <c r="H240" s="169"/>
      <c r="I240" s="170">
        <v>1</v>
      </c>
      <c r="J240" s="170">
        <v>1</v>
      </c>
      <c r="K240" s="167"/>
      <c r="L240" s="171"/>
      <c r="M240" s="171">
        <v>72.353960000000001</v>
      </c>
      <c r="N240" s="171">
        <v>72.353960000000001</v>
      </c>
      <c r="O240" s="166">
        <v>27.8265136678761</v>
      </c>
      <c r="P240" s="172">
        <v>217.09100000000001</v>
      </c>
      <c r="Q240" s="173">
        <v>0.12817902938341999</v>
      </c>
      <c r="R240" s="174">
        <v>-544.05361228436198</v>
      </c>
      <c r="S240" s="168"/>
      <c r="T240" s="168"/>
      <c r="U240" s="175">
        <v>493</v>
      </c>
      <c r="V240" s="176">
        <v>606</v>
      </c>
      <c r="W240" s="167"/>
      <c r="X240" s="175">
        <v>1076.60023</v>
      </c>
      <c r="Y240" s="166">
        <v>414.04825686021297</v>
      </c>
      <c r="Z240" s="177">
        <v>573</v>
      </c>
      <c r="AA240" s="173">
        <v>0.72259730691136603</v>
      </c>
      <c r="AB240" s="174">
        <v>-550.37435171430104</v>
      </c>
      <c r="AC240" s="168"/>
      <c r="AD240" s="168"/>
      <c r="AE240" s="176">
        <v>414</v>
      </c>
      <c r="AF240" s="176">
        <v>712</v>
      </c>
      <c r="AG240" s="167"/>
      <c r="AH240" s="180">
        <v>96.2</v>
      </c>
      <c r="AI240" s="166">
        <v>36.997430615403502</v>
      </c>
      <c r="AJ240" s="181" t="s">
        <v>53</v>
      </c>
      <c r="AK240" s="173">
        <v>0.58726080341910403</v>
      </c>
      <c r="AL240" s="174">
        <v>-82.682022073300104</v>
      </c>
      <c r="AM240" s="168"/>
      <c r="AN240" s="168"/>
      <c r="AO240" s="176">
        <v>68</v>
      </c>
      <c r="AP240" s="176">
        <v>101</v>
      </c>
      <c r="AQ240" s="167"/>
      <c r="AR240" s="180">
        <v>18.399999999999999</v>
      </c>
      <c r="AS240" s="166">
        <v>7.0764316353786398</v>
      </c>
      <c r="AT240" s="181" t="s">
        <v>54</v>
      </c>
      <c r="AU240" s="173">
        <v>0.44227697721116499</v>
      </c>
      <c r="AV240" s="174">
        <v>-27.030354812266701</v>
      </c>
      <c r="AW240" s="168"/>
      <c r="AX240" s="168"/>
      <c r="AY240" s="176">
        <v>24</v>
      </c>
      <c r="AZ240" s="176">
        <v>32</v>
      </c>
      <c r="BA240" s="167"/>
      <c r="BB240" s="184">
        <v>72.400000000000006</v>
      </c>
      <c r="BC240" s="180">
        <v>27.844220130511601</v>
      </c>
      <c r="BD240" s="181" t="s">
        <v>55</v>
      </c>
      <c r="BE240" s="188">
        <v>0.87013187907848699</v>
      </c>
      <c r="BF240" s="171">
        <v>-18.460709624533401</v>
      </c>
      <c r="BG240" s="168"/>
      <c r="BH240" s="168"/>
      <c r="BI240" s="176">
        <v>11</v>
      </c>
      <c r="BJ240" s="176">
        <v>28</v>
      </c>
      <c r="BK240" s="169"/>
      <c r="BL240" s="185">
        <v>0.8</v>
      </c>
      <c r="BM240" s="173"/>
      <c r="BN240" s="186"/>
      <c r="BO240" s="187">
        <v>0.95</v>
      </c>
      <c r="BP240" s="178">
        <v>1</v>
      </c>
      <c r="BQ240" s="186">
        <v>2.5000000000000001E-3</v>
      </c>
    </row>
    <row r="241" spans="1:69" s="156" customFormat="1" ht="22.35" customHeight="1" x14ac:dyDescent="0.2">
      <c r="A241" s="165" t="s">
        <v>275</v>
      </c>
      <c r="B241" s="165" t="s">
        <v>299</v>
      </c>
      <c r="C241" s="165" t="s">
        <v>309</v>
      </c>
      <c r="D241" s="166">
        <v>3.3634437715555601</v>
      </c>
      <c r="E241" s="167"/>
      <c r="F241" s="168">
        <v>3.5999999999999997E-2</v>
      </c>
      <c r="G241" s="168">
        <v>0.03</v>
      </c>
      <c r="H241" s="169"/>
      <c r="I241" s="170">
        <v>4</v>
      </c>
      <c r="J241" s="170">
        <v>3</v>
      </c>
      <c r="K241" s="167"/>
      <c r="L241" s="171">
        <v>6333.7850799999997</v>
      </c>
      <c r="M241" s="171">
        <v>-1794.0409400000001</v>
      </c>
      <c r="N241" s="171">
        <v>4539.7441399999998</v>
      </c>
      <c r="O241" s="166">
        <v>1349.73094492982</v>
      </c>
      <c r="P241" s="172">
        <v>217.09100000000001</v>
      </c>
      <c r="Q241" s="178">
        <v>6.21735099534214</v>
      </c>
      <c r="R241" s="179">
        <v>3742.3948179826398</v>
      </c>
      <c r="S241" s="168">
        <v>0.01</v>
      </c>
      <c r="T241" s="168">
        <v>0.01</v>
      </c>
      <c r="U241" s="175">
        <v>0</v>
      </c>
      <c r="V241" s="176">
        <v>0</v>
      </c>
      <c r="W241" s="167"/>
      <c r="X241" s="175">
        <v>1718.711845</v>
      </c>
      <c r="Y241" s="166">
        <v>510.99764459719597</v>
      </c>
      <c r="Z241" s="177">
        <v>573</v>
      </c>
      <c r="AA241" s="188">
        <v>0.89179344606840605</v>
      </c>
      <c r="AB241" s="171">
        <v>-385.84873796265902</v>
      </c>
      <c r="AC241" s="168"/>
      <c r="AD241" s="168"/>
      <c r="AE241" s="176">
        <v>209</v>
      </c>
      <c r="AF241" s="176">
        <v>594</v>
      </c>
      <c r="AG241" s="167"/>
      <c r="AH241" s="180">
        <v>205.2</v>
      </c>
      <c r="AI241" s="166">
        <v>61.008898598324798</v>
      </c>
      <c r="AJ241" s="181" t="s">
        <v>53</v>
      </c>
      <c r="AK241" s="182">
        <v>0.96839521584642496</v>
      </c>
      <c r="AL241" s="183">
        <v>-26.191477707936301</v>
      </c>
      <c r="AM241" s="168">
        <v>6.0000000000000001E-3</v>
      </c>
      <c r="AN241" s="168"/>
      <c r="AO241" s="176">
        <v>7</v>
      </c>
      <c r="AP241" s="176">
        <v>50</v>
      </c>
      <c r="AQ241" s="167"/>
      <c r="AR241" s="180">
        <v>21.5</v>
      </c>
      <c r="AS241" s="166">
        <v>6.3922578940739898</v>
      </c>
      <c r="AT241" s="181" t="s">
        <v>54</v>
      </c>
      <c r="AU241" s="173">
        <v>0.39951611837962397</v>
      </c>
      <c r="AV241" s="174">
        <v>-37.266089576618803</v>
      </c>
      <c r="AW241" s="168"/>
      <c r="AX241" s="168"/>
      <c r="AY241" s="176">
        <v>33</v>
      </c>
      <c r="AZ241" s="176">
        <v>44</v>
      </c>
      <c r="BA241" s="167"/>
      <c r="BB241" s="184">
        <v>139</v>
      </c>
      <c r="BC241" s="180">
        <v>41.326690570990003</v>
      </c>
      <c r="BD241" s="181" t="s">
        <v>55</v>
      </c>
      <c r="BE241" s="178">
        <v>1.29145908034344</v>
      </c>
      <c r="BF241" s="179">
        <v>21.4678208467625</v>
      </c>
      <c r="BG241" s="168">
        <v>0.02</v>
      </c>
      <c r="BH241" s="168">
        <v>0.02</v>
      </c>
      <c r="BI241" s="176">
        <v>0</v>
      </c>
      <c r="BJ241" s="176">
        <v>0</v>
      </c>
      <c r="BK241" s="169"/>
      <c r="BL241" s="185">
        <v>0.8</v>
      </c>
      <c r="BM241" s="188">
        <v>0.79</v>
      </c>
      <c r="BN241" s="186"/>
      <c r="BO241" s="187">
        <v>0.95</v>
      </c>
      <c r="BP241" s="178">
        <v>1</v>
      </c>
      <c r="BQ241" s="186">
        <v>2.5000000000000001E-3</v>
      </c>
    </row>
    <row r="242" spans="1:69" s="156" customFormat="1" ht="22.35" customHeight="1" x14ac:dyDescent="0.2">
      <c r="A242" s="165" t="s">
        <v>275</v>
      </c>
      <c r="B242" s="165" t="s">
        <v>299</v>
      </c>
      <c r="C242" s="165" t="s">
        <v>310</v>
      </c>
      <c r="D242" s="166">
        <v>2.3177117403333298</v>
      </c>
      <c r="E242" s="167"/>
      <c r="F242" s="168">
        <v>5.0500000000000003E-2</v>
      </c>
      <c r="G242" s="168">
        <v>2.7E-2</v>
      </c>
      <c r="H242" s="169"/>
      <c r="I242" s="170">
        <v>5</v>
      </c>
      <c r="J242" s="170">
        <v>4</v>
      </c>
      <c r="K242" s="167"/>
      <c r="L242" s="171">
        <v>89.735259999999997</v>
      </c>
      <c r="M242" s="171">
        <v>451.88297999999998</v>
      </c>
      <c r="N242" s="171">
        <v>541.61824000000001</v>
      </c>
      <c r="O242" s="166">
        <v>233.68662745010101</v>
      </c>
      <c r="P242" s="172">
        <v>215.88200000000001</v>
      </c>
      <c r="Q242" s="182">
        <v>1.08247388596595</v>
      </c>
      <c r="R242" s="183">
        <v>-4.7664125518908804</v>
      </c>
      <c r="S242" s="168">
        <v>9.4999999999999998E-3</v>
      </c>
      <c r="T242" s="168">
        <v>4.0000000000000001E-3</v>
      </c>
      <c r="U242" s="175">
        <v>0</v>
      </c>
      <c r="V242" s="176">
        <v>59</v>
      </c>
      <c r="W242" s="167"/>
      <c r="X242" s="175">
        <v>1304.2176850000001</v>
      </c>
      <c r="Y242" s="166">
        <v>562.71781443037798</v>
      </c>
      <c r="Z242" s="177">
        <v>573</v>
      </c>
      <c r="AA242" s="182">
        <v>0.98205552256610396</v>
      </c>
      <c r="AB242" s="183">
        <v>-146.01163431441</v>
      </c>
      <c r="AC242" s="168">
        <v>8.0000000000000002E-3</v>
      </c>
      <c r="AD242" s="168"/>
      <c r="AE242" s="176">
        <v>24</v>
      </c>
      <c r="AF242" s="176">
        <v>290</v>
      </c>
      <c r="AG242" s="167"/>
      <c r="AH242" s="180">
        <v>150.69999999999999</v>
      </c>
      <c r="AI242" s="166">
        <v>65.021028015471103</v>
      </c>
      <c r="AJ242" s="181" t="s">
        <v>53</v>
      </c>
      <c r="AK242" s="182">
        <v>1.03207980976938</v>
      </c>
      <c r="AL242" s="183">
        <v>-8.7492968879717807</v>
      </c>
      <c r="AM242" s="168">
        <v>1.2999999999999999E-2</v>
      </c>
      <c r="AN242" s="168">
        <v>3.0000000000000001E-3</v>
      </c>
      <c r="AO242" s="176">
        <v>0</v>
      </c>
      <c r="AP242" s="176">
        <v>25</v>
      </c>
      <c r="AQ242" s="167"/>
      <c r="AR242" s="180">
        <v>26.8</v>
      </c>
      <c r="AS242" s="166">
        <v>11.5631290697719</v>
      </c>
      <c r="AT242" s="181" t="s">
        <v>54</v>
      </c>
      <c r="AU242" s="173">
        <v>0.72269556686074399</v>
      </c>
      <c r="AV242" s="174">
        <v>-13.695059527103901</v>
      </c>
      <c r="AW242" s="168"/>
      <c r="AX242" s="168"/>
      <c r="AY242" s="176">
        <v>11</v>
      </c>
      <c r="AZ242" s="176">
        <v>18</v>
      </c>
      <c r="BA242" s="167"/>
      <c r="BB242" s="184">
        <v>109.2</v>
      </c>
      <c r="BC242" s="180">
        <v>47.115436358921301</v>
      </c>
      <c r="BD242" s="181" t="s">
        <v>55</v>
      </c>
      <c r="BE242" s="178">
        <v>1.47235738621629</v>
      </c>
      <c r="BF242" s="179">
        <v>28.209880945792101</v>
      </c>
      <c r="BG242" s="168">
        <v>0.02</v>
      </c>
      <c r="BH242" s="168">
        <v>0.02</v>
      </c>
      <c r="BI242" s="176">
        <v>0</v>
      </c>
      <c r="BJ242" s="176">
        <v>0</v>
      </c>
      <c r="BK242" s="169"/>
      <c r="BL242" s="185">
        <v>0.8</v>
      </c>
      <c r="BM242" s="188">
        <v>0.79</v>
      </c>
      <c r="BN242" s="186"/>
      <c r="BO242" s="187">
        <v>0.95</v>
      </c>
      <c r="BP242" s="178">
        <v>1</v>
      </c>
      <c r="BQ242" s="186">
        <v>2.5000000000000001E-3</v>
      </c>
    </row>
    <row r="243" spans="1:69" s="156" customFormat="1" ht="22.35" customHeight="1" x14ac:dyDescent="0.2">
      <c r="A243" s="165" t="s">
        <v>275</v>
      </c>
      <c r="B243" s="165" t="s">
        <v>299</v>
      </c>
      <c r="C243" s="165" t="s">
        <v>311</v>
      </c>
      <c r="D243" s="166">
        <v>2.7902735091111102</v>
      </c>
      <c r="E243" s="167"/>
      <c r="F243" s="168">
        <v>4.5999999999999999E-2</v>
      </c>
      <c r="G243" s="168">
        <v>3.5999999999999997E-2</v>
      </c>
      <c r="H243" s="169"/>
      <c r="I243" s="170">
        <v>5</v>
      </c>
      <c r="J243" s="170">
        <v>5</v>
      </c>
      <c r="K243" s="167"/>
      <c r="L243" s="171">
        <v>1367.15347</v>
      </c>
      <c r="M243" s="171">
        <v>1640.3196</v>
      </c>
      <c r="N243" s="171">
        <v>3007.47307</v>
      </c>
      <c r="O243" s="166">
        <v>1077.8416740078201</v>
      </c>
      <c r="P243" s="172">
        <v>245.339</v>
      </c>
      <c r="Q243" s="178">
        <v>4.3932749135189297</v>
      </c>
      <c r="R243" s="179">
        <v>2259.93036960262</v>
      </c>
      <c r="S243" s="168">
        <v>0.01</v>
      </c>
      <c r="T243" s="168">
        <v>0.01</v>
      </c>
      <c r="U243" s="175">
        <v>0</v>
      </c>
      <c r="V243" s="176">
        <v>0</v>
      </c>
      <c r="W243" s="167"/>
      <c r="X243" s="175">
        <v>2007.08969</v>
      </c>
      <c r="Y243" s="166">
        <v>719.31646967447</v>
      </c>
      <c r="Z243" s="177">
        <v>573</v>
      </c>
      <c r="AA243" s="178">
        <v>1.2553516050165301</v>
      </c>
      <c r="AB243" s="179">
        <v>261.17091097303302</v>
      </c>
      <c r="AC243" s="168">
        <v>0.02</v>
      </c>
      <c r="AD243" s="168">
        <v>0.02</v>
      </c>
      <c r="AE243" s="176">
        <v>0</v>
      </c>
      <c r="AF243" s="176">
        <v>0</v>
      </c>
      <c r="AG243" s="167"/>
      <c r="AH243" s="180">
        <v>117.55</v>
      </c>
      <c r="AI243" s="166">
        <v>42.128486550211903</v>
      </c>
      <c r="AJ243" s="181" t="s">
        <v>53</v>
      </c>
      <c r="AK243" s="173">
        <v>0.66870613571764903</v>
      </c>
      <c r="AL243" s="174">
        <v>-74.409656332807998</v>
      </c>
      <c r="AM243" s="168"/>
      <c r="AN243" s="168"/>
      <c r="AO243" s="176">
        <v>59</v>
      </c>
      <c r="AP243" s="176">
        <v>94</v>
      </c>
      <c r="AQ243" s="167"/>
      <c r="AR243" s="180">
        <v>12.8</v>
      </c>
      <c r="AS243" s="166">
        <v>4.5873639118903604</v>
      </c>
      <c r="AT243" s="181" t="s">
        <v>54</v>
      </c>
      <c r="AU243" s="173">
        <v>0.28671024449314703</v>
      </c>
      <c r="AV243" s="174">
        <v>-35.951658751189299</v>
      </c>
      <c r="AW243" s="168"/>
      <c r="AX243" s="168"/>
      <c r="AY243" s="176">
        <v>32</v>
      </c>
      <c r="AZ243" s="176">
        <v>41</v>
      </c>
      <c r="BA243" s="167"/>
      <c r="BB243" s="184">
        <v>94.2</v>
      </c>
      <c r="BC243" s="180">
        <v>33.760131289068099</v>
      </c>
      <c r="BD243" s="181" t="s">
        <v>55</v>
      </c>
      <c r="BE243" s="182">
        <v>1.0550041027833801</v>
      </c>
      <c r="BF243" s="183">
        <v>-3.3033175023786301</v>
      </c>
      <c r="BG243" s="168">
        <v>1.6E-2</v>
      </c>
      <c r="BH243" s="168">
        <v>6.0000000000000001E-3</v>
      </c>
      <c r="BI243" s="176">
        <v>0</v>
      </c>
      <c r="BJ243" s="176">
        <v>13</v>
      </c>
      <c r="BK243" s="169"/>
      <c r="BL243" s="185">
        <v>0.8</v>
      </c>
      <c r="BM243" s="182">
        <v>0.88</v>
      </c>
      <c r="BN243" s="186">
        <v>3.0000000000000001E-3</v>
      </c>
      <c r="BO243" s="187">
        <v>0.95</v>
      </c>
      <c r="BP243" s="178">
        <v>1</v>
      </c>
      <c r="BQ243" s="186">
        <v>2.5000000000000001E-3</v>
      </c>
    </row>
    <row r="244" spans="1:69" s="156" customFormat="1" ht="22.35" customHeight="1" x14ac:dyDescent="0.2">
      <c r="A244" s="165" t="s">
        <v>275</v>
      </c>
      <c r="B244" s="165" t="s">
        <v>299</v>
      </c>
      <c r="C244" s="165" t="s">
        <v>312</v>
      </c>
      <c r="D244" s="166">
        <v>3.578419974</v>
      </c>
      <c r="E244" s="167"/>
      <c r="F244" s="168">
        <v>3.1E-2</v>
      </c>
      <c r="G244" s="168">
        <v>1.2999999999999999E-2</v>
      </c>
      <c r="H244" s="169"/>
      <c r="I244" s="170">
        <v>4</v>
      </c>
      <c r="J244" s="170">
        <v>3</v>
      </c>
      <c r="K244" s="167"/>
      <c r="L244" s="171">
        <v>1475.9645399999999</v>
      </c>
      <c r="M244" s="171">
        <v>1816.46792</v>
      </c>
      <c r="N244" s="171">
        <v>3292.43246</v>
      </c>
      <c r="O244" s="166">
        <v>920.07994699394703</v>
      </c>
      <c r="P244" s="172">
        <v>213.536</v>
      </c>
      <c r="Q244" s="178">
        <v>4.3087814091953902</v>
      </c>
      <c r="R244" s="179">
        <v>2458.01179557567</v>
      </c>
      <c r="S244" s="168">
        <v>0.01</v>
      </c>
      <c r="T244" s="168">
        <v>0.01</v>
      </c>
      <c r="U244" s="175">
        <v>0</v>
      </c>
      <c r="V244" s="176">
        <v>0</v>
      </c>
      <c r="W244" s="167"/>
      <c r="X244" s="175">
        <v>2013.4589000000001</v>
      </c>
      <c r="Y244" s="166">
        <v>562.66701913954796</v>
      </c>
      <c r="Z244" s="177">
        <v>573</v>
      </c>
      <c r="AA244" s="182">
        <v>0.98196687458908904</v>
      </c>
      <c r="AB244" s="183">
        <v>-225.61573245138399</v>
      </c>
      <c r="AC244" s="168">
        <v>8.0000000000000002E-3</v>
      </c>
      <c r="AD244" s="168"/>
      <c r="AE244" s="176">
        <v>37</v>
      </c>
      <c r="AF244" s="176">
        <v>448</v>
      </c>
      <c r="AG244" s="167"/>
      <c r="AH244" s="180">
        <v>170.05</v>
      </c>
      <c r="AI244" s="166">
        <v>47.5209732886428</v>
      </c>
      <c r="AJ244" s="181" t="s">
        <v>53</v>
      </c>
      <c r="AK244" s="188">
        <v>0.75430116331179098</v>
      </c>
      <c r="AL244" s="171">
        <v>-76.130980531304004</v>
      </c>
      <c r="AM244" s="168"/>
      <c r="AN244" s="168"/>
      <c r="AO244" s="176">
        <v>56</v>
      </c>
      <c r="AP244" s="176">
        <v>101</v>
      </c>
      <c r="AQ244" s="167"/>
      <c r="AR244" s="180">
        <v>39.799999999999997</v>
      </c>
      <c r="AS244" s="166">
        <v>11.1222272089855</v>
      </c>
      <c r="AT244" s="181" t="s">
        <v>54</v>
      </c>
      <c r="AU244" s="173">
        <v>0.69513920056159395</v>
      </c>
      <c r="AV244" s="174">
        <v>-22.722153785728</v>
      </c>
      <c r="AW244" s="168"/>
      <c r="AX244" s="168"/>
      <c r="AY244" s="176">
        <v>18</v>
      </c>
      <c r="AZ244" s="176">
        <v>29</v>
      </c>
      <c r="BA244" s="167"/>
      <c r="BB244" s="184">
        <v>117.8</v>
      </c>
      <c r="BC244" s="180">
        <v>32.919556915037496</v>
      </c>
      <c r="BD244" s="181" t="s">
        <v>55</v>
      </c>
      <c r="BE244" s="182">
        <v>1.02873615359492</v>
      </c>
      <c r="BF244" s="183">
        <v>-7.2443075714560301</v>
      </c>
      <c r="BG244" s="168">
        <v>1.2999999999999999E-2</v>
      </c>
      <c r="BH244" s="168">
        <v>3.0000000000000001E-3</v>
      </c>
      <c r="BI244" s="176">
        <v>0</v>
      </c>
      <c r="BJ244" s="176">
        <v>20</v>
      </c>
      <c r="BK244" s="169"/>
      <c r="BL244" s="185">
        <v>0.8</v>
      </c>
      <c r="BM244" s="188">
        <v>0.8</v>
      </c>
      <c r="BN244" s="186">
        <v>0</v>
      </c>
      <c r="BO244" s="187">
        <v>0.95</v>
      </c>
      <c r="BP244" s="178">
        <v>1</v>
      </c>
      <c r="BQ244" s="186">
        <v>2.5000000000000001E-3</v>
      </c>
    </row>
    <row r="245" spans="1:69" s="156" customFormat="1" ht="22.35" customHeight="1" x14ac:dyDescent="0.2">
      <c r="A245" s="165" t="s">
        <v>275</v>
      </c>
      <c r="B245" s="165" t="s">
        <v>299</v>
      </c>
      <c r="C245" s="165" t="s">
        <v>313</v>
      </c>
      <c r="D245" s="166">
        <v>3.0802030008888899</v>
      </c>
      <c r="E245" s="167"/>
      <c r="F245" s="168">
        <v>3.0000000000000001E-3</v>
      </c>
      <c r="G245" s="168"/>
      <c r="H245" s="169"/>
      <c r="I245" s="170">
        <v>3</v>
      </c>
      <c r="J245" s="170">
        <v>2</v>
      </c>
      <c r="K245" s="167"/>
      <c r="L245" s="171">
        <v>851.51138000000003</v>
      </c>
      <c r="M245" s="171">
        <v>-600.48087999999996</v>
      </c>
      <c r="N245" s="171">
        <v>251.03049999999999</v>
      </c>
      <c r="O245" s="166">
        <v>81.498037605819306</v>
      </c>
      <c r="P245" s="172">
        <v>252.38499999999999</v>
      </c>
      <c r="Q245" s="173">
        <v>0.32291157400724801</v>
      </c>
      <c r="R245" s="174">
        <v>-597.88706154224201</v>
      </c>
      <c r="S245" s="168"/>
      <c r="T245" s="168"/>
      <c r="U245" s="175">
        <v>527</v>
      </c>
      <c r="V245" s="176">
        <v>682</v>
      </c>
      <c r="W245" s="167"/>
      <c r="X245" s="175">
        <v>1091.3798200000001</v>
      </c>
      <c r="Y245" s="166">
        <v>354.32074434218998</v>
      </c>
      <c r="Z245" s="177">
        <v>573</v>
      </c>
      <c r="AA245" s="173">
        <v>0.61836081037031498</v>
      </c>
      <c r="AB245" s="174">
        <v>-835.95248090419295</v>
      </c>
      <c r="AC245" s="168"/>
      <c r="AD245" s="168"/>
      <c r="AE245" s="176">
        <v>674</v>
      </c>
      <c r="AF245" s="176">
        <v>1027</v>
      </c>
      <c r="AG245" s="167"/>
      <c r="AH245" s="180">
        <v>84.6</v>
      </c>
      <c r="AI245" s="166">
        <v>27.465722218823199</v>
      </c>
      <c r="AJ245" s="181" t="s">
        <v>53</v>
      </c>
      <c r="AK245" s="173">
        <v>0.43596384474322603</v>
      </c>
      <c r="AL245" s="174">
        <v>-127.305645649152</v>
      </c>
      <c r="AM245" s="168"/>
      <c r="AN245" s="168"/>
      <c r="AO245" s="176">
        <v>110</v>
      </c>
      <c r="AP245" s="176">
        <v>149</v>
      </c>
      <c r="AQ245" s="167"/>
      <c r="AR245" s="180">
        <v>15.3</v>
      </c>
      <c r="AS245" s="166">
        <v>4.9672050821276104</v>
      </c>
      <c r="AT245" s="181" t="s">
        <v>54</v>
      </c>
      <c r="AU245" s="173">
        <v>0.31045031763297598</v>
      </c>
      <c r="AV245" s="174">
        <v>-38.517306831530703</v>
      </c>
      <c r="AW245" s="168"/>
      <c r="AX245" s="168"/>
      <c r="AY245" s="176">
        <v>34</v>
      </c>
      <c r="AZ245" s="176">
        <v>44</v>
      </c>
      <c r="BA245" s="167"/>
      <c r="BB245" s="184">
        <v>92.4</v>
      </c>
      <c r="BC245" s="180">
        <v>29.998022848927501</v>
      </c>
      <c r="BD245" s="181" t="s">
        <v>55</v>
      </c>
      <c r="BE245" s="182">
        <v>0.93743821402898497</v>
      </c>
      <c r="BF245" s="183">
        <v>-15.234613663061401</v>
      </c>
      <c r="BG245" s="168">
        <v>3.0000000000000001E-3</v>
      </c>
      <c r="BH245" s="168"/>
      <c r="BI245" s="176">
        <v>7</v>
      </c>
      <c r="BJ245" s="176">
        <v>26</v>
      </c>
      <c r="BK245" s="169"/>
      <c r="BL245" s="185">
        <v>0.8</v>
      </c>
      <c r="BM245" s="182">
        <v>0.81</v>
      </c>
      <c r="BN245" s="186">
        <v>3.7500000000000001E-4</v>
      </c>
      <c r="BO245" s="187">
        <v>0.95</v>
      </c>
      <c r="BP245" s="178">
        <v>1</v>
      </c>
      <c r="BQ245" s="186">
        <v>2.5000000000000001E-3</v>
      </c>
    </row>
    <row r="246" spans="1:69" s="156" customFormat="1" ht="22.35" customHeight="1" x14ac:dyDescent="0.2">
      <c r="A246" s="165" t="s">
        <v>275</v>
      </c>
      <c r="B246" s="165" t="s">
        <v>299</v>
      </c>
      <c r="C246" s="165" t="s">
        <v>314</v>
      </c>
      <c r="D246" s="166">
        <v>6.0121721623333304</v>
      </c>
      <c r="E246" s="167"/>
      <c r="F246" s="168">
        <v>4.2000000000000003E-2</v>
      </c>
      <c r="G246" s="168">
        <v>2.3E-2</v>
      </c>
      <c r="H246" s="169"/>
      <c r="I246" s="170">
        <v>5</v>
      </c>
      <c r="J246" s="170">
        <v>5</v>
      </c>
      <c r="K246" s="167"/>
      <c r="L246" s="171">
        <v>5824.5319</v>
      </c>
      <c r="M246" s="171">
        <v>288.58866999999998</v>
      </c>
      <c r="N246" s="171">
        <v>6113.12057</v>
      </c>
      <c r="O246" s="166">
        <v>1016.79067148129</v>
      </c>
      <c r="P246" s="172">
        <v>220.02799999999999</v>
      </c>
      <c r="Q246" s="178">
        <v>4.6211876283077196</v>
      </c>
      <c r="R246" s="179">
        <v>4668.5725015450098</v>
      </c>
      <c r="S246" s="168">
        <v>0.01</v>
      </c>
      <c r="T246" s="168">
        <v>0.01</v>
      </c>
      <c r="U246" s="175">
        <v>0</v>
      </c>
      <c r="V246" s="176">
        <v>0</v>
      </c>
      <c r="W246" s="167"/>
      <c r="X246" s="175">
        <v>3495.6385449999998</v>
      </c>
      <c r="Y246" s="166">
        <v>581.42688709089396</v>
      </c>
      <c r="Z246" s="177">
        <v>573</v>
      </c>
      <c r="AA246" s="182">
        <v>1.0147066092336701</v>
      </c>
      <c r="AB246" s="183">
        <v>-266.27377172656202</v>
      </c>
      <c r="AC246" s="168">
        <v>1.2E-2</v>
      </c>
      <c r="AD246" s="168">
        <v>1E-3</v>
      </c>
      <c r="AE246" s="176">
        <v>0</v>
      </c>
      <c r="AF246" s="176">
        <v>639</v>
      </c>
      <c r="AG246" s="167"/>
      <c r="AH246" s="180">
        <v>319.25</v>
      </c>
      <c r="AI246" s="166">
        <v>53.100608462299697</v>
      </c>
      <c r="AJ246" s="181" t="s">
        <v>53</v>
      </c>
      <c r="AK246" s="188">
        <v>0.842866800988884</v>
      </c>
      <c r="AL246" s="171">
        <v>-94.363396079883799</v>
      </c>
      <c r="AM246" s="168"/>
      <c r="AN246" s="168"/>
      <c r="AO246" s="176">
        <v>60</v>
      </c>
      <c r="AP246" s="176">
        <v>136</v>
      </c>
      <c r="AQ246" s="167"/>
      <c r="AR246" s="180">
        <v>32.799999999999997</v>
      </c>
      <c r="AS246" s="166">
        <v>5.4555989273717502</v>
      </c>
      <c r="AT246" s="181" t="s">
        <v>54</v>
      </c>
      <c r="AU246" s="173">
        <v>0.340974932960734</v>
      </c>
      <c r="AV246" s="174">
        <v>-72.244672020287894</v>
      </c>
      <c r="AW246" s="168"/>
      <c r="AX246" s="168"/>
      <c r="AY246" s="176">
        <v>64</v>
      </c>
      <c r="AZ246" s="176">
        <v>83</v>
      </c>
      <c r="BA246" s="167"/>
      <c r="BB246" s="184">
        <v>215.2</v>
      </c>
      <c r="BC246" s="180">
        <v>35.794051499097499</v>
      </c>
      <c r="BD246" s="181" t="s">
        <v>55</v>
      </c>
      <c r="BE246" s="178">
        <v>1.1185641093468</v>
      </c>
      <c r="BF246" s="179">
        <v>5.1106559594241201</v>
      </c>
      <c r="BG246" s="168">
        <v>0.02</v>
      </c>
      <c r="BH246" s="168">
        <v>1.2E-2</v>
      </c>
      <c r="BI246" s="176">
        <v>0</v>
      </c>
      <c r="BJ246" s="176">
        <v>16</v>
      </c>
      <c r="BK246" s="169"/>
      <c r="BL246" s="185">
        <v>0.8</v>
      </c>
      <c r="BM246" s="182">
        <v>0.81</v>
      </c>
      <c r="BN246" s="186">
        <v>3.7500000000000001E-4</v>
      </c>
      <c r="BO246" s="187">
        <v>0.95</v>
      </c>
      <c r="BP246" s="178">
        <v>1</v>
      </c>
      <c r="BQ246" s="186">
        <v>2.5000000000000001E-3</v>
      </c>
    </row>
    <row r="247" spans="1:69" s="156" customFormat="1" ht="22.35" customHeight="1" x14ac:dyDescent="0.2">
      <c r="A247" s="165" t="s">
        <v>275</v>
      </c>
      <c r="B247" s="165" t="s">
        <v>299</v>
      </c>
      <c r="C247" s="165" t="s">
        <v>315</v>
      </c>
      <c r="D247" s="166">
        <v>8.5561773496666707</v>
      </c>
      <c r="E247" s="167"/>
      <c r="F247" s="168">
        <v>1.4999999999999999E-2</v>
      </c>
      <c r="G247" s="168">
        <v>0.01</v>
      </c>
      <c r="H247" s="169"/>
      <c r="I247" s="170">
        <v>3</v>
      </c>
      <c r="J247" s="170">
        <v>2</v>
      </c>
      <c r="K247" s="167"/>
      <c r="L247" s="171">
        <v>4780.0293099999999</v>
      </c>
      <c r="M247" s="171">
        <v>2936.8278</v>
      </c>
      <c r="N247" s="171">
        <v>7716.8571099999999</v>
      </c>
      <c r="O247" s="166">
        <v>901.90476361510105</v>
      </c>
      <c r="P247" s="172">
        <v>215.38300000000001</v>
      </c>
      <c r="Q247" s="178">
        <v>4.1874463797751096</v>
      </c>
      <c r="R247" s="179">
        <v>5704.4592904552401</v>
      </c>
      <c r="S247" s="168">
        <v>0.01</v>
      </c>
      <c r="T247" s="168">
        <v>0.01</v>
      </c>
      <c r="U247" s="175">
        <v>0</v>
      </c>
      <c r="V247" s="176">
        <v>0</v>
      </c>
      <c r="W247" s="167"/>
      <c r="X247" s="175">
        <v>4687.2063950000002</v>
      </c>
      <c r="Y247" s="166">
        <v>547.81547920843502</v>
      </c>
      <c r="Z247" s="177">
        <v>573</v>
      </c>
      <c r="AA247" s="182">
        <v>0.95604795673374299</v>
      </c>
      <c r="AB247" s="183">
        <v>-666.53067152403105</v>
      </c>
      <c r="AC247" s="168">
        <v>5.0000000000000001E-3</v>
      </c>
      <c r="AD247" s="168"/>
      <c r="AE247" s="176">
        <v>216</v>
      </c>
      <c r="AF247" s="176">
        <v>1197</v>
      </c>
      <c r="AG247" s="167"/>
      <c r="AH247" s="180">
        <v>279.89999999999998</v>
      </c>
      <c r="AI247" s="166">
        <v>32.713206910198501</v>
      </c>
      <c r="AJ247" s="181" t="s">
        <v>53</v>
      </c>
      <c r="AK247" s="173">
        <v>0.51925725254283395</v>
      </c>
      <c r="AL247" s="174">
        <v>-308.73077694766801</v>
      </c>
      <c r="AM247" s="168"/>
      <c r="AN247" s="168"/>
      <c r="AO247" s="176">
        <v>260</v>
      </c>
      <c r="AP247" s="176">
        <v>367</v>
      </c>
      <c r="AQ247" s="167"/>
      <c r="AR247" s="180">
        <v>68.5</v>
      </c>
      <c r="AS247" s="166">
        <v>8.0059116589803505</v>
      </c>
      <c r="AT247" s="181" t="s">
        <v>54</v>
      </c>
      <c r="AU247" s="173">
        <v>0.50036947868627202</v>
      </c>
      <c r="AV247" s="174">
        <v>-80.993530653376098</v>
      </c>
      <c r="AW247" s="168"/>
      <c r="AX247" s="168"/>
      <c r="AY247" s="176">
        <v>69</v>
      </c>
      <c r="AZ247" s="176">
        <v>96</v>
      </c>
      <c r="BA247" s="167"/>
      <c r="BB247" s="184">
        <v>245.6</v>
      </c>
      <c r="BC247" s="180">
        <v>28.704407349570399</v>
      </c>
      <c r="BD247" s="181" t="s">
        <v>55</v>
      </c>
      <c r="BE247" s="188">
        <v>0.89701272967407597</v>
      </c>
      <c r="BF247" s="171">
        <v>-53.387061306752102</v>
      </c>
      <c r="BG247" s="168"/>
      <c r="BH247" s="168"/>
      <c r="BI247" s="176">
        <v>29</v>
      </c>
      <c r="BJ247" s="176">
        <v>83</v>
      </c>
      <c r="BK247" s="169"/>
      <c r="BL247" s="185">
        <v>0.8</v>
      </c>
      <c r="BM247" s="188">
        <v>0.78</v>
      </c>
      <c r="BN247" s="186"/>
      <c r="BO247" s="187">
        <v>0.95</v>
      </c>
      <c r="BP247" s="178">
        <v>1</v>
      </c>
      <c r="BQ247" s="186">
        <v>2.5000000000000001E-3</v>
      </c>
    </row>
    <row r="248" spans="1:69" s="156" customFormat="1" ht="22.35" customHeight="1" x14ac:dyDescent="0.2">
      <c r="A248" s="165" t="s">
        <v>275</v>
      </c>
      <c r="B248" s="165" t="s">
        <v>299</v>
      </c>
      <c r="C248" s="165" t="s">
        <v>316</v>
      </c>
      <c r="D248" s="166">
        <v>7.66372503566667</v>
      </c>
      <c r="E248" s="167"/>
      <c r="F248" s="168">
        <v>0.01</v>
      </c>
      <c r="G248" s="168">
        <v>0.01</v>
      </c>
      <c r="H248" s="169"/>
      <c r="I248" s="170">
        <v>2</v>
      </c>
      <c r="J248" s="170">
        <v>2</v>
      </c>
      <c r="K248" s="167"/>
      <c r="L248" s="171">
        <v>4769.5723099999996</v>
      </c>
      <c r="M248" s="171">
        <v>2064.6492899999998</v>
      </c>
      <c r="N248" s="171">
        <v>6834.2215999999999</v>
      </c>
      <c r="O248" s="166">
        <v>891.76236989111806</v>
      </c>
      <c r="P248" s="172">
        <v>245.339</v>
      </c>
      <c r="Q248" s="178">
        <v>3.6348170078590001</v>
      </c>
      <c r="R248" s="179">
        <v>4781.0315849142398</v>
      </c>
      <c r="S248" s="168">
        <v>0.01</v>
      </c>
      <c r="T248" s="168">
        <v>0.01</v>
      </c>
      <c r="U248" s="175">
        <v>0</v>
      </c>
      <c r="V248" s="176">
        <v>0</v>
      </c>
      <c r="W248" s="167"/>
      <c r="X248" s="175">
        <v>3412.0310599999998</v>
      </c>
      <c r="Y248" s="166">
        <v>445.21835584138898</v>
      </c>
      <c r="Z248" s="177">
        <v>573</v>
      </c>
      <c r="AA248" s="188">
        <v>0.77699538541254498</v>
      </c>
      <c r="AB248" s="171">
        <v>-1383.28431441721</v>
      </c>
      <c r="AC248" s="168"/>
      <c r="AD248" s="168"/>
      <c r="AE248" s="176">
        <v>980</v>
      </c>
      <c r="AF248" s="176">
        <v>1858</v>
      </c>
      <c r="AG248" s="167"/>
      <c r="AH248" s="180">
        <v>311.8</v>
      </c>
      <c r="AI248" s="166">
        <v>40.685175753161197</v>
      </c>
      <c r="AJ248" s="181" t="s">
        <v>53</v>
      </c>
      <c r="AK248" s="173">
        <v>0.64579644052636798</v>
      </c>
      <c r="AL248" s="174">
        <v>-215.43362755372399</v>
      </c>
      <c r="AM248" s="168"/>
      <c r="AN248" s="168"/>
      <c r="AO248" s="176">
        <v>172</v>
      </c>
      <c r="AP248" s="176">
        <v>268</v>
      </c>
      <c r="AQ248" s="167"/>
      <c r="AR248" s="180">
        <v>35.4</v>
      </c>
      <c r="AS248" s="166">
        <v>4.6191636358624297</v>
      </c>
      <c r="AT248" s="181" t="s">
        <v>54</v>
      </c>
      <c r="AU248" s="173">
        <v>0.28869772724140202</v>
      </c>
      <c r="AV248" s="174">
        <v>-98.500603823168007</v>
      </c>
      <c r="AW248" s="168"/>
      <c r="AX248" s="168"/>
      <c r="AY248" s="176">
        <v>88</v>
      </c>
      <c r="AZ248" s="176">
        <v>112</v>
      </c>
      <c r="BA248" s="167"/>
      <c r="BB248" s="184">
        <v>186.2</v>
      </c>
      <c r="BC248" s="180">
        <v>24.2962787852425</v>
      </c>
      <c r="BD248" s="181" t="s">
        <v>55</v>
      </c>
      <c r="BE248" s="188">
        <v>0.759258712038828</v>
      </c>
      <c r="BF248" s="171">
        <v>-81.601207646336107</v>
      </c>
      <c r="BG248" s="168"/>
      <c r="BH248" s="168"/>
      <c r="BI248" s="176">
        <v>60</v>
      </c>
      <c r="BJ248" s="176">
        <v>109</v>
      </c>
      <c r="BK248" s="169"/>
      <c r="BL248" s="185">
        <v>0.8</v>
      </c>
      <c r="BM248" s="188">
        <v>0.76</v>
      </c>
      <c r="BN248" s="186"/>
      <c r="BO248" s="187">
        <v>0.95</v>
      </c>
      <c r="BP248" s="178">
        <v>1</v>
      </c>
      <c r="BQ248" s="186">
        <v>2.5000000000000001E-3</v>
      </c>
    </row>
    <row r="249" spans="1:69" s="156" customFormat="1" ht="22.35" customHeight="1" x14ac:dyDescent="0.2">
      <c r="A249" s="165" t="s">
        <v>275</v>
      </c>
      <c r="B249" s="165" t="s">
        <v>299</v>
      </c>
      <c r="C249" s="165" t="s">
        <v>317</v>
      </c>
      <c r="D249" s="166">
        <v>4.1744710626666697</v>
      </c>
      <c r="E249" s="167"/>
      <c r="F249" s="168">
        <v>1.7999999999999999E-2</v>
      </c>
      <c r="G249" s="168">
        <v>0.01</v>
      </c>
      <c r="H249" s="169"/>
      <c r="I249" s="170">
        <v>5</v>
      </c>
      <c r="J249" s="170">
        <v>3</v>
      </c>
      <c r="K249" s="167"/>
      <c r="L249" s="171">
        <v>1637.40444</v>
      </c>
      <c r="M249" s="171">
        <v>964.05460000000005</v>
      </c>
      <c r="N249" s="171">
        <v>2601.4590400000002</v>
      </c>
      <c r="O249" s="166">
        <v>623.18291370264706</v>
      </c>
      <c r="P249" s="172">
        <v>233.489</v>
      </c>
      <c r="Q249" s="178">
        <v>2.6690033093749501</v>
      </c>
      <c r="R249" s="179">
        <v>1537.09420324553</v>
      </c>
      <c r="S249" s="168">
        <v>0.01</v>
      </c>
      <c r="T249" s="168">
        <v>0.01</v>
      </c>
      <c r="U249" s="175">
        <v>0</v>
      </c>
      <c r="V249" s="176">
        <v>0</v>
      </c>
      <c r="W249" s="167"/>
      <c r="X249" s="175">
        <v>2254.0992249999999</v>
      </c>
      <c r="Y249" s="166">
        <v>539.97241594485399</v>
      </c>
      <c r="Z249" s="177">
        <v>573</v>
      </c>
      <c r="AA249" s="182">
        <v>0.942360237251053</v>
      </c>
      <c r="AB249" s="183">
        <v>-357.93411044753799</v>
      </c>
      <c r="AC249" s="168">
        <v>4.0000000000000001E-3</v>
      </c>
      <c r="AD249" s="168"/>
      <c r="AE249" s="176">
        <v>138</v>
      </c>
      <c r="AF249" s="176">
        <v>617</v>
      </c>
      <c r="AG249" s="167"/>
      <c r="AH249" s="180">
        <v>145.69999999999999</v>
      </c>
      <c r="AI249" s="166">
        <v>34.902625461470201</v>
      </c>
      <c r="AJ249" s="181" t="s">
        <v>53</v>
      </c>
      <c r="AK249" s="173">
        <v>0.55400992795984405</v>
      </c>
      <c r="AL249" s="174">
        <v>-141.48691122721601</v>
      </c>
      <c r="AM249" s="168"/>
      <c r="AN249" s="168"/>
      <c r="AO249" s="176">
        <v>118</v>
      </c>
      <c r="AP249" s="176">
        <v>170</v>
      </c>
      <c r="AQ249" s="167"/>
      <c r="AR249" s="180">
        <v>29.6</v>
      </c>
      <c r="AS249" s="166">
        <v>7.0907186936136997</v>
      </c>
      <c r="AT249" s="181" t="s">
        <v>54</v>
      </c>
      <c r="AU249" s="173">
        <v>0.44316991835085601</v>
      </c>
      <c r="AV249" s="174">
        <v>-43.336358406912098</v>
      </c>
      <c r="AW249" s="168"/>
      <c r="AX249" s="168"/>
      <c r="AY249" s="176">
        <v>38</v>
      </c>
      <c r="AZ249" s="176">
        <v>51</v>
      </c>
      <c r="BA249" s="167"/>
      <c r="BB249" s="184">
        <v>126.4</v>
      </c>
      <c r="BC249" s="180">
        <v>30.279285232188201</v>
      </c>
      <c r="BD249" s="181" t="s">
        <v>55</v>
      </c>
      <c r="BE249" s="182">
        <v>0.94622766350588305</v>
      </c>
      <c r="BF249" s="183">
        <v>-19.4727168138241</v>
      </c>
      <c r="BG249" s="168">
        <v>4.0000000000000001E-3</v>
      </c>
      <c r="BH249" s="168"/>
      <c r="BI249" s="176">
        <v>8</v>
      </c>
      <c r="BJ249" s="176">
        <v>34</v>
      </c>
      <c r="BK249" s="169"/>
      <c r="BL249" s="185">
        <v>0.8</v>
      </c>
      <c r="BM249" s="182">
        <v>0.82</v>
      </c>
      <c r="BN249" s="186">
        <v>7.5000000000000002E-4</v>
      </c>
      <c r="BO249" s="187">
        <v>0.95</v>
      </c>
      <c r="BP249" s="178">
        <v>1</v>
      </c>
      <c r="BQ249" s="186">
        <v>2.5000000000000001E-3</v>
      </c>
    </row>
    <row r="250" spans="1:69" s="156" customFormat="1" ht="22.35" customHeight="1" x14ac:dyDescent="0.2">
      <c r="A250" s="165" t="s">
        <v>275</v>
      </c>
      <c r="B250" s="165" t="s">
        <v>318</v>
      </c>
      <c r="C250" s="165" t="s">
        <v>319</v>
      </c>
      <c r="D250" s="166">
        <v>2.5533062174444399</v>
      </c>
      <c r="E250" s="167"/>
      <c r="F250" s="168">
        <v>7.0000000000000007E-2</v>
      </c>
      <c r="G250" s="168">
        <v>6.4000000000000001E-2</v>
      </c>
      <c r="H250" s="169"/>
      <c r="I250" s="170">
        <v>5</v>
      </c>
      <c r="J250" s="170">
        <v>5</v>
      </c>
      <c r="K250" s="167"/>
      <c r="L250" s="171">
        <v>1344.07455</v>
      </c>
      <c r="M250" s="171">
        <v>-528.81933000000004</v>
      </c>
      <c r="N250" s="171">
        <v>815.25522000000001</v>
      </c>
      <c r="O250" s="166">
        <v>319.29394697357299</v>
      </c>
      <c r="P250" s="172">
        <v>240.12899999999999</v>
      </c>
      <c r="Q250" s="178">
        <v>1.3296767444730699</v>
      </c>
      <c r="R250" s="179">
        <v>145.725047391922</v>
      </c>
      <c r="S250" s="168">
        <v>0.01</v>
      </c>
      <c r="T250" s="168">
        <v>0.01</v>
      </c>
      <c r="U250" s="175">
        <v>0</v>
      </c>
      <c r="V250" s="176">
        <v>0</v>
      </c>
      <c r="W250" s="167"/>
      <c r="X250" s="175">
        <v>1677.2307450000001</v>
      </c>
      <c r="Y250" s="166">
        <v>656.88585785010503</v>
      </c>
      <c r="Z250" s="177">
        <v>573</v>
      </c>
      <c r="AA250" s="178">
        <v>1.14639765767907</v>
      </c>
      <c r="AB250" s="179">
        <v>79.586191845534799</v>
      </c>
      <c r="AC250" s="168">
        <v>0.02</v>
      </c>
      <c r="AD250" s="168">
        <v>1.4999999999999999E-2</v>
      </c>
      <c r="AE250" s="176">
        <v>0</v>
      </c>
      <c r="AF250" s="176">
        <v>79</v>
      </c>
      <c r="AG250" s="167"/>
      <c r="AH250" s="180">
        <v>220.55</v>
      </c>
      <c r="AI250" s="166">
        <v>86.378201914513895</v>
      </c>
      <c r="AJ250" s="181" t="s">
        <v>53</v>
      </c>
      <c r="AK250" s="178">
        <v>1.37108257007165</v>
      </c>
      <c r="AL250" s="179">
        <v>44.892745464692297</v>
      </c>
      <c r="AM250" s="168">
        <v>0.02</v>
      </c>
      <c r="AN250" s="168">
        <v>0.02</v>
      </c>
      <c r="AO250" s="176">
        <v>0</v>
      </c>
      <c r="AP250" s="176">
        <v>0</v>
      </c>
      <c r="AQ250" s="167"/>
      <c r="AR250" s="180">
        <v>11.8</v>
      </c>
      <c r="AS250" s="166">
        <v>4.6214590006405096</v>
      </c>
      <c r="AT250" s="181" t="s">
        <v>54</v>
      </c>
      <c r="AU250" s="173">
        <v>0.28884118754003202</v>
      </c>
      <c r="AV250" s="174">
        <v>-32.811366231189297</v>
      </c>
      <c r="AW250" s="168"/>
      <c r="AX250" s="168"/>
      <c r="AY250" s="176">
        <v>30</v>
      </c>
      <c r="AZ250" s="176">
        <v>38</v>
      </c>
      <c r="BA250" s="167"/>
      <c r="BB250" s="184">
        <v>97.6</v>
      </c>
      <c r="BC250" s="180">
        <v>38.224949022246903</v>
      </c>
      <c r="BD250" s="181" t="s">
        <v>55</v>
      </c>
      <c r="BE250" s="178">
        <v>1.19452965694522</v>
      </c>
      <c r="BF250" s="179">
        <v>8.3772675376214902</v>
      </c>
      <c r="BG250" s="168">
        <v>0.02</v>
      </c>
      <c r="BH250" s="168">
        <v>1.9E-2</v>
      </c>
      <c r="BI250" s="176">
        <v>0</v>
      </c>
      <c r="BJ250" s="176">
        <v>1</v>
      </c>
      <c r="BK250" s="169"/>
      <c r="BL250" s="185">
        <v>0.8</v>
      </c>
      <c r="BM250" s="188">
        <v>0.76</v>
      </c>
      <c r="BN250" s="186"/>
      <c r="BO250" s="187">
        <v>0.95</v>
      </c>
      <c r="BP250" s="178">
        <v>1</v>
      </c>
      <c r="BQ250" s="186">
        <v>2.5000000000000001E-3</v>
      </c>
    </row>
    <row r="251" spans="1:69" s="156" customFormat="1" ht="22.35" customHeight="1" x14ac:dyDescent="0.2">
      <c r="A251" s="165" t="s">
        <v>275</v>
      </c>
      <c r="B251" s="165" t="s">
        <v>318</v>
      </c>
      <c r="C251" s="165" t="s">
        <v>320</v>
      </c>
      <c r="D251" s="166">
        <v>2.2514665105555598</v>
      </c>
      <c r="E251" s="167"/>
      <c r="F251" s="168">
        <v>0.01</v>
      </c>
      <c r="G251" s="168">
        <v>0.01</v>
      </c>
      <c r="H251" s="169"/>
      <c r="I251" s="170">
        <v>3</v>
      </c>
      <c r="J251" s="170">
        <v>3</v>
      </c>
      <c r="K251" s="167"/>
      <c r="L251" s="171">
        <v>920.01224999999999</v>
      </c>
      <c r="M251" s="171">
        <v>638.44590000000005</v>
      </c>
      <c r="N251" s="171">
        <v>1558.4581499999999</v>
      </c>
      <c r="O251" s="166">
        <v>692.19690485888998</v>
      </c>
      <c r="P251" s="172">
        <v>255.477</v>
      </c>
      <c r="Q251" s="178">
        <v>2.7094294392798202</v>
      </c>
      <c r="R251" s="179">
        <v>930.34203258881496</v>
      </c>
      <c r="S251" s="168">
        <v>0.01</v>
      </c>
      <c r="T251" s="168">
        <v>0.01</v>
      </c>
      <c r="U251" s="175">
        <v>0</v>
      </c>
      <c r="V251" s="176">
        <v>0</v>
      </c>
      <c r="W251" s="167"/>
      <c r="X251" s="175">
        <v>1086.08935</v>
      </c>
      <c r="Y251" s="166">
        <v>482.39196315294299</v>
      </c>
      <c r="Z251" s="177">
        <v>573</v>
      </c>
      <c r="AA251" s="188">
        <v>0.84187079084283201</v>
      </c>
      <c r="AB251" s="171">
        <v>-322.68926911878202</v>
      </c>
      <c r="AC251" s="168"/>
      <c r="AD251" s="168"/>
      <c r="AE251" s="176">
        <v>205</v>
      </c>
      <c r="AF251" s="176">
        <v>463</v>
      </c>
      <c r="AG251" s="167"/>
      <c r="AH251" s="180">
        <v>60.3</v>
      </c>
      <c r="AI251" s="166">
        <v>26.782543607597699</v>
      </c>
      <c r="AJ251" s="181" t="s">
        <v>53</v>
      </c>
      <c r="AK251" s="173">
        <v>0.425119739803138</v>
      </c>
      <c r="AL251" s="174">
        <v>-94.591890060180305</v>
      </c>
      <c r="AM251" s="168"/>
      <c r="AN251" s="168"/>
      <c r="AO251" s="176">
        <v>82</v>
      </c>
      <c r="AP251" s="176">
        <v>110</v>
      </c>
      <c r="AQ251" s="167"/>
      <c r="AR251" s="180">
        <v>7.8</v>
      </c>
      <c r="AS251" s="166">
        <v>3.4644086258584101</v>
      </c>
      <c r="AT251" s="181" t="s">
        <v>54</v>
      </c>
      <c r="AU251" s="173">
        <v>0.21652553911615099</v>
      </c>
      <c r="AV251" s="174">
        <v>-31.537622872426699</v>
      </c>
      <c r="AW251" s="168"/>
      <c r="AX251" s="168"/>
      <c r="AY251" s="176">
        <v>29</v>
      </c>
      <c r="AZ251" s="176">
        <v>36</v>
      </c>
      <c r="BA251" s="167"/>
      <c r="BB251" s="184">
        <v>61.6</v>
      </c>
      <c r="BC251" s="180">
        <v>27.359945045240799</v>
      </c>
      <c r="BD251" s="181" t="s">
        <v>55</v>
      </c>
      <c r="BE251" s="188">
        <v>0.85499828266377398</v>
      </c>
      <c r="BF251" s="171">
        <v>-17.0752457448535</v>
      </c>
      <c r="BG251" s="168"/>
      <c r="BH251" s="168"/>
      <c r="BI251" s="176">
        <v>11</v>
      </c>
      <c r="BJ251" s="176">
        <v>25</v>
      </c>
      <c r="BK251" s="169"/>
      <c r="BL251" s="185">
        <v>0.8</v>
      </c>
      <c r="BM251" s="182">
        <v>0.91</v>
      </c>
      <c r="BN251" s="186">
        <v>4.1250000000000002E-3</v>
      </c>
      <c r="BO251" s="187">
        <v>0.95</v>
      </c>
      <c r="BP251" s="178">
        <v>1</v>
      </c>
      <c r="BQ251" s="186">
        <v>2.5000000000000001E-3</v>
      </c>
    </row>
    <row r="252" spans="1:69" s="156" customFormat="1" ht="22.35" customHeight="1" x14ac:dyDescent="0.2">
      <c r="A252" s="165" t="s">
        <v>275</v>
      </c>
      <c r="B252" s="165" t="s">
        <v>318</v>
      </c>
      <c r="C252" s="165" t="s">
        <v>321</v>
      </c>
      <c r="D252" s="166">
        <v>2.8395425426666701</v>
      </c>
      <c r="E252" s="167"/>
      <c r="F252" s="168">
        <v>0.01</v>
      </c>
      <c r="G252" s="168">
        <v>0.01</v>
      </c>
      <c r="H252" s="169"/>
      <c r="I252" s="170">
        <v>3</v>
      </c>
      <c r="J252" s="170">
        <v>3</v>
      </c>
      <c r="K252" s="167"/>
      <c r="L252" s="171">
        <v>698.95641999999998</v>
      </c>
      <c r="M252" s="171">
        <v>1764.1675399999999</v>
      </c>
      <c r="N252" s="171">
        <v>2463.1239599999999</v>
      </c>
      <c r="O252" s="166">
        <v>867.43689273513598</v>
      </c>
      <c r="P252" s="172">
        <v>222.37200000000001</v>
      </c>
      <c r="Q252" s="178">
        <v>3.9008368532690101</v>
      </c>
      <c r="R252" s="179">
        <v>1773.5972083067199</v>
      </c>
      <c r="S252" s="168">
        <v>0.01</v>
      </c>
      <c r="T252" s="168">
        <v>0.01</v>
      </c>
      <c r="U252" s="175">
        <v>0</v>
      </c>
      <c r="V252" s="176">
        <v>0</v>
      </c>
      <c r="W252" s="167"/>
      <c r="X252" s="175">
        <v>906.45474999999999</v>
      </c>
      <c r="Y252" s="166">
        <v>319.22562750151002</v>
      </c>
      <c r="Z252" s="177">
        <v>573</v>
      </c>
      <c r="AA252" s="173">
        <v>0.55711278796075003</v>
      </c>
      <c r="AB252" s="174">
        <v>-870.29245162721804</v>
      </c>
      <c r="AC252" s="168"/>
      <c r="AD252" s="168"/>
      <c r="AE252" s="176">
        <v>721</v>
      </c>
      <c r="AF252" s="176">
        <v>1047</v>
      </c>
      <c r="AG252" s="167"/>
      <c r="AH252" s="180">
        <v>107.05</v>
      </c>
      <c r="AI252" s="166">
        <v>37.699734514090899</v>
      </c>
      <c r="AJ252" s="181" t="s">
        <v>53</v>
      </c>
      <c r="AK252" s="173">
        <v>0.59840848435064897</v>
      </c>
      <c r="AL252" s="174">
        <v>-88.299168765296201</v>
      </c>
      <c r="AM252" s="168"/>
      <c r="AN252" s="168"/>
      <c r="AO252" s="176">
        <v>72</v>
      </c>
      <c r="AP252" s="176">
        <v>108</v>
      </c>
      <c r="AQ252" s="167"/>
      <c r="AR252" s="180">
        <v>7</v>
      </c>
      <c r="AS252" s="166">
        <v>2.4651858159611102</v>
      </c>
      <c r="AT252" s="181" t="s">
        <v>54</v>
      </c>
      <c r="AU252" s="173">
        <v>0.154074113497569</v>
      </c>
      <c r="AV252" s="174">
        <v>-42.612487305472101</v>
      </c>
      <c r="AW252" s="168"/>
      <c r="AX252" s="168"/>
      <c r="AY252" s="176">
        <v>39</v>
      </c>
      <c r="AZ252" s="176">
        <v>48</v>
      </c>
      <c r="BA252" s="167"/>
      <c r="BB252" s="184">
        <v>53.4</v>
      </c>
      <c r="BC252" s="180">
        <v>18.8058460817604</v>
      </c>
      <c r="BD252" s="181" t="s">
        <v>55</v>
      </c>
      <c r="BE252" s="173">
        <v>0.58768269005501295</v>
      </c>
      <c r="BF252" s="174">
        <v>-45.824974610944103</v>
      </c>
      <c r="BG252" s="168"/>
      <c r="BH252" s="168"/>
      <c r="BI252" s="176">
        <v>38</v>
      </c>
      <c r="BJ252" s="176">
        <v>56</v>
      </c>
      <c r="BK252" s="169"/>
      <c r="BL252" s="185">
        <v>0.8</v>
      </c>
      <c r="BM252" s="182">
        <v>0.83</v>
      </c>
      <c r="BN252" s="186">
        <v>1.1249999999999999E-3</v>
      </c>
      <c r="BO252" s="187">
        <v>0.95</v>
      </c>
      <c r="BP252" s="178">
        <v>1</v>
      </c>
      <c r="BQ252" s="186">
        <v>2.5000000000000001E-3</v>
      </c>
    </row>
    <row r="253" spans="1:69" s="156" customFormat="1" ht="22.35" customHeight="1" x14ac:dyDescent="0.2">
      <c r="A253" s="165" t="s">
        <v>275</v>
      </c>
      <c r="B253" s="165" t="s">
        <v>318</v>
      </c>
      <c r="C253" s="165" t="s">
        <v>322</v>
      </c>
      <c r="D253" s="166">
        <v>2.59845626488889</v>
      </c>
      <c r="E253" s="167"/>
      <c r="F253" s="168">
        <v>4.9000000000000002E-2</v>
      </c>
      <c r="G253" s="168">
        <v>0.03</v>
      </c>
      <c r="H253" s="169"/>
      <c r="I253" s="170">
        <v>6</v>
      </c>
      <c r="J253" s="170">
        <v>5</v>
      </c>
      <c r="K253" s="167"/>
      <c r="L253" s="171">
        <v>597.92957999999999</v>
      </c>
      <c r="M253" s="171">
        <v>239.04721000000001</v>
      </c>
      <c r="N253" s="171">
        <v>836.97679000000005</v>
      </c>
      <c r="O253" s="166">
        <v>322.105398235667</v>
      </c>
      <c r="P253" s="172">
        <v>286.47199999999998</v>
      </c>
      <c r="Q253" s="178">
        <v>1.12438701944926</v>
      </c>
      <c r="R253" s="179">
        <v>24.1084102781467</v>
      </c>
      <c r="S253" s="168">
        <v>0.01</v>
      </c>
      <c r="T253" s="168">
        <v>6.0000000000000001E-3</v>
      </c>
      <c r="U253" s="175">
        <v>0</v>
      </c>
      <c r="V253" s="176">
        <v>57</v>
      </c>
      <c r="W253" s="167"/>
      <c r="X253" s="175">
        <v>1959.1198750000001</v>
      </c>
      <c r="Y253" s="166">
        <v>753.95530087314103</v>
      </c>
      <c r="Z253" s="177">
        <v>573</v>
      </c>
      <c r="AA253" s="178">
        <v>1.31580331740513</v>
      </c>
      <c r="AB253" s="179">
        <v>333.22421475878298</v>
      </c>
      <c r="AC253" s="168">
        <v>0.02</v>
      </c>
      <c r="AD253" s="168">
        <v>0.02</v>
      </c>
      <c r="AE253" s="176">
        <v>0</v>
      </c>
      <c r="AF253" s="176">
        <v>0</v>
      </c>
      <c r="AG253" s="167"/>
      <c r="AH253" s="180">
        <v>154.9</v>
      </c>
      <c r="AI253" s="166">
        <v>59.612317549098201</v>
      </c>
      <c r="AJ253" s="181" t="s">
        <v>53</v>
      </c>
      <c r="AK253" s="182">
        <v>0.94622726268409796</v>
      </c>
      <c r="AL253" s="183">
        <v>-23.863397199296099</v>
      </c>
      <c r="AM253" s="168">
        <v>4.0000000000000001E-3</v>
      </c>
      <c r="AN253" s="168"/>
      <c r="AO253" s="176">
        <v>9</v>
      </c>
      <c r="AP253" s="176">
        <v>42</v>
      </c>
      <c r="AQ253" s="167"/>
      <c r="AR253" s="180">
        <v>21.6</v>
      </c>
      <c r="AS253" s="166">
        <v>8.3126278828955495</v>
      </c>
      <c r="AT253" s="181" t="s">
        <v>54</v>
      </c>
      <c r="AU253" s="173">
        <v>0.51953924268097196</v>
      </c>
      <c r="AV253" s="174">
        <v>-23.800227860138701</v>
      </c>
      <c r="AW253" s="168"/>
      <c r="AX253" s="168"/>
      <c r="AY253" s="176">
        <v>20</v>
      </c>
      <c r="AZ253" s="176">
        <v>29</v>
      </c>
      <c r="BA253" s="167"/>
      <c r="BB253" s="184">
        <v>86.8</v>
      </c>
      <c r="BC253" s="180">
        <v>33.404449084969201</v>
      </c>
      <c r="BD253" s="181" t="s">
        <v>55</v>
      </c>
      <c r="BE253" s="182">
        <v>1.04388903390529</v>
      </c>
      <c r="BF253" s="183">
        <v>-4.0004557202774</v>
      </c>
      <c r="BG253" s="168">
        <v>1.4999999999999999E-2</v>
      </c>
      <c r="BH253" s="168">
        <v>4.0000000000000001E-3</v>
      </c>
      <c r="BI253" s="176">
        <v>0</v>
      </c>
      <c r="BJ253" s="176">
        <v>13</v>
      </c>
      <c r="BK253" s="169"/>
      <c r="BL253" s="185">
        <v>0.8</v>
      </c>
      <c r="BM253" s="182">
        <v>0.86</v>
      </c>
      <c r="BN253" s="186">
        <v>2.2499999999999998E-3</v>
      </c>
      <c r="BO253" s="187">
        <v>0.95</v>
      </c>
      <c r="BP253" s="178">
        <v>1</v>
      </c>
      <c r="BQ253" s="186">
        <v>2.5000000000000001E-3</v>
      </c>
    </row>
    <row r="254" spans="1:69" s="156" customFormat="1" ht="22.35" customHeight="1" x14ac:dyDescent="0.2">
      <c r="A254" s="165" t="s">
        <v>275</v>
      </c>
      <c r="B254" s="165" t="s">
        <v>318</v>
      </c>
      <c r="C254" s="165" t="s">
        <v>323</v>
      </c>
      <c r="D254" s="166">
        <v>3.4220960403333298</v>
      </c>
      <c r="E254" s="167"/>
      <c r="F254" s="168">
        <v>0.05</v>
      </c>
      <c r="G254" s="168">
        <v>0.05</v>
      </c>
      <c r="H254" s="169"/>
      <c r="I254" s="170">
        <v>4</v>
      </c>
      <c r="J254" s="170">
        <v>4</v>
      </c>
      <c r="K254" s="167"/>
      <c r="L254" s="171">
        <v>2655.21639</v>
      </c>
      <c r="M254" s="171">
        <v>2103.4872300000002</v>
      </c>
      <c r="N254" s="171">
        <v>4758.7036200000002</v>
      </c>
      <c r="O254" s="166">
        <v>1390.58155116432</v>
      </c>
      <c r="P254" s="172">
        <v>237.096</v>
      </c>
      <c r="Q254" s="178">
        <v>5.8650569860491997</v>
      </c>
      <c r="R254" s="179">
        <v>3872.69273120547</v>
      </c>
      <c r="S254" s="168">
        <v>0.01</v>
      </c>
      <c r="T254" s="168">
        <v>0.01</v>
      </c>
      <c r="U254" s="175">
        <v>0</v>
      </c>
      <c r="V254" s="176">
        <v>0</v>
      </c>
      <c r="W254" s="167"/>
      <c r="X254" s="175">
        <v>2392.0116149999999</v>
      </c>
      <c r="Y254" s="166">
        <v>698.99020565390197</v>
      </c>
      <c r="Z254" s="177">
        <v>573</v>
      </c>
      <c r="AA254" s="178">
        <v>1.21987819485847</v>
      </c>
      <c r="AB254" s="179">
        <v>250.751369026791</v>
      </c>
      <c r="AC254" s="168">
        <v>0.02</v>
      </c>
      <c r="AD254" s="168">
        <v>0.02</v>
      </c>
      <c r="AE254" s="176">
        <v>0</v>
      </c>
      <c r="AF254" s="176">
        <v>0</v>
      </c>
      <c r="AG254" s="167"/>
      <c r="AH254" s="180">
        <v>118.25</v>
      </c>
      <c r="AI254" s="166">
        <v>34.554845511723798</v>
      </c>
      <c r="AJ254" s="181" t="s">
        <v>53</v>
      </c>
      <c r="AK254" s="173">
        <v>0.54848961129720297</v>
      </c>
      <c r="AL254" s="174">
        <v>-117.176519190772</v>
      </c>
      <c r="AM254" s="168"/>
      <c r="AN254" s="168"/>
      <c r="AO254" s="176">
        <v>98</v>
      </c>
      <c r="AP254" s="176">
        <v>141</v>
      </c>
      <c r="AQ254" s="167"/>
      <c r="AR254" s="180">
        <v>15</v>
      </c>
      <c r="AS254" s="166">
        <v>4.3832785004300803</v>
      </c>
      <c r="AT254" s="181" t="s">
        <v>54</v>
      </c>
      <c r="AU254" s="173">
        <v>0.27395490627688002</v>
      </c>
      <c r="AV254" s="174">
        <v>-44.790862016703898</v>
      </c>
      <c r="AW254" s="168"/>
      <c r="AX254" s="168"/>
      <c r="AY254" s="176">
        <v>40</v>
      </c>
      <c r="AZ254" s="176">
        <v>51</v>
      </c>
      <c r="BA254" s="167"/>
      <c r="BB254" s="184">
        <v>144.6</v>
      </c>
      <c r="BC254" s="180">
        <v>42.2548047441459</v>
      </c>
      <c r="BD254" s="181" t="s">
        <v>55</v>
      </c>
      <c r="BE254" s="178">
        <v>1.3204626482545601</v>
      </c>
      <c r="BF254" s="179">
        <v>25.0182759665921</v>
      </c>
      <c r="BG254" s="168">
        <v>0.02</v>
      </c>
      <c r="BH254" s="168">
        <v>0.02</v>
      </c>
      <c r="BI254" s="176">
        <v>0</v>
      </c>
      <c r="BJ254" s="176">
        <v>0</v>
      </c>
      <c r="BK254" s="169"/>
      <c r="BL254" s="185">
        <v>0.8</v>
      </c>
      <c r="BM254" s="188">
        <v>0.77</v>
      </c>
      <c r="BN254" s="186"/>
      <c r="BO254" s="187">
        <v>0.95</v>
      </c>
      <c r="BP254" s="178">
        <v>1</v>
      </c>
      <c r="BQ254" s="186">
        <v>2.5000000000000001E-3</v>
      </c>
    </row>
    <row r="255" spans="1:69" s="156" customFormat="1" ht="22.35" customHeight="1" x14ac:dyDescent="0.2">
      <c r="A255" s="165" t="s">
        <v>275</v>
      </c>
      <c r="B255" s="165" t="s">
        <v>318</v>
      </c>
      <c r="C255" s="165" t="s">
        <v>324</v>
      </c>
      <c r="D255" s="166">
        <v>2.6425147733333301</v>
      </c>
      <c r="E255" s="167"/>
      <c r="F255" s="168">
        <v>0.08</v>
      </c>
      <c r="G255" s="168">
        <v>7.5999999999999998E-2</v>
      </c>
      <c r="H255" s="169"/>
      <c r="I255" s="170">
        <v>6</v>
      </c>
      <c r="J255" s="170">
        <v>6</v>
      </c>
      <c r="K255" s="167"/>
      <c r="L255" s="171">
        <v>2005.5875100000001</v>
      </c>
      <c r="M255" s="171">
        <v>854.26978999999994</v>
      </c>
      <c r="N255" s="171">
        <v>2859.8573000000001</v>
      </c>
      <c r="O255" s="166">
        <v>1082.2483676761101</v>
      </c>
      <c r="P255" s="172">
        <v>265.19900000000001</v>
      </c>
      <c r="Q255" s="178">
        <v>4.0808915858510399</v>
      </c>
      <c r="R255" s="179">
        <v>2094.5921352924402</v>
      </c>
      <c r="S255" s="168">
        <v>0.01</v>
      </c>
      <c r="T255" s="168">
        <v>0.01</v>
      </c>
      <c r="U255" s="175">
        <v>0</v>
      </c>
      <c r="V255" s="176">
        <v>0</v>
      </c>
      <c r="W255" s="167"/>
      <c r="X255" s="175">
        <v>1962.0951299999999</v>
      </c>
      <c r="Y255" s="166">
        <v>742.51056221152703</v>
      </c>
      <c r="Z255" s="177">
        <v>573</v>
      </c>
      <c r="AA255" s="178">
        <v>1.2958299515035401</v>
      </c>
      <c r="AB255" s="179">
        <v>308.631356088963</v>
      </c>
      <c r="AC255" s="168">
        <v>0.02</v>
      </c>
      <c r="AD255" s="168">
        <v>0.02</v>
      </c>
      <c r="AE255" s="176">
        <v>0</v>
      </c>
      <c r="AF255" s="176">
        <v>0</v>
      </c>
      <c r="AG255" s="167"/>
      <c r="AH255" s="180">
        <v>192.8</v>
      </c>
      <c r="AI255" s="166">
        <v>72.960803075018305</v>
      </c>
      <c r="AJ255" s="181" t="s">
        <v>53</v>
      </c>
      <c r="AK255" s="178">
        <v>1.1581079853177501</v>
      </c>
      <c r="AL255" s="179">
        <v>11.005553653760201</v>
      </c>
      <c r="AM255" s="168">
        <v>0.02</v>
      </c>
      <c r="AN255" s="168">
        <v>1.6E-2</v>
      </c>
      <c r="AO255" s="176">
        <v>0</v>
      </c>
      <c r="AP255" s="176">
        <v>7</v>
      </c>
      <c r="AQ255" s="167"/>
      <c r="AR255" s="180">
        <v>56.2</v>
      </c>
      <c r="AS255" s="166">
        <v>21.267619983485599</v>
      </c>
      <c r="AT255" s="181" t="s">
        <v>54</v>
      </c>
      <c r="AU255" s="178">
        <v>1.3292262489678499</v>
      </c>
      <c r="AV255" s="179">
        <v>10.029981880320101</v>
      </c>
      <c r="AW255" s="168">
        <v>0.01</v>
      </c>
      <c r="AX255" s="168">
        <v>0.01</v>
      </c>
      <c r="AY255" s="176">
        <v>0</v>
      </c>
      <c r="AZ255" s="176">
        <v>0</v>
      </c>
      <c r="BA255" s="167"/>
      <c r="BB255" s="184">
        <v>168.8</v>
      </c>
      <c r="BC255" s="180">
        <v>63.878545430825199</v>
      </c>
      <c r="BD255" s="181" t="s">
        <v>55</v>
      </c>
      <c r="BE255" s="178">
        <v>1.9962045447132899</v>
      </c>
      <c r="BF255" s="179">
        <v>76.459963760640093</v>
      </c>
      <c r="BG255" s="168">
        <v>0.02</v>
      </c>
      <c r="BH255" s="168">
        <v>0.02</v>
      </c>
      <c r="BI255" s="176">
        <v>0</v>
      </c>
      <c r="BJ255" s="176">
        <v>0</v>
      </c>
      <c r="BK255" s="169"/>
      <c r="BL255" s="185">
        <v>0.8</v>
      </c>
      <c r="BM255" s="188">
        <v>0.78</v>
      </c>
      <c r="BN255" s="186"/>
      <c r="BO255" s="187">
        <v>0.95</v>
      </c>
      <c r="BP255" s="178">
        <v>1</v>
      </c>
      <c r="BQ255" s="186">
        <v>2.5000000000000001E-3</v>
      </c>
    </row>
    <row r="256" spans="1:69" s="156" customFormat="1" ht="22.35" customHeight="1" x14ac:dyDescent="0.2">
      <c r="A256" s="165" t="s">
        <v>275</v>
      </c>
      <c r="B256" s="165" t="s">
        <v>318</v>
      </c>
      <c r="C256" s="165" t="s">
        <v>325</v>
      </c>
      <c r="D256" s="166">
        <v>3.04966082633333</v>
      </c>
      <c r="E256" s="167"/>
      <c r="F256" s="168">
        <v>3.7999999999999999E-2</v>
      </c>
      <c r="G256" s="168">
        <v>1.7000000000000001E-2</v>
      </c>
      <c r="H256" s="169"/>
      <c r="I256" s="170">
        <v>5</v>
      </c>
      <c r="J256" s="170">
        <v>4</v>
      </c>
      <c r="K256" s="167"/>
      <c r="L256" s="171">
        <v>687.19646</v>
      </c>
      <c r="M256" s="171">
        <v>2370.8344400000001</v>
      </c>
      <c r="N256" s="171">
        <v>3058.0309000000002</v>
      </c>
      <c r="O256" s="166">
        <v>1002.74459165898</v>
      </c>
      <c r="P256" s="172">
        <v>266.08300000000003</v>
      </c>
      <c r="Q256" s="178">
        <v>3.7685406119856601</v>
      </c>
      <c r="R256" s="179">
        <v>2171.9134113946502</v>
      </c>
      <c r="S256" s="168">
        <v>0.01</v>
      </c>
      <c r="T256" s="168">
        <v>0.01</v>
      </c>
      <c r="U256" s="175">
        <v>0</v>
      </c>
      <c r="V256" s="176">
        <v>0</v>
      </c>
      <c r="W256" s="167"/>
      <c r="X256" s="175">
        <v>1874.3177499999999</v>
      </c>
      <c r="Y256" s="166">
        <v>614.59875597166899</v>
      </c>
      <c r="Z256" s="177">
        <v>573</v>
      </c>
      <c r="AA256" s="182">
        <v>1.0725981779610301</v>
      </c>
      <c r="AB256" s="183">
        <v>-33.903823609985899</v>
      </c>
      <c r="AC256" s="168">
        <v>1.7999999999999999E-2</v>
      </c>
      <c r="AD256" s="168">
        <v>7.0000000000000001E-3</v>
      </c>
      <c r="AE256" s="176">
        <v>0</v>
      </c>
      <c r="AF256" s="176">
        <v>223</v>
      </c>
      <c r="AG256" s="167"/>
      <c r="AH256" s="180">
        <v>114.25</v>
      </c>
      <c r="AI256" s="166">
        <v>37.463182467200802</v>
      </c>
      <c r="AJ256" s="181" t="s">
        <v>53</v>
      </c>
      <c r="AK256" s="173">
        <v>0.594653689955568</v>
      </c>
      <c r="AL256" s="174">
        <v>-95.554466208427797</v>
      </c>
      <c r="AM256" s="168"/>
      <c r="AN256" s="168"/>
      <c r="AO256" s="176">
        <v>78</v>
      </c>
      <c r="AP256" s="176">
        <v>117</v>
      </c>
      <c r="AQ256" s="167"/>
      <c r="AR256" s="180">
        <v>5.5</v>
      </c>
      <c r="AS256" s="166">
        <v>1.8034792434976299</v>
      </c>
      <c r="AT256" s="181" t="s">
        <v>54</v>
      </c>
      <c r="AU256" s="173">
        <v>0.11271745271860199</v>
      </c>
      <c r="AV256" s="174">
        <v>-47.783673957695903</v>
      </c>
      <c r="AW256" s="168"/>
      <c r="AX256" s="168"/>
      <c r="AY256" s="176">
        <v>44</v>
      </c>
      <c r="AZ256" s="176">
        <v>54</v>
      </c>
      <c r="BA256" s="167"/>
      <c r="BB256" s="184">
        <v>97.4</v>
      </c>
      <c r="BC256" s="180">
        <v>31.937977875758001</v>
      </c>
      <c r="BD256" s="181" t="s">
        <v>55</v>
      </c>
      <c r="BE256" s="182">
        <v>0.99806180861743898</v>
      </c>
      <c r="BF256" s="183">
        <v>-9.1673479153918898</v>
      </c>
      <c r="BG256" s="168">
        <v>0.01</v>
      </c>
      <c r="BH256" s="168">
        <v>0</v>
      </c>
      <c r="BI256" s="176">
        <v>1</v>
      </c>
      <c r="BJ256" s="176">
        <v>20</v>
      </c>
      <c r="BK256" s="169"/>
      <c r="BL256" s="185">
        <v>0.8</v>
      </c>
      <c r="BM256" s="182">
        <v>0.85</v>
      </c>
      <c r="BN256" s="186">
        <v>1.8749999999999999E-3</v>
      </c>
      <c r="BO256" s="187">
        <v>0.95</v>
      </c>
      <c r="BP256" s="178">
        <v>1</v>
      </c>
      <c r="BQ256" s="186">
        <v>2.5000000000000001E-3</v>
      </c>
    </row>
    <row r="257" spans="1:69" s="156" customFormat="1" ht="22.35" customHeight="1" x14ac:dyDescent="0.2">
      <c r="A257" s="165" t="s">
        <v>275</v>
      </c>
      <c r="B257" s="165" t="s">
        <v>318</v>
      </c>
      <c r="C257" s="165" t="s">
        <v>326</v>
      </c>
      <c r="D257" s="166">
        <v>2.8493458841111101</v>
      </c>
      <c r="E257" s="167"/>
      <c r="F257" s="168">
        <v>0.05</v>
      </c>
      <c r="G257" s="168">
        <v>3.9E-2</v>
      </c>
      <c r="H257" s="169"/>
      <c r="I257" s="170">
        <v>5</v>
      </c>
      <c r="J257" s="170">
        <v>5</v>
      </c>
      <c r="K257" s="167"/>
      <c r="L257" s="171">
        <v>2423.97183</v>
      </c>
      <c r="M257" s="171">
        <v>2422.7262300000002</v>
      </c>
      <c r="N257" s="171">
        <v>4846.6980599999997</v>
      </c>
      <c r="O257" s="166">
        <v>1700.98621126581</v>
      </c>
      <c r="P257" s="172">
        <v>263.75299999999999</v>
      </c>
      <c r="Q257" s="178">
        <v>6.44916346455134</v>
      </c>
      <c r="R257" s="179">
        <v>4026.0343707306201</v>
      </c>
      <c r="S257" s="168">
        <v>0.01</v>
      </c>
      <c r="T257" s="168">
        <v>0.01</v>
      </c>
      <c r="U257" s="175">
        <v>0</v>
      </c>
      <c r="V257" s="176">
        <v>0</v>
      </c>
      <c r="W257" s="167"/>
      <c r="X257" s="175">
        <v>1820.2441100000001</v>
      </c>
      <c r="Y257" s="166">
        <v>638.82876422630204</v>
      </c>
      <c r="Z257" s="177">
        <v>573</v>
      </c>
      <c r="AA257" s="178">
        <v>1.1148844052814999</v>
      </c>
      <c r="AB257" s="179">
        <v>37.362800777532598</v>
      </c>
      <c r="AC257" s="168">
        <v>0.02</v>
      </c>
      <c r="AD257" s="168">
        <v>1.0999999999999999E-2</v>
      </c>
      <c r="AE257" s="176">
        <v>0</v>
      </c>
      <c r="AF257" s="176">
        <v>139</v>
      </c>
      <c r="AG257" s="167"/>
      <c r="AH257" s="180">
        <v>156.25</v>
      </c>
      <c r="AI257" s="166">
        <v>54.837147315565097</v>
      </c>
      <c r="AJ257" s="181" t="s">
        <v>53</v>
      </c>
      <c r="AK257" s="188">
        <v>0.87043090977087401</v>
      </c>
      <c r="AL257" s="171">
        <v>-39.773599443307901</v>
      </c>
      <c r="AM257" s="168"/>
      <c r="AN257" s="168"/>
      <c r="AO257" s="176">
        <v>24</v>
      </c>
      <c r="AP257" s="176">
        <v>60</v>
      </c>
      <c r="AQ257" s="167"/>
      <c r="AR257" s="180">
        <v>29.9</v>
      </c>
      <c r="AS257" s="166">
        <v>10.4936365103065</v>
      </c>
      <c r="AT257" s="181" t="s">
        <v>54</v>
      </c>
      <c r="AU257" s="173">
        <v>0.65585228189415801</v>
      </c>
      <c r="AV257" s="174">
        <v>-19.883771287189301</v>
      </c>
      <c r="AW257" s="168"/>
      <c r="AX257" s="168"/>
      <c r="AY257" s="176">
        <v>16</v>
      </c>
      <c r="AZ257" s="176">
        <v>25</v>
      </c>
      <c r="BA257" s="167"/>
      <c r="BB257" s="184">
        <v>108</v>
      </c>
      <c r="BC257" s="180">
        <v>37.9034362245186</v>
      </c>
      <c r="BD257" s="181" t="s">
        <v>55</v>
      </c>
      <c r="BE257" s="178">
        <v>1.18448238201621</v>
      </c>
      <c r="BF257" s="179">
        <v>8.4324574256213705</v>
      </c>
      <c r="BG257" s="168">
        <v>0.02</v>
      </c>
      <c r="BH257" s="168">
        <v>1.7999999999999999E-2</v>
      </c>
      <c r="BI257" s="176">
        <v>0</v>
      </c>
      <c r="BJ257" s="176">
        <v>2</v>
      </c>
      <c r="BK257" s="169"/>
      <c r="BL257" s="185">
        <v>0.8</v>
      </c>
      <c r="BM257" s="182">
        <v>0.87</v>
      </c>
      <c r="BN257" s="186">
        <v>2.6250000000000002E-3</v>
      </c>
      <c r="BO257" s="187">
        <v>0.95</v>
      </c>
      <c r="BP257" s="178">
        <v>1</v>
      </c>
      <c r="BQ257" s="186">
        <v>2.5000000000000001E-3</v>
      </c>
    </row>
    <row r="258" spans="1:69" s="156" customFormat="1" ht="22.35" customHeight="1" x14ac:dyDescent="0.2">
      <c r="A258" s="165" t="s">
        <v>275</v>
      </c>
      <c r="B258" s="165" t="s">
        <v>318</v>
      </c>
      <c r="C258" s="165" t="s">
        <v>327</v>
      </c>
      <c r="D258" s="166">
        <v>7.8533208782222204</v>
      </c>
      <c r="E258" s="167"/>
      <c r="F258" s="168">
        <v>3.5000000000000003E-2</v>
      </c>
      <c r="G258" s="168">
        <v>1.6E-2</v>
      </c>
      <c r="H258" s="169"/>
      <c r="I258" s="170">
        <v>5</v>
      </c>
      <c r="J258" s="170">
        <v>4</v>
      </c>
      <c r="K258" s="167"/>
      <c r="L258" s="171">
        <v>4301.7128700000003</v>
      </c>
      <c r="M258" s="171">
        <v>-1270.0618999999999</v>
      </c>
      <c r="N258" s="171">
        <v>3031.6509700000001</v>
      </c>
      <c r="O258" s="166">
        <v>386.03426716040201</v>
      </c>
      <c r="P258" s="172">
        <v>267.36500000000001</v>
      </c>
      <c r="Q258" s="178">
        <v>1.4438474264036101</v>
      </c>
      <c r="R258" s="179">
        <v>738.77514482637503</v>
      </c>
      <c r="S258" s="168">
        <v>0.01</v>
      </c>
      <c r="T258" s="168">
        <v>0.01</v>
      </c>
      <c r="U258" s="175">
        <v>0</v>
      </c>
      <c r="V258" s="176">
        <v>0</v>
      </c>
      <c r="W258" s="167"/>
      <c r="X258" s="175">
        <v>4756.6229499999999</v>
      </c>
      <c r="Y258" s="166">
        <v>605.68300006566994</v>
      </c>
      <c r="Z258" s="177">
        <v>573</v>
      </c>
      <c r="AA258" s="182">
        <v>1.0570383945299699</v>
      </c>
      <c r="AB258" s="183">
        <v>-157.32557663769501</v>
      </c>
      <c r="AC258" s="168">
        <v>1.6E-2</v>
      </c>
      <c r="AD258" s="168">
        <v>6.0000000000000001E-3</v>
      </c>
      <c r="AE258" s="176">
        <v>0</v>
      </c>
      <c r="AF258" s="176">
        <v>644</v>
      </c>
      <c r="AG258" s="167"/>
      <c r="AH258" s="180">
        <v>415.3</v>
      </c>
      <c r="AI258" s="166">
        <v>52.882087264720603</v>
      </c>
      <c r="AJ258" s="181" t="s">
        <v>53</v>
      </c>
      <c r="AK258" s="188">
        <v>0.83939821055112096</v>
      </c>
      <c r="AL258" s="171">
        <v>-124.97706313817601</v>
      </c>
      <c r="AM258" s="168"/>
      <c r="AN258" s="168"/>
      <c r="AO258" s="176">
        <v>80</v>
      </c>
      <c r="AP258" s="176">
        <v>179</v>
      </c>
      <c r="AQ258" s="167"/>
      <c r="AR258" s="180">
        <v>61.6</v>
      </c>
      <c r="AS258" s="166">
        <v>7.8438154960433204</v>
      </c>
      <c r="AT258" s="181" t="s">
        <v>54</v>
      </c>
      <c r="AU258" s="173">
        <v>0.49023846850270802</v>
      </c>
      <c r="AV258" s="174">
        <v>-75.613222384298595</v>
      </c>
      <c r="AW258" s="168"/>
      <c r="AX258" s="168"/>
      <c r="AY258" s="176">
        <v>65</v>
      </c>
      <c r="AZ258" s="176">
        <v>90</v>
      </c>
      <c r="BA258" s="167"/>
      <c r="BB258" s="184">
        <v>250.2</v>
      </c>
      <c r="BC258" s="180">
        <v>31.859133719318798</v>
      </c>
      <c r="BD258" s="181" t="s">
        <v>55</v>
      </c>
      <c r="BE258" s="182">
        <v>0.995597928728713</v>
      </c>
      <c r="BF258" s="183">
        <v>-24.226444768597201</v>
      </c>
      <c r="BG258" s="168">
        <v>8.9999999999999993E-3</v>
      </c>
      <c r="BH258" s="168">
        <v>0</v>
      </c>
      <c r="BI258" s="176">
        <v>2</v>
      </c>
      <c r="BJ258" s="176">
        <v>52</v>
      </c>
      <c r="BK258" s="169"/>
      <c r="BL258" s="185">
        <v>0.8</v>
      </c>
      <c r="BM258" s="182">
        <v>0.81</v>
      </c>
      <c r="BN258" s="186">
        <v>3.7500000000000001E-4</v>
      </c>
      <c r="BO258" s="187">
        <v>0.95</v>
      </c>
      <c r="BP258" s="178">
        <v>1</v>
      </c>
      <c r="BQ258" s="186">
        <v>2.5000000000000001E-3</v>
      </c>
    </row>
    <row r="259" spans="1:69" s="156" customFormat="1" ht="22.35" customHeight="1" x14ac:dyDescent="0.2">
      <c r="A259" s="165" t="s">
        <v>275</v>
      </c>
      <c r="B259" s="165" t="s">
        <v>318</v>
      </c>
      <c r="C259" s="165" t="s">
        <v>328</v>
      </c>
      <c r="D259" s="166">
        <v>8.9100383940000007</v>
      </c>
      <c r="E259" s="167"/>
      <c r="F259" s="168">
        <v>3.0000000000000001E-3</v>
      </c>
      <c r="G259" s="168"/>
      <c r="H259" s="169"/>
      <c r="I259" s="170">
        <v>2</v>
      </c>
      <c r="J259" s="170">
        <v>1</v>
      </c>
      <c r="K259" s="167"/>
      <c r="L259" s="171">
        <v>4024.8695699999998</v>
      </c>
      <c r="M259" s="171">
        <v>-1955.86383</v>
      </c>
      <c r="N259" s="171">
        <v>2069.0057400000001</v>
      </c>
      <c r="O259" s="166">
        <v>232.21064248087501</v>
      </c>
      <c r="P259" s="172">
        <v>266.08300000000003</v>
      </c>
      <c r="Q259" s="188">
        <v>0.87270003149721898</v>
      </c>
      <c r="R259" s="171">
        <v>-519.91850262184698</v>
      </c>
      <c r="S259" s="168"/>
      <c r="T259" s="168"/>
      <c r="U259" s="175">
        <v>302</v>
      </c>
      <c r="V259" s="176">
        <v>776</v>
      </c>
      <c r="W259" s="167"/>
      <c r="X259" s="175">
        <v>3567.6172350000002</v>
      </c>
      <c r="Y259" s="166">
        <v>400.40424936916401</v>
      </c>
      <c r="Z259" s="177">
        <v>573</v>
      </c>
      <c r="AA259" s="173">
        <v>0.69878577551337495</v>
      </c>
      <c r="AB259" s="174">
        <v>-2007.5363487401</v>
      </c>
      <c r="AC259" s="168"/>
      <c r="AD259" s="168"/>
      <c r="AE259" s="176">
        <v>1538</v>
      </c>
      <c r="AF259" s="176">
        <v>2559</v>
      </c>
      <c r="AG259" s="167"/>
      <c r="AH259" s="180">
        <v>404.45</v>
      </c>
      <c r="AI259" s="166">
        <v>45.392621458551197</v>
      </c>
      <c r="AJ259" s="181" t="s">
        <v>53</v>
      </c>
      <c r="AK259" s="173">
        <v>0.720517800929385</v>
      </c>
      <c r="AL259" s="174">
        <v>-208.52500135362399</v>
      </c>
      <c r="AM259" s="168"/>
      <c r="AN259" s="168"/>
      <c r="AO259" s="176">
        <v>157</v>
      </c>
      <c r="AP259" s="176">
        <v>270</v>
      </c>
      <c r="AQ259" s="167"/>
      <c r="AR259" s="180">
        <v>60.6</v>
      </c>
      <c r="AS259" s="166">
        <v>6.8013174938514203</v>
      </c>
      <c r="AT259" s="181" t="s">
        <v>54</v>
      </c>
      <c r="AU259" s="173">
        <v>0.42508234336571399</v>
      </c>
      <c r="AV259" s="174">
        <v>-95.076190819968005</v>
      </c>
      <c r="AW259" s="168"/>
      <c r="AX259" s="168"/>
      <c r="AY259" s="176">
        <v>82</v>
      </c>
      <c r="AZ259" s="176">
        <v>111</v>
      </c>
      <c r="BA259" s="167"/>
      <c r="BB259" s="184">
        <v>267.2</v>
      </c>
      <c r="BC259" s="180">
        <v>29.9886474316353</v>
      </c>
      <c r="BD259" s="181" t="s">
        <v>55</v>
      </c>
      <c r="BE259" s="182">
        <v>0.93714523223860302</v>
      </c>
      <c r="BF259" s="183">
        <v>-44.152381639936003</v>
      </c>
      <c r="BG259" s="168">
        <v>3.0000000000000001E-3</v>
      </c>
      <c r="BH259" s="168"/>
      <c r="BI259" s="176">
        <v>18</v>
      </c>
      <c r="BJ259" s="176">
        <v>75</v>
      </c>
      <c r="BK259" s="169"/>
      <c r="BL259" s="185">
        <v>0.8</v>
      </c>
      <c r="BM259" s="188">
        <v>0.73</v>
      </c>
      <c r="BN259" s="186"/>
      <c r="BO259" s="187">
        <v>0.95</v>
      </c>
      <c r="BP259" s="178">
        <v>1</v>
      </c>
      <c r="BQ259" s="186">
        <v>2.5000000000000001E-3</v>
      </c>
    </row>
    <row r="260" spans="1:69" s="156" customFormat="1" ht="22.35" customHeight="1" x14ac:dyDescent="0.2">
      <c r="A260" s="165" t="s">
        <v>275</v>
      </c>
      <c r="B260" s="165" t="s">
        <v>318</v>
      </c>
      <c r="C260" s="165" t="s">
        <v>329</v>
      </c>
      <c r="D260" s="166">
        <v>3.7235578407777798</v>
      </c>
      <c r="E260" s="167"/>
      <c r="F260" s="168">
        <v>5.8000000000000003E-2</v>
      </c>
      <c r="G260" s="168">
        <v>0.05</v>
      </c>
      <c r="H260" s="169"/>
      <c r="I260" s="170">
        <v>5</v>
      </c>
      <c r="J260" s="170">
        <v>4</v>
      </c>
      <c r="K260" s="167"/>
      <c r="L260" s="171">
        <v>1445.00873</v>
      </c>
      <c r="M260" s="171">
        <v>1335.5442399999999</v>
      </c>
      <c r="N260" s="171">
        <v>2780.5529700000002</v>
      </c>
      <c r="O260" s="166">
        <v>746.74628108346997</v>
      </c>
      <c r="P260" s="172">
        <v>287.5</v>
      </c>
      <c r="Q260" s="178">
        <v>2.59737836898598</v>
      </c>
      <c r="R260" s="179">
        <v>1611.5419858878199</v>
      </c>
      <c r="S260" s="168">
        <v>0.01</v>
      </c>
      <c r="T260" s="168">
        <v>0.01</v>
      </c>
      <c r="U260" s="175">
        <v>0</v>
      </c>
      <c r="V260" s="176">
        <v>0</v>
      </c>
      <c r="W260" s="167"/>
      <c r="X260" s="175">
        <v>2821.0601550000001</v>
      </c>
      <c r="Y260" s="166">
        <v>757.62490489760603</v>
      </c>
      <c r="Z260" s="177">
        <v>573</v>
      </c>
      <c r="AA260" s="178">
        <v>1.3222075129103099</v>
      </c>
      <c r="AB260" s="179">
        <v>491.17043709989002</v>
      </c>
      <c r="AC260" s="168">
        <v>0.02</v>
      </c>
      <c r="AD260" s="168">
        <v>0.02</v>
      </c>
      <c r="AE260" s="176">
        <v>0</v>
      </c>
      <c r="AF260" s="176">
        <v>0</v>
      </c>
      <c r="AG260" s="167"/>
      <c r="AH260" s="180">
        <v>230.55</v>
      </c>
      <c r="AI260" s="166">
        <v>61.916588880446298</v>
      </c>
      <c r="AJ260" s="181" t="s">
        <v>53</v>
      </c>
      <c r="AK260" s="182">
        <v>0.98280299810232197</v>
      </c>
      <c r="AL260" s="183">
        <v>-25.6158852141482</v>
      </c>
      <c r="AM260" s="168">
        <v>8.0000000000000002E-3</v>
      </c>
      <c r="AN260" s="168"/>
      <c r="AO260" s="176">
        <v>5</v>
      </c>
      <c r="AP260" s="176">
        <v>51</v>
      </c>
      <c r="AQ260" s="167"/>
      <c r="AR260" s="180">
        <v>29.2</v>
      </c>
      <c r="AS260" s="166">
        <v>7.8419622438040903</v>
      </c>
      <c r="AT260" s="181" t="s">
        <v>54</v>
      </c>
      <c r="AU260" s="173">
        <v>0.49012264023775598</v>
      </c>
      <c r="AV260" s="174">
        <v>-35.858002594069397</v>
      </c>
      <c r="AW260" s="168"/>
      <c r="AX260" s="168"/>
      <c r="AY260" s="176">
        <v>31</v>
      </c>
      <c r="AZ260" s="176">
        <v>43</v>
      </c>
      <c r="BA260" s="167"/>
      <c r="BB260" s="184">
        <v>153.80000000000001</v>
      </c>
      <c r="BC260" s="180">
        <v>41.304581955379</v>
      </c>
      <c r="BD260" s="181" t="s">
        <v>55</v>
      </c>
      <c r="BE260" s="178">
        <v>1.2907681861056</v>
      </c>
      <c r="BF260" s="179">
        <v>23.6839948118613</v>
      </c>
      <c r="BG260" s="168">
        <v>0.02</v>
      </c>
      <c r="BH260" s="168">
        <v>0.02</v>
      </c>
      <c r="BI260" s="176">
        <v>0</v>
      </c>
      <c r="BJ260" s="176">
        <v>0</v>
      </c>
      <c r="BK260" s="169"/>
      <c r="BL260" s="185">
        <v>0.8</v>
      </c>
      <c r="BM260" s="188">
        <v>0.78</v>
      </c>
      <c r="BN260" s="186"/>
      <c r="BO260" s="187">
        <v>0.95</v>
      </c>
      <c r="BP260" s="178">
        <v>1</v>
      </c>
      <c r="BQ260" s="186">
        <v>2.5000000000000001E-3</v>
      </c>
    </row>
    <row r="261" spans="1:69" s="156" customFormat="1" ht="22.35" customHeight="1" x14ac:dyDescent="0.2">
      <c r="A261" s="165" t="s">
        <v>275</v>
      </c>
      <c r="B261" s="165" t="s">
        <v>318</v>
      </c>
      <c r="C261" s="165" t="s">
        <v>330</v>
      </c>
      <c r="D261" s="166">
        <v>2.4875433197777799</v>
      </c>
      <c r="E261" s="167"/>
      <c r="F261" s="168">
        <v>3.4000000000000002E-2</v>
      </c>
      <c r="G261" s="168">
        <v>2.4E-2</v>
      </c>
      <c r="H261" s="169"/>
      <c r="I261" s="170">
        <v>6</v>
      </c>
      <c r="J261" s="170">
        <v>4</v>
      </c>
      <c r="K261" s="167"/>
      <c r="L261" s="171">
        <v>486.73545999999999</v>
      </c>
      <c r="M261" s="171">
        <v>822.65927999999997</v>
      </c>
      <c r="N261" s="171">
        <v>1309.39474</v>
      </c>
      <c r="O261" s="166">
        <v>526.38067831396495</v>
      </c>
      <c r="P261" s="172">
        <v>263.75299999999999</v>
      </c>
      <c r="Q261" s="178">
        <v>1.99573342602346</v>
      </c>
      <c r="R261" s="179">
        <v>592.93680156228697</v>
      </c>
      <c r="S261" s="168">
        <v>0.01</v>
      </c>
      <c r="T261" s="168">
        <v>0.01</v>
      </c>
      <c r="U261" s="175">
        <v>0</v>
      </c>
      <c r="V261" s="176">
        <v>0</v>
      </c>
      <c r="W261" s="167"/>
      <c r="X261" s="175">
        <v>1308.4677750000001</v>
      </c>
      <c r="Y261" s="166">
        <v>526.00803555730295</v>
      </c>
      <c r="Z261" s="177">
        <v>573</v>
      </c>
      <c r="AA261" s="182">
        <v>0.91798959085044096</v>
      </c>
      <c r="AB261" s="183">
        <v>-248.027880878074</v>
      </c>
      <c r="AC261" s="168">
        <v>1E-3</v>
      </c>
      <c r="AD261" s="168"/>
      <c r="AE261" s="176">
        <v>117</v>
      </c>
      <c r="AF261" s="176">
        <v>402</v>
      </c>
      <c r="AG261" s="167"/>
      <c r="AH261" s="180">
        <v>147.6</v>
      </c>
      <c r="AI261" s="166">
        <v>59.335650087567402</v>
      </c>
      <c r="AJ261" s="181" t="s">
        <v>53</v>
      </c>
      <c r="AK261" s="182">
        <v>0.94183571567567304</v>
      </c>
      <c r="AL261" s="183">
        <v>-23.533030227432199</v>
      </c>
      <c r="AM261" s="168">
        <v>3.0000000000000001E-3</v>
      </c>
      <c r="AN261" s="168"/>
      <c r="AO261" s="176">
        <v>10</v>
      </c>
      <c r="AP261" s="176">
        <v>41</v>
      </c>
      <c r="AQ261" s="167"/>
      <c r="AR261" s="180">
        <v>16.399999999999999</v>
      </c>
      <c r="AS261" s="166">
        <v>6.5928500097297098</v>
      </c>
      <c r="AT261" s="181" t="s">
        <v>54</v>
      </c>
      <c r="AU261" s="173">
        <v>0.41205312560810697</v>
      </c>
      <c r="AV261" s="174">
        <v>-27.062356883157399</v>
      </c>
      <c r="AW261" s="168"/>
      <c r="AX261" s="168"/>
      <c r="AY261" s="176">
        <v>24</v>
      </c>
      <c r="AZ261" s="176">
        <v>32</v>
      </c>
      <c r="BA261" s="167"/>
      <c r="BB261" s="184">
        <v>90.6</v>
      </c>
      <c r="BC261" s="180">
        <v>36.421476273262897</v>
      </c>
      <c r="BD261" s="181" t="s">
        <v>55</v>
      </c>
      <c r="BE261" s="178">
        <v>1.13817113353947</v>
      </c>
      <c r="BF261" s="179">
        <v>3.6752862336852399</v>
      </c>
      <c r="BG261" s="168">
        <v>0.02</v>
      </c>
      <c r="BH261" s="168">
        <v>1.4E-2</v>
      </c>
      <c r="BI261" s="176">
        <v>0</v>
      </c>
      <c r="BJ261" s="176">
        <v>5</v>
      </c>
      <c r="BK261" s="169"/>
      <c r="BL261" s="185">
        <v>0.8</v>
      </c>
      <c r="BM261" s="182">
        <v>0.9</v>
      </c>
      <c r="BN261" s="186">
        <v>3.7499999999999999E-3</v>
      </c>
      <c r="BO261" s="187">
        <v>0.95</v>
      </c>
      <c r="BP261" s="178">
        <v>1</v>
      </c>
      <c r="BQ261" s="186">
        <v>2.5000000000000001E-3</v>
      </c>
    </row>
    <row r="262" spans="1:69" s="156" customFormat="1" ht="22.35" customHeight="1" x14ac:dyDescent="0.2">
      <c r="A262" s="165" t="s">
        <v>275</v>
      </c>
      <c r="B262" s="165" t="s">
        <v>318</v>
      </c>
      <c r="C262" s="165" t="s">
        <v>331</v>
      </c>
      <c r="D262" s="166">
        <v>2.6455275504444402</v>
      </c>
      <c r="E262" s="167"/>
      <c r="F262" s="168">
        <v>7.0000000000000007E-2</v>
      </c>
      <c r="G262" s="168">
        <v>6.8000000000000005E-2</v>
      </c>
      <c r="H262" s="169"/>
      <c r="I262" s="170">
        <v>6</v>
      </c>
      <c r="J262" s="170">
        <v>6</v>
      </c>
      <c r="K262" s="167"/>
      <c r="L262" s="171">
        <v>594.21762999999999</v>
      </c>
      <c r="M262" s="171">
        <v>221.00318999999999</v>
      </c>
      <c r="N262" s="171">
        <v>815.22082</v>
      </c>
      <c r="O262" s="166">
        <v>308.15056900958899</v>
      </c>
      <c r="P262" s="172">
        <v>266.08300000000003</v>
      </c>
      <c r="Q262" s="178">
        <v>1.15809942390002</v>
      </c>
      <c r="R262" s="179">
        <v>46.529361332240697</v>
      </c>
      <c r="S262" s="168">
        <v>0.01</v>
      </c>
      <c r="T262" s="168">
        <v>8.0000000000000002E-3</v>
      </c>
      <c r="U262" s="175">
        <v>0</v>
      </c>
      <c r="V262" s="176">
        <v>30</v>
      </c>
      <c r="W262" s="167"/>
      <c r="X262" s="175">
        <v>1911.418365</v>
      </c>
      <c r="Y262" s="166">
        <v>722.50934021794001</v>
      </c>
      <c r="Z262" s="177">
        <v>573</v>
      </c>
      <c r="AA262" s="178">
        <v>1.2609238049178699</v>
      </c>
      <c r="AB262" s="179">
        <v>256.06944824610702</v>
      </c>
      <c r="AC262" s="168">
        <v>0.02</v>
      </c>
      <c r="AD262" s="168">
        <v>0.02</v>
      </c>
      <c r="AE262" s="176">
        <v>0</v>
      </c>
      <c r="AF262" s="176">
        <v>0</v>
      </c>
      <c r="AG262" s="167"/>
      <c r="AH262" s="180">
        <v>269.45</v>
      </c>
      <c r="AI262" s="166">
        <v>101.85114116643101</v>
      </c>
      <c r="AJ262" s="181" t="s">
        <v>53</v>
      </c>
      <c r="AK262" s="178">
        <v>1.6166847804195399</v>
      </c>
      <c r="AL262" s="179">
        <v>87.4482866396243</v>
      </c>
      <c r="AM262" s="168">
        <v>0.02</v>
      </c>
      <c r="AN262" s="168">
        <v>0.02</v>
      </c>
      <c r="AO262" s="176">
        <v>0</v>
      </c>
      <c r="AP262" s="176">
        <v>0</v>
      </c>
      <c r="AQ262" s="167"/>
      <c r="AR262" s="180">
        <v>31.2</v>
      </c>
      <c r="AS262" s="166">
        <v>11.793488975292799</v>
      </c>
      <c r="AT262" s="181" t="s">
        <v>54</v>
      </c>
      <c r="AU262" s="188">
        <v>0.73709306095580096</v>
      </c>
      <c r="AV262" s="171">
        <v>-15.022657361365299</v>
      </c>
      <c r="AW262" s="168"/>
      <c r="AX262" s="168"/>
      <c r="AY262" s="176">
        <v>12</v>
      </c>
      <c r="AZ262" s="176">
        <v>20</v>
      </c>
      <c r="BA262" s="167"/>
      <c r="BB262" s="184">
        <v>167.8</v>
      </c>
      <c r="BC262" s="180">
        <v>63.427802886350499</v>
      </c>
      <c r="BD262" s="181" t="s">
        <v>55</v>
      </c>
      <c r="BE262" s="178">
        <v>1.98211884019845</v>
      </c>
      <c r="BF262" s="179">
        <v>75.354685277269496</v>
      </c>
      <c r="BG262" s="168">
        <v>0.02</v>
      </c>
      <c r="BH262" s="168">
        <v>0.02</v>
      </c>
      <c r="BI262" s="176">
        <v>0</v>
      </c>
      <c r="BJ262" s="176">
        <v>0</v>
      </c>
      <c r="BK262" s="169"/>
      <c r="BL262" s="185">
        <v>0.8</v>
      </c>
      <c r="BM262" s="182">
        <v>0.81</v>
      </c>
      <c r="BN262" s="186">
        <v>3.7500000000000001E-4</v>
      </c>
      <c r="BO262" s="187">
        <v>0.95</v>
      </c>
      <c r="BP262" s="178">
        <v>1</v>
      </c>
      <c r="BQ262" s="186">
        <v>2.5000000000000001E-3</v>
      </c>
    </row>
    <row r="263" spans="1:69" s="156" customFormat="1" ht="22.35" customHeight="1" x14ac:dyDescent="0.2">
      <c r="A263" s="165" t="s">
        <v>275</v>
      </c>
      <c r="B263" s="165" t="s">
        <v>318</v>
      </c>
      <c r="C263" s="165" t="s">
        <v>332</v>
      </c>
      <c r="D263" s="166">
        <v>2.5458872463333302</v>
      </c>
      <c r="E263" s="167"/>
      <c r="F263" s="168">
        <v>3.1E-2</v>
      </c>
      <c r="G263" s="168">
        <v>1.9E-2</v>
      </c>
      <c r="H263" s="169"/>
      <c r="I263" s="170">
        <v>4</v>
      </c>
      <c r="J263" s="170">
        <v>3</v>
      </c>
      <c r="K263" s="167"/>
      <c r="L263" s="171">
        <v>1751.53935</v>
      </c>
      <c r="M263" s="171">
        <v>1246.39967</v>
      </c>
      <c r="N263" s="171">
        <v>2997.9390199999998</v>
      </c>
      <c r="O263" s="166">
        <v>1177.5615845979501</v>
      </c>
      <c r="P263" s="172">
        <v>287.5</v>
      </c>
      <c r="Q263" s="178">
        <v>4.0958663812102598</v>
      </c>
      <c r="R263" s="179">
        <v>2198.65771901365</v>
      </c>
      <c r="S263" s="168">
        <v>0.01</v>
      </c>
      <c r="T263" s="168">
        <v>0.01</v>
      </c>
      <c r="U263" s="175">
        <v>0</v>
      </c>
      <c r="V263" s="176">
        <v>0</v>
      </c>
      <c r="W263" s="167"/>
      <c r="X263" s="175">
        <v>1334.525445</v>
      </c>
      <c r="Y263" s="166">
        <v>524.18874674124902</v>
      </c>
      <c r="Z263" s="177">
        <v>573</v>
      </c>
      <c r="AA263" s="182">
        <v>0.91481456673865502</v>
      </c>
      <c r="AB263" s="183">
        <v>-258.47693922670601</v>
      </c>
      <c r="AC263" s="168">
        <v>1E-3</v>
      </c>
      <c r="AD263" s="168"/>
      <c r="AE263" s="176">
        <v>125</v>
      </c>
      <c r="AF263" s="176">
        <v>417</v>
      </c>
      <c r="AG263" s="167"/>
      <c r="AH263" s="180">
        <v>115.95</v>
      </c>
      <c r="AI263" s="166">
        <v>45.544043699105202</v>
      </c>
      <c r="AJ263" s="181" t="s">
        <v>53</v>
      </c>
      <c r="AK263" s="173">
        <v>0.72292132855722602</v>
      </c>
      <c r="AL263" s="174">
        <v>-59.1968589987478</v>
      </c>
      <c r="AM263" s="168"/>
      <c r="AN263" s="168"/>
      <c r="AO263" s="176">
        <v>45</v>
      </c>
      <c r="AP263" s="176">
        <v>77</v>
      </c>
      <c r="AQ263" s="167"/>
      <c r="AR263" s="180">
        <v>9.8000000000000007</v>
      </c>
      <c r="AS263" s="166">
        <v>3.8493456511533499</v>
      </c>
      <c r="AT263" s="181" t="s">
        <v>54</v>
      </c>
      <c r="AU263" s="173">
        <v>0.24058410319708401</v>
      </c>
      <c r="AV263" s="174">
        <v>-34.681741967935899</v>
      </c>
      <c r="AW263" s="168"/>
      <c r="AX263" s="168"/>
      <c r="AY263" s="176">
        <v>31</v>
      </c>
      <c r="AZ263" s="176">
        <v>40</v>
      </c>
      <c r="BA263" s="167"/>
      <c r="BB263" s="184">
        <v>88.6</v>
      </c>
      <c r="BC263" s="180">
        <v>34.801227009406801</v>
      </c>
      <c r="BD263" s="181" t="s">
        <v>55</v>
      </c>
      <c r="BE263" s="178">
        <v>1.0875383440439601</v>
      </c>
      <c r="BF263" s="179">
        <v>-0.36348393587188399</v>
      </c>
      <c r="BG263" s="168">
        <v>0.02</v>
      </c>
      <c r="BH263" s="168">
        <v>8.9999999999999993E-3</v>
      </c>
      <c r="BI263" s="176">
        <v>0</v>
      </c>
      <c r="BJ263" s="176">
        <v>10</v>
      </c>
      <c r="BK263" s="169"/>
      <c r="BL263" s="185">
        <v>0.8</v>
      </c>
      <c r="BM263" s="188">
        <v>0.8</v>
      </c>
      <c r="BN263" s="186">
        <v>0</v>
      </c>
      <c r="BO263" s="187">
        <v>0.95</v>
      </c>
      <c r="BP263" s="178">
        <v>1</v>
      </c>
      <c r="BQ263" s="186">
        <v>2.5000000000000001E-3</v>
      </c>
    </row>
    <row r="264" spans="1:69" s="156" customFormat="1" ht="22.35" customHeight="1" x14ac:dyDescent="0.2">
      <c r="A264" s="165" t="s">
        <v>275</v>
      </c>
      <c r="B264" s="165" t="s">
        <v>318</v>
      </c>
      <c r="C264" s="165" t="s">
        <v>333</v>
      </c>
      <c r="D264" s="166">
        <v>2.3152426593333302</v>
      </c>
      <c r="E264" s="167"/>
      <c r="F264" s="168">
        <v>0.03</v>
      </c>
      <c r="G264" s="168">
        <v>1.9E-2</v>
      </c>
      <c r="H264" s="169"/>
      <c r="I264" s="170">
        <v>4</v>
      </c>
      <c r="J264" s="170">
        <v>4</v>
      </c>
      <c r="K264" s="167"/>
      <c r="L264" s="171">
        <v>1949.9929</v>
      </c>
      <c r="M264" s="171">
        <v>-1191.20679</v>
      </c>
      <c r="N264" s="171">
        <v>758.78611000000001</v>
      </c>
      <c r="O264" s="166">
        <v>327.73502463819102</v>
      </c>
      <c r="P264" s="172">
        <v>247.95</v>
      </c>
      <c r="Q264" s="178">
        <v>1.32177868375959</v>
      </c>
      <c r="R264" s="179">
        <v>131.907766219184</v>
      </c>
      <c r="S264" s="168">
        <v>0.01</v>
      </c>
      <c r="T264" s="168">
        <v>0.01</v>
      </c>
      <c r="U264" s="175">
        <v>0</v>
      </c>
      <c r="V264" s="176">
        <v>0</v>
      </c>
      <c r="W264" s="167"/>
      <c r="X264" s="175">
        <v>1445.844525</v>
      </c>
      <c r="Y264" s="166">
        <v>624.48941115154003</v>
      </c>
      <c r="Z264" s="177">
        <v>573</v>
      </c>
      <c r="AA264" s="178">
        <v>1.08985935628541</v>
      </c>
      <c r="AB264" s="179">
        <v>-2.83985082741401</v>
      </c>
      <c r="AC264" s="168">
        <v>0.02</v>
      </c>
      <c r="AD264" s="168">
        <v>8.9999999999999993E-3</v>
      </c>
      <c r="AE264" s="176">
        <v>0</v>
      </c>
      <c r="AF264" s="176">
        <v>147</v>
      </c>
      <c r="AG264" s="167"/>
      <c r="AH264" s="180">
        <v>68.349999999999994</v>
      </c>
      <c r="AI264" s="166">
        <v>29.521743530624601</v>
      </c>
      <c r="AJ264" s="181" t="s">
        <v>53</v>
      </c>
      <c r="AK264" s="173">
        <v>0.46859910366070801</v>
      </c>
      <c r="AL264" s="174">
        <v>-90.929433991495799</v>
      </c>
      <c r="AM264" s="168"/>
      <c r="AN264" s="168"/>
      <c r="AO264" s="176">
        <v>78</v>
      </c>
      <c r="AP264" s="176">
        <v>107</v>
      </c>
      <c r="AQ264" s="167"/>
      <c r="AR264" s="180">
        <v>6</v>
      </c>
      <c r="AS264" s="166">
        <v>2.5915210121982102</v>
      </c>
      <c r="AT264" s="181" t="s">
        <v>54</v>
      </c>
      <c r="AU264" s="173">
        <v>0.161970063262388</v>
      </c>
      <c r="AV264" s="174">
        <v>-34.451919743871898</v>
      </c>
      <c r="AW264" s="168"/>
      <c r="AX264" s="168"/>
      <c r="AY264" s="176">
        <v>32</v>
      </c>
      <c r="AZ264" s="176">
        <v>39</v>
      </c>
      <c r="BA264" s="167"/>
      <c r="BB264" s="184">
        <v>61</v>
      </c>
      <c r="BC264" s="180">
        <v>26.3471302906818</v>
      </c>
      <c r="BD264" s="181" t="s">
        <v>55</v>
      </c>
      <c r="BE264" s="188">
        <v>0.82334782158380704</v>
      </c>
      <c r="BF264" s="171">
        <v>-19.903839487743902</v>
      </c>
      <c r="BG264" s="168"/>
      <c r="BH264" s="168"/>
      <c r="BI264" s="176">
        <v>14</v>
      </c>
      <c r="BJ264" s="176">
        <v>28</v>
      </c>
      <c r="BK264" s="169"/>
      <c r="BL264" s="185">
        <v>0.8</v>
      </c>
      <c r="BM264" s="182">
        <v>0.86</v>
      </c>
      <c r="BN264" s="186">
        <v>2.2499999999999998E-3</v>
      </c>
      <c r="BO264" s="187">
        <v>0.95</v>
      </c>
      <c r="BP264" s="178">
        <v>1</v>
      </c>
      <c r="BQ264" s="186">
        <v>2.5000000000000001E-3</v>
      </c>
    </row>
    <row r="265" spans="1:69" s="156" customFormat="1" ht="22.35" customHeight="1" x14ac:dyDescent="0.2">
      <c r="A265" s="165" t="s">
        <v>275</v>
      </c>
      <c r="B265" s="165" t="s">
        <v>318</v>
      </c>
      <c r="C265" s="165" t="s">
        <v>334</v>
      </c>
      <c r="D265" s="166">
        <v>8.72427697</v>
      </c>
      <c r="E265" s="167"/>
      <c r="F265" s="168">
        <v>1.4999999999999999E-2</v>
      </c>
      <c r="G265" s="168">
        <v>0.01</v>
      </c>
      <c r="H265" s="169"/>
      <c r="I265" s="170">
        <v>3</v>
      </c>
      <c r="J265" s="170">
        <v>2</v>
      </c>
      <c r="K265" s="167"/>
      <c r="L265" s="171">
        <v>9726.3323999999993</v>
      </c>
      <c r="M265" s="171">
        <v>919.89266999999995</v>
      </c>
      <c r="N265" s="171">
        <v>10646.22507</v>
      </c>
      <c r="O265" s="166">
        <v>1220.2988404206999</v>
      </c>
      <c r="P265" s="172">
        <v>287.5</v>
      </c>
      <c r="Q265" s="178">
        <v>4.2445177058111296</v>
      </c>
      <c r="R265" s="179">
        <v>7907.2383152684997</v>
      </c>
      <c r="S265" s="168">
        <v>0.01</v>
      </c>
      <c r="T265" s="168">
        <v>0.01</v>
      </c>
      <c r="U265" s="175">
        <v>0</v>
      </c>
      <c r="V265" s="176">
        <v>0</v>
      </c>
      <c r="W265" s="167"/>
      <c r="X265" s="175">
        <v>3451.98261</v>
      </c>
      <c r="Y265" s="166">
        <v>395.67549515796702</v>
      </c>
      <c r="Z265" s="177">
        <v>573</v>
      </c>
      <c r="AA265" s="173">
        <v>0.69053315036294405</v>
      </c>
      <c r="AB265" s="174">
        <v>-2006.9370785605199</v>
      </c>
      <c r="AC265" s="168"/>
      <c r="AD265" s="168"/>
      <c r="AE265" s="176">
        <v>1548</v>
      </c>
      <c r="AF265" s="176">
        <v>2547</v>
      </c>
      <c r="AG265" s="167"/>
      <c r="AH265" s="180">
        <v>489.75</v>
      </c>
      <c r="AI265" s="166">
        <v>56.136457116629103</v>
      </c>
      <c r="AJ265" s="181" t="s">
        <v>53</v>
      </c>
      <c r="AK265" s="188">
        <v>0.89105487486712898</v>
      </c>
      <c r="AL265" s="171">
        <v>-110.44535842812</v>
      </c>
      <c r="AM265" s="168"/>
      <c r="AN265" s="168"/>
      <c r="AO265" s="176">
        <v>60</v>
      </c>
      <c r="AP265" s="176">
        <v>170</v>
      </c>
      <c r="AQ265" s="167"/>
      <c r="AR265" s="180">
        <v>24.6</v>
      </c>
      <c r="AS265" s="166">
        <v>2.8197179072365</v>
      </c>
      <c r="AT265" s="181" t="s">
        <v>54</v>
      </c>
      <c r="AU265" s="173">
        <v>0.176232369202281</v>
      </c>
      <c r="AV265" s="174">
        <v>-127.83056721984001</v>
      </c>
      <c r="AW265" s="168"/>
      <c r="AX265" s="168"/>
      <c r="AY265" s="176">
        <v>115</v>
      </c>
      <c r="AZ265" s="176">
        <v>143</v>
      </c>
      <c r="BA265" s="167"/>
      <c r="BB265" s="184">
        <v>267</v>
      </c>
      <c r="BC265" s="180">
        <v>30.604255334640101</v>
      </c>
      <c r="BD265" s="181" t="s">
        <v>55</v>
      </c>
      <c r="BE265" s="182">
        <v>0.95638297920750204</v>
      </c>
      <c r="BF265" s="183">
        <v>-37.861134439680001</v>
      </c>
      <c r="BG265" s="168">
        <v>5.0000000000000001E-3</v>
      </c>
      <c r="BH265" s="168"/>
      <c r="BI265" s="176">
        <v>13</v>
      </c>
      <c r="BJ265" s="176">
        <v>69</v>
      </c>
      <c r="BK265" s="169"/>
      <c r="BL265" s="185">
        <v>0.8</v>
      </c>
      <c r="BM265" s="188">
        <v>0.73</v>
      </c>
      <c r="BN265" s="186"/>
      <c r="BO265" s="187">
        <v>0.95</v>
      </c>
      <c r="BP265" s="178">
        <v>1</v>
      </c>
      <c r="BQ265" s="186">
        <v>2.5000000000000001E-3</v>
      </c>
    </row>
    <row r="266" spans="1:69" s="156" customFormat="1" ht="22.35" customHeight="1" x14ac:dyDescent="0.2">
      <c r="A266" s="165" t="s">
        <v>275</v>
      </c>
      <c r="B266" s="165" t="s">
        <v>318</v>
      </c>
      <c r="C266" s="165" t="s">
        <v>335</v>
      </c>
      <c r="D266" s="166">
        <v>1.9537440934444401</v>
      </c>
      <c r="E266" s="167"/>
      <c r="F266" s="168">
        <v>0.08</v>
      </c>
      <c r="G266" s="168">
        <v>0.08</v>
      </c>
      <c r="H266" s="169"/>
      <c r="I266" s="170">
        <v>7</v>
      </c>
      <c r="J266" s="170">
        <v>7</v>
      </c>
      <c r="K266" s="167"/>
      <c r="L266" s="171">
        <v>1677.0603699999999</v>
      </c>
      <c r="M266" s="171">
        <v>3248.50621</v>
      </c>
      <c r="N266" s="171">
        <v>4925.5665799999997</v>
      </c>
      <c r="O266" s="166">
        <v>2521.0909640250002</v>
      </c>
      <c r="P266" s="172">
        <v>242.66300000000001</v>
      </c>
      <c r="Q266" s="178">
        <v>10.3892680961869</v>
      </c>
      <c r="R266" s="179">
        <v>4407.8478479813202</v>
      </c>
      <c r="S266" s="168">
        <v>0.01</v>
      </c>
      <c r="T266" s="168">
        <v>0.01</v>
      </c>
      <c r="U266" s="175">
        <v>0</v>
      </c>
      <c r="V266" s="176">
        <v>0</v>
      </c>
      <c r="W266" s="167"/>
      <c r="X266" s="175">
        <v>1773.9150950000001</v>
      </c>
      <c r="Y266" s="166">
        <v>907.95672829013802</v>
      </c>
      <c r="Z266" s="177">
        <v>573</v>
      </c>
      <c r="AA266" s="178">
        <v>1.5845667160386401</v>
      </c>
      <c r="AB266" s="179">
        <v>551.42615582631902</v>
      </c>
      <c r="AC266" s="168">
        <v>0.02</v>
      </c>
      <c r="AD266" s="168">
        <v>0.02</v>
      </c>
      <c r="AE266" s="176">
        <v>0</v>
      </c>
      <c r="AF266" s="176">
        <v>0</v>
      </c>
      <c r="AG266" s="167"/>
      <c r="AH266" s="180">
        <v>159.5</v>
      </c>
      <c r="AI266" s="166">
        <v>81.638122687194894</v>
      </c>
      <c r="AJ266" s="181" t="s">
        <v>53</v>
      </c>
      <c r="AK266" s="178">
        <v>1.29584321725706</v>
      </c>
      <c r="AL266" s="179">
        <v>25.090221347396302</v>
      </c>
      <c r="AM266" s="168">
        <v>0.02</v>
      </c>
      <c r="AN266" s="168">
        <v>0.02</v>
      </c>
      <c r="AO266" s="176">
        <v>0</v>
      </c>
      <c r="AP266" s="176">
        <v>0</v>
      </c>
      <c r="AQ266" s="167"/>
      <c r="AR266" s="180">
        <v>43.7</v>
      </c>
      <c r="AS266" s="166">
        <v>22.367310103011999</v>
      </c>
      <c r="AT266" s="181" t="s">
        <v>54</v>
      </c>
      <c r="AU266" s="178">
        <v>1.3979568814382499</v>
      </c>
      <c r="AV266" s="179">
        <v>9.5641831993387498</v>
      </c>
      <c r="AW266" s="168">
        <v>0.01</v>
      </c>
      <c r="AX266" s="168">
        <v>0.01</v>
      </c>
      <c r="AY266" s="176">
        <v>0</v>
      </c>
      <c r="AZ266" s="176">
        <v>0</v>
      </c>
      <c r="BA266" s="167"/>
      <c r="BB266" s="184">
        <v>101.8</v>
      </c>
      <c r="BC266" s="180">
        <v>52.105083947062298</v>
      </c>
      <c r="BD266" s="181" t="s">
        <v>55</v>
      </c>
      <c r="BE266" s="178">
        <v>1.6282838733456999</v>
      </c>
      <c r="BF266" s="179">
        <v>33.528366398677498</v>
      </c>
      <c r="BG266" s="168">
        <v>0.02</v>
      </c>
      <c r="BH266" s="168">
        <v>0.02</v>
      </c>
      <c r="BI266" s="176">
        <v>0</v>
      </c>
      <c r="BJ266" s="176">
        <v>0</v>
      </c>
      <c r="BK266" s="169"/>
      <c r="BL266" s="185">
        <v>0.8</v>
      </c>
      <c r="BM266" s="182">
        <v>0.87</v>
      </c>
      <c r="BN266" s="186">
        <v>2.6250000000000002E-3</v>
      </c>
      <c r="BO266" s="187">
        <v>0.95</v>
      </c>
      <c r="BP266" s="178">
        <v>1</v>
      </c>
      <c r="BQ266" s="186">
        <v>2.5000000000000001E-3</v>
      </c>
    </row>
    <row r="267" spans="1:69" s="156" customFormat="1" ht="22.35" customHeight="1" x14ac:dyDescent="0.2">
      <c r="A267" s="165" t="s">
        <v>275</v>
      </c>
      <c r="B267" s="165" t="s">
        <v>318</v>
      </c>
      <c r="C267" s="165" t="s">
        <v>336</v>
      </c>
      <c r="D267" s="166">
        <v>1.6595588506666701</v>
      </c>
      <c r="E267" s="167"/>
      <c r="F267" s="168"/>
      <c r="G267" s="168"/>
      <c r="H267" s="169"/>
      <c r="I267" s="170">
        <v>1</v>
      </c>
      <c r="J267" s="170">
        <v>1</v>
      </c>
      <c r="K267" s="167"/>
      <c r="L267" s="171"/>
      <c r="M267" s="171">
        <v>149.07517000000001</v>
      </c>
      <c r="N267" s="171">
        <v>149.07517000000001</v>
      </c>
      <c r="O267" s="166">
        <v>89.828191353451899</v>
      </c>
      <c r="P267" s="172">
        <v>287.5</v>
      </c>
      <c r="Q267" s="173">
        <v>0.31244588296852799</v>
      </c>
      <c r="R267" s="174">
        <v>-371.94333116680099</v>
      </c>
      <c r="S267" s="168"/>
      <c r="T267" s="168"/>
      <c r="U267" s="175">
        <v>329</v>
      </c>
      <c r="V267" s="176">
        <v>424</v>
      </c>
      <c r="W267" s="167"/>
      <c r="X267" s="175">
        <v>186.24148</v>
      </c>
      <c r="Y267" s="166">
        <v>112.223486335049</v>
      </c>
      <c r="Z267" s="177">
        <v>573</v>
      </c>
      <c r="AA267" s="173">
        <v>0.19585250669293</v>
      </c>
      <c r="AB267" s="174">
        <v>-852.17104580374598</v>
      </c>
      <c r="AC267" s="168"/>
      <c r="AD267" s="168"/>
      <c r="AE267" s="176">
        <v>765</v>
      </c>
      <c r="AF267" s="176">
        <v>955</v>
      </c>
      <c r="AG267" s="167"/>
      <c r="AH267" s="180">
        <v>13.8</v>
      </c>
      <c r="AI267" s="166">
        <v>8.3154628680123999</v>
      </c>
      <c r="AJ267" s="181" t="s">
        <v>53</v>
      </c>
      <c r="AK267" s="173">
        <v>0.13199147409543499</v>
      </c>
      <c r="AL267" s="174">
        <v>-100.371010690464</v>
      </c>
      <c r="AM267" s="168"/>
      <c r="AN267" s="168"/>
      <c r="AO267" s="176">
        <v>91</v>
      </c>
      <c r="AP267" s="176">
        <v>112</v>
      </c>
      <c r="AQ267" s="167"/>
      <c r="AR267" s="180"/>
      <c r="AS267" s="166" t="s">
        <v>145</v>
      </c>
      <c r="AT267" s="181" t="s">
        <v>54</v>
      </c>
      <c r="AU267" s="173"/>
      <c r="AV267" s="174"/>
      <c r="AW267" s="168"/>
      <c r="AX267" s="168"/>
      <c r="AY267" s="176">
        <v>27</v>
      </c>
      <c r="AZ267" s="176">
        <v>32</v>
      </c>
      <c r="BA267" s="167"/>
      <c r="BB267" s="184">
        <v>1</v>
      </c>
      <c r="BC267" s="180">
        <v>0.60256977304437698</v>
      </c>
      <c r="BD267" s="181" t="s">
        <v>55</v>
      </c>
      <c r="BE267" s="173">
        <v>1.8830305407636801E-2</v>
      </c>
      <c r="BF267" s="174">
        <v>-56.991624477696099</v>
      </c>
      <c r="BG267" s="168"/>
      <c r="BH267" s="168"/>
      <c r="BI267" s="176">
        <v>53</v>
      </c>
      <c r="BJ267" s="176">
        <v>63</v>
      </c>
      <c r="BK267" s="169"/>
      <c r="BL267" s="185">
        <v>0.8</v>
      </c>
      <c r="BM267" s="173"/>
      <c r="BN267" s="186"/>
      <c r="BO267" s="187">
        <v>0.95</v>
      </c>
      <c r="BP267" s="178">
        <v>1</v>
      </c>
      <c r="BQ267" s="186">
        <v>2.5000000000000001E-3</v>
      </c>
    </row>
    <row r="268" spans="1:69" s="156" customFormat="1" ht="22.35" customHeight="1" x14ac:dyDescent="0.2">
      <c r="A268" s="165" t="s">
        <v>275</v>
      </c>
      <c r="B268" s="165" t="s">
        <v>318</v>
      </c>
      <c r="C268" s="165" t="s">
        <v>337</v>
      </c>
      <c r="D268" s="166">
        <v>1.9110045248888901</v>
      </c>
      <c r="E268" s="167"/>
      <c r="F268" s="168">
        <v>7.6999999999999999E-2</v>
      </c>
      <c r="G268" s="168">
        <v>7.1999999999999995E-2</v>
      </c>
      <c r="H268" s="169"/>
      <c r="I268" s="170">
        <v>6</v>
      </c>
      <c r="J268" s="170">
        <v>6</v>
      </c>
      <c r="K268" s="167"/>
      <c r="L268" s="171">
        <v>1157.6691499999999</v>
      </c>
      <c r="M268" s="171">
        <v>1313.32446</v>
      </c>
      <c r="N268" s="171">
        <v>2470.99361</v>
      </c>
      <c r="O268" s="166">
        <v>1293.03388757997</v>
      </c>
      <c r="P268" s="172">
        <v>245.202</v>
      </c>
      <c r="Q268" s="178">
        <v>5.2733415207868202</v>
      </c>
      <c r="R268" s="179">
        <v>1959.3019223891099</v>
      </c>
      <c r="S268" s="168">
        <v>0.01</v>
      </c>
      <c r="T268" s="168">
        <v>0.01</v>
      </c>
      <c r="U268" s="175">
        <v>0</v>
      </c>
      <c r="V268" s="176">
        <v>0</v>
      </c>
      <c r="W268" s="167"/>
      <c r="X268" s="175">
        <v>1369.4345249999999</v>
      </c>
      <c r="Y268" s="166">
        <v>716.60454340348701</v>
      </c>
      <c r="Z268" s="177">
        <v>573</v>
      </c>
      <c r="AA268" s="178">
        <v>1.2506187493952701</v>
      </c>
      <c r="AB268" s="179">
        <v>173.68841770462299</v>
      </c>
      <c r="AC268" s="168">
        <v>0.02</v>
      </c>
      <c r="AD268" s="168">
        <v>0.02</v>
      </c>
      <c r="AE268" s="176">
        <v>0</v>
      </c>
      <c r="AF268" s="176">
        <v>0</v>
      </c>
      <c r="AG268" s="167"/>
      <c r="AH268" s="180">
        <v>155.69999999999999</v>
      </c>
      <c r="AI268" s="166">
        <v>81.475474271340502</v>
      </c>
      <c r="AJ268" s="181" t="s">
        <v>53</v>
      </c>
      <c r="AK268" s="178">
        <v>1.29326149637048</v>
      </c>
      <c r="AL268" s="179">
        <v>24.230532705743901</v>
      </c>
      <c r="AM268" s="168">
        <v>0.02</v>
      </c>
      <c r="AN268" s="168">
        <v>0.02</v>
      </c>
      <c r="AO268" s="176">
        <v>0</v>
      </c>
      <c r="AP268" s="176">
        <v>0</v>
      </c>
      <c r="AQ268" s="167"/>
      <c r="AR268" s="180">
        <v>31.8</v>
      </c>
      <c r="AS268" s="166">
        <v>16.640462953298801</v>
      </c>
      <c r="AT268" s="181" t="s">
        <v>54</v>
      </c>
      <c r="AU268" s="182">
        <v>1.04002893458118</v>
      </c>
      <c r="AV268" s="183">
        <v>-1.5890710588586801</v>
      </c>
      <c r="AW268" s="168">
        <v>7.0000000000000001E-3</v>
      </c>
      <c r="AX268" s="168">
        <v>2E-3</v>
      </c>
      <c r="AY268" s="176">
        <v>0</v>
      </c>
      <c r="AZ268" s="176">
        <v>5</v>
      </c>
      <c r="BA268" s="167"/>
      <c r="BB268" s="184">
        <v>129</v>
      </c>
      <c r="BC268" s="180">
        <v>67.5037648105519</v>
      </c>
      <c r="BD268" s="181" t="s">
        <v>55</v>
      </c>
      <c r="BE268" s="178">
        <v>2.10949265032975</v>
      </c>
      <c r="BF268" s="179">
        <v>62.221857882282599</v>
      </c>
      <c r="BG268" s="168">
        <v>0.02</v>
      </c>
      <c r="BH268" s="168">
        <v>0.02</v>
      </c>
      <c r="BI268" s="176">
        <v>0</v>
      </c>
      <c r="BJ268" s="176">
        <v>0</v>
      </c>
      <c r="BK268" s="169"/>
      <c r="BL268" s="185">
        <v>0.8</v>
      </c>
      <c r="BM268" s="188">
        <v>0.76</v>
      </c>
      <c r="BN268" s="186"/>
      <c r="BO268" s="187">
        <v>0.95</v>
      </c>
      <c r="BP268" s="178">
        <v>1</v>
      </c>
      <c r="BQ268" s="186">
        <v>2.5000000000000001E-3</v>
      </c>
    </row>
    <row r="269" spans="1:69" s="156" customFormat="1" ht="22.35" customHeight="1" x14ac:dyDescent="0.2">
      <c r="A269" s="165" t="s">
        <v>275</v>
      </c>
      <c r="B269" s="165" t="s">
        <v>318</v>
      </c>
      <c r="C269" s="165" t="s">
        <v>338</v>
      </c>
      <c r="D269" s="166">
        <v>4.3293466174444397</v>
      </c>
      <c r="E269" s="167"/>
      <c r="F269" s="168">
        <v>3.4000000000000002E-2</v>
      </c>
      <c r="G269" s="168">
        <v>0.02</v>
      </c>
      <c r="H269" s="169"/>
      <c r="I269" s="170">
        <v>4</v>
      </c>
      <c r="J269" s="170">
        <v>3</v>
      </c>
      <c r="K269" s="167"/>
      <c r="L269" s="171">
        <v>2114.3624199999999</v>
      </c>
      <c r="M269" s="171">
        <v>1298.0138899999999</v>
      </c>
      <c r="N269" s="171">
        <v>3412.3763100000001</v>
      </c>
      <c r="O269" s="166">
        <v>788.19660598445705</v>
      </c>
      <c r="P269" s="172">
        <v>287.5</v>
      </c>
      <c r="Q269" s="178">
        <v>2.7415534121198499</v>
      </c>
      <c r="R269" s="179">
        <v>2053.1779394533201</v>
      </c>
      <c r="S269" s="168">
        <v>0.01</v>
      </c>
      <c r="T269" s="168">
        <v>0.01</v>
      </c>
      <c r="U269" s="175">
        <v>0</v>
      </c>
      <c r="V269" s="176">
        <v>0</v>
      </c>
      <c r="W269" s="167"/>
      <c r="X269" s="175">
        <v>2340.9368049999998</v>
      </c>
      <c r="Y269" s="166">
        <v>540.71364846777396</v>
      </c>
      <c r="Z269" s="177">
        <v>573</v>
      </c>
      <c r="AA269" s="182">
        <v>0.94365383676749304</v>
      </c>
      <c r="AB269" s="183">
        <v>-368.00464308086498</v>
      </c>
      <c r="AC269" s="168">
        <v>4.0000000000000001E-3</v>
      </c>
      <c r="AD269" s="168"/>
      <c r="AE269" s="176">
        <v>140</v>
      </c>
      <c r="AF269" s="176">
        <v>636</v>
      </c>
      <c r="AG269" s="167"/>
      <c r="AH269" s="180">
        <v>210.1</v>
      </c>
      <c r="AI269" s="166">
        <v>48.529262857687101</v>
      </c>
      <c r="AJ269" s="181" t="s">
        <v>53</v>
      </c>
      <c r="AK269" s="188">
        <v>0.77030575964582704</v>
      </c>
      <c r="AL269" s="171">
        <v>-87.741729893707699</v>
      </c>
      <c r="AM269" s="168"/>
      <c r="AN269" s="168"/>
      <c r="AO269" s="176">
        <v>63</v>
      </c>
      <c r="AP269" s="176">
        <v>118</v>
      </c>
      <c r="AQ269" s="167"/>
      <c r="AR269" s="180">
        <v>30.6</v>
      </c>
      <c r="AS269" s="166">
        <v>7.0680411396726601</v>
      </c>
      <c r="AT269" s="181" t="s">
        <v>54</v>
      </c>
      <c r="AU269" s="173">
        <v>0.44175257122954098</v>
      </c>
      <c r="AV269" s="174">
        <v>-45.0423440999893</v>
      </c>
      <c r="AW269" s="168"/>
      <c r="AX269" s="168"/>
      <c r="AY269" s="176">
        <v>39</v>
      </c>
      <c r="AZ269" s="176">
        <v>53</v>
      </c>
      <c r="BA269" s="167"/>
      <c r="BB269" s="184">
        <v>152.80000000000001</v>
      </c>
      <c r="BC269" s="180">
        <v>35.294009351045197</v>
      </c>
      <c r="BD269" s="181" t="s">
        <v>55</v>
      </c>
      <c r="BE269" s="178">
        <v>1.10293779222016</v>
      </c>
      <c r="BF269" s="179">
        <v>1.51531180002149</v>
      </c>
      <c r="BG269" s="168">
        <v>0.02</v>
      </c>
      <c r="BH269" s="168">
        <v>0.01</v>
      </c>
      <c r="BI269" s="176">
        <v>0</v>
      </c>
      <c r="BJ269" s="176">
        <v>14</v>
      </c>
      <c r="BK269" s="169"/>
      <c r="BL269" s="185">
        <v>0.8</v>
      </c>
      <c r="BM269" s="188">
        <v>0.79</v>
      </c>
      <c r="BN269" s="186"/>
      <c r="BO269" s="187">
        <v>0.95</v>
      </c>
      <c r="BP269" s="178">
        <v>1</v>
      </c>
      <c r="BQ269" s="186">
        <v>2.5000000000000001E-3</v>
      </c>
    </row>
    <row r="270" spans="1:69" s="156" customFormat="1" ht="22.35" customHeight="1" x14ac:dyDescent="0.2">
      <c r="A270" s="165" t="s">
        <v>339</v>
      </c>
      <c r="B270" s="165" t="s">
        <v>340</v>
      </c>
      <c r="C270" s="165" t="s">
        <v>341</v>
      </c>
      <c r="D270" s="166">
        <v>3.4371100664444398</v>
      </c>
      <c r="E270" s="167"/>
      <c r="F270" s="168">
        <v>0.01</v>
      </c>
      <c r="G270" s="168">
        <v>0.01</v>
      </c>
      <c r="H270" s="169"/>
      <c r="I270" s="170">
        <v>3</v>
      </c>
      <c r="J270" s="170">
        <v>3</v>
      </c>
      <c r="K270" s="167"/>
      <c r="L270" s="171">
        <v>1791.69309</v>
      </c>
      <c r="M270" s="171">
        <v>2750.7207800000001</v>
      </c>
      <c r="N270" s="171">
        <v>4542.4138700000003</v>
      </c>
      <c r="O270" s="166">
        <v>1321.57940309981</v>
      </c>
      <c r="P270" s="172">
        <v>242.35900000000001</v>
      </c>
      <c r="Q270" s="178">
        <v>5.4529825717213303</v>
      </c>
      <c r="R270" s="179">
        <v>3632.7619720160001</v>
      </c>
      <c r="S270" s="168">
        <v>0.01</v>
      </c>
      <c r="T270" s="168">
        <v>0.01</v>
      </c>
      <c r="U270" s="175">
        <v>0</v>
      </c>
      <c r="V270" s="176">
        <v>0</v>
      </c>
      <c r="W270" s="167"/>
      <c r="X270" s="175">
        <v>1356.5941499999999</v>
      </c>
      <c r="Y270" s="166">
        <v>394.69034269343098</v>
      </c>
      <c r="Z270" s="177">
        <v>573</v>
      </c>
      <c r="AA270" s="173">
        <v>0.68881386159412095</v>
      </c>
      <c r="AB270" s="174">
        <v>-794.06061233534899</v>
      </c>
      <c r="AC270" s="168"/>
      <c r="AD270" s="168"/>
      <c r="AE270" s="176">
        <v>613</v>
      </c>
      <c r="AF270" s="176">
        <v>1007</v>
      </c>
      <c r="AG270" s="167"/>
      <c r="AH270" s="180">
        <v>125.8</v>
      </c>
      <c r="AI270" s="166">
        <v>36.600515423742401</v>
      </c>
      <c r="AJ270" s="181" t="s">
        <v>53</v>
      </c>
      <c r="AK270" s="173">
        <v>0.58096056228162496</v>
      </c>
      <c r="AL270" s="174">
        <v>-110.659424131112</v>
      </c>
      <c r="AM270" s="168"/>
      <c r="AN270" s="168"/>
      <c r="AO270" s="176">
        <v>91</v>
      </c>
      <c r="AP270" s="176">
        <v>135</v>
      </c>
      <c r="AQ270" s="167"/>
      <c r="AR270" s="180">
        <v>15.8</v>
      </c>
      <c r="AS270" s="166">
        <v>4.5968850850169298</v>
      </c>
      <c r="AT270" s="181" t="s">
        <v>54</v>
      </c>
      <c r="AU270" s="173">
        <v>0.287305317813558</v>
      </c>
      <c r="AV270" s="174">
        <v>-44.2531870809173</v>
      </c>
      <c r="AW270" s="168"/>
      <c r="AX270" s="168"/>
      <c r="AY270" s="176">
        <v>40</v>
      </c>
      <c r="AZ270" s="176">
        <v>51</v>
      </c>
      <c r="BA270" s="167"/>
      <c r="BB270" s="184">
        <v>93.6</v>
      </c>
      <c r="BC270" s="180">
        <v>27.232179997315399</v>
      </c>
      <c r="BD270" s="181" t="s">
        <v>55</v>
      </c>
      <c r="BE270" s="188">
        <v>0.85100562491610798</v>
      </c>
      <c r="BF270" s="171">
        <v>-26.506374161834501</v>
      </c>
      <c r="BG270" s="168"/>
      <c r="BH270" s="168"/>
      <c r="BI270" s="176">
        <v>17</v>
      </c>
      <c r="BJ270" s="176">
        <v>39</v>
      </c>
      <c r="BK270" s="169"/>
      <c r="BL270" s="185">
        <v>0.8</v>
      </c>
      <c r="BM270" s="182">
        <v>0.83</v>
      </c>
      <c r="BN270" s="186">
        <v>1.1249999999999999E-3</v>
      </c>
      <c r="BO270" s="187">
        <v>0.95</v>
      </c>
      <c r="BP270" s="178">
        <v>1</v>
      </c>
      <c r="BQ270" s="186">
        <v>2.5000000000000001E-3</v>
      </c>
    </row>
    <row r="271" spans="1:69" s="156" customFormat="1" ht="22.35" customHeight="1" x14ac:dyDescent="0.2">
      <c r="A271" s="165" t="s">
        <v>339</v>
      </c>
      <c r="B271" s="165" t="s">
        <v>340</v>
      </c>
      <c r="C271" s="165" t="s">
        <v>342</v>
      </c>
      <c r="D271" s="166">
        <v>2.6865209235555598</v>
      </c>
      <c r="E271" s="167"/>
      <c r="F271" s="168">
        <v>0.05</v>
      </c>
      <c r="G271" s="168">
        <v>3.7999999999999999E-2</v>
      </c>
      <c r="H271" s="169"/>
      <c r="I271" s="170">
        <v>4</v>
      </c>
      <c r="J271" s="170">
        <v>4</v>
      </c>
      <c r="K271" s="167"/>
      <c r="L271" s="171">
        <v>1001.21659</v>
      </c>
      <c r="M271" s="171">
        <v>-29.028079999999999</v>
      </c>
      <c r="N271" s="171">
        <v>972.18850999999995</v>
      </c>
      <c r="O271" s="166">
        <v>361.876396150799</v>
      </c>
      <c r="P271" s="172">
        <v>212.5</v>
      </c>
      <c r="Q271" s="178">
        <v>1.70294774659199</v>
      </c>
      <c r="R271" s="179">
        <v>348.78132968893198</v>
      </c>
      <c r="S271" s="168">
        <v>0.01</v>
      </c>
      <c r="T271" s="168">
        <v>0.01</v>
      </c>
      <c r="U271" s="175">
        <v>0</v>
      </c>
      <c r="V271" s="176">
        <v>0</v>
      </c>
      <c r="W271" s="167"/>
      <c r="X271" s="175">
        <v>1819.8643300000001</v>
      </c>
      <c r="Y271" s="166">
        <v>677.40560441697505</v>
      </c>
      <c r="Z271" s="177">
        <v>573</v>
      </c>
      <c r="AA271" s="178">
        <v>1.182208733712</v>
      </c>
      <c r="AB271" s="179">
        <v>138.86520379650901</v>
      </c>
      <c r="AC271" s="168">
        <v>0.02</v>
      </c>
      <c r="AD271" s="168">
        <v>1.7999999999999999E-2</v>
      </c>
      <c r="AE271" s="176">
        <v>0</v>
      </c>
      <c r="AF271" s="176">
        <v>28</v>
      </c>
      <c r="AG271" s="167"/>
      <c r="AH271" s="180">
        <v>150.9</v>
      </c>
      <c r="AI271" s="166">
        <v>56.169300107399501</v>
      </c>
      <c r="AJ271" s="181" t="s">
        <v>53</v>
      </c>
      <c r="AK271" s="188">
        <v>0.89157619218094397</v>
      </c>
      <c r="AL271" s="171">
        <v>-33.921893456928302</v>
      </c>
      <c r="AM271" s="168"/>
      <c r="AN271" s="168"/>
      <c r="AO271" s="176">
        <v>19</v>
      </c>
      <c r="AP271" s="176">
        <v>53</v>
      </c>
      <c r="AQ271" s="167"/>
      <c r="AR271" s="180">
        <v>15</v>
      </c>
      <c r="AS271" s="166">
        <v>5.58342943413514</v>
      </c>
      <c r="AT271" s="181" t="s">
        <v>54</v>
      </c>
      <c r="AU271" s="173">
        <v>0.34896433963344597</v>
      </c>
      <c r="AV271" s="174">
        <v>-31.938893576362702</v>
      </c>
      <c r="AW271" s="168"/>
      <c r="AX271" s="168"/>
      <c r="AY271" s="176">
        <v>28</v>
      </c>
      <c r="AZ271" s="176">
        <v>37</v>
      </c>
      <c r="BA271" s="167"/>
      <c r="BB271" s="184">
        <v>94.4</v>
      </c>
      <c r="BC271" s="180">
        <v>35.138382572157099</v>
      </c>
      <c r="BD271" s="181" t="s">
        <v>55</v>
      </c>
      <c r="BE271" s="178">
        <v>1.09807445537991</v>
      </c>
      <c r="BF271" s="179">
        <v>0.522212847274517</v>
      </c>
      <c r="BG271" s="168">
        <v>0.02</v>
      </c>
      <c r="BH271" s="168">
        <v>0.01</v>
      </c>
      <c r="BI271" s="176">
        <v>0</v>
      </c>
      <c r="BJ271" s="176">
        <v>9</v>
      </c>
      <c r="BK271" s="169"/>
      <c r="BL271" s="185">
        <v>0.8</v>
      </c>
      <c r="BM271" s="188">
        <v>0.75</v>
      </c>
      <c r="BN271" s="186"/>
      <c r="BO271" s="187">
        <v>0.95</v>
      </c>
      <c r="BP271" s="178">
        <v>1</v>
      </c>
      <c r="BQ271" s="186">
        <v>2.5000000000000001E-3</v>
      </c>
    </row>
    <row r="272" spans="1:69" s="156" customFormat="1" ht="22.35" customHeight="1" x14ac:dyDescent="0.2">
      <c r="A272" s="165" t="s">
        <v>339</v>
      </c>
      <c r="B272" s="165" t="s">
        <v>340</v>
      </c>
      <c r="C272" s="165" t="s">
        <v>343</v>
      </c>
      <c r="D272" s="166">
        <v>1</v>
      </c>
      <c r="E272" s="167"/>
      <c r="F272" s="168">
        <v>0.03</v>
      </c>
      <c r="G272" s="168">
        <v>0.03</v>
      </c>
      <c r="H272" s="169"/>
      <c r="I272" s="170">
        <v>4</v>
      </c>
      <c r="J272" s="170">
        <v>4</v>
      </c>
      <c r="K272" s="167"/>
      <c r="L272" s="171">
        <v>514.62725</v>
      </c>
      <c r="M272" s="171">
        <v>225.52687</v>
      </c>
      <c r="N272" s="171">
        <v>740.15412000000003</v>
      </c>
      <c r="O272" s="166">
        <v>740.15412000000003</v>
      </c>
      <c r="P272" s="172">
        <v>212.5</v>
      </c>
      <c r="Q272" s="178">
        <v>3.4830782117647101</v>
      </c>
      <c r="R272" s="179">
        <v>508.10412000000002</v>
      </c>
      <c r="S272" s="168">
        <v>0.01</v>
      </c>
      <c r="T272" s="168">
        <v>0.01</v>
      </c>
      <c r="U272" s="175">
        <v>0</v>
      </c>
      <c r="V272" s="176">
        <v>0</v>
      </c>
      <c r="W272" s="167"/>
      <c r="X272" s="175">
        <v>350.16750500000001</v>
      </c>
      <c r="Y272" s="166">
        <v>350.16750500000001</v>
      </c>
      <c r="Z272" s="177">
        <v>573</v>
      </c>
      <c r="AA272" s="173">
        <v>0.61111257417103004</v>
      </c>
      <c r="AB272" s="174">
        <v>-275.548495</v>
      </c>
      <c r="AC272" s="168"/>
      <c r="AD272" s="168"/>
      <c r="AE272" s="176">
        <v>223</v>
      </c>
      <c r="AF272" s="176">
        <v>338</v>
      </c>
      <c r="AG272" s="167"/>
      <c r="AH272" s="180">
        <v>51.7</v>
      </c>
      <c r="AI272" s="166">
        <v>51.7</v>
      </c>
      <c r="AJ272" s="181" t="s">
        <v>53</v>
      </c>
      <c r="AK272" s="188">
        <v>0.82063492063492105</v>
      </c>
      <c r="AL272" s="171">
        <v>-17.096</v>
      </c>
      <c r="AM272" s="168"/>
      <c r="AN272" s="168"/>
      <c r="AO272" s="176">
        <v>12</v>
      </c>
      <c r="AP272" s="176">
        <v>24</v>
      </c>
      <c r="AQ272" s="167"/>
      <c r="AR272" s="180">
        <v>1</v>
      </c>
      <c r="AS272" s="166">
        <v>1</v>
      </c>
      <c r="AT272" s="181" t="s">
        <v>54</v>
      </c>
      <c r="AU272" s="173">
        <v>6.25E-2</v>
      </c>
      <c r="AV272" s="174">
        <v>-16.472000000000001</v>
      </c>
      <c r="AW272" s="168"/>
      <c r="AX272" s="168"/>
      <c r="AY272" s="176">
        <v>15</v>
      </c>
      <c r="AZ272" s="176">
        <v>19</v>
      </c>
      <c r="BA272" s="167"/>
      <c r="BB272" s="184">
        <v>47.2</v>
      </c>
      <c r="BC272" s="180">
        <v>47.2</v>
      </c>
      <c r="BD272" s="181" t="s">
        <v>55</v>
      </c>
      <c r="BE272" s="178">
        <v>1.4750000000000001</v>
      </c>
      <c r="BF272" s="179">
        <v>12.256</v>
      </c>
      <c r="BG272" s="168">
        <v>0.02</v>
      </c>
      <c r="BH272" s="168">
        <v>0.02</v>
      </c>
      <c r="BI272" s="176">
        <v>0</v>
      </c>
      <c r="BJ272" s="176">
        <v>0</v>
      </c>
      <c r="BK272" s="169"/>
      <c r="BL272" s="185">
        <v>0.8</v>
      </c>
      <c r="BM272" s="182">
        <v>0.85</v>
      </c>
      <c r="BN272" s="186">
        <v>1.8749999999999999E-3</v>
      </c>
      <c r="BO272" s="187">
        <v>0.95</v>
      </c>
      <c r="BP272" s="178">
        <v>1</v>
      </c>
      <c r="BQ272" s="186">
        <v>2.5000000000000001E-3</v>
      </c>
    </row>
    <row r="273" spans="1:69" s="156" customFormat="1" ht="22.35" customHeight="1" x14ac:dyDescent="0.2">
      <c r="A273" s="165" t="s">
        <v>339</v>
      </c>
      <c r="B273" s="165" t="s">
        <v>340</v>
      </c>
      <c r="C273" s="165" t="s">
        <v>344</v>
      </c>
      <c r="D273" s="166">
        <v>2.6251377059999998</v>
      </c>
      <c r="E273" s="167"/>
      <c r="F273" s="168"/>
      <c r="G273" s="168"/>
      <c r="H273" s="169"/>
      <c r="I273" s="170">
        <v>2</v>
      </c>
      <c r="J273" s="170">
        <v>2</v>
      </c>
      <c r="K273" s="167"/>
      <c r="L273" s="171">
        <v>833.91980000000001</v>
      </c>
      <c r="M273" s="171">
        <v>-663.44854999999995</v>
      </c>
      <c r="N273" s="171">
        <v>170.47125</v>
      </c>
      <c r="O273" s="166">
        <v>64.938021959904006</v>
      </c>
      <c r="P273" s="172">
        <v>212.5</v>
      </c>
      <c r="Q273" s="173">
        <v>0.30559069157601898</v>
      </c>
      <c r="R273" s="174">
        <v>-438.69195467729998</v>
      </c>
      <c r="S273" s="168"/>
      <c r="T273" s="168"/>
      <c r="U273" s="175">
        <v>388</v>
      </c>
      <c r="V273" s="176">
        <v>499</v>
      </c>
      <c r="W273" s="167"/>
      <c r="X273" s="175">
        <v>1338.6740299999999</v>
      </c>
      <c r="Y273" s="166">
        <v>509.94430766063601</v>
      </c>
      <c r="Z273" s="177">
        <v>573</v>
      </c>
      <c r="AA273" s="188">
        <v>0.88995516171140598</v>
      </c>
      <c r="AB273" s="171">
        <v>-303.91663484749603</v>
      </c>
      <c r="AC273" s="168"/>
      <c r="AD273" s="168"/>
      <c r="AE273" s="176">
        <v>166</v>
      </c>
      <c r="AF273" s="176">
        <v>467</v>
      </c>
      <c r="AG273" s="167"/>
      <c r="AH273" s="180">
        <v>78.2</v>
      </c>
      <c r="AI273" s="166">
        <v>29.7889134810972</v>
      </c>
      <c r="AJ273" s="181" t="s">
        <v>53</v>
      </c>
      <c r="AK273" s="173">
        <v>0.47283989652535202</v>
      </c>
      <c r="AL273" s="174">
        <v>-102.398973621976</v>
      </c>
      <c r="AM273" s="168"/>
      <c r="AN273" s="168"/>
      <c r="AO273" s="176">
        <v>88</v>
      </c>
      <c r="AP273" s="176">
        <v>121</v>
      </c>
      <c r="AQ273" s="167"/>
      <c r="AR273" s="180">
        <v>6</v>
      </c>
      <c r="AS273" s="166">
        <v>2.28559438473892</v>
      </c>
      <c r="AT273" s="181" t="s">
        <v>54</v>
      </c>
      <c r="AU273" s="173">
        <v>0.142849649046182</v>
      </c>
      <c r="AV273" s="174">
        <v>-39.866405999232001</v>
      </c>
      <c r="AW273" s="168"/>
      <c r="AX273" s="168"/>
      <c r="AY273" s="176">
        <v>37</v>
      </c>
      <c r="AZ273" s="176">
        <v>45</v>
      </c>
      <c r="BA273" s="167"/>
      <c r="BB273" s="184">
        <v>43.6</v>
      </c>
      <c r="BC273" s="180">
        <v>16.608652529102802</v>
      </c>
      <c r="BD273" s="181" t="s">
        <v>55</v>
      </c>
      <c r="BE273" s="173">
        <v>0.519020391534462</v>
      </c>
      <c r="BF273" s="174">
        <v>-48.132811998464</v>
      </c>
      <c r="BG273" s="168"/>
      <c r="BH273" s="168"/>
      <c r="BI273" s="176">
        <v>41</v>
      </c>
      <c r="BJ273" s="176">
        <v>58</v>
      </c>
      <c r="BK273" s="169"/>
      <c r="BL273" s="185">
        <v>0.8</v>
      </c>
      <c r="BM273" s="182">
        <v>0.82</v>
      </c>
      <c r="BN273" s="186">
        <v>7.5000000000000002E-4</v>
      </c>
      <c r="BO273" s="187">
        <v>0.95</v>
      </c>
      <c r="BP273" s="178">
        <v>1</v>
      </c>
      <c r="BQ273" s="186">
        <v>2.5000000000000001E-3</v>
      </c>
    </row>
    <row r="274" spans="1:69" s="156" customFormat="1" ht="22.35" customHeight="1" x14ac:dyDescent="0.2">
      <c r="A274" s="165" t="s">
        <v>339</v>
      </c>
      <c r="B274" s="165" t="s">
        <v>340</v>
      </c>
      <c r="C274" s="165" t="s">
        <v>345</v>
      </c>
      <c r="D274" s="166">
        <v>4.5014537384444404</v>
      </c>
      <c r="E274" s="167"/>
      <c r="F274" s="168">
        <v>0.01</v>
      </c>
      <c r="G274" s="168">
        <v>0.01</v>
      </c>
      <c r="H274" s="169"/>
      <c r="I274" s="170">
        <v>3</v>
      </c>
      <c r="J274" s="170">
        <v>3</v>
      </c>
      <c r="K274" s="167"/>
      <c r="L274" s="171">
        <v>3027.5766699999999</v>
      </c>
      <c r="M274" s="171">
        <v>-333.04876000000002</v>
      </c>
      <c r="N274" s="171">
        <v>2694.5279099999998</v>
      </c>
      <c r="O274" s="166">
        <v>598.59060351715198</v>
      </c>
      <c r="P274" s="172">
        <v>218.52799999999999</v>
      </c>
      <c r="Q274" s="178">
        <v>2.7391940781829001</v>
      </c>
      <c r="R274" s="179">
        <v>1620.33440865017</v>
      </c>
      <c r="S274" s="168">
        <v>0.01</v>
      </c>
      <c r="T274" s="168">
        <v>0.01</v>
      </c>
      <c r="U274" s="175">
        <v>0</v>
      </c>
      <c r="V274" s="176">
        <v>0</v>
      </c>
      <c r="W274" s="167"/>
      <c r="X274" s="175">
        <v>2284.5295099999998</v>
      </c>
      <c r="Y274" s="166">
        <v>507.50927205784399</v>
      </c>
      <c r="Z274" s="177">
        <v>573</v>
      </c>
      <c r="AA274" s="188">
        <v>0.88570553587756295</v>
      </c>
      <c r="AB274" s="171">
        <v>-532.10211740450097</v>
      </c>
      <c r="AC274" s="168"/>
      <c r="AD274" s="168"/>
      <c r="AE274" s="176">
        <v>295</v>
      </c>
      <c r="AF274" s="176">
        <v>811</v>
      </c>
      <c r="AG274" s="167"/>
      <c r="AH274" s="180">
        <v>167.9</v>
      </c>
      <c r="AI274" s="166">
        <v>37.299061537844601</v>
      </c>
      <c r="AJ274" s="181" t="s">
        <v>53</v>
      </c>
      <c r="AK274" s="173">
        <v>0.59204859583880298</v>
      </c>
      <c r="AL274" s="174">
        <v>-141.782011390024</v>
      </c>
      <c r="AM274" s="168"/>
      <c r="AN274" s="168"/>
      <c r="AO274" s="176">
        <v>116</v>
      </c>
      <c r="AP274" s="176">
        <v>173</v>
      </c>
      <c r="AQ274" s="167"/>
      <c r="AR274" s="180">
        <v>19.3</v>
      </c>
      <c r="AS274" s="166">
        <v>4.2875037979773696</v>
      </c>
      <c r="AT274" s="181" t="s">
        <v>54</v>
      </c>
      <c r="AU274" s="173">
        <v>0.26796898737358599</v>
      </c>
      <c r="AV274" s="174">
        <v>-59.349399718101303</v>
      </c>
      <c r="AW274" s="168"/>
      <c r="AX274" s="168"/>
      <c r="AY274" s="176">
        <v>53</v>
      </c>
      <c r="AZ274" s="176">
        <v>68</v>
      </c>
      <c r="BA274" s="167"/>
      <c r="BB274" s="184">
        <v>122.4</v>
      </c>
      <c r="BC274" s="180">
        <v>27.191215796499002</v>
      </c>
      <c r="BD274" s="181" t="s">
        <v>55</v>
      </c>
      <c r="BE274" s="188">
        <v>0.84972549364059302</v>
      </c>
      <c r="BF274" s="171">
        <v>-34.898799436202502</v>
      </c>
      <c r="BG274" s="168"/>
      <c r="BH274" s="168"/>
      <c r="BI274" s="176">
        <v>22</v>
      </c>
      <c r="BJ274" s="176">
        <v>51</v>
      </c>
      <c r="BK274" s="169"/>
      <c r="BL274" s="185">
        <v>0.8</v>
      </c>
      <c r="BM274" s="182">
        <v>0.85</v>
      </c>
      <c r="BN274" s="186">
        <v>1.8749999999999999E-3</v>
      </c>
      <c r="BO274" s="187">
        <v>0.95</v>
      </c>
      <c r="BP274" s="178">
        <v>1</v>
      </c>
      <c r="BQ274" s="186">
        <v>2.5000000000000001E-3</v>
      </c>
    </row>
    <row r="275" spans="1:69" s="156" customFormat="1" ht="22.35" customHeight="1" x14ac:dyDescent="0.2">
      <c r="A275" s="165" t="s">
        <v>339</v>
      </c>
      <c r="B275" s="165" t="s">
        <v>340</v>
      </c>
      <c r="C275" s="165" t="s">
        <v>346</v>
      </c>
      <c r="D275" s="166">
        <v>8.6759634033333306</v>
      </c>
      <c r="E275" s="167"/>
      <c r="F275" s="168">
        <v>0.03</v>
      </c>
      <c r="G275" s="168">
        <v>0.03</v>
      </c>
      <c r="H275" s="169"/>
      <c r="I275" s="170">
        <v>3</v>
      </c>
      <c r="J275" s="170">
        <v>3</v>
      </c>
      <c r="K275" s="167"/>
      <c r="L275" s="171">
        <v>7631.9891200000002</v>
      </c>
      <c r="M275" s="171">
        <v>3454.4063599999999</v>
      </c>
      <c r="N275" s="171">
        <v>11086.395479999999</v>
      </c>
      <c r="O275" s="166">
        <v>1277.8287510687901</v>
      </c>
      <c r="P275" s="172">
        <v>246.08699999999999</v>
      </c>
      <c r="Q275" s="178">
        <v>5.1925894137796398</v>
      </c>
      <c r="R275" s="179">
        <v>8754.9298278085898</v>
      </c>
      <c r="S275" s="168">
        <v>0.01</v>
      </c>
      <c r="T275" s="168">
        <v>0.01</v>
      </c>
      <c r="U275" s="175">
        <v>0</v>
      </c>
      <c r="V275" s="176">
        <v>0</v>
      </c>
      <c r="W275" s="167"/>
      <c r="X275" s="175">
        <v>4102.5174299999999</v>
      </c>
      <c r="Y275" s="166">
        <v>472.86015849534402</v>
      </c>
      <c r="Z275" s="177">
        <v>573</v>
      </c>
      <c r="AA275" s="188">
        <v>0.82523587870042503</v>
      </c>
      <c r="AB275" s="171">
        <v>-1326.17168688012</v>
      </c>
      <c r="AC275" s="168"/>
      <c r="AD275" s="168"/>
      <c r="AE275" s="176">
        <v>869</v>
      </c>
      <c r="AF275" s="176">
        <v>1864</v>
      </c>
      <c r="AG275" s="167"/>
      <c r="AH275" s="180">
        <v>474.15</v>
      </c>
      <c r="AI275" s="166">
        <v>54.650991245286903</v>
      </c>
      <c r="AJ275" s="181" t="s">
        <v>53</v>
      </c>
      <c r="AK275" s="188">
        <v>0.86747605151249096</v>
      </c>
      <c r="AL275" s="171">
        <v>-122.72157829571999</v>
      </c>
      <c r="AM275" s="168"/>
      <c r="AN275" s="168"/>
      <c r="AO275" s="176">
        <v>73</v>
      </c>
      <c r="AP275" s="176">
        <v>182</v>
      </c>
      <c r="AQ275" s="167"/>
      <c r="AR275" s="180">
        <v>49.7</v>
      </c>
      <c r="AS275" s="166">
        <v>5.7284704521581</v>
      </c>
      <c r="AT275" s="181" t="s">
        <v>54</v>
      </c>
      <c r="AU275" s="173">
        <v>0.35802940325988097</v>
      </c>
      <c r="AV275" s="174">
        <v>-101.88643258304</v>
      </c>
      <c r="AW275" s="168"/>
      <c r="AX275" s="168"/>
      <c r="AY275" s="176">
        <v>90</v>
      </c>
      <c r="AZ275" s="176">
        <v>117</v>
      </c>
      <c r="BA275" s="167"/>
      <c r="BB275" s="184">
        <v>535.79999999999995</v>
      </c>
      <c r="BC275" s="180">
        <v>61.756830347410599</v>
      </c>
      <c r="BD275" s="181" t="s">
        <v>55</v>
      </c>
      <c r="BE275" s="178">
        <v>1.9299009483565801</v>
      </c>
      <c r="BF275" s="179">
        <v>232.62713483392</v>
      </c>
      <c r="BG275" s="168">
        <v>0.02</v>
      </c>
      <c r="BH275" s="168">
        <v>0.02</v>
      </c>
      <c r="BI275" s="176">
        <v>0</v>
      </c>
      <c r="BJ275" s="176">
        <v>0</v>
      </c>
      <c r="BK275" s="169"/>
      <c r="BL275" s="185">
        <v>0.8</v>
      </c>
      <c r="BM275" s="188">
        <v>0.74</v>
      </c>
      <c r="BN275" s="186"/>
      <c r="BO275" s="187">
        <v>0.95</v>
      </c>
      <c r="BP275" s="178">
        <v>1</v>
      </c>
      <c r="BQ275" s="186">
        <v>2.5000000000000001E-3</v>
      </c>
    </row>
    <row r="276" spans="1:69" s="156" customFormat="1" ht="22.35" customHeight="1" x14ac:dyDescent="0.2">
      <c r="A276" s="165" t="s">
        <v>339</v>
      </c>
      <c r="B276" s="165" t="s">
        <v>340</v>
      </c>
      <c r="C276" s="165" t="s">
        <v>347</v>
      </c>
      <c r="D276" s="166">
        <v>1.8989247312222199</v>
      </c>
      <c r="E276" s="167"/>
      <c r="F276" s="168">
        <v>0.03</v>
      </c>
      <c r="G276" s="168">
        <v>0.03</v>
      </c>
      <c r="H276" s="169"/>
      <c r="I276" s="170">
        <v>3</v>
      </c>
      <c r="J276" s="170">
        <v>3</v>
      </c>
      <c r="K276" s="167"/>
      <c r="L276" s="171">
        <v>713.65629000000001</v>
      </c>
      <c r="M276" s="171">
        <v>582.46632999999997</v>
      </c>
      <c r="N276" s="171">
        <v>1296.1226200000001</v>
      </c>
      <c r="O276" s="166">
        <v>682.55607960077703</v>
      </c>
      <c r="P276" s="172">
        <v>246.08699999999999</v>
      </c>
      <c r="Q276" s="178">
        <v>2.7736372892545198</v>
      </c>
      <c r="R276" s="179">
        <v>785.830266157148</v>
      </c>
      <c r="S276" s="168">
        <v>0.01</v>
      </c>
      <c r="T276" s="168">
        <v>0.01</v>
      </c>
      <c r="U276" s="175">
        <v>0</v>
      </c>
      <c r="V276" s="176">
        <v>0</v>
      </c>
      <c r="W276" s="167"/>
      <c r="X276" s="175">
        <v>967.91809499999999</v>
      </c>
      <c r="Y276" s="166">
        <v>509.71904209021</v>
      </c>
      <c r="Z276" s="177">
        <v>573</v>
      </c>
      <c r="AA276" s="188">
        <v>0.889562028080645</v>
      </c>
      <c r="AB276" s="171">
        <v>-220.26949212144299</v>
      </c>
      <c r="AC276" s="168"/>
      <c r="AD276" s="168"/>
      <c r="AE276" s="176">
        <v>121</v>
      </c>
      <c r="AF276" s="176">
        <v>338</v>
      </c>
      <c r="AG276" s="167"/>
      <c r="AH276" s="180">
        <v>101.7</v>
      </c>
      <c r="AI276" s="166">
        <v>53.556625140450898</v>
      </c>
      <c r="AJ276" s="181" t="s">
        <v>53</v>
      </c>
      <c r="AK276" s="188">
        <v>0.85010516095953803</v>
      </c>
      <c r="AL276" s="171">
        <v>-28.938425809163899</v>
      </c>
      <c r="AM276" s="168"/>
      <c r="AN276" s="168"/>
      <c r="AO276" s="176">
        <v>18</v>
      </c>
      <c r="AP276" s="176">
        <v>42</v>
      </c>
      <c r="AQ276" s="167"/>
      <c r="AR276" s="180">
        <v>15.8</v>
      </c>
      <c r="AS276" s="166">
        <v>8.320498301073</v>
      </c>
      <c r="AT276" s="181" t="s">
        <v>54</v>
      </c>
      <c r="AU276" s="173">
        <v>0.52003114381706295</v>
      </c>
      <c r="AV276" s="174">
        <v>-17.378012903914598</v>
      </c>
      <c r="AW276" s="168"/>
      <c r="AX276" s="168"/>
      <c r="AY276" s="176">
        <v>15</v>
      </c>
      <c r="AZ276" s="176">
        <v>21</v>
      </c>
      <c r="BA276" s="167"/>
      <c r="BB276" s="184">
        <v>83.4</v>
      </c>
      <c r="BC276" s="180">
        <v>43.919592298068899</v>
      </c>
      <c r="BD276" s="181" t="s">
        <v>55</v>
      </c>
      <c r="BE276" s="178">
        <v>1.37248725931465</v>
      </c>
      <c r="BF276" s="179">
        <v>17.043974192170801</v>
      </c>
      <c r="BG276" s="168">
        <v>0.02</v>
      </c>
      <c r="BH276" s="168">
        <v>0.02</v>
      </c>
      <c r="BI276" s="176">
        <v>0</v>
      </c>
      <c r="BJ276" s="176">
        <v>0</v>
      </c>
      <c r="BK276" s="169"/>
      <c r="BL276" s="185">
        <v>0.8</v>
      </c>
      <c r="BM276" s="188">
        <v>0.78</v>
      </c>
      <c r="BN276" s="186"/>
      <c r="BO276" s="187">
        <v>0.95</v>
      </c>
      <c r="BP276" s="178">
        <v>1</v>
      </c>
      <c r="BQ276" s="186">
        <v>2.5000000000000001E-3</v>
      </c>
    </row>
    <row r="277" spans="1:69" s="156" customFormat="1" ht="22.35" customHeight="1" x14ac:dyDescent="0.2">
      <c r="A277" s="165" t="s">
        <v>339</v>
      </c>
      <c r="B277" s="165" t="s">
        <v>340</v>
      </c>
      <c r="C277" s="165" t="s">
        <v>348</v>
      </c>
      <c r="D277" s="166">
        <v>1.8613756613333301</v>
      </c>
      <c r="E277" s="167"/>
      <c r="F277" s="168">
        <v>0.08</v>
      </c>
      <c r="G277" s="168">
        <v>0.08</v>
      </c>
      <c r="H277" s="169"/>
      <c r="I277" s="170">
        <v>7</v>
      </c>
      <c r="J277" s="170">
        <v>7</v>
      </c>
      <c r="K277" s="167"/>
      <c r="L277" s="171">
        <v>1223.3950199999999</v>
      </c>
      <c r="M277" s="171">
        <v>2838.4063099999998</v>
      </c>
      <c r="N277" s="171">
        <v>4061.8013299999998</v>
      </c>
      <c r="O277" s="166">
        <v>2182.15023134581</v>
      </c>
      <c r="P277" s="172">
        <v>246.08699999999999</v>
      </c>
      <c r="Q277" s="178">
        <v>8.8673933663534008</v>
      </c>
      <c r="R277" s="179">
        <v>3561.5994252113801</v>
      </c>
      <c r="S277" s="168">
        <v>0.01</v>
      </c>
      <c r="T277" s="168">
        <v>0.01</v>
      </c>
      <c r="U277" s="175">
        <v>0</v>
      </c>
      <c r="V277" s="176">
        <v>0</v>
      </c>
      <c r="W277" s="167"/>
      <c r="X277" s="175">
        <v>1735.7796249999999</v>
      </c>
      <c r="Y277" s="166">
        <v>932.52515387282597</v>
      </c>
      <c r="Z277" s="177">
        <v>573</v>
      </c>
      <c r="AA277" s="178">
        <v>1.62744354951628</v>
      </c>
      <c r="AB277" s="179">
        <v>571.08709169315398</v>
      </c>
      <c r="AC277" s="168">
        <v>0.02</v>
      </c>
      <c r="AD277" s="168">
        <v>0.02</v>
      </c>
      <c r="AE277" s="176">
        <v>0</v>
      </c>
      <c r="AF277" s="176">
        <v>0</v>
      </c>
      <c r="AG277" s="167"/>
      <c r="AH277" s="180">
        <v>140.80000000000001</v>
      </c>
      <c r="AI277" s="166">
        <v>75.642978967041302</v>
      </c>
      <c r="AJ277" s="181" t="s">
        <v>53</v>
      </c>
      <c r="AK277" s="178">
        <v>1.20068220582605</v>
      </c>
      <c r="AL277" s="179">
        <v>12.7448000029122</v>
      </c>
      <c r="AM277" s="168">
        <v>0.02</v>
      </c>
      <c r="AN277" s="168">
        <v>0.02</v>
      </c>
      <c r="AO277" s="176">
        <v>0</v>
      </c>
      <c r="AP277" s="176">
        <v>0</v>
      </c>
      <c r="AQ277" s="167"/>
      <c r="AR277" s="180">
        <v>47</v>
      </c>
      <c r="AS277" s="166">
        <v>25.250142126782301</v>
      </c>
      <c r="AT277" s="181" t="s">
        <v>54</v>
      </c>
      <c r="AU277" s="178">
        <v>1.57813388292389</v>
      </c>
      <c r="AV277" s="179">
        <v>14.4780444451841</v>
      </c>
      <c r="AW277" s="168">
        <v>0.01</v>
      </c>
      <c r="AX277" s="168">
        <v>0.01</v>
      </c>
      <c r="AY277" s="176">
        <v>0</v>
      </c>
      <c r="AZ277" s="176">
        <v>0</v>
      </c>
      <c r="BA277" s="167"/>
      <c r="BB277" s="184">
        <v>105.8</v>
      </c>
      <c r="BC277" s="180">
        <v>56.839681638586498</v>
      </c>
      <c r="BD277" s="181" t="s">
        <v>55</v>
      </c>
      <c r="BE277" s="178">
        <v>1.7762400512058301</v>
      </c>
      <c r="BF277" s="179">
        <v>40.756088890368098</v>
      </c>
      <c r="BG277" s="168">
        <v>0.02</v>
      </c>
      <c r="BH277" s="168">
        <v>0.02</v>
      </c>
      <c r="BI277" s="176">
        <v>0</v>
      </c>
      <c r="BJ277" s="176">
        <v>0</v>
      </c>
      <c r="BK277" s="169"/>
      <c r="BL277" s="185">
        <v>0.8</v>
      </c>
      <c r="BM277" s="182">
        <v>0.87</v>
      </c>
      <c r="BN277" s="186">
        <v>2.6250000000000002E-3</v>
      </c>
      <c r="BO277" s="187">
        <v>0.95</v>
      </c>
      <c r="BP277" s="178">
        <v>1</v>
      </c>
      <c r="BQ277" s="186">
        <v>2.5000000000000001E-3</v>
      </c>
    </row>
    <row r="278" spans="1:69" s="156" customFormat="1" ht="22.35" customHeight="1" x14ac:dyDescent="0.2">
      <c r="A278" s="165" t="s">
        <v>339</v>
      </c>
      <c r="B278" s="165" t="s">
        <v>340</v>
      </c>
      <c r="C278" s="165" t="s">
        <v>349</v>
      </c>
      <c r="D278" s="166">
        <v>4.0649831650000001</v>
      </c>
      <c r="E278" s="167"/>
      <c r="F278" s="168">
        <v>2.9000000000000001E-2</v>
      </c>
      <c r="G278" s="168">
        <v>1.7999999999999999E-2</v>
      </c>
      <c r="H278" s="169"/>
      <c r="I278" s="170">
        <v>3</v>
      </c>
      <c r="J278" s="170">
        <v>3</v>
      </c>
      <c r="K278" s="167"/>
      <c r="L278" s="171">
        <v>986.04044999999996</v>
      </c>
      <c r="M278" s="171">
        <v>616.46918000000005</v>
      </c>
      <c r="N278" s="171">
        <v>1602.50963</v>
      </c>
      <c r="O278" s="166">
        <v>394.22294384828001</v>
      </c>
      <c r="P278" s="172">
        <v>212.5</v>
      </c>
      <c r="Q278" s="178">
        <v>1.85516679458014</v>
      </c>
      <c r="R278" s="179">
        <v>659.23028656174995</v>
      </c>
      <c r="S278" s="168">
        <v>0.01</v>
      </c>
      <c r="T278" s="168">
        <v>0.01</v>
      </c>
      <c r="U278" s="175">
        <v>0</v>
      </c>
      <c r="V278" s="176">
        <v>0</v>
      </c>
      <c r="W278" s="167"/>
      <c r="X278" s="175">
        <v>1478.75477</v>
      </c>
      <c r="Y278" s="166">
        <v>363.77881776541102</v>
      </c>
      <c r="Z278" s="177">
        <v>573</v>
      </c>
      <c r="AA278" s="173">
        <v>0.63486704671101402</v>
      </c>
      <c r="AB278" s="174">
        <v>-1064.7702360711401</v>
      </c>
      <c r="AC278" s="168"/>
      <c r="AD278" s="168"/>
      <c r="AE278" s="176">
        <v>851</v>
      </c>
      <c r="AF278" s="176">
        <v>1317</v>
      </c>
      <c r="AG278" s="167"/>
      <c r="AH278" s="180">
        <v>153.5</v>
      </c>
      <c r="AI278" s="166">
        <v>37.761534001334503</v>
      </c>
      <c r="AJ278" s="181" t="s">
        <v>53</v>
      </c>
      <c r="AK278" s="173">
        <v>0.59938942859261202</v>
      </c>
      <c r="AL278" s="174">
        <v>-126.15458181934</v>
      </c>
      <c r="AM278" s="168"/>
      <c r="AN278" s="168"/>
      <c r="AO278" s="176">
        <v>103</v>
      </c>
      <c r="AP278" s="176">
        <v>154</v>
      </c>
      <c r="AQ278" s="167"/>
      <c r="AR278" s="180">
        <v>23.4</v>
      </c>
      <c r="AS278" s="166">
        <v>5.7564814047636998</v>
      </c>
      <c r="AT278" s="181" t="s">
        <v>54</v>
      </c>
      <c r="AU278" s="173">
        <v>0.35978008779773102</v>
      </c>
      <c r="AV278" s="174">
        <v>-47.623385858879999</v>
      </c>
      <c r="AW278" s="168"/>
      <c r="AX278" s="168"/>
      <c r="AY278" s="176">
        <v>42</v>
      </c>
      <c r="AZ278" s="176">
        <v>55</v>
      </c>
      <c r="BA278" s="167"/>
      <c r="BB278" s="184">
        <v>140.4</v>
      </c>
      <c r="BC278" s="180">
        <v>34.538888428582197</v>
      </c>
      <c r="BD278" s="181" t="s">
        <v>55</v>
      </c>
      <c r="BE278" s="182">
        <v>1.0793402633931899</v>
      </c>
      <c r="BF278" s="183">
        <v>-1.6467717177600001</v>
      </c>
      <c r="BG278" s="168">
        <v>1.9E-2</v>
      </c>
      <c r="BH278" s="168">
        <v>8.0000000000000002E-3</v>
      </c>
      <c r="BI278" s="176">
        <v>0</v>
      </c>
      <c r="BJ278" s="176">
        <v>16</v>
      </c>
      <c r="BK278" s="169"/>
      <c r="BL278" s="185">
        <v>0.8</v>
      </c>
      <c r="BM278" s="188">
        <v>0.79</v>
      </c>
      <c r="BN278" s="186"/>
      <c r="BO278" s="187">
        <v>0.95</v>
      </c>
      <c r="BP278" s="178">
        <v>1</v>
      </c>
      <c r="BQ278" s="186">
        <v>2.5000000000000001E-3</v>
      </c>
    </row>
    <row r="279" spans="1:69" s="156" customFormat="1" ht="22.35" customHeight="1" x14ac:dyDescent="0.2">
      <c r="A279" s="165" t="s">
        <v>339</v>
      </c>
      <c r="B279" s="165" t="s">
        <v>340</v>
      </c>
      <c r="C279" s="165" t="s">
        <v>350</v>
      </c>
      <c r="D279" s="166">
        <v>2.7843147968888902</v>
      </c>
      <c r="E279" s="167"/>
      <c r="F279" s="168">
        <v>1.0999999999999999E-2</v>
      </c>
      <c r="G279" s="168">
        <v>0.01</v>
      </c>
      <c r="H279" s="169"/>
      <c r="I279" s="170">
        <v>4</v>
      </c>
      <c r="J279" s="170">
        <v>3</v>
      </c>
      <c r="K279" s="167"/>
      <c r="L279" s="171">
        <v>1261.4038700000001</v>
      </c>
      <c r="M279" s="171">
        <v>495.44992000000002</v>
      </c>
      <c r="N279" s="171">
        <v>1756.8537899999999</v>
      </c>
      <c r="O279" s="166">
        <v>630.98245642448796</v>
      </c>
      <c r="P279" s="172">
        <v>243.43</v>
      </c>
      <c r="Q279" s="178">
        <v>2.59204887000159</v>
      </c>
      <c r="R279" s="179">
        <v>1016.71174990072</v>
      </c>
      <c r="S279" s="168">
        <v>0.01</v>
      </c>
      <c r="T279" s="168">
        <v>0.01</v>
      </c>
      <c r="U279" s="175">
        <v>0</v>
      </c>
      <c r="V279" s="176">
        <v>0</v>
      </c>
      <c r="W279" s="167"/>
      <c r="X279" s="175">
        <v>762.15051500000004</v>
      </c>
      <c r="Y279" s="166">
        <v>273.73000921146001</v>
      </c>
      <c r="Z279" s="177">
        <v>573</v>
      </c>
      <c r="AA279" s="173">
        <v>0.47771380316136097</v>
      </c>
      <c r="AB279" s="174">
        <v>-980.03980245012895</v>
      </c>
      <c r="AC279" s="168"/>
      <c r="AD279" s="168"/>
      <c r="AE279" s="176">
        <v>834</v>
      </c>
      <c r="AF279" s="176">
        <v>1153</v>
      </c>
      <c r="AG279" s="167"/>
      <c r="AH279" s="180">
        <v>150.19999999999999</v>
      </c>
      <c r="AI279" s="166">
        <v>53.945049664581397</v>
      </c>
      <c r="AJ279" s="181" t="s">
        <v>53</v>
      </c>
      <c r="AK279" s="188">
        <v>0.85627062959653</v>
      </c>
      <c r="AL279" s="171">
        <v>-41.349720766768101</v>
      </c>
      <c r="AM279" s="168"/>
      <c r="AN279" s="168"/>
      <c r="AO279" s="176">
        <v>26</v>
      </c>
      <c r="AP279" s="176">
        <v>61</v>
      </c>
      <c r="AQ279" s="167"/>
      <c r="AR279" s="180">
        <v>8.8000000000000007</v>
      </c>
      <c r="AS279" s="166">
        <v>3.1605621641032999</v>
      </c>
      <c r="AT279" s="181" t="s">
        <v>54</v>
      </c>
      <c r="AU279" s="173">
        <v>0.197535135256456</v>
      </c>
      <c r="AV279" s="174">
        <v>-39.847548131242696</v>
      </c>
      <c r="AW279" s="168"/>
      <c r="AX279" s="168"/>
      <c r="AY279" s="176">
        <v>36</v>
      </c>
      <c r="AZ279" s="176">
        <v>45</v>
      </c>
      <c r="BA279" s="167"/>
      <c r="BB279" s="184">
        <v>81.8</v>
      </c>
      <c r="BC279" s="180">
        <v>29.3788619345057</v>
      </c>
      <c r="BD279" s="181" t="s">
        <v>55</v>
      </c>
      <c r="BE279" s="182">
        <v>0.91808943545330302</v>
      </c>
      <c r="BF279" s="183">
        <v>-15.495096262485401</v>
      </c>
      <c r="BG279" s="168">
        <v>1E-3</v>
      </c>
      <c r="BH279" s="168"/>
      <c r="BI279" s="176">
        <v>8</v>
      </c>
      <c r="BJ279" s="176">
        <v>26</v>
      </c>
      <c r="BK279" s="169"/>
      <c r="BL279" s="185">
        <v>0.8</v>
      </c>
      <c r="BM279" s="182">
        <v>0.82</v>
      </c>
      <c r="BN279" s="186">
        <v>7.5000000000000002E-4</v>
      </c>
      <c r="BO279" s="187">
        <v>0.95</v>
      </c>
      <c r="BP279" s="178">
        <v>1</v>
      </c>
      <c r="BQ279" s="186">
        <v>2.5000000000000001E-3</v>
      </c>
    </row>
    <row r="280" spans="1:69" s="156" customFormat="1" ht="22.35" customHeight="1" x14ac:dyDescent="0.2">
      <c r="A280" s="165" t="s">
        <v>339</v>
      </c>
      <c r="B280" s="165" t="s">
        <v>340</v>
      </c>
      <c r="C280" s="165" t="s">
        <v>351</v>
      </c>
      <c r="D280" s="166">
        <v>4.6097894054444399</v>
      </c>
      <c r="E280" s="167"/>
      <c r="F280" s="168"/>
      <c r="G280" s="168"/>
      <c r="H280" s="169"/>
      <c r="I280" s="170">
        <v>1</v>
      </c>
      <c r="J280" s="170">
        <v>1</v>
      </c>
      <c r="K280" s="167"/>
      <c r="L280" s="171">
        <v>1167.36924</v>
      </c>
      <c r="M280" s="171">
        <v>-320.76745</v>
      </c>
      <c r="N280" s="171">
        <v>846.60179000000005</v>
      </c>
      <c r="O280" s="166">
        <v>183.65302957226399</v>
      </c>
      <c r="P280" s="172">
        <v>254.44499999999999</v>
      </c>
      <c r="Q280" s="173">
        <v>0.72177888963141101</v>
      </c>
      <c r="R280" s="174">
        <v>-434.24635887299502</v>
      </c>
      <c r="S280" s="168"/>
      <c r="T280" s="168"/>
      <c r="U280" s="175">
        <v>327</v>
      </c>
      <c r="V280" s="176">
        <v>561</v>
      </c>
      <c r="W280" s="167"/>
      <c r="X280" s="175">
        <v>1691.20444</v>
      </c>
      <c r="Y280" s="166">
        <v>366.87238640502397</v>
      </c>
      <c r="Z280" s="177">
        <v>573</v>
      </c>
      <c r="AA280" s="173">
        <v>0.64026594486042598</v>
      </c>
      <c r="AB280" s="174">
        <v>-1193.2145476170699</v>
      </c>
      <c r="AC280" s="168"/>
      <c r="AD280" s="168"/>
      <c r="AE280" s="176">
        <v>951</v>
      </c>
      <c r="AF280" s="176">
        <v>1479</v>
      </c>
      <c r="AG280" s="167"/>
      <c r="AH280" s="180">
        <v>238.2</v>
      </c>
      <c r="AI280" s="166">
        <v>51.672642511319701</v>
      </c>
      <c r="AJ280" s="181" t="s">
        <v>53</v>
      </c>
      <c r="AK280" s="188">
        <v>0.82020067478285297</v>
      </c>
      <c r="AL280" s="171">
        <v>-78.935071936955694</v>
      </c>
      <c r="AM280" s="168"/>
      <c r="AN280" s="168"/>
      <c r="AO280" s="176">
        <v>53</v>
      </c>
      <c r="AP280" s="176">
        <v>111</v>
      </c>
      <c r="AQ280" s="167"/>
      <c r="AR280" s="180">
        <v>13</v>
      </c>
      <c r="AS280" s="166">
        <v>2.8200854435229101</v>
      </c>
      <c r="AT280" s="181" t="s">
        <v>54</v>
      </c>
      <c r="AU280" s="173">
        <v>0.17625534022018199</v>
      </c>
      <c r="AV280" s="174">
        <v>-67.542240491925298</v>
      </c>
      <c r="AW280" s="168"/>
      <c r="AX280" s="168"/>
      <c r="AY280" s="176">
        <v>61</v>
      </c>
      <c r="AZ280" s="176">
        <v>76</v>
      </c>
      <c r="BA280" s="167"/>
      <c r="BB280" s="184">
        <v>133.19999999999999</v>
      </c>
      <c r="BC280" s="180">
        <v>28.895029313634701</v>
      </c>
      <c r="BD280" s="181" t="s">
        <v>55</v>
      </c>
      <c r="BE280" s="188">
        <v>0.90296966605108497</v>
      </c>
      <c r="BF280" s="171">
        <v>-27.884480983850501</v>
      </c>
      <c r="BG280" s="168"/>
      <c r="BH280" s="168"/>
      <c r="BI280" s="176">
        <v>15</v>
      </c>
      <c r="BJ280" s="176">
        <v>44</v>
      </c>
      <c r="BK280" s="169"/>
      <c r="BL280" s="185">
        <v>0.8</v>
      </c>
      <c r="BM280" s="188">
        <v>0.78</v>
      </c>
      <c r="BN280" s="186"/>
      <c r="BO280" s="187">
        <v>0.95</v>
      </c>
      <c r="BP280" s="178">
        <v>1</v>
      </c>
      <c r="BQ280" s="186">
        <v>2.5000000000000001E-3</v>
      </c>
    </row>
    <row r="281" spans="1:69" s="156" customFormat="1" ht="22.35" customHeight="1" x14ac:dyDescent="0.2">
      <c r="A281" s="165" t="s">
        <v>339</v>
      </c>
      <c r="B281" s="165" t="s">
        <v>340</v>
      </c>
      <c r="C281" s="165" t="s">
        <v>352</v>
      </c>
      <c r="D281" s="166">
        <v>4.6161616162222199</v>
      </c>
      <c r="E281" s="167"/>
      <c r="F281" s="168">
        <v>2.4E-2</v>
      </c>
      <c r="G281" s="168">
        <v>1.0999999999999999E-2</v>
      </c>
      <c r="H281" s="169"/>
      <c r="I281" s="170">
        <v>4</v>
      </c>
      <c r="J281" s="170">
        <v>3</v>
      </c>
      <c r="K281" s="167"/>
      <c r="L281" s="171">
        <v>2390.1131</v>
      </c>
      <c r="M281" s="171">
        <v>2576.4576900000002</v>
      </c>
      <c r="N281" s="171">
        <v>4966.5707899999998</v>
      </c>
      <c r="O281" s="166">
        <v>1075.90920832285</v>
      </c>
      <c r="P281" s="172">
        <v>212.5</v>
      </c>
      <c r="Q281" s="178">
        <v>5.06310215681341</v>
      </c>
      <c r="R281" s="179">
        <v>3895.39048695563</v>
      </c>
      <c r="S281" s="168">
        <v>0.01</v>
      </c>
      <c r="T281" s="168">
        <v>0.01</v>
      </c>
      <c r="U281" s="175">
        <v>0</v>
      </c>
      <c r="V281" s="176">
        <v>0</v>
      </c>
      <c r="W281" s="167"/>
      <c r="X281" s="175">
        <v>2481.2841250000001</v>
      </c>
      <c r="Y281" s="166">
        <v>537.52106864720997</v>
      </c>
      <c r="Z281" s="177">
        <v>573</v>
      </c>
      <c r="AA281" s="182">
        <v>0.93808214423596803</v>
      </c>
      <c r="AB281" s="183">
        <v>-407.12205685610297</v>
      </c>
      <c r="AC281" s="168">
        <v>3.0000000000000001E-3</v>
      </c>
      <c r="AD281" s="168"/>
      <c r="AE281" s="176">
        <v>164</v>
      </c>
      <c r="AF281" s="176">
        <v>693</v>
      </c>
      <c r="AG281" s="167"/>
      <c r="AH281" s="180">
        <v>169.95</v>
      </c>
      <c r="AI281" s="166">
        <v>36.816301968882101</v>
      </c>
      <c r="AJ281" s="181" t="s">
        <v>53</v>
      </c>
      <c r="AK281" s="173">
        <v>0.58438574553780998</v>
      </c>
      <c r="AL281" s="174">
        <v>-147.623454549624</v>
      </c>
      <c r="AM281" s="168"/>
      <c r="AN281" s="168"/>
      <c r="AO281" s="176">
        <v>121</v>
      </c>
      <c r="AP281" s="176">
        <v>180</v>
      </c>
      <c r="AQ281" s="167"/>
      <c r="AR281" s="180">
        <v>38.799999999999997</v>
      </c>
      <c r="AS281" s="166">
        <v>8.4052516410274993</v>
      </c>
      <c r="AT281" s="181" t="s">
        <v>54</v>
      </c>
      <c r="AU281" s="173">
        <v>0.52532822756421904</v>
      </c>
      <c r="AV281" s="174">
        <v>-41.853575758634598</v>
      </c>
      <c r="AW281" s="168"/>
      <c r="AX281" s="168"/>
      <c r="AY281" s="176">
        <v>36</v>
      </c>
      <c r="AZ281" s="176">
        <v>50</v>
      </c>
      <c r="BA281" s="167"/>
      <c r="BB281" s="184">
        <v>149.19999999999999</v>
      </c>
      <c r="BC281" s="180">
        <v>32.321225382507798</v>
      </c>
      <c r="BD281" s="181" t="s">
        <v>55</v>
      </c>
      <c r="BE281" s="182">
        <v>1.01003829320337</v>
      </c>
      <c r="BF281" s="183">
        <v>-12.1071515172692</v>
      </c>
      <c r="BG281" s="168">
        <v>1.0999999999999999E-2</v>
      </c>
      <c r="BH281" s="168">
        <v>1E-3</v>
      </c>
      <c r="BI281" s="176">
        <v>0</v>
      </c>
      <c r="BJ281" s="176">
        <v>29</v>
      </c>
      <c r="BK281" s="169"/>
      <c r="BL281" s="185">
        <v>0.8</v>
      </c>
      <c r="BM281" s="188">
        <v>0.76</v>
      </c>
      <c r="BN281" s="186"/>
      <c r="BO281" s="187">
        <v>0.95</v>
      </c>
      <c r="BP281" s="178">
        <v>1</v>
      </c>
      <c r="BQ281" s="186">
        <v>2.5000000000000001E-3</v>
      </c>
    </row>
    <row r="282" spans="1:69" s="156" customFormat="1" ht="22.35" customHeight="1" x14ac:dyDescent="0.2">
      <c r="A282" s="165" t="s">
        <v>339</v>
      </c>
      <c r="B282" s="165" t="s">
        <v>340</v>
      </c>
      <c r="C282" s="165" t="s">
        <v>353</v>
      </c>
      <c r="D282" s="166">
        <v>6.3981030344444401</v>
      </c>
      <c r="E282" s="167"/>
      <c r="F282" s="168">
        <v>0.03</v>
      </c>
      <c r="G282" s="168">
        <v>2.4E-2</v>
      </c>
      <c r="H282" s="169"/>
      <c r="I282" s="170">
        <v>3</v>
      </c>
      <c r="J282" s="170">
        <v>3</v>
      </c>
      <c r="K282" s="167"/>
      <c r="L282" s="171">
        <v>2133.5116899999998</v>
      </c>
      <c r="M282" s="171">
        <v>3332.8605299999999</v>
      </c>
      <c r="N282" s="171">
        <v>5466.3722200000002</v>
      </c>
      <c r="O282" s="166">
        <v>854.37389653957803</v>
      </c>
      <c r="P282" s="172">
        <v>250.489</v>
      </c>
      <c r="Q282" s="178">
        <v>3.4108240143861699</v>
      </c>
      <c r="R282" s="179">
        <v>3716.2735813535101</v>
      </c>
      <c r="S282" s="168">
        <v>0.01</v>
      </c>
      <c r="T282" s="168">
        <v>0.01</v>
      </c>
      <c r="U282" s="175">
        <v>0</v>
      </c>
      <c r="V282" s="176">
        <v>0</v>
      </c>
      <c r="W282" s="167"/>
      <c r="X282" s="175">
        <v>2497.36319</v>
      </c>
      <c r="Y282" s="166">
        <v>390.328692200695</v>
      </c>
      <c r="Z282" s="177">
        <v>573</v>
      </c>
      <c r="AA282" s="173">
        <v>0.681201906109416</v>
      </c>
      <c r="AB282" s="174">
        <v>-1506.03224830044</v>
      </c>
      <c r="AC282" s="168"/>
      <c r="AD282" s="168"/>
      <c r="AE282" s="176">
        <v>1169</v>
      </c>
      <c r="AF282" s="176">
        <v>1902</v>
      </c>
      <c r="AG282" s="167"/>
      <c r="AH282" s="180">
        <v>242.9</v>
      </c>
      <c r="AI282" s="166">
        <v>37.964377674497896</v>
      </c>
      <c r="AJ282" s="181" t="s">
        <v>53</v>
      </c>
      <c r="AK282" s="173">
        <v>0.60260916943647502</v>
      </c>
      <c r="AL282" s="174">
        <v>-197.26389635763999</v>
      </c>
      <c r="AM282" s="168"/>
      <c r="AN282" s="168"/>
      <c r="AO282" s="176">
        <v>161</v>
      </c>
      <c r="AP282" s="176">
        <v>241</v>
      </c>
      <c r="AQ282" s="167"/>
      <c r="AR282" s="180">
        <v>47.4</v>
      </c>
      <c r="AS282" s="166">
        <v>7.4084458697867497</v>
      </c>
      <c r="AT282" s="181" t="s">
        <v>54</v>
      </c>
      <c r="AU282" s="173">
        <v>0.46302786686167202</v>
      </c>
      <c r="AV282" s="174">
        <v>-64.387656217813301</v>
      </c>
      <c r="AW282" s="168"/>
      <c r="AX282" s="168"/>
      <c r="AY282" s="176">
        <v>55</v>
      </c>
      <c r="AZ282" s="176">
        <v>76</v>
      </c>
      <c r="BA282" s="167"/>
      <c r="BB282" s="184">
        <v>233.8</v>
      </c>
      <c r="BC282" s="180">
        <v>36.542081104559898</v>
      </c>
      <c r="BD282" s="181" t="s">
        <v>55</v>
      </c>
      <c r="BE282" s="178">
        <v>1.1419400345174999</v>
      </c>
      <c r="BF282" s="179">
        <v>10.2246875643735</v>
      </c>
      <c r="BG282" s="168">
        <v>0.02</v>
      </c>
      <c r="BH282" s="168">
        <v>1.4E-2</v>
      </c>
      <c r="BI282" s="176">
        <v>0</v>
      </c>
      <c r="BJ282" s="176">
        <v>12</v>
      </c>
      <c r="BK282" s="169"/>
      <c r="BL282" s="185">
        <v>0.8</v>
      </c>
      <c r="BM282" s="188">
        <v>0.77</v>
      </c>
      <c r="BN282" s="186"/>
      <c r="BO282" s="187">
        <v>0.95</v>
      </c>
      <c r="BP282" s="178">
        <v>1</v>
      </c>
      <c r="BQ282" s="186">
        <v>2.5000000000000001E-3</v>
      </c>
    </row>
    <row r="283" spans="1:69" s="156" customFormat="1" ht="22.35" customHeight="1" x14ac:dyDescent="0.2">
      <c r="A283" s="165" t="s">
        <v>339</v>
      </c>
      <c r="B283" s="165" t="s">
        <v>340</v>
      </c>
      <c r="C283" s="165" t="s">
        <v>354</v>
      </c>
      <c r="D283" s="166">
        <v>5.0444772765555603</v>
      </c>
      <c r="E283" s="167"/>
      <c r="F283" s="168">
        <v>4.5999999999999999E-2</v>
      </c>
      <c r="G283" s="168">
        <v>2.9000000000000001E-2</v>
      </c>
      <c r="H283" s="169"/>
      <c r="I283" s="170">
        <v>4</v>
      </c>
      <c r="J283" s="170">
        <v>4</v>
      </c>
      <c r="K283" s="167"/>
      <c r="L283" s="171">
        <v>1628.31556</v>
      </c>
      <c r="M283" s="171">
        <v>1098.26316</v>
      </c>
      <c r="N283" s="171">
        <v>2726.57872</v>
      </c>
      <c r="O283" s="166">
        <v>540.50768206884402</v>
      </c>
      <c r="P283" s="172">
        <v>216.363</v>
      </c>
      <c r="Q283" s="178">
        <v>2.49815209656385</v>
      </c>
      <c r="R283" s="179">
        <v>1534.7281652097699</v>
      </c>
      <c r="S283" s="168">
        <v>0.01</v>
      </c>
      <c r="T283" s="168">
        <v>0.01</v>
      </c>
      <c r="U283" s="175">
        <v>0</v>
      </c>
      <c r="V283" s="176">
        <v>0</v>
      </c>
      <c r="W283" s="167"/>
      <c r="X283" s="175">
        <v>3063.7462500000001</v>
      </c>
      <c r="Y283" s="166">
        <v>607.34662523685097</v>
      </c>
      <c r="Z283" s="177">
        <v>573</v>
      </c>
      <c r="AA283" s="182">
        <v>1.05994175434005</v>
      </c>
      <c r="AB283" s="183">
        <v>-92.663893577238497</v>
      </c>
      <c r="AC283" s="168">
        <v>1.6E-2</v>
      </c>
      <c r="AD283" s="168">
        <v>6.0000000000000001E-3</v>
      </c>
      <c r="AE283" s="176">
        <v>0</v>
      </c>
      <c r="AF283" s="176">
        <v>405</v>
      </c>
      <c r="AG283" s="167"/>
      <c r="AH283" s="180">
        <v>192.1</v>
      </c>
      <c r="AI283" s="166">
        <v>38.081249942941298</v>
      </c>
      <c r="AJ283" s="181" t="s">
        <v>53</v>
      </c>
      <c r="AK283" s="173">
        <v>0.60446428480859205</v>
      </c>
      <c r="AL283" s="174">
        <v>-154.939858717916</v>
      </c>
      <c r="AM283" s="168"/>
      <c r="AN283" s="168"/>
      <c r="AO283" s="176">
        <v>126</v>
      </c>
      <c r="AP283" s="176">
        <v>190</v>
      </c>
      <c r="AQ283" s="167"/>
      <c r="AR283" s="180">
        <v>26.8</v>
      </c>
      <c r="AS283" s="166">
        <v>5.3127407520605301</v>
      </c>
      <c r="AT283" s="181" t="s">
        <v>54</v>
      </c>
      <c r="AU283" s="173">
        <v>0.33204629700378302</v>
      </c>
      <c r="AV283" s="174">
        <v>-61.337106975978699</v>
      </c>
      <c r="AW283" s="168"/>
      <c r="AX283" s="168"/>
      <c r="AY283" s="176">
        <v>54</v>
      </c>
      <c r="AZ283" s="176">
        <v>71</v>
      </c>
      <c r="BA283" s="167"/>
      <c r="BB283" s="184">
        <v>182.2</v>
      </c>
      <c r="BC283" s="180">
        <v>36.118707650202502</v>
      </c>
      <c r="BD283" s="181" t="s">
        <v>55</v>
      </c>
      <c r="BE283" s="178">
        <v>1.12870961406883</v>
      </c>
      <c r="BF283" s="179">
        <v>5.9257860480425402</v>
      </c>
      <c r="BG283" s="168">
        <v>0.02</v>
      </c>
      <c r="BH283" s="168">
        <v>1.2999999999999999E-2</v>
      </c>
      <c r="BI283" s="176">
        <v>0</v>
      </c>
      <c r="BJ283" s="176">
        <v>12</v>
      </c>
      <c r="BK283" s="169"/>
      <c r="BL283" s="185">
        <v>0.8</v>
      </c>
      <c r="BM283" s="188">
        <v>0.79</v>
      </c>
      <c r="BN283" s="186"/>
      <c r="BO283" s="187">
        <v>0.95</v>
      </c>
      <c r="BP283" s="178">
        <v>1</v>
      </c>
      <c r="BQ283" s="186">
        <v>2.5000000000000001E-3</v>
      </c>
    </row>
    <row r="284" spans="1:69" s="156" customFormat="1" ht="22.35" customHeight="1" x14ac:dyDescent="0.2">
      <c r="A284" s="165" t="s">
        <v>339</v>
      </c>
      <c r="B284" s="165" t="s">
        <v>340</v>
      </c>
      <c r="C284" s="165" t="s">
        <v>355</v>
      </c>
      <c r="D284" s="166">
        <v>3.2630691803333298</v>
      </c>
      <c r="E284" s="167"/>
      <c r="F284" s="168">
        <v>4.3999999999999997E-2</v>
      </c>
      <c r="G284" s="168">
        <v>2.8000000000000001E-2</v>
      </c>
      <c r="H284" s="169"/>
      <c r="I284" s="170">
        <v>6</v>
      </c>
      <c r="J284" s="170">
        <v>5</v>
      </c>
      <c r="K284" s="167"/>
      <c r="L284" s="171">
        <v>2012.2664299999999</v>
      </c>
      <c r="M284" s="171">
        <v>806.86382000000003</v>
      </c>
      <c r="N284" s="171">
        <v>2819.1302500000002</v>
      </c>
      <c r="O284" s="166">
        <v>863.95050003567997</v>
      </c>
      <c r="P284" s="172">
        <v>249.714</v>
      </c>
      <c r="Q284" s="178">
        <v>3.4597599655433</v>
      </c>
      <c r="R284" s="179">
        <v>1929.3314594308499</v>
      </c>
      <c r="S284" s="168">
        <v>0.01</v>
      </c>
      <c r="T284" s="168">
        <v>0.01</v>
      </c>
      <c r="U284" s="175">
        <v>0</v>
      </c>
      <c r="V284" s="176">
        <v>0</v>
      </c>
      <c r="W284" s="167"/>
      <c r="X284" s="175">
        <v>1763.1288999999999</v>
      </c>
      <c r="Y284" s="166">
        <v>540.328384891886</v>
      </c>
      <c r="Z284" s="177">
        <v>573</v>
      </c>
      <c r="AA284" s="182">
        <v>0.94298147450590897</v>
      </c>
      <c r="AB284" s="183">
        <v>-278.62569524144999</v>
      </c>
      <c r="AC284" s="168">
        <v>4.0000000000000001E-3</v>
      </c>
      <c r="AD284" s="168"/>
      <c r="AE284" s="176">
        <v>107</v>
      </c>
      <c r="AF284" s="176">
        <v>481</v>
      </c>
      <c r="AG284" s="167"/>
      <c r="AH284" s="180">
        <v>205.8</v>
      </c>
      <c r="AI284" s="166">
        <v>63.069456584115997</v>
      </c>
      <c r="AJ284" s="181" t="s">
        <v>53</v>
      </c>
      <c r="AK284" s="182">
        <v>1.00110248546216</v>
      </c>
      <c r="AL284" s="183">
        <v>-18.686107330211801</v>
      </c>
      <c r="AM284" s="168">
        <v>0.01</v>
      </c>
      <c r="AN284" s="168">
        <v>1E-3</v>
      </c>
      <c r="AO284" s="176">
        <v>0</v>
      </c>
      <c r="AP284" s="176">
        <v>41</v>
      </c>
      <c r="AQ284" s="167"/>
      <c r="AR284" s="180">
        <v>13.3</v>
      </c>
      <c r="AS284" s="166">
        <v>4.0759172622387903</v>
      </c>
      <c r="AT284" s="181" t="s">
        <v>54</v>
      </c>
      <c r="AU284" s="173">
        <v>0.254744828889924</v>
      </c>
      <c r="AV284" s="174">
        <v>-43.712344718783903</v>
      </c>
      <c r="AW284" s="168"/>
      <c r="AX284" s="168"/>
      <c r="AY284" s="176">
        <v>39</v>
      </c>
      <c r="AZ284" s="176">
        <v>50</v>
      </c>
      <c r="BA284" s="167"/>
      <c r="BB284" s="184">
        <v>122.2</v>
      </c>
      <c r="BC284" s="180">
        <v>37.449405221472098</v>
      </c>
      <c r="BD284" s="181" t="s">
        <v>55</v>
      </c>
      <c r="BE284" s="178">
        <v>1.170293913171</v>
      </c>
      <c r="BF284" s="179">
        <v>8.1753105624321201</v>
      </c>
      <c r="BG284" s="168">
        <v>0.02</v>
      </c>
      <c r="BH284" s="168">
        <v>1.7000000000000001E-2</v>
      </c>
      <c r="BI284" s="176">
        <v>0</v>
      </c>
      <c r="BJ284" s="176">
        <v>4</v>
      </c>
      <c r="BK284" s="169"/>
      <c r="BL284" s="185">
        <v>0.8</v>
      </c>
      <c r="BM284" s="182">
        <v>0.84</v>
      </c>
      <c r="BN284" s="186">
        <v>1.5E-3</v>
      </c>
      <c r="BO284" s="187">
        <v>0.95</v>
      </c>
      <c r="BP284" s="178">
        <v>1</v>
      </c>
      <c r="BQ284" s="186">
        <v>2.5000000000000001E-3</v>
      </c>
    </row>
    <row r="285" spans="1:69" s="156" customFormat="1" ht="22.35" customHeight="1" x14ac:dyDescent="0.2">
      <c r="A285" s="165" t="s">
        <v>339</v>
      </c>
      <c r="B285" s="165" t="s">
        <v>340</v>
      </c>
      <c r="C285" s="165" t="s">
        <v>356</v>
      </c>
      <c r="D285" s="166">
        <v>2.6091871092222201</v>
      </c>
      <c r="E285" s="167"/>
      <c r="F285" s="168">
        <v>6.0999999999999999E-2</v>
      </c>
      <c r="G285" s="168">
        <v>5.0999999999999997E-2</v>
      </c>
      <c r="H285" s="169"/>
      <c r="I285" s="170">
        <v>6</v>
      </c>
      <c r="J285" s="170">
        <v>6</v>
      </c>
      <c r="K285" s="167"/>
      <c r="L285" s="171">
        <v>770.84589000000005</v>
      </c>
      <c r="M285" s="171">
        <v>230.63695999999999</v>
      </c>
      <c r="N285" s="171">
        <v>1001.48285</v>
      </c>
      <c r="O285" s="166">
        <v>383.829448819611</v>
      </c>
      <c r="P285" s="172">
        <v>212.5</v>
      </c>
      <c r="Q285" s="178">
        <v>1.8062562297393501</v>
      </c>
      <c r="R285" s="179">
        <v>396.02098130498399</v>
      </c>
      <c r="S285" s="168">
        <v>0.01</v>
      </c>
      <c r="T285" s="168">
        <v>0.01</v>
      </c>
      <c r="U285" s="175">
        <v>0</v>
      </c>
      <c r="V285" s="176">
        <v>0</v>
      </c>
      <c r="W285" s="167"/>
      <c r="X285" s="175">
        <v>1860.5121549999999</v>
      </c>
      <c r="Y285" s="166">
        <v>713.06199100247898</v>
      </c>
      <c r="Z285" s="177">
        <v>573</v>
      </c>
      <c r="AA285" s="178">
        <v>1.24443628447204</v>
      </c>
      <c r="AB285" s="179">
        <v>227.90203376590901</v>
      </c>
      <c r="AC285" s="168">
        <v>0.02</v>
      </c>
      <c r="AD285" s="168">
        <v>0.02</v>
      </c>
      <c r="AE285" s="176">
        <v>0</v>
      </c>
      <c r="AF285" s="176">
        <v>0</v>
      </c>
      <c r="AG285" s="167"/>
      <c r="AH285" s="180">
        <v>165.4</v>
      </c>
      <c r="AI285" s="166">
        <v>63.391390910751703</v>
      </c>
      <c r="AJ285" s="181" t="s">
        <v>53</v>
      </c>
      <c r="AK285" s="182">
        <v>1.00621255413892</v>
      </c>
      <c r="AL285" s="183">
        <v>-14.101636366051901</v>
      </c>
      <c r="AM285" s="168">
        <v>1.0999999999999999E-2</v>
      </c>
      <c r="AN285" s="168">
        <v>1E-3</v>
      </c>
      <c r="AO285" s="176">
        <v>0</v>
      </c>
      <c r="AP285" s="176">
        <v>32</v>
      </c>
      <c r="AQ285" s="167"/>
      <c r="AR285" s="180">
        <v>12.2</v>
      </c>
      <c r="AS285" s="166">
        <v>4.6757857866455304</v>
      </c>
      <c r="AT285" s="181" t="s">
        <v>54</v>
      </c>
      <c r="AU285" s="173">
        <v>0.29223661166534598</v>
      </c>
      <c r="AV285" s="174">
        <v>-33.387717172330603</v>
      </c>
      <c r="AW285" s="168"/>
      <c r="AX285" s="168"/>
      <c r="AY285" s="176">
        <v>30</v>
      </c>
      <c r="AZ285" s="176">
        <v>38</v>
      </c>
      <c r="BA285" s="167"/>
      <c r="BB285" s="184">
        <v>117</v>
      </c>
      <c r="BC285" s="180">
        <v>44.841552216190699</v>
      </c>
      <c r="BD285" s="181" t="s">
        <v>55</v>
      </c>
      <c r="BE285" s="178">
        <v>1.40129850675596</v>
      </c>
      <c r="BF285" s="179">
        <v>25.824565655338699</v>
      </c>
      <c r="BG285" s="168">
        <v>0.02</v>
      </c>
      <c r="BH285" s="168">
        <v>0.02</v>
      </c>
      <c r="BI285" s="176">
        <v>0</v>
      </c>
      <c r="BJ285" s="176">
        <v>0</v>
      </c>
      <c r="BK285" s="169"/>
      <c r="BL285" s="185">
        <v>0.8</v>
      </c>
      <c r="BM285" s="182">
        <v>0.85</v>
      </c>
      <c r="BN285" s="186">
        <v>1.8749999999999999E-3</v>
      </c>
      <c r="BO285" s="187">
        <v>0.95</v>
      </c>
      <c r="BP285" s="178">
        <v>1</v>
      </c>
      <c r="BQ285" s="186">
        <v>2.5000000000000001E-3</v>
      </c>
    </row>
    <row r="286" spans="1:69" s="156" customFormat="1" ht="22.35" customHeight="1" x14ac:dyDescent="0.2">
      <c r="A286" s="165" t="s">
        <v>339</v>
      </c>
      <c r="B286" s="165" t="s">
        <v>357</v>
      </c>
      <c r="C286" s="165" t="s">
        <v>358</v>
      </c>
      <c r="D286" s="166">
        <v>2.5673660413333299</v>
      </c>
      <c r="E286" s="167"/>
      <c r="F286" s="168">
        <v>7.0000000000000007E-2</v>
      </c>
      <c r="G286" s="168">
        <v>7.0000000000000007E-2</v>
      </c>
      <c r="H286" s="169"/>
      <c r="I286" s="170">
        <v>6</v>
      </c>
      <c r="J286" s="170">
        <v>6</v>
      </c>
      <c r="K286" s="167"/>
      <c r="L286" s="171">
        <v>2034.1059399999999</v>
      </c>
      <c r="M286" s="171">
        <v>1300.2124899999999</v>
      </c>
      <c r="N286" s="171">
        <v>3334.3184299999998</v>
      </c>
      <c r="O286" s="166">
        <v>1298.7312195920299</v>
      </c>
      <c r="P286" s="172">
        <v>212.5</v>
      </c>
      <c r="Q286" s="178">
        <v>6.1116763274919101</v>
      </c>
      <c r="R286" s="179">
        <v>2738.5611401085998</v>
      </c>
      <c r="S286" s="168">
        <v>0.01</v>
      </c>
      <c r="T286" s="168">
        <v>0.01</v>
      </c>
      <c r="U286" s="175">
        <v>0</v>
      </c>
      <c r="V286" s="176">
        <v>0</v>
      </c>
      <c r="W286" s="167"/>
      <c r="X286" s="175">
        <v>2171.9652900000001</v>
      </c>
      <c r="Y286" s="166">
        <v>845.98972450068504</v>
      </c>
      <c r="Z286" s="177">
        <v>573</v>
      </c>
      <c r="AA286" s="178">
        <v>1.47642185776734</v>
      </c>
      <c r="AB286" s="179">
        <v>565.52328008107395</v>
      </c>
      <c r="AC286" s="168">
        <v>0.02</v>
      </c>
      <c r="AD286" s="168">
        <v>0.02</v>
      </c>
      <c r="AE286" s="176">
        <v>0</v>
      </c>
      <c r="AF286" s="176">
        <v>0</v>
      </c>
      <c r="AG286" s="167"/>
      <c r="AH286" s="180">
        <v>211.3</v>
      </c>
      <c r="AI286" s="166">
        <v>82.302249308502795</v>
      </c>
      <c r="AJ286" s="181" t="s">
        <v>53</v>
      </c>
      <c r="AK286" s="178">
        <v>1.3063849096587801</v>
      </c>
      <c r="AL286" s="179">
        <v>34.675485820432201</v>
      </c>
      <c r="AM286" s="168">
        <v>0.02</v>
      </c>
      <c r="AN286" s="168">
        <v>0.02</v>
      </c>
      <c r="AO286" s="176">
        <v>0</v>
      </c>
      <c r="AP286" s="176">
        <v>0</v>
      </c>
      <c r="AQ286" s="167"/>
      <c r="AR286" s="180">
        <v>22.4</v>
      </c>
      <c r="AS286" s="166">
        <v>8.7248953360646606</v>
      </c>
      <c r="AT286" s="181" t="s">
        <v>54</v>
      </c>
      <c r="AU286" s="173">
        <v>0.54530595850404096</v>
      </c>
      <c r="AV286" s="174">
        <v>-22.457019474175901</v>
      </c>
      <c r="AW286" s="168"/>
      <c r="AX286" s="168"/>
      <c r="AY286" s="176">
        <v>19</v>
      </c>
      <c r="AZ286" s="176">
        <v>27</v>
      </c>
      <c r="BA286" s="167"/>
      <c r="BB286" s="184">
        <v>131.4</v>
      </c>
      <c r="BC286" s="180">
        <v>51.180859248165</v>
      </c>
      <c r="BD286" s="181" t="s">
        <v>55</v>
      </c>
      <c r="BE286" s="178">
        <v>1.59940185150516</v>
      </c>
      <c r="BF286" s="179">
        <v>41.6859610516481</v>
      </c>
      <c r="BG286" s="168">
        <v>0.02</v>
      </c>
      <c r="BH286" s="168">
        <v>0.02</v>
      </c>
      <c r="BI286" s="176">
        <v>0</v>
      </c>
      <c r="BJ286" s="176">
        <v>0</v>
      </c>
      <c r="BK286" s="169"/>
      <c r="BL286" s="185">
        <v>0.8</v>
      </c>
      <c r="BM286" s="182">
        <v>0.81</v>
      </c>
      <c r="BN286" s="186">
        <v>3.7500000000000001E-4</v>
      </c>
      <c r="BO286" s="187">
        <v>0.95</v>
      </c>
      <c r="BP286" s="178">
        <v>1</v>
      </c>
      <c r="BQ286" s="186">
        <v>2.5000000000000001E-3</v>
      </c>
    </row>
    <row r="287" spans="1:69" s="156" customFormat="1" ht="22.35" customHeight="1" x14ac:dyDescent="0.2">
      <c r="A287" s="165" t="s">
        <v>339</v>
      </c>
      <c r="B287" s="165" t="s">
        <v>357</v>
      </c>
      <c r="C287" s="165" t="s">
        <v>359</v>
      </c>
      <c r="D287" s="166">
        <v>2.9278143756666699</v>
      </c>
      <c r="E287" s="167"/>
      <c r="F287" s="168">
        <v>6.8000000000000005E-2</v>
      </c>
      <c r="G287" s="168">
        <v>5.3999999999999999E-2</v>
      </c>
      <c r="H287" s="169"/>
      <c r="I287" s="170">
        <v>6</v>
      </c>
      <c r="J287" s="170">
        <v>6</v>
      </c>
      <c r="K287" s="167"/>
      <c r="L287" s="171">
        <v>1753.98982</v>
      </c>
      <c r="M287" s="171">
        <v>1013.408</v>
      </c>
      <c r="N287" s="171">
        <v>2767.3978200000001</v>
      </c>
      <c r="O287" s="166">
        <v>945.20945145979795</v>
      </c>
      <c r="P287" s="172">
        <v>220.75700000000001</v>
      </c>
      <c r="Q287" s="178">
        <v>4.2816737474227198</v>
      </c>
      <c r="R287" s="179">
        <v>2061.5994342030799</v>
      </c>
      <c r="S287" s="168">
        <v>0.01</v>
      </c>
      <c r="T287" s="168">
        <v>0.01</v>
      </c>
      <c r="U287" s="175">
        <v>0</v>
      </c>
      <c r="V287" s="176">
        <v>0</v>
      </c>
      <c r="W287" s="167"/>
      <c r="X287" s="175">
        <v>1960.322905</v>
      </c>
      <c r="Y287" s="166">
        <v>669.55163595493696</v>
      </c>
      <c r="Z287" s="177">
        <v>573</v>
      </c>
      <c r="AA287" s="178">
        <v>1.1685019824693501</v>
      </c>
      <c r="AB287" s="179">
        <v>128.34260511535399</v>
      </c>
      <c r="AC287" s="168">
        <v>0.02</v>
      </c>
      <c r="AD287" s="168">
        <v>1.7000000000000001E-2</v>
      </c>
      <c r="AE287" s="176">
        <v>0</v>
      </c>
      <c r="AF287" s="176">
        <v>53</v>
      </c>
      <c r="AG287" s="167"/>
      <c r="AH287" s="180">
        <v>197.9</v>
      </c>
      <c r="AI287" s="166">
        <v>67.593082964809895</v>
      </c>
      <c r="AJ287" s="181" t="s">
        <v>53</v>
      </c>
      <c r="AK287" s="182">
        <v>1.0729060788065099</v>
      </c>
      <c r="AL287" s="183">
        <v>-3.5219177883642501</v>
      </c>
      <c r="AM287" s="168">
        <v>1.7999999999999999E-2</v>
      </c>
      <c r="AN287" s="168">
        <v>7.0000000000000001E-3</v>
      </c>
      <c r="AO287" s="176">
        <v>0</v>
      </c>
      <c r="AP287" s="176">
        <v>24</v>
      </c>
      <c r="AQ287" s="167"/>
      <c r="AR287" s="180">
        <v>11</v>
      </c>
      <c r="AS287" s="166">
        <v>3.7570687853103002</v>
      </c>
      <c r="AT287" s="181" t="s">
        <v>54</v>
      </c>
      <c r="AU287" s="173">
        <v>0.23481679908189401</v>
      </c>
      <c r="AV287" s="174">
        <v>-40.154772771648098</v>
      </c>
      <c r="AW287" s="168"/>
      <c r="AX287" s="168"/>
      <c r="AY287" s="176">
        <v>36</v>
      </c>
      <c r="AZ287" s="176">
        <v>46</v>
      </c>
      <c r="BA287" s="167"/>
      <c r="BB287" s="184">
        <v>118.8</v>
      </c>
      <c r="BC287" s="180">
        <v>40.576342881351202</v>
      </c>
      <c r="BD287" s="181" t="s">
        <v>55</v>
      </c>
      <c r="BE287" s="178">
        <v>1.26801071504223</v>
      </c>
      <c r="BF287" s="179">
        <v>16.490454456703901</v>
      </c>
      <c r="BG287" s="168">
        <v>0.02</v>
      </c>
      <c r="BH287" s="168">
        <v>0.02</v>
      </c>
      <c r="BI287" s="176">
        <v>0</v>
      </c>
      <c r="BJ287" s="176">
        <v>0</v>
      </c>
      <c r="BK287" s="169"/>
      <c r="BL287" s="185">
        <v>0.8</v>
      </c>
      <c r="BM287" s="182">
        <v>0.87</v>
      </c>
      <c r="BN287" s="186">
        <v>2.6250000000000002E-3</v>
      </c>
      <c r="BO287" s="187">
        <v>0.95</v>
      </c>
      <c r="BP287" s="178">
        <v>1</v>
      </c>
      <c r="BQ287" s="186">
        <v>2.5000000000000001E-3</v>
      </c>
    </row>
    <row r="288" spans="1:69" s="156" customFormat="1" ht="22.35" customHeight="1" x14ac:dyDescent="0.2">
      <c r="A288" s="165" t="s">
        <v>339</v>
      </c>
      <c r="B288" s="165" t="s">
        <v>357</v>
      </c>
      <c r="C288" s="165" t="s">
        <v>360</v>
      </c>
      <c r="D288" s="166">
        <v>3.9837235643333302</v>
      </c>
      <c r="E288" s="167"/>
      <c r="F288" s="168">
        <v>3.4000000000000002E-2</v>
      </c>
      <c r="G288" s="168">
        <v>1.4999999999999999E-2</v>
      </c>
      <c r="H288" s="169"/>
      <c r="I288" s="170">
        <v>5</v>
      </c>
      <c r="J288" s="170">
        <v>4</v>
      </c>
      <c r="K288" s="167"/>
      <c r="L288" s="171">
        <v>1836.29216</v>
      </c>
      <c r="M288" s="171">
        <v>303.46744999999999</v>
      </c>
      <c r="N288" s="171">
        <v>2139.7596100000001</v>
      </c>
      <c r="O288" s="166">
        <v>537.125524762179</v>
      </c>
      <c r="P288" s="172">
        <v>222.58099999999999</v>
      </c>
      <c r="Q288" s="178">
        <v>2.4131688004015599</v>
      </c>
      <c r="R288" s="179">
        <v>1171.4819272572199</v>
      </c>
      <c r="S288" s="168">
        <v>0.01</v>
      </c>
      <c r="T288" s="168">
        <v>0.01</v>
      </c>
      <c r="U288" s="175">
        <v>0</v>
      </c>
      <c r="V288" s="176">
        <v>0</v>
      </c>
      <c r="W288" s="167"/>
      <c r="X288" s="175">
        <v>2262.2503000000002</v>
      </c>
      <c r="Y288" s="166">
        <v>567.87331336294199</v>
      </c>
      <c r="Z288" s="177">
        <v>573</v>
      </c>
      <c r="AA288" s="182">
        <v>0.99105290290216796</v>
      </c>
      <c r="AB288" s="183">
        <v>-230.429273780394</v>
      </c>
      <c r="AC288" s="168">
        <v>8.9999999999999993E-3</v>
      </c>
      <c r="AD288" s="168"/>
      <c r="AE288" s="176">
        <v>21</v>
      </c>
      <c r="AF288" s="176">
        <v>477</v>
      </c>
      <c r="AG288" s="167"/>
      <c r="AH288" s="180">
        <v>191.45</v>
      </c>
      <c r="AI288" s="166">
        <v>48.058053453826602</v>
      </c>
      <c r="AJ288" s="181" t="s">
        <v>53</v>
      </c>
      <c r="AK288" s="188">
        <v>0.76282624529883503</v>
      </c>
      <c r="AL288" s="171">
        <v>-82.614246331875805</v>
      </c>
      <c r="AM288" s="168"/>
      <c r="AN288" s="168"/>
      <c r="AO288" s="176">
        <v>60</v>
      </c>
      <c r="AP288" s="176">
        <v>110</v>
      </c>
      <c r="AQ288" s="167"/>
      <c r="AR288" s="180">
        <v>12.8</v>
      </c>
      <c r="AS288" s="166">
        <v>3.2130743494853999</v>
      </c>
      <c r="AT288" s="181" t="s">
        <v>54</v>
      </c>
      <c r="AU288" s="173">
        <v>0.200817146842837</v>
      </c>
      <c r="AV288" s="174">
        <v>-56.803618116031899</v>
      </c>
      <c r="AW288" s="168"/>
      <c r="AX288" s="168"/>
      <c r="AY288" s="176">
        <v>51</v>
      </c>
      <c r="AZ288" s="176">
        <v>64</v>
      </c>
      <c r="BA288" s="167"/>
      <c r="BB288" s="184">
        <v>133.6</v>
      </c>
      <c r="BC288" s="180">
        <v>33.536463522753898</v>
      </c>
      <c r="BD288" s="181" t="s">
        <v>55</v>
      </c>
      <c r="BE288" s="182">
        <v>1.04801448508606</v>
      </c>
      <c r="BF288" s="183">
        <v>-5.6072362320638804</v>
      </c>
      <c r="BG288" s="168">
        <v>1.4999999999999999E-2</v>
      </c>
      <c r="BH288" s="168">
        <v>5.0000000000000001E-3</v>
      </c>
      <c r="BI288" s="176">
        <v>0</v>
      </c>
      <c r="BJ288" s="176">
        <v>20</v>
      </c>
      <c r="BK288" s="169"/>
      <c r="BL288" s="185">
        <v>0.8</v>
      </c>
      <c r="BM288" s="182">
        <v>0.82</v>
      </c>
      <c r="BN288" s="186">
        <v>7.5000000000000002E-4</v>
      </c>
      <c r="BO288" s="187">
        <v>0.95</v>
      </c>
      <c r="BP288" s="178">
        <v>1</v>
      </c>
      <c r="BQ288" s="186">
        <v>2.5000000000000001E-3</v>
      </c>
    </row>
    <row r="289" spans="1:69" s="156" customFormat="1" ht="22.35" customHeight="1" x14ac:dyDescent="0.2">
      <c r="A289" s="165" t="s">
        <v>339</v>
      </c>
      <c r="B289" s="165" t="s">
        <v>357</v>
      </c>
      <c r="C289" s="165" t="s">
        <v>361</v>
      </c>
      <c r="D289" s="166">
        <v>5.0138817773333297</v>
      </c>
      <c r="E289" s="167"/>
      <c r="F289" s="168">
        <v>5.0999999999999997E-2</v>
      </c>
      <c r="G289" s="168">
        <v>3.4000000000000002E-2</v>
      </c>
      <c r="H289" s="169"/>
      <c r="I289" s="170">
        <v>6</v>
      </c>
      <c r="J289" s="170">
        <v>5</v>
      </c>
      <c r="K289" s="167"/>
      <c r="L289" s="171">
        <v>4991.2485999999999</v>
      </c>
      <c r="M289" s="171">
        <v>4067.6492600000001</v>
      </c>
      <c r="N289" s="171">
        <v>9058.8978599999991</v>
      </c>
      <c r="O289" s="166">
        <v>1806.7633546832501</v>
      </c>
      <c r="P289" s="172">
        <v>268.01799999999997</v>
      </c>
      <c r="Q289" s="178">
        <v>6.7412015412518898</v>
      </c>
      <c r="R289" s="179">
        <v>7591.4567217125204</v>
      </c>
      <c r="S289" s="168">
        <v>0.01</v>
      </c>
      <c r="T289" s="168">
        <v>0.01</v>
      </c>
      <c r="U289" s="175">
        <v>0</v>
      </c>
      <c r="V289" s="176">
        <v>0</v>
      </c>
      <c r="W289" s="167"/>
      <c r="X289" s="175">
        <v>3122.2858449999999</v>
      </c>
      <c r="Y289" s="166">
        <v>622.72825400773797</v>
      </c>
      <c r="Z289" s="177">
        <v>573</v>
      </c>
      <c r="AA289" s="182">
        <v>1.0867857836086201</v>
      </c>
      <c r="AB289" s="183">
        <v>-14.9802051859015</v>
      </c>
      <c r="AC289" s="168">
        <v>1.9E-2</v>
      </c>
      <c r="AD289" s="168">
        <v>8.9999999999999993E-3</v>
      </c>
      <c r="AE289" s="176">
        <v>0</v>
      </c>
      <c r="AF289" s="176">
        <v>326</v>
      </c>
      <c r="AG289" s="167"/>
      <c r="AH289" s="180">
        <v>294.14999999999998</v>
      </c>
      <c r="AI289" s="166">
        <v>58.667119222832099</v>
      </c>
      <c r="AJ289" s="181" t="s">
        <v>53</v>
      </c>
      <c r="AK289" s="182">
        <v>0.93122411464812904</v>
      </c>
      <c r="AL289" s="183">
        <v>-50.785010753423798</v>
      </c>
      <c r="AM289" s="168">
        <v>2E-3</v>
      </c>
      <c r="AN289" s="168"/>
      <c r="AO289" s="176">
        <v>22</v>
      </c>
      <c r="AP289" s="176">
        <v>85</v>
      </c>
      <c r="AQ289" s="167"/>
      <c r="AR289" s="180">
        <v>54.5</v>
      </c>
      <c r="AS289" s="166">
        <v>10.869821511624499</v>
      </c>
      <c r="AT289" s="181" t="s">
        <v>54</v>
      </c>
      <c r="AU289" s="173">
        <v>0.67936384447653198</v>
      </c>
      <c r="AV289" s="174">
        <v>-33.102542413567903</v>
      </c>
      <c r="AW289" s="168"/>
      <c r="AX289" s="168"/>
      <c r="AY289" s="176">
        <v>26</v>
      </c>
      <c r="AZ289" s="176">
        <v>42</v>
      </c>
      <c r="BA289" s="167"/>
      <c r="BB289" s="184">
        <v>185.2</v>
      </c>
      <c r="BC289" s="180">
        <v>36.937448512896502</v>
      </c>
      <c r="BD289" s="181" t="s">
        <v>55</v>
      </c>
      <c r="BE289" s="178">
        <v>1.1542952660280199</v>
      </c>
      <c r="BF289" s="179">
        <v>9.9949151728641308</v>
      </c>
      <c r="BG289" s="168">
        <v>0.02</v>
      </c>
      <c r="BH289" s="168">
        <v>1.4999999999999999E-2</v>
      </c>
      <c r="BI289" s="176">
        <v>0</v>
      </c>
      <c r="BJ289" s="176">
        <v>8</v>
      </c>
      <c r="BK289" s="169"/>
      <c r="BL289" s="185">
        <v>0.8</v>
      </c>
      <c r="BM289" s="182">
        <v>0.82</v>
      </c>
      <c r="BN289" s="186">
        <v>7.5000000000000002E-4</v>
      </c>
      <c r="BO289" s="187">
        <v>0.95</v>
      </c>
      <c r="BP289" s="178">
        <v>1</v>
      </c>
      <c r="BQ289" s="186">
        <v>2.5000000000000001E-3</v>
      </c>
    </row>
    <row r="290" spans="1:69" s="156" customFormat="1" ht="22.35" customHeight="1" x14ac:dyDescent="0.2">
      <c r="A290" s="165" t="s">
        <v>339</v>
      </c>
      <c r="B290" s="165" t="s">
        <v>357</v>
      </c>
      <c r="C290" s="165" t="s">
        <v>362</v>
      </c>
      <c r="D290" s="166">
        <v>1.8723945526666701</v>
      </c>
      <c r="E290" s="167"/>
      <c r="F290" s="168">
        <v>7.0000000000000007E-2</v>
      </c>
      <c r="G290" s="168">
        <v>6.8500000000000005E-2</v>
      </c>
      <c r="H290" s="169"/>
      <c r="I290" s="170">
        <v>6</v>
      </c>
      <c r="J290" s="170">
        <v>6</v>
      </c>
      <c r="K290" s="167"/>
      <c r="L290" s="171">
        <v>261.03483999999997</v>
      </c>
      <c r="M290" s="171">
        <v>216.99044000000001</v>
      </c>
      <c r="N290" s="171">
        <v>478.02528000000001</v>
      </c>
      <c r="O290" s="166">
        <v>255.30157589873099</v>
      </c>
      <c r="P290" s="172">
        <v>218.47</v>
      </c>
      <c r="Q290" s="178">
        <v>1.1685887119454901</v>
      </c>
      <c r="R290" s="179">
        <v>31.329534590172599</v>
      </c>
      <c r="S290" s="168">
        <v>0.01</v>
      </c>
      <c r="T290" s="168">
        <v>8.5000000000000006E-3</v>
      </c>
      <c r="U290" s="175">
        <v>0</v>
      </c>
      <c r="V290" s="176">
        <v>13</v>
      </c>
      <c r="W290" s="167"/>
      <c r="X290" s="175">
        <v>1861.2276099999999</v>
      </c>
      <c r="Y290" s="166">
        <v>994.03600985125502</v>
      </c>
      <c r="Z290" s="177">
        <v>573</v>
      </c>
      <c r="AA290" s="178">
        <v>1.73479233830935</v>
      </c>
      <c r="AB290" s="179">
        <v>689.64038008362195</v>
      </c>
      <c r="AC290" s="168">
        <v>0.02</v>
      </c>
      <c r="AD290" s="168">
        <v>0.02</v>
      </c>
      <c r="AE290" s="176">
        <v>0</v>
      </c>
      <c r="AF290" s="176">
        <v>0</v>
      </c>
      <c r="AG290" s="167"/>
      <c r="AH290" s="180">
        <v>173</v>
      </c>
      <c r="AI290" s="166">
        <v>92.395056241545404</v>
      </c>
      <c r="AJ290" s="181" t="s">
        <v>53</v>
      </c>
      <c r="AK290" s="178">
        <v>1.4665881943102499</v>
      </c>
      <c r="AL290" s="179">
        <v>44.186744354743801</v>
      </c>
      <c r="AM290" s="168">
        <v>0.02</v>
      </c>
      <c r="AN290" s="168">
        <v>0.02</v>
      </c>
      <c r="AO290" s="176">
        <v>0</v>
      </c>
      <c r="AP290" s="176">
        <v>0</v>
      </c>
      <c r="AQ290" s="167"/>
      <c r="AR290" s="180">
        <v>8</v>
      </c>
      <c r="AS290" s="166">
        <v>4.2726037568344699</v>
      </c>
      <c r="AT290" s="181" t="s">
        <v>54</v>
      </c>
      <c r="AU290" s="173">
        <v>0.26703773480215398</v>
      </c>
      <c r="AV290" s="174">
        <v>-24.714477624192099</v>
      </c>
      <c r="AW290" s="168"/>
      <c r="AX290" s="168"/>
      <c r="AY290" s="176">
        <v>22</v>
      </c>
      <c r="AZ290" s="176">
        <v>28</v>
      </c>
      <c r="BA290" s="167"/>
      <c r="BB290" s="184">
        <v>85.4</v>
      </c>
      <c r="BC290" s="180">
        <v>45.610045104207998</v>
      </c>
      <c r="BD290" s="181" t="s">
        <v>55</v>
      </c>
      <c r="BE290" s="178">
        <v>1.4253139095064999</v>
      </c>
      <c r="BF290" s="179">
        <v>19.971044751615899</v>
      </c>
      <c r="BG290" s="168">
        <v>0.02</v>
      </c>
      <c r="BH290" s="168">
        <v>0.02</v>
      </c>
      <c r="BI290" s="176">
        <v>0</v>
      </c>
      <c r="BJ290" s="176">
        <v>0</v>
      </c>
      <c r="BK290" s="169"/>
      <c r="BL290" s="185">
        <v>0.8</v>
      </c>
      <c r="BM290" s="182">
        <v>0.84</v>
      </c>
      <c r="BN290" s="186">
        <v>1.5E-3</v>
      </c>
      <c r="BO290" s="187">
        <v>0.95</v>
      </c>
      <c r="BP290" s="178">
        <v>1</v>
      </c>
      <c r="BQ290" s="186">
        <v>2.5000000000000001E-3</v>
      </c>
    </row>
    <row r="291" spans="1:69" s="156" customFormat="1" ht="22.35" customHeight="1" x14ac:dyDescent="0.2">
      <c r="A291" s="165" t="s">
        <v>339</v>
      </c>
      <c r="B291" s="165" t="s">
        <v>357</v>
      </c>
      <c r="C291" s="165" t="s">
        <v>363</v>
      </c>
      <c r="D291" s="166">
        <v>2.0195966231111102</v>
      </c>
      <c r="E291" s="167"/>
      <c r="F291" s="168">
        <v>0.01</v>
      </c>
      <c r="G291" s="168">
        <v>0.01</v>
      </c>
      <c r="H291" s="169"/>
      <c r="I291" s="170">
        <v>2</v>
      </c>
      <c r="J291" s="170">
        <v>2</v>
      </c>
      <c r="K291" s="167"/>
      <c r="L291" s="171">
        <v>1181.7398499999999</v>
      </c>
      <c r="M291" s="171">
        <v>-105.41585000000001</v>
      </c>
      <c r="N291" s="171">
        <v>1076.3240000000001</v>
      </c>
      <c r="O291" s="166">
        <v>532.94008698725395</v>
      </c>
      <c r="P291" s="172">
        <v>212.5</v>
      </c>
      <c r="Q291" s="178">
        <v>2.5079533505282501</v>
      </c>
      <c r="R291" s="179">
        <v>607.67660360706702</v>
      </c>
      <c r="S291" s="168">
        <v>0.01</v>
      </c>
      <c r="T291" s="168">
        <v>0.01</v>
      </c>
      <c r="U291" s="175">
        <v>0</v>
      </c>
      <c r="V291" s="176">
        <v>0</v>
      </c>
      <c r="W291" s="167"/>
      <c r="X291" s="175">
        <v>896.42077500000005</v>
      </c>
      <c r="Y291" s="166">
        <v>443.861296232065</v>
      </c>
      <c r="Z291" s="177">
        <v>573</v>
      </c>
      <c r="AA291" s="188">
        <v>0.77462704403501803</v>
      </c>
      <c r="AB291" s="171">
        <v>-367.27314562659097</v>
      </c>
      <c r="AC291" s="168"/>
      <c r="AD291" s="168"/>
      <c r="AE291" s="176">
        <v>261</v>
      </c>
      <c r="AF291" s="176">
        <v>493</v>
      </c>
      <c r="AG291" s="167"/>
      <c r="AH291" s="180">
        <v>76.7</v>
      </c>
      <c r="AI291" s="166">
        <v>37.977880890812003</v>
      </c>
      <c r="AJ291" s="181" t="s">
        <v>53</v>
      </c>
      <c r="AK291" s="173">
        <v>0.602823506203366</v>
      </c>
      <c r="AL291" s="174">
        <v>-62.2401692835519</v>
      </c>
      <c r="AM291" s="168"/>
      <c r="AN291" s="168"/>
      <c r="AO291" s="176">
        <v>51</v>
      </c>
      <c r="AP291" s="176">
        <v>76</v>
      </c>
      <c r="AQ291" s="167"/>
      <c r="AR291" s="180">
        <v>6</v>
      </c>
      <c r="AS291" s="166">
        <v>2.9708902913281898</v>
      </c>
      <c r="AT291" s="181" t="s">
        <v>54</v>
      </c>
      <c r="AU291" s="173">
        <v>0.185680643208012</v>
      </c>
      <c r="AV291" s="174">
        <v>-29.286392198997302</v>
      </c>
      <c r="AW291" s="168"/>
      <c r="AX291" s="168"/>
      <c r="AY291" s="176">
        <v>27</v>
      </c>
      <c r="AZ291" s="176">
        <v>33</v>
      </c>
      <c r="BA291" s="167"/>
      <c r="BB291" s="184">
        <v>55</v>
      </c>
      <c r="BC291" s="180">
        <v>27.233161003841701</v>
      </c>
      <c r="BD291" s="181" t="s">
        <v>55</v>
      </c>
      <c r="BE291" s="188">
        <v>0.85103628137005505</v>
      </c>
      <c r="BF291" s="171">
        <v>-15.572784397994599</v>
      </c>
      <c r="BG291" s="168"/>
      <c r="BH291" s="168"/>
      <c r="BI291" s="176">
        <v>10</v>
      </c>
      <c r="BJ291" s="176">
        <v>23</v>
      </c>
      <c r="BK291" s="169"/>
      <c r="BL291" s="185">
        <v>0.8</v>
      </c>
      <c r="BM291" s="188">
        <v>0.75</v>
      </c>
      <c r="BN291" s="186"/>
      <c r="BO291" s="187">
        <v>0.95</v>
      </c>
      <c r="BP291" s="178">
        <v>1</v>
      </c>
      <c r="BQ291" s="186">
        <v>2.5000000000000001E-3</v>
      </c>
    </row>
    <row r="292" spans="1:69" s="156" customFormat="1" ht="22.35" customHeight="1" x14ac:dyDescent="0.2">
      <c r="A292" s="165" t="s">
        <v>339</v>
      </c>
      <c r="B292" s="165" t="s">
        <v>357</v>
      </c>
      <c r="C292" s="165" t="s">
        <v>364</v>
      </c>
      <c r="D292" s="166">
        <v>2.89402288477778</v>
      </c>
      <c r="E292" s="167"/>
      <c r="F292" s="168">
        <v>0.01</v>
      </c>
      <c r="G292" s="168">
        <v>0.01</v>
      </c>
      <c r="H292" s="169"/>
      <c r="I292" s="170">
        <v>3</v>
      </c>
      <c r="J292" s="170">
        <v>3</v>
      </c>
      <c r="K292" s="167"/>
      <c r="L292" s="171">
        <v>1071.0959399999999</v>
      </c>
      <c r="M292" s="171">
        <v>575.09711000000004</v>
      </c>
      <c r="N292" s="171">
        <v>1646.1930500000001</v>
      </c>
      <c r="O292" s="166">
        <v>568.82516674584099</v>
      </c>
      <c r="P292" s="172">
        <v>212.5</v>
      </c>
      <c r="Q292" s="178">
        <v>2.6768243140980799</v>
      </c>
      <c r="R292" s="179">
        <v>974.63503958731599</v>
      </c>
      <c r="S292" s="168">
        <v>0.01</v>
      </c>
      <c r="T292" s="168">
        <v>0.01</v>
      </c>
      <c r="U292" s="175">
        <v>0</v>
      </c>
      <c r="V292" s="176">
        <v>0</v>
      </c>
      <c r="W292" s="167"/>
      <c r="X292" s="175">
        <v>1364.4360650000001</v>
      </c>
      <c r="Y292" s="166">
        <v>471.46692314590001</v>
      </c>
      <c r="Z292" s="177">
        <v>573</v>
      </c>
      <c r="AA292" s="188">
        <v>0.82280440339598604</v>
      </c>
      <c r="AB292" s="171">
        <v>-446.40035837161298</v>
      </c>
      <c r="AC292" s="168"/>
      <c r="AD292" s="168"/>
      <c r="AE292" s="176">
        <v>294</v>
      </c>
      <c r="AF292" s="176">
        <v>626</v>
      </c>
      <c r="AG292" s="167"/>
      <c r="AH292" s="180">
        <v>92.4</v>
      </c>
      <c r="AI292" s="166">
        <v>31.9278746847557</v>
      </c>
      <c r="AJ292" s="181" t="s">
        <v>53</v>
      </c>
      <c r="AK292" s="173">
        <v>0.506791661662788</v>
      </c>
      <c r="AL292" s="174">
        <v>-106.697198381172</v>
      </c>
      <c r="AM292" s="168"/>
      <c r="AN292" s="168"/>
      <c r="AO292" s="176">
        <v>90</v>
      </c>
      <c r="AP292" s="176">
        <v>127</v>
      </c>
      <c r="AQ292" s="167"/>
      <c r="AR292" s="180">
        <v>1</v>
      </c>
      <c r="AS292" s="166">
        <v>0.34553976931553798</v>
      </c>
      <c r="AT292" s="181" t="s">
        <v>54</v>
      </c>
      <c r="AU292" s="173">
        <v>2.15962355822211E-2</v>
      </c>
      <c r="AV292" s="174">
        <v>-49.564367842837399</v>
      </c>
      <c r="AW292" s="168"/>
      <c r="AX292" s="168"/>
      <c r="AY292" s="176">
        <v>46</v>
      </c>
      <c r="AZ292" s="176">
        <v>55</v>
      </c>
      <c r="BA292" s="167"/>
      <c r="BB292" s="184">
        <v>63.2</v>
      </c>
      <c r="BC292" s="180">
        <v>21.838113420742001</v>
      </c>
      <c r="BD292" s="181" t="s">
        <v>55</v>
      </c>
      <c r="BE292" s="173">
        <v>0.68244104439818698</v>
      </c>
      <c r="BF292" s="174">
        <v>-37.928735685674802</v>
      </c>
      <c r="BG292" s="168"/>
      <c r="BH292" s="168"/>
      <c r="BI292" s="176">
        <v>30</v>
      </c>
      <c r="BJ292" s="176">
        <v>48</v>
      </c>
      <c r="BK292" s="169"/>
      <c r="BL292" s="185">
        <v>0.8</v>
      </c>
      <c r="BM292" s="182">
        <v>0.85</v>
      </c>
      <c r="BN292" s="186">
        <v>1.8749999999999999E-3</v>
      </c>
      <c r="BO292" s="187">
        <v>0.95</v>
      </c>
      <c r="BP292" s="178">
        <v>1</v>
      </c>
      <c r="BQ292" s="186">
        <v>2.5000000000000001E-3</v>
      </c>
    </row>
    <row r="293" spans="1:69" s="156" customFormat="1" ht="22.35" customHeight="1" x14ac:dyDescent="0.2">
      <c r="A293" s="165" t="s">
        <v>339</v>
      </c>
      <c r="B293" s="165" t="s">
        <v>357</v>
      </c>
      <c r="C293" s="165" t="s">
        <v>365</v>
      </c>
      <c r="D293" s="166">
        <v>3.7017378756666699</v>
      </c>
      <c r="E293" s="167"/>
      <c r="F293" s="168">
        <v>0.04</v>
      </c>
      <c r="G293" s="168">
        <v>2.1999999999999999E-2</v>
      </c>
      <c r="H293" s="169"/>
      <c r="I293" s="170">
        <v>4</v>
      </c>
      <c r="J293" s="170">
        <v>4</v>
      </c>
      <c r="K293" s="167"/>
      <c r="L293" s="171">
        <v>2120.3780499999998</v>
      </c>
      <c r="M293" s="171">
        <v>-394.74322000000001</v>
      </c>
      <c r="N293" s="171">
        <v>1725.63483</v>
      </c>
      <c r="O293" s="166">
        <v>466.168834196349</v>
      </c>
      <c r="P293" s="172">
        <v>229.78899999999999</v>
      </c>
      <c r="Q293" s="178">
        <v>2.0286821135752802</v>
      </c>
      <c r="R293" s="179">
        <v>796.75926997496697</v>
      </c>
      <c r="S293" s="168">
        <v>0.01</v>
      </c>
      <c r="T293" s="168">
        <v>0.01</v>
      </c>
      <c r="U293" s="175">
        <v>0</v>
      </c>
      <c r="V293" s="176">
        <v>0</v>
      </c>
      <c r="W293" s="167"/>
      <c r="X293" s="175">
        <v>2126.98389</v>
      </c>
      <c r="Y293" s="166">
        <v>574.59062781881596</v>
      </c>
      <c r="Z293" s="177">
        <v>573</v>
      </c>
      <c r="AA293" s="182">
        <v>1.00277596477978</v>
      </c>
      <c r="AB293" s="183">
        <v>-189.25272661064599</v>
      </c>
      <c r="AC293" s="168">
        <v>0.01</v>
      </c>
      <c r="AD293" s="168">
        <v>1E-3</v>
      </c>
      <c r="AE293" s="176">
        <v>0</v>
      </c>
      <c r="AF293" s="176">
        <v>419</v>
      </c>
      <c r="AG293" s="167"/>
      <c r="AH293" s="180">
        <v>165.2</v>
      </c>
      <c r="AI293" s="166">
        <v>44.627687196854303</v>
      </c>
      <c r="AJ293" s="181" t="s">
        <v>53</v>
      </c>
      <c r="AK293" s="173">
        <v>0.70837598725165596</v>
      </c>
      <c r="AL293" s="174">
        <v>-89.464758894364195</v>
      </c>
      <c r="AM293" s="168"/>
      <c r="AN293" s="168"/>
      <c r="AO293" s="176">
        <v>69</v>
      </c>
      <c r="AP293" s="176">
        <v>115</v>
      </c>
      <c r="AQ293" s="167"/>
      <c r="AR293" s="180">
        <v>18</v>
      </c>
      <c r="AS293" s="166">
        <v>4.8625809294393303</v>
      </c>
      <c r="AT293" s="181" t="s">
        <v>54</v>
      </c>
      <c r="AU293" s="173">
        <v>0.30391130808995798</v>
      </c>
      <c r="AV293" s="174">
        <v>-46.676764163648102</v>
      </c>
      <c r="AW293" s="168"/>
      <c r="AX293" s="168"/>
      <c r="AY293" s="176">
        <v>42</v>
      </c>
      <c r="AZ293" s="176">
        <v>54</v>
      </c>
      <c r="BA293" s="167"/>
      <c r="BB293" s="184">
        <v>131.80000000000001</v>
      </c>
      <c r="BC293" s="180">
        <v>35.604898138894697</v>
      </c>
      <c r="BD293" s="181" t="s">
        <v>55</v>
      </c>
      <c r="BE293" s="178">
        <v>1.1126530668404599</v>
      </c>
      <c r="BF293" s="179">
        <v>2.4464716727038902</v>
      </c>
      <c r="BG293" s="168">
        <v>0.02</v>
      </c>
      <c r="BH293" s="168">
        <v>1.0999999999999999E-2</v>
      </c>
      <c r="BI293" s="176">
        <v>0</v>
      </c>
      <c r="BJ293" s="176">
        <v>11</v>
      </c>
      <c r="BK293" s="169"/>
      <c r="BL293" s="185">
        <v>0.8</v>
      </c>
      <c r="BM293" s="188">
        <v>0.76</v>
      </c>
      <c r="BN293" s="186"/>
      <c r="BO293" s="187">
        <v>0.95</v>
      </c>
      <c r="BP293" s="178">
        <v>1</v>
      </c>
      <c r="BQ293" s="186">
        <v>2.5000000000000001E-3</v>
      </c>
    </row>
    <row r="294" spans="1:69" s="156" customFormat="1" ht="22.35" customHeight="1" x14ac:dyDescent="0.2">
      <c r="A294" s="165" t="s">
        <v>339</v>
      </c>
      <c r="B294" s="165" t="s">
        <v>357</v>
      </c>
      <c r="C294" s="165" t="s">
        <v>366</v>
      </c>
      <c r="D294" s="166">
        <v>3.4620816407777801</v>
      </c>
      <c r="E294" s="167"/>
      <c r="F294" s="168">
        <v>0.05</v>
      </c>
      <c r="G294" s="168">
        <v>4.3999999999999997E-2</v>
      </c>
      <c r="H294" s="169"/>
      <c r="I294" s="170">
        <v>5</v>
      </c>
      <c r="J294" s="170">
        <v>5</v>
      </c>
      <c r="K294" s="167"/>
      <c r="L294" s="171">
        <v>1295.2341899999999</v>
      </c>
      <c r="M294" s="171">
        <v>27.224640000000001</v>
      </c>
      <c r="N294" s="171">
        <v>1322.45883</v>
      </c>
      <c r="O294" s="166">
        <v>381.98372170764299</v>
      </c>
      <c r="P294" s="172">
        <v>212.5</v>
      </c>
      <c r="Q294" s="178">
        <v>1.79757045509479</v>
      </c>
      <c r="R294" s="179">
        <v>519.08278525751598</v>
      </c>
      <c r="S294" s="168">
        <v>0.01</v>
      </c>
      <c r="T294" s="168">
        <v>0.01</v>
      </c>
      <c r="U294" s="175">
        <v>0</v>
      </c>
      <c r="V294" s="176">
        <v>0</v>
      </c>
      <c r="W294" s="167"/>
      <c r="X294" s="175">
        <v>2255.8943549999999</v>
      </c>
      <c r="Y294" s="166">
        <v>651.60056551791797</v>
      </c>
      <c r="Z294" s="177">
        <v>573</v>
      </c>
      <c r="AA294" s="178">
        <v>1.13717376181137</v>
      </c>
      <c r="AB294" s="179">
        <v>89.614479059090598</v>
      </c>
      <c r="AC294" s="168">
        <v>0.02</v>
      </c>
      <c r="AD294" s="168">
        <v>1.4E-2</v>
      </c>
      <c r="AE294" s="176">
        <v>0</v>
      </c>
      <c r="AF294" s="176">
        <v>125</v>
      </c>
      <c r="AG294" s="167"/>
      <c r="AH294" s="180">
        <v>186.8</v>
      </c>
      <c r="AI294" s="166">
        <v>53.955977756213201</v>
      </c>
      <c r="AJ294" s="181" t="s">
        <v>53</v>
      </c>
      <c r="AK294" s="188">
        <v>0.856444091368464</v>
      </c>
      <c r="AL294" s="171">
        <v>-51.377368558948199</v>
      </c>
      <c r="AM294" s="168"/>
      <c r="AN294" s="168"/>
      <c r="AO294" s="176">
        <v>32</v>
      </c>
      <c r="AP294" s="176">
        <v>75</v>
      </c>
      <c r="AQ294" s="167"/>
      <c r="AR294" s="180">
        <v>34.9</v>
      </c>
      <c r="AS294" s="166">
        <v>10.0806403837893</v>
      </c>
      <c r="AT294" s="181" t="s">
        <v>54</v>
      </c>
      <c r="AU294" s="173">
        <v>0.63004002398683101</v>
      </c>
      <c r="AV294" s="174">
        <v>-25.5894904276694</v>
      </c>
      <c r="AW294" s="168"/>
      <c r="AX294" s="168"/>
      <c r="AY294" s="176">
        <v>21</v>
      </c>
      <c r="AZ294" s="176">
        <v>32</v>
      </c>
      <c r="BA294" s="167"/>
      <c r="BB294" s="184">
        <v>134.80000000000001</v>
      </c>
      <c r="BC294" s="180">
        <v>38.936112427931199</v>
      </c>
      <c r="BD294" s="181" t="s">
        <v>55</v>
      </c>
      <c r="BE294" s="178">
        <v>1.21675351337285</v>
      </c>
      <c r="BF294" s="179">
        <v>13.8210191446612</v>
      </c>
      <c r="BG294" s="168">
        <v>0.02</v>
      </c>
      <c r="BH294" s="168">
        <v>0.02</v>
      </c>
      <c r="BI294" s="176">
        <v>0</v>
      </c>
      <c r="BJ294" s="176">
        <v>0</v>
      </c>
      <c r="BK294" s="169"/>
      <c r="BL294" s="185">
        <v>0.8</v>
      </c>
      <c r="BM294" s="182">
        <v>0.81</v>
      </c>
      <c r="BN294" s="186">
        <v>3.7500000000000001E-4</v>
      </c>
      <c r="BO294" s="187">
        <v>0.95</v>
      </c>
      <c r="BP294" s="178">
        <v>1</v>
      </c>
      <c r="BQ294" s="186">
        <v>2.5000000000000001E-3</v>
      </c>
    </row>
    <row r="295" spans="1:69" s="156" customFormat="1" ht="22.35" customHeight="1" x14ac:dyDescent="0.2">
      <c r="A295" s="165" t="s">
        <v>339</v>
      </c>
      <c r="B295" s="165" t="s">
        <v>357</v>
      </c>
      <c r="C295" s="165" t="s">
        <v>357</v>
      </c>
      <c r="D295" s="166">
        <v>10.277247066999999</v>
      </c>
      <c r="E295" s="167"/>
      <c r="F295" s="168">
        <v>0.03</v>
      </c>
      <c r="G295" s="168">
        <v>2.4E-2</v>
      </c>
      <c r="H295" s="169"/>
      <c r="I295" s="170">
        <v>3</v>
      </c>
      <c r="J295" s="170">
        <v>3</v>
      </c>
      <c r="K295" s="167"/>
      <c r="L295" s="171">
        <v>6960.7571600000001</v>
      </c>
      <c r="M295" s="171">
        <v>3610.0446200000001</v>
      </c>
      <c r="N295" s="171">
        <v>10570.80178</v>
      </c>
      <c r="O295" s="166">
        <v>1028.5635551122</v>
      </c>
      <c r="P295" s="172">
        <v>263.10899999999998</v>
      </c>
      <c r="Q295" s="178">
        <v>3.90926785139315</v>
      </c>
      <c r="R295" s="179">
        <v>7617.99425118198</v>
      </c>
      <c r="S295" s="168">
        <v>0.01</v>
      </c>
      <c r="T295" s="168">
        <v>0.01</v>
      </c>
      <c r="U295" s="175">
        <v>0</v>
      </c>
      <c r="V295" s="176">
        <v>0</v>
      </c>
      <c r="W295" s="167"/>
      <c r="X295" s="175">
        <v>4708.40553</v>
      </c>
      <c r="Y295" s="166">
        <v>458.13878943502101</v>
      </c>
      <c r="Z295" s="177">
        <v>573</v>
      </c>
      <c r="AA295" s="188">
        <v>0.79954413513965295</v>
      </c>
      <c r="AB295" s="171">
        <v>-1722.23239577497</v>
      </c>
      <c r="AC295" s="168"/>
      <c r="AD295" s="168"/>
      <c r="AE295" s="176">
        <v>1181</v>
      </c>
      <c r="AF295" s="176">
        <v>2359</v>
      </c>
      <c r="AG295" s="167"/>
      <c r="AH295" s="180">
        <v>439.45</v>
      </c>
      <c r="AI295" s="166">
        <v>42.759505258082498</v>
      </c>
      <c r="AJ295" s="181" t="s">
        <v>53</v>
      </c>
      <c r="AK295" s="173">
        <v>0.67872230568384995</v>
      </c>
      <c r="AL295" s="174">
        <v>-267.583489221332</v>
      </c>
      <c r="AM295" s="168"/>
      <c r="AN295" s="168"/>
      <c r="AO295" s="176">
        <v>209</v>
      </c>
      <c r="AP295" s="176">
        <v>338</v>
      </c>
      <c r="AQ295" s="167"/>
      <c r="AR295" s="180">
        <v>47.1</v>
      </c>
      <c r="AS295" s="166">
        <v>4.5829393506785499</v>
      </c>
      <c r="AT295" s="181" t="s">
        <v>54</v>
      </c>
      <c r="AU295" s="173">
        <v>0.28643370941740898</v>
      </c>
      <c r="AV295" s="174">
        <v>-132.464060754624</v>
      </c>
      <c r="AW295" s="168"/>
      <c r="AX295" s="168"/>
      <c r="AY295" s="176">
        <v>118</v>
      </c>
      <c r="AZ295" s="176">
        <v>151</v>
      </c>
      <c r="BA295" s="167"/>
      <c r="BB295" s="184">
        <v>374.2</v>
      </c>
      <c r="BC295" s="180">
        <v>36.410528769085197</v>
      </c>
      <c r="BD295" s="181" t="s">
        <v>55</v>
      </c>
      <c r="BE295" s="178">
        <v>1.13782902403391</v>
      </c>
      <c r="BF295" s="179">
        <v>15.071878490752001</v>
      </c>
      <c r="BG295" s="168">
        <v>0.02</v>
      </c>
      <c r="BH295" s="168">
        <v>1.4E-2</v>
      </c>
      <c r="BI295" s="176">
        <v>0</v>
      </c>
      <c r="BJ295" s="176">
        <v>21</v>
      </c>
      <c r="BK295" s="169"/>
      <c r="BL295" s="185">
        <v>0.8</v>
      </c>
      <c r="BM295" s="188">
        <v>0.79</v>
      </c>
      <c r="BN295" s="186"/>
      <c r="BO295" s="187">
        <v>0.95</v>
      </c>
      <c r="BP295" s="178">
        <v>1</v>
      </c>
      <c r="BQ295" s="186">
        <v>2.5000000000000001E-3</v>
      </c>
    </row>
    <row r="296" spans="1:69" s="156" customFormat="1" ht="22.35" customHeight="1" x14ac:dyDescent="0.2">
      <c r="A296" s="165" t="s">
        <v>339</v>
      </c>
      <c r="B296" s="165" t="s">
        <v>357</v>
      </c>
      <c r="C296" s="165" t="s">
        <v>367</v>
      </c>
      <c r="D296" s="166">
        <v>3.9912457913333301</v>
      </c>
      <c r="E296" s="167"/>
      <c r="F296" s="168">
        <v>2.7E-2</v>
      </c>
      <c r="G296" s="168">
        <v>1.6E-2</v>
      </c>
      <c r="H296" s="169"/>
      <c r="I296" s="170">
        <v>4</v>
      </c>
      <c r="J296" s="170">
        <v>4</v>
      </c>
      <c r="K296" s="167"/>
      <c r="L296" s="171">
        <v>1524.0484200000001</v>
      </c>
      <c r="M296" s="171">
        <v>618.37881000000004</v>
      </c>
      <c r="N296" s="171">
        <v>2142.4272299999998</v>
      </c>
      <c r="O296" s="166">
        <v>536.78158199430004</v>
      </c>
      <c r="P296" s="172">
        <v>212.5</v>
      </c>
      <c r="Q296" s="178">
        <v>2.52603097409082</v>
      </c>
      <c r="R296" s="179">
        <v>1216.2586441210999</v>
      </c>
      <c r="S296" s="168">
        <v>0.01</v>
      </c>
      <c r="T296" s="168">
        <v>0.01</v>
      </c>
      <c r="U296" s="175">
        <v>0</v>
      </c>
      <c r="V296" s="176">
        <v>0</v>
      </c>
      <c r="W296" s="167"/>
      <c r="X296" s="175">
        <v>2428.6663050000002</v>
      </c>
      <c r="Y296" s="166">
        <v>608.49830653718504</v>
      </c>
      <c r="Z296" s="177">
        <v>573</v>
      </c>
      <c r="AA296" s="182">
        <v>1.06195166934936</v>
      </c>
      <c r="AB296" s="183">
        <v>-68.720046569925699</v>
      </c>
      <c r="AC296" s="168">
        <v>1.7000000000000001E-2</v>
      </c>
      <c r="AD296" s="168">
        <v>6.0000000000000001E-3</v>
      </c>
      <c r="AE296" s="176">
        <v>0</v>
      </c>
      <c r="AF296" s="176">
        <v>316</v>
      </c>
      <c r="AG296" s="167"/>
      <c r="AH296" s="180">
        <v>211.05</v>
      </c>
      <c r="AI296" s="166">
        <v>52.878226757740102</v>
      </c>
      <c r="AJ296" s="181" t="s">
        <v>53</v>
      </c>
      <c r="AK296" s="188">
        <v>0.83933693266254195</v>
      </c>
      <c r="AL296" s="171">
        <v>-63.531745460567798</v>
      </c>
      <c r="AM296" s="168"/>
      <c r="AN296" s="168"/>
      <c r="AO296" s="176">
        <v>41</v>
      </c>
      <c r="AP296" s="176">
        <v>91</v>
      </c>
      <c r="AQ296" s="167"/>
      <c r="AR296" s="180">
        <v>15.8</v>
      </c>
      <c r="AS296" s="166">
        <v>3.9586637421098998</v>
      </c>
      <c r="AT296" s="181" t="s">
        <v>54</v>
      </c>
      <c r="AU296" s="173">
        <v>0.24741648388186899</v>
      </c>
      <c r="AV296" s="174">
        <v>-53.935046466175997</v>
      </c>
      <c r="AW296" s="168"/>
      <c r="AX296" s="168"/>
      <c r="AY296" s="176">
        <v>49</v>
      </c>
      <c r="AZ296" s="176">
        <v>61</v>
      </c>
      <c r="BA296" s="167"/>
      <c r="BB296" s="184">
        <v>97.6</v>
      </c>
      <c r="BC296" s="180">
        <v>24.453517799362402</v>
      </c>
      <c r="BD296" s="181" t="s">
        <v>55</v>
      </c>
      <c r="BE296" s="188">
        <v>0.76417243123007506</v>
      </c>
      <c r="BF296" s="171">
        <v>-41.870092932351902</v>
      </c>
      <c r="BG296" s="168"/>
      <c r="BH296" s="168"/>
      <c r="BI296" s="176">
        <v>31</v>
      </c>
      <c r="BJ296" s="176">
        <v>56</v>
      </c>
      <c r="BK296" s="169"/>
      <c r="BL296" s="185">
        <v>0.8</v>
      </c>
      <c r="BM296" s="182">
        <v>0.82</v>
      </c>
      <c r="BN296" s="186">
        <v>7.5000000000000002E-4</v>
      </c>
      <c r="BO296" s="187">
        <v>0.95</v>
      </c>
      <c r="BP296" s="178">
        <v>1</v>
      </c>
      <c r="BQ296" s="186">
        <v>2.5000000000000001E-3</v>
      </c>
    </row>
    <row r="297" spans="1:69" s="156" customFormat="1" ht="22.35" customHeight="1" x14ac:dyDescent="0.2">
      <c r="A297" s="165" t="s">
        <v>339</v>
      </c>
      <c r="B297" s="165" t="s">
        <v>357</v>
      </c>
      <c r="C297" s="165" t="s">
        <v>368</v>
      </c>
      <c r="D297" s="166">
        <v>1.8887926887777799</v>
      </c>
      <c r="E297" s="167"/>
      <c r="F297" s="168">
        <v>5.8999999999999997E-2</v>
      </c>
      <c r="G297" s="168">
        <v>4.8000000000000001E-2</v>
      </c>
      <c r="H297" s="169"/>
      <c r="I297" s="170">
        <v>4</v>
      </c>
      <c r="J297" s="170">
        <v>4</v>
      </c>
      <c r="K297" s="167"/>
      <c r="L297" s="171">
        <v>224.49773999999999</v>
      </c>
      <c r="M297" s="171">
        <v>19.251429999999999</v>
      </c>
      <c r="N297" s="171">
        <v>243.74916999999999</v>
      </c>
      <c r="O297" s="166">
        <v>129.05025069624099</v>
      </c>
      <c r="P297" s="172">
        <v>212.5</v>
      </c>
      <c r="Q297" s="173">
        <v>0.60729529739407695</v>
      </c>
      <c r="R297" s="174">
        <v>-194.54517343088401</v>
      </c>
      <c r="S297" s="168"/>
      <c r="T297" s="168"/>
      <c r="U297" s="175">
        <v>158</v>
      </c>
      <c r="V297" s="176">
        <v>238</v>
      </c>
      <c r="W297" s="167"/>
      <c r="X297" s="175">
        <v>1458.2094500000001</v>
      </c>
      <c r="Y297" s="166">
        <v>772.03255744472199</v>
      </c>
      <c r="Z297" s="177">
        <v>573</v>
      </c>
      <c r="AA297" s="178">
        <v>1.3473517581932299</v>
      </c>
      <c r="AB297" s="179">
        <v>276.36164394872299</v>
      </c>
      <c r="AC297" s="168">
        <v>0.02</v>
      </c>
      <c r="AD297" s="168">
        <v>0.02</v>
      </c>
      <c r="AE297" s="176">
        <v>0</v>
      </c>
      <c r="AF297" s="176">
        <v>0</v>
      </c>
      <c r="AG297" s="167"/>
      <c r="AH297" s="180">
        <v>172.75</v>
      </c>
      <c r="AI297" s="166">
        <v>91.460540389842905</v>
      </c>
      <c r="AJ297" s="181" t="s">
        <v>53</v>
      </c>
      <c r="AK297" s="178">
        <v>1.4517546093625899</v>
      </c>
      <c r="AL297" s="179">
        <v>42.808618182843801</v>
      </c>
      <c r="AM297" s="168">
        <v>0.02</v>
      </c>
      <c r="AN297" s="168">
        <v>0.02</v>
      </c>
      <c r="AO297" s="176">
        <v>0</v>
      </c>
      <c r="AP297" s="176">
        <v>0</v>
      </c>
      <c r="AQ297" s="167"/>
      <c r="AR297" s="180">
        <v>13.6</v>
      </c>
      <c r="AS297" s="166">
        <v>7.2003667108646301</v>
      </c>
      <c r="AT297" s="181" t="s">
        <v>54</v>
      </c>
      <c r="AU297" s="173">
        <v>0.45002291942903899</v>
      </c>
      <c r="AV297" s="174">
        <v>-19.400985858325399</v>
      </c>
      <c r="AW297" s="168"/>
      <c r="AX297" s="168"/>
      <c r="AY297" s="176">
        <v>17</v>
      </c>
      <c r="AZ297" s="176">
        <v>23</v>
      </c>
      <c r="BA297" s="167"/>
      <c r="BB297" s="184">
        <v>65.400000000000006</v>
      </c>
      <c r="BC297" s="180">
        <v>34.625292859599</v>
      </c>
      <c r="BD297" s="181" t="s">
        <v>55</v>
      </c>
      <c r="BE297" s="182">
        <v>1.0820404018624701</v>
      </c>
      <c r="BF297" s="183">
        <v>-0.60197171665073801</v>
      </c>
      <c r="BG297" s="168">
        <v>1.9E-2</v>
      </c>
      <c r="BH297" s="168">
        <v>8.0000000000000002E-3</v>
      </c>
      <c r="BI297" s="176">
        <v>0</v>
      </c>
      <c r="BJ297" s="176">
        <v>8</v>
      </c>
      <c r="BK297" s="169"/>
      <c r="BL297" s="185">
        <v>0.8</v>
      </c>
      <c r="BM297" s="188">
        <v>0.78</v>
      </c>
      <c r="BN297" s="186"/>
      <c r="BO297" s="187">
        <v>0.95</v>
      </c>
      <c r="BP297" s="178">
        <v>1</v>
      </c>
      <c r="BQ297" s="186">
        <v>2.5000000000000001E-3</v>
      </c>
    </row>
    <row r="298" spans="1:69" s="156" customFormat="1" ht="22.35" customHeight="1" x14ac:dyDescent="0.2">
      <c r="A298" s="165" t="s">
        <v>339</v>
      </c>
      <c r="B298" s="165" t="s">
        <v>357</v>
      </c>
      <c r="C298" s="165" t="s">
        <v>369</v>
      </c>
      <c r="D298" s="166">
        <v>3.20739114933333</v>
      </c>
      <c r="E298" s="167"/>
      <c r="F298" s="168">
        <v>3.5000000000000003E-2</v>
      </c>
      <c r="G298" s="168">
        <v>2.1999999999999999E-2</v>
      </c>
      <c r="H298" s="169"/>
      <c r="I298" s="170">
        <v>5</v>
      </c>
      <c r="J298" s="170">
        <v>4</v>
      </c>
      <c r="K298" s="167"/>
      <c r="L298" s="171">
        <v>2220.4430000000002</v>
      </c>
      <c r="M298" s="171">
        <v>263.84248000000002</v>
      </c>
      <c r="N298" s="171">
        <v>2484.28548</v>
      </c>
      <c r="O298" s="166">
        <v>774.55020742211798</v>
      </c>
      <c r="P298" s="172">
        <v>236.798</v>
      </c>
      <c r="Q298" s="178">
        <v>3.2709322182709202</v>
      </c>
      <c r="R298" s="179">
        <v>1654.9073201572201</v>
      </c>
      <c r="S298" s="168">
        <v>0.01</v>
      </c>
      <c r="T298" s="168">
        <v>0.01</v>
      </c>
      <c r="U298" s="175">
        <v>0</v>
      </c>
      <c r="V298" s="176">
        <v>0</v>
      </c>
      <c r="W298" s="167"/>
      <c r="X298" s="175">
        <v>1752.9531199999999</v>
      </c>
      <c r="Y298" s="166">
        <v>546.53549828631196</v>
      </c>
      <c r="Z298" s="177">
        <v>573</v>
      </c>
      <c r="AA298" s="182">
        <v>0.95381413313492502</v>
      </c>
      <c r="AB298" s="183">
        <v>-253.96284039625399</v>
      </c>
      <c r="AC298" s="168">
        <v>5.0000000000000001E-3</v>
      </c>
      <c r="AD298" s="168"/>
      <c r="AE298" s="176">
        <v>85</v>
      </c>
      <c r="AF298" s="176">
        <v>453</v>
      </c>
      <c r="AG298" s="167"/>
      <c r="AH298" s="180">
        <v>118.75</v>
      </c>
      <c r="AI298" s="166">
        <v>37.023859726208499</v>
      </c>
      <c r="AJ298" s="181" t="s">
        <v>53</v>
      </c>
      <c r="AK298" s="173">
        <v>0.58768031311442104</v>
      </c>
      <c r="AL298" s="174">
        <v>-101.905681509536</v>
      </c>
      <c r="AM298" s="168"/>
      <c r="AN298" s="168"/>
      <c r="AO298" s="176">
        <v>84</v>
      </c>
      <c r="AP298" s="176">
        <v>124</v>
      </c>
      <c r="AQ298" s="167"/>
      <c r="AR298" s="180">
        <v>12</v>
      </c>
      <c r="AS298" s="166">
        <v>3.7413584565431699</v>
      </c>
      <c r="AT298" s="181" t="s">
        <v>54</v>
      </c>
      <c r="AU298" s="173">
        <v>0.23383490353394801</v>
      </c>
      <c r="AV298" s="174">
        <v>-44.039538161151903</v>
      </c>
      <c r="AW298" s="168"/>
      <c r="AX298" s="168"/>
      <c r="AY298" s="176">
        <v>40</v>
      </c>
      <c r="AZ298" s="176">
        <v>50</v>
      </c>
      <c r="BA298" s="167"/>
      <c r="BB298" s="184">
        <v>115.2</v>
      </c>
      <c r="BC298" s="180">
        <v>35.917041182814501</v>
      </c>
      <c r="BD298" s="181" t="s">
        <v>55</v>
      </c>
      <c r="BE298" s="178">
        <v>1.12240753696295</v>
      </c>
      <c r="BF298" s="179">
        <v>3.1209236776961098</v>
      </c>
      <c r="BG298" s="168">
        <v>0.02</v>
      </c>
      <c r="BH298" s="168">
        <v>1.2E-2</v>
      </c>
      <c r="BI298" s="176">
        <v>0</v>
      </c>
      <c r="BJ298" s="176">
        <v>8</v>
      </c>
      <c r="BK298" s="169"/>
      <c r="BL298" s="185">
        <v>0.8</v>
      </c>
      <c r="BM298" s="182">
        <v>0.85</v>
      </c>
      <c r="BN298" s="186">
        <v>1.8749999999999999E-3</v>
      </c>
      <c r="BO298" s="187">
        <v>0.95</v>
      </c>
      <c r="BP298" s="178">
        <v>1</v>
      </c>
      <c r="BQ298" s="186">
        <v>2.5000000000000001E-3</v>
      </c>
    </row>
    <row r="299" spans="1:69" s="156" customFormat="1" ht="21.95" customHeight="1" x14ac:dyDescent="0.2">
      <c r="A299" s="189"/>
      <c r="B299" s="189"/>
      <c r="C299" s="190" t="s">
        <v>370</v>
      </c>
      <c r="D299" s="191">
        <v>1158.2086281173299</v>
      </c>
      <c r="E299" s="192"/>
      <c r="F299" s="189"/>
      <c r="G299" s="189"/>
      <c r="H299" s="193"/>
      <c r="I299" s="189"/>
      <c r="J299" s="189"/>
      <c r="K299" s="192"/>
      <c r="L299" s="194">
        <v>659617.61583999998</v>
      </c>
      <c r="M299" s="194">
        <v>354879.13844000001</v>
      </c>
      <c r="N299" s="194">
        <v>1014496.75428</v>
      </c>
      <c r="O299" s="191">
        <v>875.91883677214901</v>
      </c>
      <c r="P299" s="195"/>
      <c r="Q299" s="189"/>
      <c r="R299" s="189"/>
      <c r="S299" s="189"/>
      <c r="T299" s="189"/>
      <c r="U299" s="196">
        <v>41051</v>
      </c>
      <c r="V299" s="196">
        <v>45582</v>
      </c>
      <c r="W299" s="192"/>
      <c r="X299" s="197">
        <v>642307.10941999999</v>
      </c>
      <c r="Y299" s="198">
        <v>554.56943924176198</v>
      </c>
      <c r="Z299" s="199"/>
      <c r="AA299" s="200"/>
      <c r="AB299" s="200"/>
      <c r="AC299" s="200"/>
      <c r="AD299" s="200"/>
      <c r="AE299" s="201">
        <v>75494</v>
      </c>
      <c r="AF299" s="201">
        <v>175122</v>
      </c>
      <c r="AG299" s="192"/>
      <c r="AH299" s="198">
        <v>59971.6</v>
      </c>
      <c r="AI299" s="202">
        <v>51.779617716614503</v>
      </c>
      <c r="AJ299" s="199"/>
      <c r="AK299" s="200"/>
      <c r="AL299" s="200"/>
      <c r="AM299" s="200"/>
      <c r="AN299" s="200"/>
      <c r="AO299" s="201">
        <v>16493</v>
      </c>
      <c r="AP299" s="201">
        <v>29588</v>
      </c>
      <c r="AQ299" s="192"/>
      <c r="AR299" s="198">
        <v>11379.4</v>
      </c>
      <c r="AS299" s="202">
        <v>9.8250001975008594</v>
      </c>
      <c r="AT299" s="199"/>
      <c r="AU299" s="200"/>
      <c r="AV299" s="200"/>
      <c r="AW299" s="200"/>
      <c r="AX299" s="203"/>
      <c r="AY299" s="201">
        <v>8725</v>
      </c>
      <c r="AZ299" s="201">
        <v>12026</v>
      </c>
      <c r="BA299" s="192"/>
      <c r="BB299" s="200">
        <v>44329.599999999999</v>
      </c>
      <c r="BC299" s="202">
        <v>38.274278850830001</v>
      </c>
      <c r="BD299" s="199"/>
      <c r="BE299" s="200"/>
      <c r="BF299" s="200"/>
      <c r="BG299" s="200"/>
      <c r="BH299" s="200"/>
      <c r="BI299" s="201">
        <v>1649</v>
      </c>
      <c r="BJ299" s="201">
        <v>5084</v>
      </c>
      <c r="BK299" s="200"/>
      <c r="BL299" s="200"/>
      <c r="BM299" s="200"/>
      <c r="BN299" s="200"/>
      <c r="BO299" s="200"/>
      <c r="BP299" s="200"/>
      <c r="BQ299" s="200"/>
    </row>
    <row r="300" spans="1:69" s="156" customFormat="1" ht="28.7" customHeight="1" x14ac:dyDescent="0.2"/>
  </sheetData>
  <mergeCells count="73">
    <mergeCell ref="BQ4:BQ5"/>
    <mergeCell ref="BJ4:BJ5"/>
    <mergeCell ref="BL4:BL5"/>
    <mergeCell ref="BM4:BM5"/>
    <mergeCell ref="BN4:BN5"/>
    <mergeCell ref="BO4:BO5"/>
    <mergeCell ref="BP4:BP5"/>
    <mergeCell ref="BI4:BI5"/>
    <mergeCell ref="AW4:AW5"/>
    <mergeCell ref="AX4:AX5"/>
    <mergeCell ref="AY4:AY5"/>
    <mergeCell ref="AZ4:AZ5"/>
    <mergeCell ref="BB4:BB5"/>
    <mergeCell ref="BC4:BC5"/>
    <mergeCell ref="BD4:BD5"/>
    <mergeCell ref="BE4:BE5"/>
    <mergeCell ref="BF4:BF5"/>
    <mergeCell ref="BG4:BG5"/>
    <mergeCell ref="BH4:BH5"/>
    <mergeCell ref="AH4:AH5"/>
    <mergeCell ref="AV4:AV5"/>
    <mergeCell ref="AJ4:AJ5"/>
    <mergeCell ref="AK4:AK5"/>
    <mergeCell ref="AL4:AL5"/>
    <mergeCell ref="AM4:AM5"/>
    <mergeCell ref="AN4:AN5"/>
    <mergeCell ref="AO4:AO5"/>
    <mergeCell ref="AP4:AP5"/>
    <mergeCell ref="AR4:AR5"/>
    <mergeCell ref="AS4:AS5"/>
    <mergeCell ref="AT4:AT5"/>
    <mergeCell ref="AU4:AU5"/>
    <mergeCell ref="AB4:AB5"/>
    <mergeCell ref="AC4:AC5"/>
    <mergeCell ref="AD4:AD5"/>
    <mergeCell ref="AE4:AE5"/>
    <mergeCell ref="AF4:AF5"/>
    <mergeCell ref="V4:V5"/>
    <mergeCell ref="X4:X5"/>
    <mergeCell ref="Y4:Y5"/>
    <mergeCell ref="Z4:Z5"/>
    <mergeCell ref="AA4:AA5"/>
    <mergeCell ref="BB2:BJ2"/>
    <mergeCell ref="BL2:BQ2"/>
    <mergeCell ref="L3:V3"/>
    <mergeCell ref="X3:AF3"/>
    <mergeCell ref="AH3:AP3"/>
    <mergeCell ref="AR3:AZ3"/>
    <mergeCell ref="BB3:BJ3"/>
    <mergeCell ref="BL3:BQ3"/>
    <mergeCell ref="AR2:AZ2"/>
    <mergeCell ref="I2:I4"/>
    <mergeCell ref="J2:J4"/>
    <mergeCell ref="L2:V2"/>
    <mergeCell ref="X2:AF2"/>
    <mergeCell ref="AH2:AP2"/>
    <mergeCell ref="L4:L5"/>
    <mergeCell ref="M4:M5"/>
    <mergeCell ref="N4:N5"/>
    <mergeCell ref="O4:O5"/>
    <mergeCell ref="U4:U5"/>
    <mergeCell ref="P4:P5"/>
    <mergeCell ref="Q4:Q5"/>
    <mergeCell ref="R4:R5"/>
    <mergeCell ref="S4:S5"/>
    <mergeCell ref="T4:T5"/>
    <mergeCell ref="AI4:AI5"/>
    <mergeCell ref="G2:G4"/>
    <mergeCell ref="A2:A5"/>
    <mergeCell ref="B2:B5"/>
    <mergeCell ref="C2:C5"/>
    <mergeCell ref="D2:D4"/>
    <mergeCell ref="F2:F4"/>
  </mergeCells>
  <hyperlinks>
    <hyperlink ref="F5" r:id="rId1"/>
    <hyperlink ref="G5" r:id="rId2"/>
    <hyperlink ref="I5" r:id="rId3"/>
    <hyperlink ref="J5" r:id="rId4"/>
  </hyperlinks>
  <pageMargins left="0.7" right="0.7" top="0.75" bottom="0.75" header="0.3" footer="0.3"/>
  <pageSetup paperSize="9" orientation="portrait" r:id="rId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</sheetPr>
  <dimension ref="A1:O291"/>
  <sheetViews>
    <sheetView topLeftCell="A169" workbookViewId="0">
      <selection activeCell="E6" sqref="E6"/>
    </sheetView>
  </sheetViews>
  <sheetFormatPr baseColWidth="10" defaultRowHeight="15" x14ac:dyDescent="0.25"/>
  <cols>
    <col min="1" max="1" width="25.140625" bestFit="1" customWidth="1"/>
    <col min="2" max="2" width="22" customWidth="1"/>
    <col min="3" max="3" width="12.85546875" customWidth="1"/>
    <col min="4" max="4" width="31.28515625" customWidth="1"/>
    <col min="6" max="6" width="12.85546875" style="111" customWidth="1"/>
  </cols>
  <sheetData>
    <row r="1" spans="1:15" x14ac:dyDescent="0.25">
      <c r="A1" s="73" t="s">
        <v>19</v>
      </c>
      <c r="B1" s="73" t="s">
        <v>20</v>
      </c>
      <c r="C1" s="73" t="s">
        <v>423</v>
      </c>
      <c r="D1" s="73" t="s">
        <v>3</v>
      </c>
      <c r="E1" s="73" t="s">
        <v>424</v>
      </c>
      <c r="F1" s="110" t="s">
        <v>423</v>
      </c>
      <c r="H1" t="s">
        <v>425</v>
      </c>
    </row>
    <row r="2" spans="1:15" x14ac:dyDescent="0.25">
      <c r="A2" s="74" t="s">
        <v>275</v>
      </c>
      <c r="B2" s="74" t="s">
        <v>426</v>
      </c>
      <c r="C2">
        <v>457543</v>
      </c>
      <c r="D2" s="74" t="s">
        <v>313</v>
      </c>
      <c r="E2">
        <v>2.78</v>
      </c>
      <c r="F2" s="111">
        <v>457543</v>
      </c>
    </row>
    <row r="3" spans="1:15" x14ac:dyDescent="0.25">
      <c r="A3" s="74" t="s">
        <v>275</v>
      </c>
      <c r="B3" s="74" t="s">
        <v>426</v>
      </c>
      <c r="C3">
        <v>457583</v>
      </c>
      <c r="D3" s="74" t="s">
        <v>314</v>
      </c>
      <c r="E3">
        <v>6</v>
      </c>
      <c r="F3" s="111">
        <v>457583</v>
      </c>
    </row>
    <row r="4" spans="1:15" x14ac:dyDescent="0.25">
      <c r="A4" s="74" t="s">
        <v>275</v>
      </c>
      <c r="B4" s="74" t="s">
        <v>426</v>
      </c>
      <c r="C4">
        <v>457614</v>
      </c>
      <c r="D4" s="74" t="s">
        <v>315</v>
      </c>
      <c r="E4">
        <v>9.17</v>
      </c>
      <c r="F4" s="111">
        <v>457614</v>
      </c>
    </row>
    <row r="5" spans="1:15" x14ac:dyDescent="0.25">
      <c r="A5" s="74" t="s">
        <v>275</v>
      </c>
      <c r="B5" s="74" t="s">
        <v>426</v>
      </c>
      <c r="C5">
        <v>457617</v>
      </c>
      <c r="D5" s="74" t="s">
        <v>316</v>
      </c>
      <c r="E5">
        <v>7.67</v>
      </c>
      <c r="F5" s="111">
        <v>457617</v>
      </c>
      <c r="H5" s="56"/>
      <c r="I5" s="56"/>
      <c r="J5" s="56"/>
      <c r="K5" s="56"/>
      <c r="L5" s="56"/>
      <c r="M5" s="56"/>
      <c r="N5" s="56"/>
      <c r="O5" s="56"/>
    </row>
    <row r="6" spans="1:15" x14ac:dyDescent="0.25">
      <c r="A6" s="74" t="s">
        <v>275</v>
      </c>
      <c r="B6" s="74" t="s">
        <v>426</v>
      </c>
      <c r="C6">
        <v>557668</v>
      </c>
      <c r="D6" s="74" t="s">
        <v>317</v>
      </c>
      <c r="E6">
        <v>4.6399999999999997</v>
      </c>
      <c r="F6" s="111">
        <v>557668</v>
      </c>
      <c r="H6" s="63"/>
      <c r="I6" s="56"/>
      <c r="J6" s="63"/>
      <c r="K6" s="56"/>
      <c r="L6" s="56"/>
      <c r="M6" s="56"/>
      <c r="N6" s="63"/>
      <c r="O6" s="56"/>
    </row>
    <row r="7" spans="1:15" x14ac:dyDescent="0.25">
      <c r="A7" s="74" t="s">
        <v>275</v>
      </c>
      <c r="B7" s="74" t="s">
        <v>427</v>
      </c>
      <c r="C7">
        <v>557113</v>
      </c>
      <c r="D7" s="74" t="s">
        <v>319</v>
      </c>
      <c r="E7">
        <v>3.5</v>
      </c>
      <c r="F7" s="111">
        <v>557113</v>
      </c>
      <c r="H7" s="63"/>
      <c r="I7" s="56"/>
      <c r="J7" s="63"/>
      <c r="K7" s="56"/>
      <c r="L7" s="56"/>
      <c r="M7" s="56"/>
      <c r="N7" s="63"/>
      <c r="O7" s="63"/>
    </row>
    <row r="8" spans="1:15" x14ac:dyDescent="0.25">
      <c r="A8" s="74" t="s">
        <v>275</v>
      </c>
      <c r="B8" s="74" t="s">
        <v>427</v>
      </c>
      <c r="C8">
        <v>457180</v>
      </c>
      <c r="D8" s="74" t="s">
        <v>320</v>
      </c>
      <c r="E8">
        <v>3.2</v>
      </c>
      <c r="F8" s="111">
        <v>457180</v>
      </c>
    </row>
    <row r="9" spans="1:15" x14ac:dyDescent="0.25">
      <c r="A9" s="74" t="s">
        <v>275</v>
      </c>
      <c r="B9" s="74" t="s">
        <v>427</v>
      </c>
      <c r="C9">
        <v>557182</v>
      </c>
      <c r="D9" s="74" t="s">
        <v>321</v>
      </c>
      <c r="E9">
        <v>3.2</v>
      </c>
      <c r="F9" s="111">
        <v>557182</v>
      </c>
    </row>
    <row r="10" spans="1:15" x14ac:dyDescent="0.25">
      <c r="A10" s="74" t="s">
        <v>275</v>
      </c>
      <c r="B10" s="74" t="s">
        <v>427</v>
      </c>
      <c r="C10">
        <v>457192</v>
      </c>
      <c r="D10" s="74" t="s">
        <v>322</v>
      </c>
      <c r="E10">
        <v>3</v>
      </c>
      <c r="F10" s="111">
        <v>457192</v>
      </c>
    </row>
    <row r="11" spans="1:15" x14ac:dyDescent="0.25">
      <c r="A11" s="74" t="s">
        <v>275</v>
      </c>
      <c r="B11" s="74" t="s">
        <v>427</v>
      </c>
      <c r="C11">
        <v>557303</v>
      </c>
      <c r="D11" s="74" t="s">
        <v>323</v>
      </c>
      <c r="E11">
        <v>3.5</v>
      </c>
      <c r="F11" s="111">
        <v>557303</v>
      </c>
    </row>
    <row r="12" spans="1:15" x14ac:dyDescent="0.25">
      <c r="A12" s="74" t="s">
        <v>275</v>
      </c>
      <c r="B12" s="74" t="s">
        <v>427</v>
      </c>
      <c r="C12">
        <v>457306</v>
      </c>
      <c r="D12" s="74" t="s">
        <v>324</v>
      </c>
      <c r="E12">
        <v>4</v>
      </c>
      <c r="F12" s="111">
        <v>457306</v>
      </c>
    </row>
    <row r="13" spans="1:15" x14ac:dyDescent="0.25">
      <c r="A13" s="74" t="s">
        <v>275</v>
      </c>
      <c r="B13" s="74" t="s">
        <v>427</v>
      </c>
      <c r="C13">
        <v>557307</v>
      </c>
      <c r="D13" s="74" t="s">
        <v>325</v>
      </c>
      <c r="E13">
        <v>3.5</v>
      </c>
      <c r="F13" s="111">
        <v>557307</v>
      </c>
    </row>
    <row r="14" spans="1:15" x14ac:dyDescent="0.25">
      <c r="A14" s="74" t="s">
        <v>275</v>
      </c>
      <c r="B14" s="74" t="s">
        <v>427</v>
      </c>
      <c r="C14">
        <v>557347</v>
      </c>
      <c r="D14" s="74" t="s">
        <v>326</v>
      </c>
      <c r="E14">
        <v>3</v>
      </c>
      <c r="F14" s="111">
        <v>557347</v>
      </c>
    </row>
    <row r="15" spans="1:15" x14ac:dyDescent="0.25">
      <c r="A15" s="74" t="s">
        <v>275</v>
      </c>
      <c r="B15" s="74" t="s">
        <v>427</v>
      </c>
      <c r="C15">
        <v>457348</v>
      </c>
      <c r="D15" s="74" t="s">
        <v>327</v>
      </c>
      <c r="E15">
        <v>10.5</v>
      </c>
      <c r="F15" s="111">
        <v>457348</v>
      </c>
    </row>
    <row r="16" spans="1:15" x14ac:dyDescent="0.25">
      <c r="A16" s="74" t="s">
        <v>275</v>
      </c>
      <c r="B16" s="74" t="s">
        <v>427</v>
      </c>
      <c r="C16">
        <v>457350</v>
      </c>
      <c r="D16" s="74" t="s">
        <v>328</v>
      </c>
      <c r="E16">
        <v>11</v>
      </c>
      <c r="F16" s="111">
        <v>457350</v>
      </c>
    </row>
    <row r="17" spans="1:6" x14ac:dyDescent="0.25">
      <c r="A17" s="74" t="s">
        <v>275</v>
      </c>
      <c r="B17" s="74" t="s">
        <v>427</v>
      </c>
      <c r="C17">
        <v>557352</v>
      </c>
      <c r="D17" s="74" t="s">
        <v>329</v>
      </c>
      <c r="E17">
        <v>4.3</v>
      </c>
      <c r="F17" s="111">
        <v>557352</v>
      </c>
    </row>
    <row r="18" spans="1:6" x14ac:dyDescent="0.25">
      <c r="A18" s="74" t="s">
        <v>275</v>
      </c>
      <c r="B18" s="74" t="s">
        <v>427</v>
      </c>
      <c r="C18">
        <v>457449</v>
      </c>
      <c r="D18" s="74" t="s">
        <v>330</v>
      </c>
      <c r="E18">
        <v>3.5</v>
      </c>
      <c r="F18" s="111">
        <v>457449</v>
      </c>
    </row>
    <row r="19" spans="1:6" x14ac:dyDescent="0.25">
      <c r="A19" s="74" t="s">
        <v>275</v>
      </c>
      <c r="B19" s="74" t="s">
        <v>427</v>
      </c>
      <c r="C19">
        <v>557508</v>
      </c>
      <c r="D19" s="74" t="s">
        <v>331</v>
      </c>
      <c r="E19">
        <v>3</v>
      </c>
      <c r="F19" s="111">
        <v>557508</v>
      </c>
    </row>
    <row r="20" spans="1:6" x14ac:dyDescent="0.25">
      <c r="A20" s="74" t="s">
        <v>275</v>
      </c>
      <c r="B20" s="74" t="s">
        <v>427</v>
      </c>
      <c r="C20">
        <v>557622</v>
      </c>
      <c r="D20" s="74" t="s">
        <v>332</v>
      </c>
      <c r="E20">
        <v>3.5</v>
      </c>
      <c r="F20" s="111">
        <v>557622</v>
      </c>
    </row>
    <row r="21" spans="1:6" x14ac:dyDescent="0.25">
      <c r="A21" s="74" t="s">
        <v>275</v>
      </c>
      <c r="B21" s="74" t="s">
        <v>427</v>
      </c>
      <c r="C21">
        <v>557628</v>
      </c>
      <c r="D21" s="74" t="s">
        <v>333</v>
      </c>
      <c r="E21">
        <v>3.2</v>
      </c>
      <c r="F21" s="111">
        <v>557628</v>
      </c>
    </row>
    <row r="22" spans="1:6" x14ac:dyDescent="0.25">
      <c r="A22" s="74" t="s">
        <v>275</v>
      </c>
      <c r="B22" s="74" t="s">
        <v>427</v>
      </c>
      <c r="C22">
        <v>457632</v>
      </c>
      <c r="D22" s="74" t="s">
        <v>334</v>
      </c>
      <c r="E22">
        <v>11.5</v>
      </c>
      <c r="F22" s="111">
        <v>457632</v>
      </c>
    </row>
    <row r="23" spans="1:6" x14ac:dyDescent="0.25">
      <c r="A23" s="74" t="s">
        <v>275</v>
      </c>
      <c r="B23" s="74" t="s">
        <v>427</v>
      </c>
      <c r="C23">
        <v>557633</v>
      </c>
      <c r="D23" s="74" t="s">
        <v>335</v>
      </c>
      <c r="E23">
        <v>2.5</v>
      </c>
      <c r="F23" s="111">
        <v>557633</v>
      </c>
    </row>
    <row r="24" spans="1:6" x14ac:dyDescent="0.25">
      <c r="A24" s="74" t="s">
        <v>275</v>
      </c>
      <c r="B24" s="74" t="s">
        <v>427</v>
      </c>
      <c r="C24">
        <v>557660</v>
      </c>
      <c r="D24" s="74" t="s">
        <v>337</v>
      </c>
      <c r="E24">
        <v>2.5</v>
      </c>
      <c r="F24" s="111">
        <v>557660</v>
      </c>
    </row>
    <row r="25" spans="1:6" x14ac:dyDescent="0.25">
      <c r="A25" s="74" t="s">
        <v>275</v>
      </c>
      <c r="B25" s="74" t="s">
        <v>427</v>
      </c>
      <c r="C25">
        <v>457158</v>
      </c>
      <c r="D25" s="74" t="s">
        <v>338</v>
      </c>
      <c r="E25">
        <v>6</v>
      </c>
      <c r="F25" s="111">
        <v>457158</v>
      </c>
    </row>
    <row r="26" spans="1:6" x14ac:dyDescent="0.25">
      <c r="A26" s="74" t="s">
        <v>339</v>
      </c>
      <c r="B26" s="74" t="s">
        <v>340</v>
      </c>
      <c r="C26">
        <v>588201</v>
      </c>
      <c r="D26" s="74" t="s">
        <v>341</v>
      </c>
      <c r="E26">
        <v>3.74</v>
      </c>
      <c r="F26" s="111">
        <v>588201</v>
      </c>
    </row>
    <row r="27" spans="1:6" x14ac:dyDescent="0.25">
      <c r="A27" s="74" t="s">
        <v>339</v>
      </c>
      <c r="B27" s="74" t="s">
        <v>340</v>
      </c>
      <c r="C27">
        <v>588206</v>
      </c>
      <c r="D27" s="74" t="s">
        <v>342</v>
      </c>
      <c r="E27">
        <v>2.78</v>
      </c>
      <c r="F27" s="111">
        <v>588206</v>
      </c>
    </row>
    <row r="28" spans="1:6" x14ac:dyDescent="0.25">
      <c r="A28" s="74" t="s">
        <v>339</v>
      </c>
      <c r="B28" s="74" t="s">
        <v>340</v>
      </c>
      <c r="C28">
        <v>588216</v>
      </c>
      <c r="D28" s="74" t="s">
        <v>343</v>
      </c>
      <c r="E28">
        <v>1</v>
      </c>
      <c r="F28" s="111">
        <v>588216</v>
      </c>
    </row>
    <row r="29" spans="1:6" x14ac:dyDescent="0.25">
      <c r="A29" s="74" t="s">
        <v>339</v>
      </c>
      <c r="B29" s="74" t="s">
        <v>340</v>
      </c>
      <c r="C29">
        <v>488256</v>
      </c>
      <c r="D29" s="74" t="s">
        <v>344</v>
      </c>
      <c r="E29">
        <v>2</v>
      </c>
      <c r="F29" s="111">
        <v>488256</v>
      </c>
    </row>
    <row r="30" spans="1:6" x14ac:dyDescent="0.25">
      <c r="A30" s="74" t="s">
        <v>339</v>
      </c>
      <c r="B30" s="74" t="s">
        <v>340</v>
      </c>
      <c r="C30">
        <v>488281</v>
      </c>
      <c r="D30" s="74" t="s">
        <v>345</v>
      </c>
      <c r="E30">
        <v>4.4400000000000004</v>
      </c>
      <c r="F30" s="111">
        <v>488281</v>
      </c>
    </row>
    <row r="31" spans="1:6" x14ac:dyDescent="0.25">
      <c r="A31" s="74" t="s">
        <v>339</v>
      </c>
      <c r="B31" s="74" t="s">
        <v>340</v>
      </c>
      <c r="C31">
        <v>488286</v>
      </c>
      <c r="D31" s="74" t="s">
        <v>346</v>
      </c>
      <c r="E31">
        <v>10.130000000000001</v>
      </c>
      <c r="F31" s="111">
        <v>488286</v>
      </c>
    </row>
    <row r="32" spans="1:6" x14ac:dyDescent="0.25">
      <c r="A32" s="74" t="s">
        <v>339</v>
      </c>
      <c r="B32" s="74" t="s">
        <v>340</v>
      </c>
      <c r="C32">
        <v>488291</v>
      </c>
      <c r="D32" s="74" t="s">
        <v>347</v>
      </c>
      <c r="E32">
        <v>1</v>
      </c>
      <c r="F32" s="111">
        <v>488291</v>
      </c>
    </row>
    <row r="33" spans="1:6" x14ac:dyDescent="0.25">
      <c r="A33" s="74" t="s">
        <v>339</v>
      </c>
      <c r="B33" s="74" t="s">
        <v>340</v>
      </c>
      <c r="C33">
        <v>488288</v>
      </c>
      <c r="D33" s="74" t="s">
        <v>348</v>
      </c>
      <c r="E33">
        <v>2</v>
      </c>
      <c r="F33" s="111">
        <v>488288</v>
      </c>
    </row>
    <row r="34" spans="1:6" x14ac:dyDescent="0.25">
      <c r="A34" s="74" t="s">
        <v>339</v>
      </c>
      <c r="B34" s="74" t="s">
        <v>340</v>
      </c>
      <c r="C34">
        <v>588336</v>
      </c>
      <c r="D34" s="74" t="s">
        <v>349</v>
      </c>
      <c r="E34">
        <v>3.78</v>
      </c>
      <c r="F34" s="111">
        <v>588336</v>
      </c>
    </row>
    <row r="35" spans="1:6" x14ac:dyDescent="0.25">
      <c r="A35" s="74" t="s">
        <v>339</v>
      </c>
      <c r="B35" s="74" t="s">
        <v>340</v>
      </c>
      <c r="C35">
        <v>588396</v>
      </c>
      <c r="D35" s="74" t="s">
        <v>350</v>
      </c>
      <c r="E35">
        <v>2.91</v>
      </c>
      <c r="F35" s="111">
        <v>588396</v>
      </c>
    </row>
    <row r="36" spans="1:6" x14ac:dyDescent="0.25">
      <c r="A36" s="74" t="s">
        <v>339</v>
      </c>
      <c r="B36" s="74" t="s">
        <v>340</v>
      </c>
      <c r="C36">
        <v>488451</v>
      </c>
      <c r="D36" s="74" t="s">
        <v>351</v>
      </c>
      <c r="E36">
        <v>4.6500000000000004</v>
      </c>
      <c r="F36" s="111">
        <v>488451</v>
      </c>
    </row>
    <row r="37" spans="1:6" x14ac:dyDescent="0.25">
      <c r="A37" s="74" t="s">
        <v>339</v>
      </c>
      <c r="B37" s="74" t="s">
        <v>340</v>
      </c>
      <c r="C37">
        <v>588501</v>
      </c>
      <c r="D37" s="74" t="s">
        <v>352</v>
      </c>
      <c r="E37">
        <v>5</v>
      </c>
      <c r="F37" s="111">
        <v>588501</v>
      </c>
    </row>
    <row r="38" spans="1:6" x14ac:dyDescent="0.25">
      <c r="A38" s="74" t="s">
        <v>339</v>
      </c>
      <c r="B38" s="74" t="s">
        <v>340</v>
      </c>
      <c r="C38">
        <v>488561</v>
      </c>
      <c r="D38" s="74" t="s">
        <v>353</v>
      </c>
      <c r="E38">
        <v>5.78</v>
      </c>
      <c r="F38" s="111">
        <v>488561</v>
      </c>
    </row>
    <row r="39" spans="1:6" x14ac:dyDescent="0.25">
      <c r="A39" s="74" t="s">
        <v>339</v>
      </c>
      <c r="B39" s="74" t="s">
        <v>340</v>
      </c>
      <c r="C39">
        <v>588631</v>
      </c>
      <c r="D39" s="74" t="s">
        <v>354</v>
      </c>
      <c r="E39">
        <v>5.56</v>
      </c>
      <c r="F39" s="111">
        <v>588631</v>
      </c>
    </row>
    <row r="40" spans="1:6" x14ac:dyDescent="0.25">
      <c r="A40" s="74" t="s">
        <v>339</v>
      </c>
      <c r="B40" s="74" t="s">
        <v>340</v>
      </c>
      <c r="C40">
        <v>488706</v>
      </c>
      <c r="D40" s="74" t="s">
        <v>355</v>
      </c>
      <c r="E40">
        <v>3.88</v>
      </c>
      <c r="F40" s="111">
        <v>488706</v>
      </c>
    </row>
    <row r="41" spans="1:6" x14ac:dyDescent="0.25">
      <c r="A41" s="74" t="s">
        <v>339</v>
      </c>
      <c r="B41" s="74" t="s">
        <v>340</v>
      </c>
      <c r="C41">
        <v>588716</v>
      </c>
      <c r="D41" s="74" t="s">
        <v>356</v>
      </c>
      <c r="E41">
        <v>2</v>
      </c>
      <c r="F41" s="111">
        <v>588716</v>
      </c>
    </row>
    <row r="42" spans="1:6" x14ac:dyDescent="0.25">
      <c r="A42" s="74" t="s">
        <v>339</v>
      </c>
      <c r="B42" s="74" t="s">
        <v>428</v>
      </c>
      <c r="C42">
        <v>588186</v>
      </c>
      <c r="D42" s="74" t="s">
        <v>358</v>
      </c>
      <c r="E42">
        <v>2.78</v>
      </c>
      <c r="F42" s="111">
        <v>588186</v>
      </c>
    </row>
    <row r="43" spans="1:6" x14ac:dyDescent="0.25">
      <c r="A43" s="74" t="s">
        <v>339</v>
      </c>
      <c r="B43" s="74" t="s">
        <v>428</v>
      </c>
      <c r="C43">
        <v>488246</v>
      </c>
      <c r="D43" s="74" t="s">
        <v>359</v>
      </c>
      <c r="E43">
        <v>3</v>
      </c>
      <c r="F43" s="111">
        <v>488246</v>
      </c>
    </row>
    <row r="44" spans="1:6" x14ac:dyDescent="0.25">
      <c r="A44" s="74" t="s">
        <v>339</v>
      </c>
      <c r="B44" s="74" t="s">
        <v>428</v>
      </c>
      <c r="C44">
        <v>588316</v>
      </c>
      <c r="D44" s="74" t="s">
        <v>360</v>
      </c>
      <c r="E44">
        <v>4</v>
      </c>
      <c r="F44" s="111">
        <v>588316</v>
      </c>
    </row>
    <row r="45" spans="1:6" x14ac:dyDescent="0.25">
      <c r="A45" s="74" t="s">
        <v>339</v>
      </c>
      <c r="B45" s="74" t="s">
        <v>428</v>
      </c>
      <c r="C45">
        <v>488326</v>
      </c>
      <c r="D45" s="74" t="s">
        <v>361</v>
      </c>
      <c r="E45">
        <v>5</v>
      </c>
      <c r="F45" s="111">
        <v>488326</v>
      </c>
    </row>
    <row r="46" spans="1:6" x14ac:dyDescent="0.25">
      <c r="A46" s="74" t="s">
        <v>339</v>
      </c>
      <c r="B46" s="74" t="s">
        <v>428</v>
      </c>
      <c r="C46">
        <v>488346</v>
      </c>
      <c r="D46" s="74" t="s">
        <v>362</v>
      </c>
      <c r="E46">
        <v>2</v>
      </c>
      <c r="F46" s="111">
        <v>488346</v>
      </c>
    </row>
    <row r="47" spans="1:6" x14ac:dyDescent="0.25">
      <c r="A47" s="74" t="s">
        <v>339</v>
      </c>
      <c r="B47" s="74" t="s">
        <v>428</v>
      </c>
      <c r="C47">
        <v>588386</v>
      </c>
      <c r="D47" s="74" t="s">
        <v>363</v>
      </c>
      <c r="E47">
        <v>2</v>
      </c>
      <c r="F47" s="111">
        <v>588386</v>
      </c>
    </row>
    <row r="48" spans="1:6" x14ac:dyDescent="0.25">
      <c r="A48" s="74" t="s">
        <v>339</v>
      </c>
      <c r="B48" s="74" t="s">
        <v>428</v>
      </c>
      <c r="C48">
        <v>588461</v>
      </c>
      <c r="D48" s="74" t="s">
        <v>364</v>
      </c>
      <c r="E48">
        <v>2.78</v>
      </c>
      <c r="F48" s="111">
        <v>588461</v>
      </c>
    </row>
    <row r="49" spans="1:6" x14ac:dyDescent="0.25">
      <c r="A49" s="74" t="s">
        <v>339</v>
      </c>
      <c r="B49" s="74" t="s">
        <v>428</v>
      </c>
      <c r="C49">
        <v>588551</v>
      </c>
      <c r="D49" s="74" t="s">
        <v>365</v>
      </c>
      <c r="E49">
        <v>4</v>
      </c>
      <c r="F49" s="111">
        <v>588551</v>
      </c>
    </row>
    <row r="50" spans="1:6" x14ac:dyDescent="0.25">
      <c r="A50" s="74" t="s">
        <v>339</v>
      </c>
      <c r="B50" s="74" t="s">
        <v>428</v>
      </c>
      <c r="C50">
        <v>488556</v>
      </c>
      <c r="D50" s="74" t="s">
        <v>366</v>
      </c>
      <c r="E50">
        <v>3.71</v>
      </c>
      <c r="F50" s="111">
        <v>488556</v>
      </c>
    </row>
    <row r="51" spans="1:6" x14ac:dyDescent="0.25">
      <c r="A51" s="74" t="s">
        <v>339</v>
      </c>
      <c r="B51" s="74" t="s">
        <v>428</v>
      </c>
      <c r="C51">
        <v>488586</v>
      </c>
      <c r="D51" s="74" t="s">
        <v>357</v>
      </c>
      <c r="E51">
        <v>10.32</v>
      </c>
      <c r="F51" s="111">
        <v>488586</v>
      </c>
    </row>
    <row r="52" spans="1:6" x14ac:dyDescent="0.25">
      <c r="A52" s="74" t="s">
        <v>339</v>
      </c>
      <c r="B52" s="74" t="s">
        <v>428</v>
      </c>
      <c r="C52">
        <v>588587</v>
      </c>
      <c r="D52" s="74" t="s">
        <v>367</v>
      </c>
      <c r="E52">
        <v>4</v>
      </c>
      <c r="F52" s="111">
        <v>588587</v>
      </c>
    </row>
    <row r="53" spans="1:6" x14ac:dyDescent="0.25">
      <c r="A53" s="74" t="s">
        <v>339</v>
      </c>
      <c r="B53" s="74" t="s">
        <v>428</v>
      </c>
      <c r="C53">
        <v>488616</v>
      </c>
      <c r="D53" s="74" t="s">
        <v>368</v>
      </c>
      <c r="E53">
        <v>2</v>
      </c>
      <c r="F53" s="111">
        <v>488616</v>
      </c>
    </row>
    <row r="54" spans="1:6" x14ac:dyDescent="0.25">
      <c r="A54" s="74" t="s">
        <v>339</v>
      </c>
      <c r="B54" s="74" t="s">
        <v>428</v>
      </c>
      <c r="C54">
        <v>588666</v>
      </c>
      <c r="D54" s="74" t="s">
        <v>369</v>
      </c>
      <c r="E54">
        <v>3.8</v>
      </c>
      <c r="F54" s="111">
        <v>588666</v>
      </c>
    </row>
    <row r="55" spans="1:6" x14ac:dyDescent="0.25">
      <c r="A55" s="74" t="s">
        <v>429</v>
      </c>
      <c r="B55" s="74" t="s">
        <v>0</v>
      </c>
      <c r="C55">
        <v>410560</v>
      </c>
      <c r="D55" s="74" t="s">
        <v>5</v>
      </c>
      <c r="E55">
        <v>2</v>
      </c>
      <c r="F55" s="111">
        <v>410560</v>
      </c>
    </row>
    <row r="56" spans="1:6" x14ac:dyDescent="0.25">
      <c r="A56" s="74" t="s">
        <v>429</v>
      </c>
      <c r="B56" s="74" t="s">
        <v>0</v>
      </c>
      <c r="C56">
        <v>410566</v>
      </c>
      <c r="D56" s="74" t="s">
        <v>56</v>
      </c>
      <c r="E56">
        <v>10</v>
      </c>
      <c r="F56" s="111">
        <v>410566</v>
      </c>
    </row>
    <row r="57" spans="1:6" x14ac:dyDescent="0.25">
      <c r="A57" s="74" t="s">
        <v>429</v>
      </c>
      <c r="B57" s="74" t="s">
        <v>0</v>
      </c>
      <c r="C57">
        <v>510590</v>
      </c>
      <c r="D57" s="74" t="s">
        <v>57</v>
      </c>
      <c r="E57">
        <v>3</v>
      </c>
      <c r="F57" s="111">
        <v>510590</v>
      </c>
    </row>
    <row r="58" spans="1:6" x14ac:dyDescent="0.25">
      <c r="A58" s="74" t="s">
        <v>429</v>
      </c>
      <c r="B58" s="74" t="s">
        <v>0</v>
      </c>
      <c r="C58">
        <v>451154</v>
      </c>
      <c r="D58" s="74" t="s">
        <v>58</v>
      </c>
      <c r="E58">
        <v>3</v>
      </c>
      <c r="F58" s="111">
        <v>451154</v>
      </c>
    </row>
    <row r="59" spans="1:6" x14ac:dyDescent="0.25">
      <c r="A59" s="74" t="s">
        <v>429</v>
      </c>
      <c r="B59" s="74" t="s">
        <v>0</v>
      </c>
      <c r="C59">
        <v>410541</v>
      </c>
      <c r="D59" s="74" t="s">
        <v>59</v>
      </c>
      <c r="E59">
        <v>8</v>
      </c>
      <c r="F59" s="111">
        <v>410541</v>
      </c>
    </row>
    <row r="60" spans="1:6" x14ac:dyDescent="0.25">
      <c r="A60" s="74" t="s">
        <v>429</v>
      </c>
      <c r="B60" s="74" t="s">
        <v>0</v>
      </c>
      <c r="C60">
        <v>410582</v>
      </c>
      <c r="D60" s="74" t="s">
        <v>60</v>
      </c>
      <c r="E60">
        <v>2</v>
      </c>
      <c r="F60" s="111">
        <v>410582</v>
      </c>
    </row>
    <row r="61" spans="1:6" x14ac:dyDescent="0.25">
      <c r="A61" s="74" t="s">
        <v>429</v>
      </c>
      <c r="B61" s="74" t="s">
        <v>0</v>
      </c>
      <c r="C61">
        <v>451156</v>
      </c>
      <c r="D61" s="74" t="s">
        <v>61</v>
      </c>
      <c r="E61">
        <v>6.38</v>
      </c>
      <c r="F61" s="111">
        <v>451156</v>
      </c>
    </row>
    <row r="62" spans="1:6" x14ac:dyDescent="0.25">
      <c r="A62" s="74" t="s">
        <v>429</v>
      </c>
      <c r="B62" s="74" t="s">
        <v>0</v>
      </c>
      <c r="C62">
        <v>551157</v>
      </c>
      <c r="D62" s="74" t="s">
        <v>62</v>
      </c>
      <c r="E62">
        <v>2.84</v>
      </c>
      <c r="F62" s="111">
        <v>551157</v>
      </c>
    </row>
    <row r="63" spans="1:6" x14ac:dyDescent="0.25">
      <c r="A63" s="74" t="s">
        <v>429</v>
      </c>
      <c r="B63" s="74" t="s">
        <v>0</v>
      </c>
      <c r="C63">
        <v>451151</v>
      </c>
      <c r="D63" s="74" t="s">
        <v>63</v>
      </c>
      <c r="E63">
        <v>3</v>
      </c>
      <c r="F63" s="111">
        <v>451151</v>
      </c>
    </row>
    <row r="64" spans="1:6" x14ac:dyDescent="0.25">
      <c r="A64" s="74" t="s">
        <v>429</v>
      </c>
      <c r="B64" s="74" t="s">
        <v>64</v>
      </c>
      <c r="C64">
        <v>510530</v>
      </c>
      <c r="D64" s="74" t="s">
        <v>65</v>
      </c>
      <c r="E64">
        <v>4</v>
      </c>
      <c r="F64" s="111">
        <v>510530</v>
      </c>
    </row>
    <row r="65" spans="1:6" x14ac:dyDescent="0.25">
      <c r="A65" s="74" t="s">
        <v>429</v>
      </c>
      <c r="B65" s="74" t="s">
        <v>64</v>
      </c>
      <c r="C65">
        <v>410550</v>
      </c>
      <c r="D65" s="74" t="s">
        <v>66</v>
      </c>
      <c r="E65">
        <v>4</v>
      </c>
      <c r="F65" s="111">
        <v>410550</v>
      </c>
    </row>
    <row r="66" spans="1:6" x14ac:dyDescent="0.25">
      <c r="A66" s="74" t="s">
        <v>429</v>
      </c>
      <c r="B66" s="74" t="s">
        <v>64</v>
      </c>
      <c r="C66">
        <v>510556</v>
      </c>
      <c r="D66" s="74" t="s">
        <v>67</v>
      </c>
      <c r="E66">
        <v>4</v>
      </c>
      <c r="F66" s="111">
        <v>510556</v>
      </c>
    </row>
    <row r="67" spans="1:6" x14ac:dyDescent="0.25">
      <c r="A67" s="74" t="s">
        <v>429</v>
      </c>
      <c r="B67" s="74" t="s">
        <v>64</v>
      </c>
      <c r="C67">
        <v>410551</v>
      </c>
      <c r="D67" s="74" t="s">
        <v>68</v>
      </c>
      <c r="E67">
        <v>2</v>
      </c>
      <c r="F67" s="111">
        <v>410551</v>
      </c>
    </row>
    <row r="68" spans="1:6" x14ac:dyDescent="0.25">
      <c r="A68" s="74" t="s">
        <v>429</v>
      </c>
      <c r="B68" s="74" t="s">
        <v>64</v>
      </c>
      <c r="C68">
        <v>510523</v>
      </c>
      <c r="D68" s="74" t="s">
        <v>69</v>
      </c>
      <c r="E68">
        <v>7</v>
      </c>
      <c r="F68" s="111">
        <v>510523</v>
      </c>
    </row>
    <row r="69" spans="1:6" x14ac:dyDescent="0.25">
      <c r="A69" s="74" t="s">
        <v>429</v>
      </c>
      <c r="B69" s="74" t="s">
        <v>64</v>
      </c>
      <c r="C69">
        <v>510570</v>
      </c>
      <c r="D69" s="74" t="s">
        <v>70</v>
      </c>
      <c r="E69">
        <v>4.8</v>
      </c>
      <c r="F69" s="111">
        <v>510570</v>
      </c>
    </row>
    <row r="70" spans="1:6" x14ac:dyDescent="0.25">
      <c r="A70" s="74" t="s">
        <v>429</v>
      </c>
      <c r="B70" s="74" t="s">
        <v>64</v>
      </c>
      <c r="C70">
        <v>410571</v>
      </c>
      <c r="D70" s="74" t="s">
        <v>71</v>
      </c>
      <c r="E70">
        <v>7.15</v>
      </c>
      <c r="F70" s="111">
        <v>410571</v>
      </c>
    </row>
    <row r="71" spans="1:6" x14ac:dyDescent="0.25">
      <c r="A71" s="74" t="s">
        <v>429</v>
      </c>
      <c r="B71" s="74" t="s">
        <v>64</v>
      </c>
      <c r="C71">
        <v>510520</v>
      </c>
      <c r="D71" s="74" t="s">
        <v>72</v>
      </c>
      <c r="E71">
        <v>4.78</v>
      </c>
      <c r="F71" s="111">
        <v>510520</v>
      </c>
    </row>
    <row r="72" spans="1:6" x14ac:dyDescent="0.25">
      <c r="A72" s="74" t="s">
        <v>429</v>
      </c>
      <c r="B72" s="74" t="s">
        <v>64</v>
      </c>
      <c r="C72">
        <v>410524</v>
      </c>
      <c r="D72" s="74" t="s">
        <v>74</v>
      </c>
      <c r="E72">
        <v>5.96</v>
      </c>
      <c r="F72" s="111">
        <v>410524</v>
      </c>
    </row>
    <row r="73" spans="1:6" x14ac:dyDescent="0.25">
      <c r="A73" s="74" t="s">
        <v>429</v>
      </c>
      <c r="B73" s="74" t="s">
        <v>64</v>
      </c>
      <c r="C73">
        <v>410521</v>
      </c>
      <c r="D73" s="74" t="s">
        <v>73</v>
      </c>
      <c r="E73">
        <v>5</v>
      </c>
      <c r="F73" s="111">
        <v>410521</v>
      </c>
    </row>
    <row r="74" spans="1:6" x14ac:dyDescent="0.25">
      <c r="A74" s="74" t="s">
        <v>429</v>
      </c>
      <c r="B74" s="74" t="s">
        <v>64</v>
      </c>
      <c r="C74">
        <v>510513</v>
      </c>
      <c r="D74" s="74" t="s">
        <v>75</v>
      </c>
      <c r="E74">
        <v>4.4000000000000004</v>
      </c>
      <c r="F74" s="111">
        <v>510513</v>
      </c>
    </row>
    <row r="75" spans="1:6" x14ac:dyDescent="0.25">
      <c r="A75" s="74" t="s">
        <v>429</v>
      </c>
      <c r="B75" s="74" t="s">
        <v>64</v>
      </c>
      <c r="C75">
        <v>510511</v>
      </c>
      <c r="D75" s="74" t="s">
        <v>76</v>
      </c>
      <c r="E75">
        <v>3.58</v>
      </c>
      <c r="F75" s="111">
        <v>510511</v>
      </c>
    </row>
    <row r="76" spans="1:6" x14ac:dyDescent="0.25">
      <c r="A76" s="74" t="s">
        <v>429</v>
      </c>
      <c r="B76" s="74" t="s">
        <v>64</v>
      </c>
      <c r="C76">
        <v>510522</v>
      </c>
      <c r="D76" s="74" t="s">
        <v>77</v>
      </c>
      <c r="E76">
        <v>2.61</v>
      </c>
      <c r="F76" s="111">
        <v>510522</v>
      </c>
    </row>
    <row r="77" spans="1:6" x14ac:dyDescent="0.25">
      <c r="A77" s="74" t="s">
        <v>429</v>
      </c>
      <c r="B77" s="74" t="s">
        <v>64</v>
      </c>
      <c r="C77">
        <v>410510</v>
      </c>
      <c r="D77" s="74" t="s">
        <v>78</v>
      </c>
      <c r="E77">
        <v>9.84</v>
      </c>
      <c r="F77" s="111">
        <v>410510</v>
      </c>
    </row>
    <row r="78" spans="1:6" x14ac:dyDescent="0.25">
      <c r="A78" s="74" t="s">
        <v>429</v>
      </c>
      <c r="B78" s="74" t="s">
        <v>64</v>
      </c>
      <c r="C78">
        <v>410512</v>
      </c>
      <c r="D78" s="74" t="s">
        <v>79</v>
      </c>
      <c r="E78">
        <v>4.78</v>
      </c>
      <c r="F78" s="111">
        <v>410512</v>
      </c>
    </row>
    <row r="79" spans="1:6" x14ac:dyDescent="0.25">
      <c r="A79" s="74" t="s">
        <v>430</v>
      </c>
      <c r="B79" s="74" t="s">
        <v>431</v>
      </c>
      <c r="C79">
        <v>4017</v>
      </c>
      <c r="D79" s="74" t="s">
        <v>432</v>
      </c>
      <c r="E79">
        <v>10.199999999999999</v>
      </c>
      <c r="F79" s="111">
        <v>4017</v>
      </c>
    </row>
    <row r="80" spans="1:6" x14ac:dyDescent="0.25">
      <c r="A80" s="74" t="s">
        <v>430</v>
      </c>
      <c r="B80" s="74" t="s">
        <v>433</v>
      </c>
      <c r="C80">
        <v>4022</v>
      </c>
      <c r="D80" s="74" t="s">
        <v>434</v>
      </c>
      <c r="E80">
        <v>4.2300000000000004</v>
      </c>
      <c r="F80" s="111">
        <v>4022</v>
      </c>
    </row>
    <row r="81" spans="1:6" x14ac:dyDescent="0.25">
      <c r="A81" s="74" t="s">
        <v>435</v>
      </c>
      <c r="B81" s="74" t="s">
        <v>81</v>
      </c>
      <c r="C81">
        <v>4057</v>
      </c>
      <c r="D81" s="74" t="s">
        <v>82</v>
      </c>
      <c r="E81">
        <v>5.8</v>
      </c>
      <c r="F81" s="111">
        <v>4057</v>
      </c>
    </row>
    <row r="82" spans="1:6" x14ac:dyDescent="0.25">
      <c r="A82" s="74" t="s">
        <v>435</v>
      </c>
      <c r="B82" s="74" t="s">
        <v>81</v>
      </c>
      <c r="C82">
        <v>4082</v>
      </c>
      <c r="D82" s="74" t="s">
        <v>83</v>
      </c>
      <c r="E82">
        <v>2.85</v>
      </c>
      <c r="F82" s="111">
        <v>4082</v>
      </c>
    </row>
    <row r="83" spans="1:6" x14ac:dyDescent="0.25">
      <c r="A83" s="74" t="s">
        <v>435</v>
      </c>
      <c r="B83" s="74" t="s">
        <v>81</v>
      </c>
      <c r="C83">
        <v>4030</v>
      </c>
      <c r="D83" s="74" t="s">
        <v>84</v>
      </c>
      <c r="E83">
        <v>7.4</v>
      </c>
      <c r="F83" s="111">
        <v>4030</v>
      </c>
    </row>
    <row r="84" spans="1:6" x14ac:dyDescent="0.25">
      <c r="A84" s="74" t="s">
        <v>435</v>
      </c>
      <c r="B84" s="74" t="s">
        <v>81</v>
      </c>
      <c r="C84">
        <v>4060</v>
      </c>
      <c r="D84" s="74" t="s">
        <v>85</v>
      </c>
      <c r="E84">
        <v>7.77</v>
      </c>
      <c r="F84" s="111">
        <v>4060</v>
      </c>
    </row>
    <row r="85" spans="1:6" x14ac:dyDescent="0.25">
      <c r="A85" s="74" t="s">
        <v>435</v>
      </c>
      <c r="B85" s="74" t="s">
        <v>81</v>
      </c>
      <c r="C85">
        <v>4064</v>
      </c>
      <c r="D85" s="74" t="s">
        <v>86</v>
      </c>
      <c r="E85">
        <v>1.32</v>
      </c>
      <c r="F85" s="111">
        <v>4064</v>
      </c>
    </row>
    <row r="86" spans="1:6" x14ac:dyDescent="0.25">
      <c r="A86" s="74" t="s">
        <v>435</v>
      </c>
      <c r="B86" s="74" t="s">
        <v>81</v>
      </c>
      <c r="C86">
        <v>4092</v>
      </c>
      <c r="D86" s="74" t="s">
        <v>87</v>
      </c>
      <c r="E86">
        <v>2.78</v>
      </c>
      <c r="F86" s="111">
        <v>4092</v>
      </c>
    </row>
    <row r="87" spans="1:6" x14ac:dyDescent="0.25">
      <c r="A87" s="74" t="s">
        <v>435</v>
      </c>
      <c r="B87" s="74" t="s">
        <v>81</v>
      </c>
      <c r="C87">
        <v>4041</v>
      </c>
      <c r="D87" s="74" t="s">
        <v>88</v>
      </c>
      <c r="E87">
        <v>2.73</v>
      </c>
      <c r="F87" s="111">
        <v>4041</v>
      </c>
    </row>
    <row r="88" spans="1:6" x14ac:dyDescent="0.25">
      <c r="A88" s="74" t="s">
        <v>435</v>
      </c>
      <c r="B88" s="74" t="s">
        <v>81</v>
      </c>
      <c r="C88">
        <v>4085</v>
      </c>
      <c r="D88" s="74" t="s">
        <v>89</v>
      </c>
      <c r="E88">
        <v>3.78</v>
      </c>
      <c r="F88" s="111">
        <v>4085</v>
      </c>
    </row>
    <row r="89" spans="1:6" x14ac:dyDescent="0.25">
      <c r="A89" s="74" t="s">
        <v>435</v>
      </c>
      <c r="B89" s="74" t="s">
        <v>81</v>
      </c>
      <c r="C89">
        <v>4066</v>
      </c>
      <c r="D89" s="74" t="s">
        <v>90</v>
      </c>
      <c r="E89">
        <v>6.22</v>
      </c>
      <c r="F89" s="111">
        <v>4066</v>
      </c>
    </row>
    <row r="90" spans="1:6" x14ac:dyDescent="0.25">
      <c r="A90" s="74" t="s">
        <v>435</v>
      </c>
      <c r="B90" s="74" t="s">
        <v>81</v>
      </c>
      <c r="C90">
        <v>4067</v>
      </c>
      <c r="D90" s="74" t="s">
        <v>91</v>
      </c>
      <c r="E90">
        <v>3</v>
      </c>
      <c r="F90" s="111">
        <v>4067</v>
      </c>
    </row>
    <row r="91" spans="1:6" x14ac:dyDescent="0.25">
      <c r="A91" s="74" t="s">
        <v>435</v>
      </c>
      <c r="B91" s="74" t="s">
        <v>81</v>
      </c>
      <c r="C91">
        <v>4095</v>
      </c>
      <c r="D91" s="74" t="s">
        <v>92</v>
      </c>
      <c r="E91">
        <v>3.44</v>
      </c>
      <c r="F91" s="111">
        <v>4095</v>
      </c>
    </row>
    <row r="92" spans="1:6" x14ac:dyDescent="0.25">
      <c r="A92" s="74" t="s">
        <v>435</v>
      </c>
      <c r="B92" s="74" t="s">
        <v>81</v>
      </c>
      <c r="C92">
        <v>4087</v>
      </c>
      <c r="D92" s="74" t="s">
        <v>93</v>
      </c>
      <c r="E92">
        <v>7.79</v>
      </c>
      <c r="F92" s="111">
        <v>4087</v>
      </c>
    </row>
    <row r="93" spans="1:6" x14ac:dyDescent="0.25">
      <c r="A93" s="74" t="s">
        <v>435</v>
      </c>
      <c r="B93" s="74" t="s">
        <v>81</v>
      </c>
      <c r="C93">
        <v>4073</v>
      </c>
      <c r="D93" s="74" t="s">
        <v>94</v>
      </c>
      <c r="E93">
        <v>1.85</v>
      </c>
      <c r="F93" s="111">
        <v>4073</v>
      </c>
    </row>
    <row r="94" spans="1:6" x14ac:dyDescent="0.25">
      <c r="A94" s="74" t="s">
        <v>435</v>
      </c>
      <c r="B94" s="74" t="s">
        <v>81</v>
      </c>
      <c r="C94">
        <v>4074</v>
      </c>
      <c r="D94" s="74" t="s">
        <v>95</v>
      </c>
      <c r="E94">
        <v>2</v>
      </c>
      <c r="F94" s="111">
        <v>4074</v>
      </c>
    </row>
    <row r="95" spans="1:6" x14ac:dyDescent="0.25">
      <c r="A95" s="74" t="s">
        <v>435</v>
      </c>
      <c r="B95" s="74" t="s">
        <v>81</v>
      </c>
      <c r="C95">
        <v>4079</v>
      </c>
      <c r="D95" s="74" t="s">
        <v>96</v>
      </c>
      <c r="E95">
        <v>2.57</v>
      </c>
      <c r="F95" s="111">
        <v>4079</v>
      </c>
    </row>
    <row r="96" spans="1:6" x14ac:dyDescent="0.25">
      <c r="A96" s="74" t="s">
        <v>435</v>
      </c>
      <c r="B96" s="74" t="s">
        <v>81</v>
      </c>
      <c r="C96">
        <v>4031</v>
      </c>
      <c r="D96" s="74" t="s">
        <v>97</v>
      </c>
      <c r="E96">
        <v>3</v>
      </c>
      <c r="F96" s="111">
        <v>4031</v>
      </c>
    </row>
    <row r="97" spans="1:6" x14ac:dyDescent="0.25">
      <c r="A97" s="74" t="s">
        <v>435</v>
      </c>
      <c r="B97" s="74" t="s">
        <v>81</v>
      </c>
      <c r="C97">
        <v>4071</v>
      </c>
      <c r="D97" s="74" t="s">
        <v>98</v>
      </c>
      <c r="E97">
        <v>9.3800000000000008</v>
      </c>
      <c r="F97" s="111">
        <v>4071</v>
      </c>
    </row>
    <row r="98" spans="1:6" x14ac:dyDescent="0.25">
      <c r="A98" s="74" t="s">
        <v>435</v>
      </c>
      <c r="B98" s="74" t="s">
        <v>81</v>
      </c>
      <c r="C98">
        <v>4080</v>
      </c>
      <c r="D98" s="74" t="s">
        <v>99</v>
      </c>
      <c r="E98">
        <v>2.48</v>
      </c>
      <c r="F98" s="111">
        <v>4080</v>
      </c>
    </row>
    <row r="99" spans="1:6" x14ac:dyDescent="0.25">
      <c r="A99" s="74" t="s">
        <v>435</v>
      </c>
      <c r="B99" s="74" t="s">
        <v>100</v>
      </c>
      <c r="C99">
        <v>4113</v>
      </c>
      <c r="D99" s="74" t="s">
        <v>101</v>
      </c>
      <c r="E99">
        <v>3</v>
      </c>
      <c r="F99" s="111">
        <v>4113</v>
      </c>
    </row>
    <row r="100" spans="1:6" x14ac:dyDescent="0.25">
      <c r="A100" s="74" t="s">
        <v>435</v>
      </c>
      <c r="B100" s="74" t="s">
        <v>100</v>
      </c>
      <c r="C100">
        <v>4111</v>
      </c>
      <c r="D100" s="74" t="s">
        <v>102</v>
      </c>
      <c r="E100">
        <v>4</v>
      </c>
      <c r="F100" s="111">
        <v>4111</v>
      </c>
    </row>
    <row r="101" spans="1:6" x14ac:dyDescent="0.25">
      <c r="A101" s="74" t="s">
        <v>435</v>
      </c>
      <c r="B101" s="74" t="s">
        <v>100</v>
      </c>
      <c r="C101">
        <v>4104</v>
      </c>
      <c r="D101" s="74" t="s">
        <v>103</v>
      </c>
      <c r="E101">
        <v>5.7</v>
      </c>
      <c r="F101" s="111">
        <v>4104</v>
      </c>
    </row>
    <row r="102" spans="1:6" x14ac:dyDescent="0.25">
      <c r="A102" s="74" t="s">
        <v>435</v>
      </c>
      <c r="B102" s="74" t="s">
        <v>100</v>
      </c>
      <c r="C102">
        <v>4008</v>
      </c>
      <c r="D102" s="74" t="s">
        <v>104</v>
      </c>
      <c r="E102">
        <v>1.96</v>
      </c>
      <c r="F102" s="111">
        <v>4008</v>
      </c>
    </row>
    <row r="103" spans="1:6" x14ac:dyDescent="0.25">
      <c r="A103" s="74" t="s">
        <v>435</v>
      </c>
      <c r="B103" s="74" t="s">
        <v>100</v>
      </c>
      <c r="C103">
        <v>4007</v>
      </c>
      <c r="D103" s="74" t="s">
        <v>105</v>
      </c>
      <c r="E103">
        <v>8</v>
      </c>
      <c r="F103" s="111">
        <v>4007</v>
      </c>
    </row>
    <row r="104" spans="1:6" x14ac:dyDescent="0.25">
      <c r="A104" s="74" t="s">
        <v>435</v>
      </c>
      <c r="B104" s="74" t="s">
        <v>100</v>
      </c>
      <c r="C104">
        <v>4015</v>
      </c>
      <c r="D104" s="74" t="s">
        <v>106</v>
      </c>
      <c r="E104">
        <v>4.8</v>
      </c>
      <c r="F104" s="111">
        <v>4015</v>
      </c>
    </row>
    <row r="105" spans="1:6" x14ac:dyDescent="0.25">
      <c r="A105" s="74" t="s">
        <v>435</v>
      </c>
      <c r="B105" s="74" t="s">
        <v>100</v>
      </c>
      <c r="C105">
        <v>4109</v>
      </c>
      <c r="D105" s="74" t="s">
        <v>107</v>
      </c>
      <c r="E105">
        <v>3</v>
      </c>
      <c r="F105" s="111">
        <v>4109</v>
      </c>
    </row>
    <row r="106" spans="1:6" x14ac:dyDescent="0.25">
      <c r="A106" s="74" t="s">
        <v>435</v>
      </c>
      <c r="B106" s="74" t="s">
        <v>100</v>
      </c>
      <c r="C106">
        <v>4129</v>
      </c>
      <c r="D106" s="74" t="s">
        <v>108</v>
      </c>
      <c r="E106">
        <v>2</v>
      </c>
      <c r="F106" s="111">
        <v>4129</v>
      </c>
    </row>
    <row r="107" spans="1:6" x14ac:dyDescent="0.25">
      <c r="A107" s="74" t="s">
        <v>435</v>
      </c>
      <c r="B107" s="74" t="s">
        <v>100</v>
      </c>
      <c r="C107">
        <v>4116</v>
      </c>
      <c r="D107" s="74" t="s">
        <v>109</v>
      </c>
      <c r="E107">
        <v>5.56</v>
      </c>
      <c r="F107" s="111">
        <v>4116</v>
      </c>
    </row>
    <row r="108" spans="1:6" x14ac:dyDescent="0.25">
      <c r="A108" s="74" t="s">
        <v>435</v>
      </c>
      <c r="B108" s="74" t="s">
        <v>100</v>
      </c>
      <c r="C108">
        <v>4126</v>
      </c>
      <c r="D108" s="74" t="s">
        <v>110</v>
      </c>
      <c r="E108">
        <v>2</v>
      </c>
      <c r="F108" s="111">
        <v>4126</v>
      </c>
    </row>
    <row r="109" spans="1:6" x14ac:dyDescent="0.25">
      <c r="A109" s="74" t="s">
        <v>435</v>
      </c>
      <c r="B109" s="74" t="s">
        <v>100</v>
      </c>
      <c r="C109">
        <v>4119</v>
      </c>
      <c r="D109" s="74" t="s">
        <v>111</v>
      </c>
      <c r="E109">
        <v>5.4</v>
      </c>
      <c r="F109" s="111">
        <v>4119</v>
      </c>
    </row>
    <row r="110" spans="1:6" x14ac:dyDescent="0.25">
      <c r="A110" s="74" t="s">
        <v>435</v>
      </c>
      <c r="B110" s="74" t="s">
        <v>100</v>
      </c>
      <c r="C110">
        <v>4127</v>
      </c>
      <c r="D110" s="74" t="s">
        <v>112</v>
      </c>
      <c r="E110">
        <v>2</v>
      </c>
      <c r="F110" s="111">
        <v>4127</v>
      </c>
    </row>
    <row r="111" spans="1:6" x14ac:dyDescent="0.25">
      <c r="A111" s="74" t="s">
        <v>435</v>
      </c>
      <c r="B111" s="74" t="s">
        <v>100</v>
      </c>
      <c r="C111">
        <v>4121</v>
      </c>
      <c r="D111" s="74" t="s">
        <v>113</v>
      </c>
      <c r="E111">
        <v>4</v>
      </c>
      <c r="F111" s="111">
        <v>4121</v>
      </c>
    </row>
    <row r="112" spans="1:6" x14ac:dyDescent="0.25">
      <c r="A112" s="74" t="s">
        <v>435</v>
      </c>
      <c r="B112" s="74" t="s">
        <v>100</v>
      </c>
      <c r="C112">
        <v>4101</v>
      </c>
      <c r="D112" s="74" t="s">
        <v>114</v>
      </c>
      <c r="E112">
        <v>8</v>
      </c>
      <c r="F112" s="111">
        <v>4101</v>
      </c>
    </row>
    <row r="113" spans="1:6" x14ac:dyDescent="0.25">
      <c r="A113" s="74" t="s">
        <v>435</v>
      </c>
      <c r="B113" s="74" t="s">
        <v>100</v>
      </c>
      <c r="C113">
        <v>4110</v>
      </c>
      <c r="D113" s="74" t="s">
        <v>115</v>
      </c>
      <c r="E113">
        <v>2</v>
      </c>
      <c r="F113" s="111">
        <v>4110</v>
      </c>
    </row>
    <row r="114" spans="1:6" x14ac:dyDescent="0.25">
      <c r="A114" s="74" t="s">
        <v>435</v>
      </c>
      <c r="B114" s="74" t="s">
        <v>100</v>
      </c>
      <c r="C114">
        <v>4107</v>
      </c>
      <c r="D114" s="74" t="s">
        <v>116</v>
      </c>
      <c r="E114">
        <v>2</v>
      </c>
      <c r="F114" s="111">
        <v>4107</v>
      </c>
    </row>
    <row r="115" spans="1:6" x14ac:dyDescent="0.25">
      <c r="A115" s="74" t="s">
        <v>435</v>
      </c>
      <c r="B115" s="74" t="s">
        <v>100</v>
      </c>
      <c r="C115">
        <v>4120</v>
      </c>
      <c r="D115" s="74" t="s">
        <v>117</v>
      </c>
      <c r="E115">
        <v>1.8</v>
      </c>
      <c r="F115" s="111">
        <v>4120</v>
      </c>
    </row>
    <row r="116" spans="1:6" x14ac:dyDescent="0.25">
      <c r="A116" s="74" t="s">
        <v>435</v>
      </c>
      <c r="B116" s="74" t="s">
        <v>118</v>
      </c>
      <c r="C116">
        <v>4028</v>
      </c>
      <c r="D116" s="74" t="s">
        <v>119</v>
      </c>
      <c r="E116">
        <v>3.04</v>
      </c>
      <c r="F116" s="111">
        <v>4028</v>
      </c>
    </row>
    <row r="117" spans="1:6" x14ac:dyDescent="0.25">
      <c r="A117" s="74" t="s">
        <v>435</v>
      </c>
      <c r="B117" s="74" t="s">
        <v>118</v>
      </c>
      <c r="C117">
        <v>4033</v>
      </c>
      <c r="D117" s="74" t="s">
        <v>120</v>
      </c>
      <c r="E117">
        <v>1.55</v>
      </c>
      <c r="F117" s="111">
        <v>4033</v>
      </c>
    </row>
    <row r="118" spans="1:6" x14ac:dyDescent="0.25">
      <c r="A118" s="74" t="s">
        <v>435</v>
      </c>
      <c r="B118" s="74" t="s">
        <v>118</v>
      </c>
      <c r="C118">
        <v>4037</v>
      </c>
      <c r="D118" s="74" t="s">
        <v>121</v>
      </c>
      <c r="E118">
        <v>4.79</v>
      </c>
      <c r="F118" s="111">
        <v>4037</v>
      </c>
    </row>
    <row r="119" spans="1:6" x14ac:dyDescent="0.25">
      <c r="A119" s="74" t="s">
        <v>435</v>
      </c>
      <c r="B119" s="74" t="s">
        <v>118</v>
      </c>
      <c r="C119">
        <v>4038</v>
      </c>
      <c r="D119" s="74" t="s">
        <v>122</v>
      </c>
      <c r="E119">
        <v>4.87</v>
      </c>
      <c r="F119" s="111">
        <v>4038</v>
      </c>
    </row>
    <row r="120" spans="1:6" x14ac:dyDescent="0.25">
      <c r="A120" s="74" t="s">
        <v>435</v>
      </c>
      <c r="B120" s="74" t="s">
        <v>118</v>
      </c>
      <c r="C120">
        <v>4039</v>
      </c>
      <c r="D120" s="74" t="s">
        <v>123</v>
      </c>
      <c r="E120">
        <v>1.44</v>
      </c>
      <c r="F120" s="111">
        <v>4039</v>
      </c>
    </row>
    <row r="121" spans="1:6" x14ac:dyDescent="0.25">
      <c r="A121" s="74" t="s">
        <v>435</v>
      </c>
      <c r="B121" s="74" t="s">
        <v>118</v>
      </c>
      <c r="C121">
        <v>4027</v>
      </c>
      <c r="D121" s="74" t="s">
        <v>124</v>
      </c>
      <c r="E121">
        <v>3.46</v>
      </c>
      <c r="F121" s="111">
        <v>4027</v>
      </c>
    </row>
    <row r="122" spans="1:6" x14ac:dyDescent="0.25">
      <c r="A122" s="74" t="s">
        <v>435</v>
      </c>
      <c r="B122" s="74" t="s">
        <v>118</v>
      </c>
      <c r="C122">
        <v>4029</v>
      </c>
      <c r="D122" s="74" t="s">
        <v>125</v>
      </c>
      <c r="E122">
        <v>2.83</v>
      </c>
      <c r="F122" s="111">
        <v>4029</v>
      </c>
    </row>
    <row r="123" spans="1:6" x14ac:dyDescent="0.25">
      <c r="A123" s="74" t="s">
        <v>435</v>
      </c>
      <c r="B123" s="74" t="s">
        <v>118</v>
      </c>
      <c r="C123">
        <v>4019</v>
      </c>
      <c r="D123" s="74" t="s">
        <v>126</v>
      </c>
      <c r="E123">
        <v>5</v>
      </c>
      <c r="F123" s="111">
        <v>4019</v>
      </c>
    </row>
    <row r="124" spans="1:6" x14ac:dyDescent="0.25">
      <c r="A124" s="74" t="s">
        <v>435</v>
      </c>
      <c r="B124" s="74" t="s">
        <v>118</v>
      </c>
      <c r="C124">
        <v>4024</v>
      </c>
      <c r="D124" s="74" t="s">
        <v>127</v>
      </c>
      <c r="E124">
        <v>2.84</v>
      </c>
      <c r="F124" s="111">
        <v>4024</v>
      </c>
    </row>
    <row r="125" spans="1:6" x14ac:dyDescent="0.25">
      <c r="A125" s="74" t="s">
        <v>435</v>
      </c>
      <c r="B125" s="74" t="s">
        <v>118</v>
      </c>
      <c r="C125">
        <v>4047</v>
      </c>
      <c r="D125" s="74" t="s">
        <v>128</v>
      </c>
      <c r="E125">
        <v>5.6</v>
      </c>
      <c r="F125" s="111">
        <v>4047</v>
      </c>
    </row>
    <row r="126" spans="1:6" x14ac:dyDescent="0.25">
      <c r="A126" s="74" t="s">
        <v>435</v>
      </c>
      <c r="B126" s="74" t="s">
        <v>118</v>
      </c>
      <c r="C126">
        <v>4026</v>
      </c>
      <c r="D126" s="74" t="s">
        <v>129</v>
      </c>
      <c r="E126">
        <v>3.3</v>
      </c>
      <c r="F126" s="111">
        <v>4026</v>
      </c>
    </row>
    <row r="127" spans="1:6" x14ac:dyDescent="0.25">
      <c r="A127" s="74" t="s">
        <v>435</v>
      </c>
      <c r="B127" s="74" t="s">
        <v>118</v>
      </c>
      <c r="C127">
        <v>4045</v>
      </c>
      <c r="D127" s="74" t="s">
        <v>130</v>
      </c>
      <c r="E127">
        <v>5.24</v>
      </c>
      <c r="F127" s="111">
        <v>4045</v>
      </c>
    </row>
    <row r="128" spans="1:6" x14ac:dyDescent="0.25">
      <c r="A128" s="74" t="s">
        <v>435</v>
      </c>
      <c r="B128" s="74" t="s">
        <v>118</v>
      </c>
      <c r="C128">
        <v>4043</v>
      </c>
      <c r="D128" s="74" t="s">
        <v>131</v>
      </c>
      <c r="E128">
        <v>8.52</v>
      </c>
      <c r="F128" s="111">
        <v>4043</v>
      </c>
    </row>
    <row r="129" spans="1:6" x14ac:dyDescent="0.25">
      <c r="A129" s="74" t="s">
        <v>435</v>
      </c>
      <c r="B129" s="74" t="s">
        <v>118</v>
      </c>
      <c r="C129">
        <v>4048</v>
      </c>
      <c r="D129" s="74" t="s">
        <v>132</v>
      </c>
      <c r="E129">
        <v>2.66</v>
      </c>
      <c r="F129" s="111">
        <v>4048</v>
      </c>
    </row>
    <row r="130" spans="1:6" x14ac:dyDescent="0.25">
      <c r="A130" s="74" t="s">
        <v>435</v>
      </c>
      <c r="B130" s="74" t="s">
        <v>118</v>
      </c>
      <c r="C130">
        <v>4010</v>
      </c>
      <c r="D130" s="74" t="s">
        <v>133</v>
      </c>
      <c r="E130">
        <v>3.3</v>
      </c>
      <c r="F130" s="111">
        <v>4010</v>
      </c>
    </row>
    <row r="131" spans="1:6" x14ac:dyDescent="0.25">
      <c r="A131" s="74" t="s">
        <v>435</v>
      </c>
      <c r="B131" s="74" t="s">
        <v>118</v>
      </c>
      <c r="C131">
        <v>4054</v>
      </c>
      <c r="D131" s="74" t="s">
        <v>134</v>
      </c>
      <c r="E131">
        <v>3</v>
      </c>
      <c r="F131" s="111">
        <v>4054</v>
      </c>
    </row>
    <row r="132" spans="1:6" x14ac:dyDescent="0.25">
      <c r="A132" s="74" t="s">
        <v>435</v>
      </c>
      <c r="B132" s="74" t="s">
        <v>118</v>
      </c>
      <c r="C132">
        <v>4006</v>
      </c>
      <c r="D132" s="74" t="s">
        <v>135</v>
      </c>
      <c r="E132">
        <v>6.39</v>
      </c>
      <c r="F132" s="111">
        <v>4006</v>
      </c>
    </row>
    <row r="133" spans="1:6" x14ac:dyDescent="0.25">
      <c r="A133" s="74" t="s">
        <v>435</v>
      </c>
      <c r="B133" s="74" t="s">
        <v>118</v>
      </c>
      <c r="C133">
        <v>4020</v>
      </c>
      <c r="D133" s="74" t="s">
        <v>136</v>
      </c>
      <c r="E133">
        <v>4.84</v>
      </c>
      <c r="F133" s="111">
        <v>4020</v>
      </c>
    </row>
    <row r="134" spans="1:6" x14ac:dyDescent="0.25">
      <c r="A134" s="74" t="s">
        <v>435</v>
      </c>
      <c r="B134" s="74" t="s">
        <v>118</v>
      </c>
      <c r="C134">
        <v>4012</v>
      </c>
      <c r="D134" s="74" t="s">
        <v>137</v>
      </c>
      <c r="E134">
        <v>2</v>
      </c>
      <c r="F134" s="111">
        <v>4012</v>
      </c>
    </row>
    <row r="135" spans="1:6" x14ac:dyDescent="0.25">
      <c r="A135" s="74" t="s">
        <v>435</v>
      </c>
      <c r="B135" s="74" t="s">
        <v>118</v>
      </c>
      <c r="C135">
        <v>4023</v>
      </c>
      <c r="D135" s="74" t="s">
        <v>138</v>
      </c>
      <c r="E135">
        <v>3.26</v>
      </c>
      <c r="F135" s="111">
        <v>4023</v>
      </c>
    </row>
    <row r="136" spans="1:6" x14ac:dyDescent="0.25">
      <c r="A136" s="74" t="s">
        <v>436</v>
      </c>
      <c r="B136" s="74" t="s">
        <v>140</v>
      </c>
      <c r="C136">
        <v>4132</v>
      </c>
      <c r="D136" s="74" t="s">
        <v>141</v>
      </c>
      <c r="E136">
        <v>5.45</v>
      </c>
      <c r="F136" s="111">
        <v>4132</v>
      </c>
    </row>
    <row r="137" spans="1:6" x14ac:dyDescent="0.25">
      <c r="A137" s="74" t="s">
        <v>436</v>
      </c>
      <c r="B137" s="74" t="s">
        <v>140</v>
      </c>
      <c r="C137">
        <v>4130</v>
      </c>
      <c r="D137" s="74" t="s">
        <v>142</v>
      </c>
      <c r="E137">
        <v>6.5</v>
      </c>
      <c r="F137" s="111">
        <v>4130</v>
      </c>
    </row>
    <row r="138" spans="1:6" x14ac:dyDescent="0.25">
      <c r="A138" s="74" t="s">
        <v>436</v>
      </c>
      <c r="B138" s="74" t="s">
        <v>140</v>
      </c>
      <c r="C138">
        <v>4135</v>
      </c>
      <c r="D138" s="74" t="s">
        <v>143</v>
      </c>
      <c r="E138">
        <v>7.6</v>
      </c>
      <c r="F138" s="111">
        <v>4135</v>
      </c>
    </row>
    <row r="139" spans="1:6" x14ac:dyDescent="0.25">
      <c r="A139" s="74" t="s">
        <v>436</v>
      </c>
      <c r="B139" s="74" t="s">
        <v>140</v>
      </c>
      <c r="C139">
        <v>4162</v>
      </c>
      <c r="D139" s="74" t="s">
        <v>147</v>
      </c>
      <c r="E139">
        <v>4.8</v>
      </c>
      <c r="F139" s="111">
        <v>4162</v>
      </c>
    </row>
    <row r="140" spans="1:6" x14ac:dyDescent="0.25">
      <c r="A140" s="74" t="s">
        <v>436</v>
      </c>
      <c r="B140" s="74" t="s">
        <v>140</v>
      </c>
      <c r="C140">
        <v>4147</v>
      </c>
      <c r="D140" s="74" t="s">
        <v>148</v>
      </c>
      <c r="E140">
        <v>6.8</v>
      </c>
      <c r="F140" s="111">
        <v>4147</v>
      </c>
    </row>
    <row r="141" spans="1:6" x14ac:dyDescent="0.25">
      <c r="A141" s="74" t="s">
        <v>436</v>
      </c>
      <c r="B141" s="74" t="s">
        <v>140</v>
      </c>
      <c r="C141">
        <v>4141</v>
      </c>
      <c r="D141" s="74" t="s">
        <v>149</v>
      </c>
      <c r="E141">
        <v>4</v>
      </c>
      <c r="F141" s="111">
        <v>4141</v>
      </c>
    </row>
    <row r="142" spans="1:6" x14ac:dyDescent="0.25">
      <c r="A142" s="74" t="s">
        <v>436</v>
      </c>
      <c r="B142" s="74" t="s">
        <v>140</v>
      </c>
      <c r="C142">
        <v>4139</v>
      </c>
      <c r="D142" s="74" t="s">
        <v>150</v>
      </c>
      <c r="E142">
        <v>5.5</v>
      </c>
      <c r="F142" s="111">
        <v>4139</v>
      </c>
    </row>
    <row r="143" spans="1:6" x14ac:dyDescent="0.25">
      <c r="A143" s="74" t="s">
        <v>436</v>
      </c>
      <c r="B143" s="74" t="s">
        <v>140</v>
      </c>
      <c r="C143">
        <v>4143</v>
      </c>
      <c r="D143" s="74" t="s">
        <v>151</v>
      </c>
      <c r="E143">
        <v>5.41</v>
      </c>
      <c r="F143" s="111">
        <v>4143</v>
      </c>
    </row>
    <row r="144" spans="1:6" x14ac:dyDescent="0.25">
      <c r="A144" s="74" t="s">
        <v>436</v>
      </c>
      <c r="B144" s="74" t="s">
        <v>140</v>
      </c>
      <c r="C144">
        <v>4159</v>
      </c>
      <c r="D144" s="74" t="s">
        <v>152</v>
      </c>
      <c r="E144">
        <v>2</v>
      </c>
      <c r="F144" s="111">
        <v>4159</v>
      </c>
    </row>
    <row r="145" spans="1:6" x14ac:dyDescent="0.25">
      <c r="A145" s="74" t="s">
        <v>436</v>
      </c>
      <c r="B145" s="74" t="s">
        <v>140</v>
      </c>
      <c r="C145">
        <v>4157</v>
      </c>
      <c r="D145" s="74" t="s">
        <v>153</v>
      </c>
      <c r="E145">
        <v>4</v>
      </c>
      <c r="F145" s="111">
        <v>4157</v>
      </c>
    </row>
    <row r="146" spans="1:6" x14ac:dyDescent="0.25">
      <c r="A146" s="74" t="s">
        <v>436</v>
      </c>
      <c r="B146" s="74" t="s">
        <v>140</v>
      </c>
      <c r="C146">
        <v>4148</v>
      </c>
      <c r="D146" s="74" t="s">
        <v>154</v>
      </c>
      <c r="E146">
        <v>4</v>
      </c>
      <c r="F146" s="111">
        <v>4148</v>
      </c>
    </row>
    <row r="147" spans="1:6" x14ac:dyDescent="0.25">
      <c r="A147" s="74" t="s">
        <v>436</v>
      </c>
      <c r="B147" s="74" t="s">
        <v>140</v>
      </c>
      <c r="C147">
        <v>4144</v>
      </c>
      <c r="D147" s="74" t="s">
        <v>155</v>
      </c>
      <c r="E147">
        <v>3</v>
      </c>
      <c r="F147" s="111">
        <v>4144</v>
      </c>
    </row>
    <row r="148" spans="1:6" x14ac:dyDescent="0.25">
      <c r="A148" s="74" t="s">
        <v>436</v>
      </c>
      <c r="B148" s="74" t="s">
        <v>140</v>
      </c>
      <c r="C148">
        <v>4153</v>
      </c>
      <c r="D148" s="74" t="s">
        <v>156</v>
      </c>
      <c r="E148">
        <v>3.96</v>
      </c>
      <c r="F148" s="111">
        <v>4153</v>
      </c>
    </row>
    <row r="149" spans="1:6" x14ac:dyDescent="0.25">
      <c r="A149" s="74" t="s">
        <v>436</v>
      </c>
      <c r="B149" s="74" t="s">
        <v>140</v>
      </c>
      <c r="C149">
        <v>4164</v>
      </c>
      <c r="D149" s="74" t="s">
        <v>157</v>
      </c>
      <c r="E149">
        <v>3</v>
      </c>
      <c r="F149" s="111">
        <v>4164</v>
      </c>
    </row>
    <row r="150" spans="1:6" x14ac:dyDescent="0.25">
      <c r="A150" s="74" t="s">
        <v>436</v>
      </c>
      <c r="B150" s="74" t="s">
        <v>140</v>
      </c>
      <c r="C150">
        <v>4140</v>
      </c>
      <c r="D150" s="74" t="s">
        <v>158</v>
      </c>
      <c r="E150">
        <v>2</v>
      </c>
      <c r="F150" s="111">
        <v>4140</v>
      </c>
    </row>
    <row r="151" spans="1:6" x14ac:dyDescent="0.25">
      <c r="A151" s="74" t="s">
        <v>436</v>
      </c>
      <c r="B151" s="74" t="s">
        <v>159</v>
      </c>
      <c r="C151">
        <v>4189</v>
      </c>
      <c r="D151" s="74" t="s">
        <v>160</v>
      </c>
      <c r="E151">
        <v>3.5</v>
      </c>
      <c r="F151" s="111">
        <v>4189</v>
      </c>
    </row>
    <row r="152" spans="1:6" x14ac:dyDescent="0.25">
      <c r="A152" s="74" t="s">
        <v>436</v>
      </c>
      <c r="B152" s="74" t="s">
        <v>159</v>
      </c>
      <c r="C152">
        <v>4195</v>
      </c>
      <c r="D152" s="74" t="s">
        <v>161</v>
      </c>
      <c r="E152">
        <v>3.5</v>
      </c>
      <c r="F152" s="111">
        <v>4195</v>
      </c>
    </row>
    <row r="153" spans="1:6" x14ac:dyDescent="0.25">
      <c r="A153" s="74" t="s">
        <v>436</v>
      </c>
      <c r="B153" s="74" t="s">
        <v>159</v>
      </c>
      <c r="C153">
        <v>4193</v>
      </c>
      <c r="D153" s="74" t="s">
        <v>162</v>
      </c>
      <c r="E153">
        <v>3.78</v>
      </c>
      <c r="F153" s="111">
        <v>4193</v>
      </c>
    </row>
    <row r="154" spans="1:6" x14ac:dyDescent="0.25">
      <c r="A154" s="74" t="s">
        <v>436</v>
      </c>
      <c r="B154" s="74" t="s">
        <v>159</v>
      </c>
      <c r="C154">
        <v>4184</v>
      </c>
      <c r="D154" s="74" t="s">
        <v>163</v>
      </c>
      <c r="E154">
        <v>3.56</v>
      </c>
      <c r="F154" s="111">
        <v>4184</v>
      </c>
    </row>
    <row r="155" spans="1:6" x14ac:dyDescent="0.25">
      <c r="A155" s="74" t="s">
        <v>436</v>
      </c>
      <c r="B155" s="74" t="s">
        <v>159</v>
      </c>
      <c r="C155">
        <v>4196</v>
      </c>
      <c r="D155" s="74" t="s">
        <v>164</v>
      </c>
      <c r="E155">
        <v>2</v>
      </c>
      <c r="F155" s="111">
        <v>4196</v>
      </c>
    </row>
    <row r="156" spans="1:6" x14ac:dyDescent="0.25">
      <c r="A156" s="74" t="s">
        <v>436</v>
      </c>
      <c r="B156" s="74" t="s">
        <v>159</v>
      </c>
      <c r="C156">
        <v>4174</v>
      </c>
      <c r="D156" s="74" t="s">
        <v>165</v>
      </c>
      <c r="E156">
        <v>5.8</v>
      </c>
      <c r="F156" s="111">
        <v>4174</v>
      </c>
    </row>
    <row r="157" spans="1:6" x14ac:dyDescent="0.25">
      <c r="A157" s="74" t="s">
        <v>436</v>
      </c>
      <c r="B157" s="74" t="s">
        <v>159</v>
      </c>
      <c r="C157">
        <v>4170</v>
      </c>
      <c r="D157" s="74" t="s">
        <v>166</v>
      </c>
      <c r="E157">
        <v>5.8</v>
      </c>
      <c r="F157" s="111">
        <v>4170</v>
      </c>
    </row>
    <row r="158" spans="1:6" x14ac:dyDescent="0.25">
      <c r="A158" s="74" t="s">
        <v>436</v>
      </c>
      <c r="B158" s="74" t="s">
        <v>159</v>
      </c>
      <c r="C158">
        <v>4169</v>
      </c>
      <c r="D158" s="74" t="s">
        <v>167</v>
      </c>
      <c r="E158">
        <v>5.8</v>
      </c>
      <c r="F158" s="111">
        <v>4169</v>
      </c>
    </row>
    <row r="159" spans="1:6" x14ac:dyDescent="0.25">
      <c r="A159" s="74" t="s">
        <v>436</v>
      </c>
      <c r="B159" s="74" t="s">
        <v>159</v>
      </c>
      <c r="C159">
        <v>4188</v>
      </c>
      <c r="D159" s="74" t="s">
        <v>168</v>
      </c>
      <c r="E159">
        <v>3</v>
      </c>
      <c r="F159" s="111">
        <v>4188</v>
      </c>
    </row>
    <row r="160" spans="1:6" x14ac:dyDescent="0.25">
      <c r="A160" s="74" t="s">
        <v>436</v>
      </c>
      <c r="B160" s="74" t="s">
        <v>159</v>
      </c>
      <c r="C160">
        <v>4180</v>
      </c>
      <c r="D160" s="74" t="s">
        <v>169</v>
      </c>
      <c r="E160">
        <v>3.6</v>
      </c>
      <c r="F160" s="111">
        <v>4180</v>
      </c>
    </row>
    <row r="161" spans="1:6" x14ac:dyDescent="0.25">
      <c r="A161" s="74" t="s">
        <v>436</v>
      </c>
      <c r="B161" s="74" t="s">
        <v>159</v>
      </c>
      <c r="C161">
        <v>4185</v>
      </c>
      <c r="D161" s="74" t="s">
        <v>170</v>
      </c>
      <c r="E161">
        <v>4</v>
      </c>
      <c r="F161" s="111">
        <v>4185</v>
      </c>
    </row>
    <row r="162" spans="1:6" x14ac:dyDescent="0.25">
      <c r="A162" s="74" t="s">
        <v>436</v>
      </c>
      <c r="B162" s="74" t="s">
        <v>159</v>
      </c>
      <c r="C162">
        <v>4178</v>
      </c>
      <c r="D162" s="74" t="s">
        <v>171</v>
      </c>
      <c r="E162">
        <v>6.8</v>
      </c>
      <c r="F162" s="111">
        <v>4178</v>
      </c>
    </row>
    <row r="163" spans="1:6" x14ac:dyDescent="0.25">
      <c r="A163" s="74" t="s">
        <v>436</v>
      </c>
      <c r="B163" s="74" t="s">
        <v>159</v>
      </c>
      <c r="C163">
        <v>4194</v>
      </c>
      <c r="D163" s="74" t="s">
        <v>172</v>
      </c>
      <c r="E163">
        <v>6.6</v>
      </c>
      <c r="F163" s="111">
        <v>4194</v>
      </c>
    </row>
    <row r="164" spans="1:6" x14ac:dyDescent="0.25">
      <c r="A164" s="74" t="s">
        <v>436</v>
      </c>
      <c r="B164" s="74" t="s">
        <v>159</v>
      </c>
      <c r="C164">
        <v>4181</v>
      </c>
      <c r="D164" s="74" t="s">
        <v>173</v>
      </c>
      <c r="E164">
        <v>4.01</v>
      </c>
      <c r="F164" s="111">
        <v>4181</v>
      </c>
    </row>
    <row r="165" spans="1:6" x14ac:dyDescent="0.25">
      <c r="A165" s="74" t="s">
        <v>436</v>
      </c>
      <c r="B165" s="74" t="s">
        <v>159</v>
      </c>
      <c r="C165">
        <v>4183</v>
      </c>
      <c r="D165" s="74" t="s">
        <v>174</v>
      </c>
      <c r="E165">
        <v>2</v>
      </c>
      <c r="F165" s="111">
        <v>4183</v>
      </c>
    </row>
    <row r="166" spans="1:6" x14ac:dyDescent="0.25">
      <c r="A166" s="74" t="s">
        <v>437</v>
      </c>
      <c r="B166" s="74" t="s">
        <v>438</v>
      </c>
      <c r="C166">
        <v>551110</v>
      </c>
      <c r="D166" s="74" t="s">
        <v>177</v>
      </c>
      <c r="E166">
        <v>5.65</v>
      </c>
      <c r="F166" s="111">
        <v>551110</v>
      </c>
    </row>
    <row r="167" spans="1:6" x14ac:dyDescent="0.25">
      <c r="A167" s="74" t="s">
        <v>175</v>
      </c>
      <c r="B167" s="74" t="s">
        <v>438</v>
      </c>
      <c r="C167">
        <v>451101</v>
      </c>
      <c r="D167" s="74" t="s">
        <v>178</v>
      </c>
      <c r="E167">
        <v>10.18</v>
      </c>
      <c r="F167" s="111">
        <v>451101</v>
      </c>
    </row>
    <row r="168" spans="1:6" x14ac:dyDescent="0.25">
      <c r="A168" s="74" t="s">
        <v>175</v>
      </c>
      <c r="B168" s="74" t="s">
        <v>438</v>
      </c>
      <c r="C168">
        <v>551103</v>
      </c>
      <c r="D168" s="74" t="s">
        <v>179</v>
      </c>
      <c r="E168">
        <v>3</v>
      </c>
      <c r="F168" s="111">
        <v>551103</v>
      </c>
    </row>
    <row r="169" spans="1:6" x14ac:dyDescent="0.25">
      <c r="A169" s="74" t="s">
        <v>175</v>
      </c>
      <c r="B169" s="74" t="s">
        <v>438</v>
      </c>
      <c r="C169">
        <v>551330</v>
      </c>
      <c r="D169" s="74" t="s">
        <v>180</v>
      </c>
      <c r="E169">
        <v>3</v>
      </c>
      <c r="F169" s="111">
        <v>551330</v>
      </c>
    </row>
    <row r="170" spans="1:6" x14ac:dyDescent="0.25">
      <c r="A170" s="74" t="s">
        <v>175</v>
      </c>
      <c r="B170" s="74" t="s">
        <v>438</v>
      </c>
      <c r="C170">
        <v>451115</v>
      </c>
      <c r="D170" s="74" t="s">
        <v>181</v>
      </c>
      <c r="E170">
        <v>3</v>
      </c>
      <c r="F170" s="111">
        <v>451115</v>
      </c>
    </row>
    <row r="171" spans="1:6" x14ac:dyDescent="0.25">
      <c r="A171" s="74" t="s">
        <v>175</v>
      </c>
      <c r="B171" s="74" t="s">
        <v>438</v>
      </c>
      <c r="C171">
        <v>551128</v>
      </c>
      <c r="D171" s="74" t="s">
        <v>182</v>
      </c>
      <c r="E171">
        <v>3</v>
      </c>
      <c r="F171" s="111">
        <v>551128</v>
      </c>
    </row>
    <row r="172" spans="1:6" x14ac:dyDescent="0.25">
      <c r="A172" s="74" t="s">
        <v>175</v>
      </c>
      <c r="B172" s="74" t="s">
        <v>438</v>
      </c>
      <c r="C172">
        <v>451120</v>
      </c>
      <c r="D172" s="74" t="s">
        <v>183</v>
      </c>
      <c r="E172">
        <v>2.5</v>
      </c>
      <c r="F172" s="111">
        <v>451120</v>
      </c>
    </row>
    <row r="173" spans="1:6" x14ac:dyDescent="0.25">
      <c r="A173" s="74" t="s">
        <v>175</v>
      </c>
      <c r="B173" s="74" t="s">
        <v>438</v>
      </c>
      <c r="C173">
        <v>451381</v>
      </c>
      <c r="D173" s="74" t="s">
        <v>184</v>
      </c>
      <c r="E173">
        <v>6.66</v>
      </c>
      <c r="F173" s="111">
        <v>451381</v>
      </c>
    </row>
    <row r="174" spans="1:6" x14ac:dyDescent="0.25">
      <c r="A174" s="74" t="s">
        <v>175</v>
      </c>
      <c r="B174" s="74" t="s">
        <v>438</v>
      </c>
      <c r="C174">
        <v>551354</v>
      </c>
      <c r="D174" s="74" t="s">
        <v>185</v>
      </c>
      <c r="E174">
        <v>2.4300000000000002</v>
      </c>
      <c r="F174" s="111">
        <v>551354</v>
      </c>
    </row>
    <row r="175" spans="1:6" x14ac:dyDescent="0.25">
      <c r="A175" s="74" t="s">
        <v>175</v>
      </c>
      <c r="B175" s="74" t="s">
        <v>438</v>
      </c>
      <c r="C175">
        <v>451166</v>
      </c>
      <c r="D175" s="74" t="s">
        <v>186</v>
      </c>
      <c r="E175">
        <v>6.5</v>
      </c>
      <c r="F175" s="111">
        <v>451166</v>
      </c>
    </row>
    <row r="176" spans="1:6" x14ac:dyDescent="0.25">
      <c r="A176" s="74" t="s">
        <v>175</v>
      </c>
      <c r="B176" s="74" t="s">
        <v>439</v>
      </c>
      <c r="C176">
        <v>508815</v>
      </c>
      <c r="D176" s="74" t="s">
        <v>188</v>
      </c>
      <c r="E176">
        <v>3</v>
      </c>
      <c r="F176" s="111">
        <v>508815</v>
      </c>
    </row>
    <row r="177" spans="1:6" x14ac:dyDescent="0.25">
      <c r="A177" s="74" t="s">
        <v>175</v>
      </c>
      <c r="B177" s="74" t="s">
        <v>439</v>
      </c>
      <c r="C177">
        <v>408801</v>
      </c>
      <c r="D177" s="74" t="s">
        <v>189</v>
      </c>
      <c r="E177">
        <v>8.7799999999999994</v>
      </c>
      <c r="F177" s="111">
        <v>408801</v>
      </c>
    </row>
    <row r="178" spans="1:6" x14ac:dyDescent="0.25">
      <c r="A178" s="74" t="s">
        <v>175</v>
      </c>
      <c r="B178" s="74" t="s">
        <v>439</v>
      </c>
      <c r="C178">
        <v>408822</v>
      </c>
      <c r="D178" s="74" t="s">
        <v>187</v>
      </c>
      <c r="E178">
        <v>4.5</v>
      </c>
      <c r="F178" s="111">
        <v>408822</v>
      </c>
    </row>
    <row r="179" spans="1:6" x14ac:dyDescent="0.25">
      <c r="A179" s="74" t="s">
        <v>175</v>
      </c>
      <c r="B179" s="74" t="s">
        <v>439</v>
      </c>
      <c r="C179">
        <v>508817</v>
      </c>
      <c r="D179" s="74" t="s">
        <v>190</v>
      </c>
      <c r="E179">
        <v>3.13</v>
      </c>
      <c r="F179" s="111">
        <v>508817</v>
      </c>
    </row>
    <row r="180" spans="1:6" x14ac:dyDescent="0.25">
      <c r="A180" s="74" t="s">
        <v>175</v>
      </c>
      <c r="B180" s="74" t="s">
        <v>439</v>
      </c>
      <c r="C180">
        <v>508802</v>
      </c>
      <c r="D180" s="74" t="s">
        <v>191</v>
      </c>
      <c r="E180">
        <v>3</v>
      </c>
      <c r="F180" s="111">
        <v>508802</v>
      </c>
    </row>
    <row r="181" spans="1:6" x14ac:dyDescent="0.25">
      <c r="A181" s="74" t="s">
        <v>175</v>
      </c>
      <c r="B181" s="74" t="s">
        <v>439</v>
      </c>
      <c r="C181">
        <v>508839</v>
      </c>
      <c r="D181" s="74" t="s">
        <v>192</v>
      </c>
      <c r="E181">
        <v>3.09</v>
      </c>
      <c r="F181" s="111">
        <v>508839</v>
      </c>
    </row>
    <row r="182" spans="1:6" x14ac:dyDescent="0.25">
      <c r="A182" s="74" t="s">
        <v>175</v>
      </c>
      <c r="B182" s="74" t="s">
        <v>439</v>
      </c>
      <c r="C182">
        <v>508819</v>
      </c>
      <c r="D182" s="74" t="s">
        <v>193</v>
      </c>
      <c r="E182">
        <v>1.96</v>
      </c>
      <c r="F182" s="111">
        <v>508819</v>
      </c>
    </row>
    <row r="183" spans="1:6" x14ac:dyDescent="0.25">
      <c r="A183" s="74" t="s">
        <v>175</v>
      </c>
      <c r="B183" s="74" t="s">
        <v>439</v>
      </c>
      <c r="C183">
        <v>408840</v>
      </c>
      <c r="D183" s="74" t="s">
        <v>194</v>
      </c>
      <c r="E183">
        <v>6.61</v>
      </c>
      <c r="F183" s="111">
        <v>408840</v>
      </c>
    </row>
    <row r="184" spans="1:6" x14ac:dyDescent="0.25">
      <c r="A184" s="74" t="s">
        <v>175</v>
      </c>
      <c r="B184" s="74" t="s">
        <v>439</v>
      </c>
      <c r="C184">
        <v>408862</v>
      </c>
      <c r="D184" s="74" t="s">
        <v>195</v>
      </c>
      <c r="E184">
        <v>3.75</v>
      </c>
      <c r="F184" s="111">
        <v>408862</v>
      </c>
    </row>
    <row r="185" spans="1:6" x14ac:dyDescent="0.25">
      <c r="A185" s="74" t="s">
        <v>175</v>
      </c>
      <c r="B185" s="74" t="s">
        <v>439</v>
      </c>
      <c r="C185">
        <v>508860</v>
      </c>
      <c r="D185" s="74" t="s">
        <v>196</v>
      </c>
      <c r="E185">
        <v>3.6</v>
      </c>
      <c r="F185" s="111">
        <v>508860</v>
      </c>
    </row>
    <row r="186" spans="1:6" x14ac:dyDescent="0.25">
      <c r="A186" s="74" t="s">
        <v>175</v>
      </c>
      <c r="B186" s="74" t="s">
        <v>439</v>
      </c>
      <c r="C186">
        <v>408806</v>
      </c>
      <c r="D186" s="74" t="s">
        <v>197</v>
      </c>
      <c r="E186">
        <v>8.91</v>
      </c>
      <c r="F186" s="111">
        <v>408806</v>
      </c>
    </row>
    <row r="187" spans="1:6" x14ac:dyDescent="0.25">
      <c r="A187" s="74" t="s">
        <v>175</v>
      </c>
      <c r="B187" s="74" t="s">
        <v>439</v>
      </c>
      <c r="C187">
        <v>508833</v>
      </c>
      <c r="D187" s="74" t="s">
        <v>198</v>
      </c>
      <c r="E187">
        <v>2.8</v>
      </c>
      <c r="F187" s="111">
        <v>508833</v>
      </c>
    </row>
    <row r="188" spans="1:6" x14ac:dyDescent="0.25">
      <c r="A188" s="74" t="s">
        <v>175</v>
      </c>
      <c r="B188" s="74" t="s">
        <v>439</v>
      </c>
      <c r="C188">
        <v>508820</v>
      </c>
      <c r="D188" s="74" t="s">
        <v>199</v>
      </c>
      <c r="E188">
        <v>2</v>
      </c>
      <c r="F188" s="111">
        <v>508820</v>
      </c>
    </row>
    <row r="189" spans="1:6" x14ac:dyDescent="0.25">
      <c r="A189" s="74" t="s">
        <v>175</v>
      </c>
      <c r="B189" s="74" t="s">
        <v>201</v>
      </c>
      <c r="C189">
        <v>551367</v>
      </c>
      <c r="D189" s="74" t="s">
        <v>202</v>
      </c>
      <c r="E189">
        <v>3</v>
      </c>
      <c r="F189" s="111">
        <v>551367</v>
      </c>
    </row>
    <row r="190" spans="1:6" x14ac:dyDescent="0.25">
      <c r="A190" s="74" t="s">
        <v>175</v>
      </c>
      <c r="B190" s="74" t="s">
        <v>201</v>
      </c>
      <c r="C190">
        <v>551340</v>
      </c>
      <c r="D190" s="74" t="s">
        <v>203</v>
      </c>
      <c r="E190">
        <v>3</v>
      </c>
      <c r="F190" s="111">
        <v>551340</v>
      </c>
    </row>
    <row r="191" spans="1:6" x14ac:dyDescent="0.25">
      <c r="A191" s="74" t="s">
        <v>175</v>
      </c>
      <c r="B191" s="74" t="s">
        <v>201</v>
      </c>
      <c r="C191">
        <v>551369</v>
      </c>
      <c r="D191" s="74" t="s">
        <v>204</v>
      </c>
      <c r="E191">
        <v>3</v>
      </c>
      <c r="F191" s="111">
        <v>551369</v>
      </c>
    </row>
    <row r="192" spans="1:6" x14ac:dyDescent="0.25">
      <c r="A192" s="74" t="s">
        <v>175</v>
      </c>
      <c r="B192" s="74" t="s">
        <v>201</v>
      </c>
      <c r="C192">
        <v>551365</v>
      </c>
      <c r="D192" s="74" t="s">
        <v>205</v>
      </c>
      <c r="E192">
        <v>2.84</v>
      </c>
      <c r="F192" s="111">
        <v>551365</v>
      </c>
    </row>
    <row r="193" spans="1:6" x14ac:dyDescent="0.25">
      <c r="A193" s="74" t="s">
        <v>175</v>
      </c>
      <c r="B193" s="74" t="s">
        <v>201</v>
      </c>
      <c r="C193">
        <v>451370</v>
      </c>
      <c r="D193" s="74" t="s">
        <v>206</v>
      </c>
      <c r="E193">
        <v>10.199999999999999</v>
      </c>
      <c r="F193" s="111">
        <v>451370</v>
      </c>
    </row>
    <row r="194" spans="1:6" x14ac:dyDescent="0.25">
      <c r="A194" s="74" t="s">
        <v>175</v>
      </c>
      <c r="B194" s="74" t="s">
        <v>201</v>
      </c>
      <c r="C194">
        <v>551314</v>
      </c>
      <c r="D194" s="74" t="s">
        <v>207</v>
      </c>
      <c r="E194">
        <v>2.87</v>
      </c>
      <c r="F194" s="111">
        <v>551314</v>
      </c>
    </row>
    <row r="195" spans="1:6" x14ac:dyDescent="0.25">
      <c r="A195" s="74" t="s">
        <v>175</v>
      </c>
      <c r="B195" s="74" t="s">
        <v>201</v>
      </c>
      <c r="C195">
        <v>451361</v>
      </c>
      <c r="D195" s="74" t="s">
        <v>208</v>
      </c>
      <c r="E195">
        <v>2</v>
      </c>
      <c r="F195" s="111">
        <v>451361</v>
      </c>
    </row>
    <row r="196" spans="1:6" x14ac:dyDescent="0.25">
      <c r="A196" s="74" t="s">
        <v>175</v>
      </c>
      <c r="B196" s="74" t="s">
        <v>201</v>
      </c>
      <c r="C196">
        <v>451350</v>
      </c>
      <c r="D196" s="74" t="s">
        <v>209</v>
      </c>
      <c r="E196">
        <v>8.1300000000000008</v>
      </c>
      <c r="F196" s="111">
        <v>451350</v>
      </c>
    </row>
    <row r="197" spans="1:6" x14ac:dyDescent="0.25">
      <c r="A197" s="74" t="s">
        <v>175</v>
      </c>
      <c r="B197" s="74" t="s">
        <v>201</v>
      </c>
      <c r="C197">
        <v>551310</v>
      </c>
      <c r="D197" s="74" t="s">
        <v>210</v>
      </c>
      <c r="E197">
        <v>4</v>
      </c>
      <c r="F197" s="111">
        <v>551310</v>
      </c>
    </row>
    <row r="198" spans="1:6" x14ac:dyDescent="0.25">
      <c r="A198" s="74" t="s">
        <v>175</v>
      </c>
      <c r="B198" s="74" t="s">
        <v>201</v>
      </c>
      <c r="C198">
        <v>551309</v>
      </c>
      <c r="D198" s="74" t="s">
        <v>211</v>
      </c>
      <c r="E198">
        <v>3</v>
      </c>
      <c r="F198" s="111">
        <v>551309</v>
      </c>
    </row>
    <row r="199" spans="1:6" x14ac:dyDescent="0.25">
      <c r="A199" s="74" t="s">
        <v>175</v>
      </c>
      <c r="B199" s="74" t="s">
        <v>201</v>
      </c>
      <c r="C199">
        <v>551305</v>
      </c>
      <c r="D199" s="74" t="s">
        <v>212</v>
      </c>
      <c r="E199">
        <v>3.8</v>
      </c>
      <c r="F199" s="111">
        <v>551305</v>
      </c>
    </row>
    <row r="200" spans="1:6" x14ac:dyDescent="0.25">
      <c r="A200" s="74" t="s">
        <v>175</v>
      </c>
      <c r="B200" s="74" t="s">
        <v>201</v>
      </c>
      <c r="C200">
        <v>451301</v>
      </c>
      <c r="D200" s="74" t="s">
        <v>213</v>
      </c>
      <c r="E200">
        <v>7.26</v>
      </c>
      <c r="F200" s="111">
        <v>451301</v>
      </c>
    </row>
    <row r="201" spans="1:6" x14ac:dyDescent="0.25">
      <c r="A201" s="74" t="s">
        <v>175</v>
      </c>
      <c r="B201" s="74" t="s">
        <v>201</v>
      </c>
      <c r="C201">
        <v>551341</v>
      </c>
      <c r="D201" s="74" t="s">
        <v>214</v>
      </c>
      <c r="E201">
        <v>4.33</v>
      </c>
      <c r="F201" s="111">
        <v>551341</v>
      </c>
    </row>
    <row r="202" spans="1:6" x14ac:dyDescent="0.25">
      <c r="A202" s="74" t="s">
        <v>175</v>
      </c>
      <c r="B202" s="74" t="s">
        <v>201</v>
      </c>
      <c r="C202">
        <v>551306</v>
      </c>
      <c r="D202" s="74" t="s">
        <v>216</v>
      </c>
      <c r="E202">
        <v>4.5</v>
      </c>
      <c r="F202" s="111">
        <v>551306</v>
      </c>
    </row>
    <row r="203" spans="1:6" x14ac:dyDescent="0.25">
      <c r="A203" s="74" t="s">
        <v>175</v>
      </c>
      <c r="B203" s="74" t="s">
        <v>201</v>
      </c>
      <c r="C203">
        <v>551349</v>
      </c>
      <c r="D203" s="74" t="s">
        <v>217</v>
      </c>
      <c r="E203">
        <v>3</v>
      </c>
      <c r="F203" s="111">
        <v>551349</v>
      </c>
    </row>
    <row r="204" spans="1:6" x14ac:dyDescent="0.25">
      <c r="A204" s="74" t="s">
        <v>175</v>
      </c>
      <c r="B204" s="74" t="s">
        <v>201</v>
      </c>
      <c r="C204">
        <v>451308</v>
      </c>
      <c r="D204" s="74" t="s">
        <v>218</v>
      </c>
      <c r="E204">
        <v>8.39</v>
      </c>
      <c r="F204" s="111">
        <v>451308</v>
      </c>
    </row>
    <row r="205" spans="1:6" x14ac:dyDescent="0.25">
      <c r="A205" s="74" t="s">
        <v>175</v>
      </c>
      <c r="B205" s="74" t="s">
        <v>201</v>
      </c>
      <c r="C205">
        <v>551307</v>
      </c>
      <c r="D205" s="74" t="s">
        <v>215</v>
      </c>
      <c r="E205">
        <v>2.96</v>
      </c>
      <c r="F205" s="111">
        <v>551307</v>
      </c>
    </row>
    <row r="206" spans="1:6" x14ac:dyDescent="0.25">
      <c r="A206" s="74" t="s">
        <v>175</v>
      </c>
      <c r="B206" s="74" t="s">
        <v>201</v>
      </c>
      <c r="C206">
        <v>451336</v>
      </c>
      <c r="D206" s="74" t="s">
        <v>219</v>
      </c>
      <c r="E206">
        <v>6.87</v>
      </c>
      <c r="F206" s="111">
        <v>451336</v>
      </c>
    </row>
    <row r="207" spans="1:6" x14ac:dyDescent="0.25">
      <c r="A207" s="75" t="s">
        <v>440</v>
      </c>
      <c r="B207" s="74" t="s">
        <v>221</v>
      </c>
      <c r="C207">
        <v>554116</v>
      </c>
      <c r="D207" s="74" t="s">
        <v>222</v>
      </c>
      <c r="E207">
        <v>3</v>
      </c>
      <c r="F207" s="111">
        <v>554116</v>
      </c>
    </row>
    <row r="208" spans="1:6" x14ac:dyDescent="0.25">
      <c r="A208" s="75" t="s">
        <v>440</v>
      </c>
      <c r="B208" s="74" t="s">
        <v>221</v>
      </c>
      <c r="C208">
        <v>454161</v>
      </c>
      <c r="D208" s="74" t="s">
        <v>223</v>
      </c>
      <c r="E208">
        <v>1.2</v>
      </c>
      <c r="F208" s="111">
        <v>454161</v>
      </c>
    </row>
    <row r="209" spans="1:6" x14ac:dyDescent="0.25">
      <c r="A209" s="75" t="s">
        <v>440</v>
      </c>
      <c r="B209" s="74" t="s">
        <v>221</v>
      </c>
      <c r="C209">
        <v>554166</v>
      </c>
      <c r="D209" s="74" t="s">
        <v>224</v>
      </c>
      <c r="E209">
        <v>2.78</v>
      </c>
      <c r="F209" s="111">
        <v>554166</v>
      </c>
    </row>
    <row r="210" spans="1:6" x14ac:dyDescent="0.25">
      <c r="A210" s="75" t="s">
        <v>440</v>
      </c>
      <c r="B210" s="74" t="s">
        <v>221</v>
      </c>
      <c r="C210">
        <v>454171</v>
      </c>
      <c r="D210" s="74" t="s">
        <v>225</v>
      </c>
      <c r="E210">
        <v>0.88</v>
      </c>
      <c r="F210" s="111">
        <v>454171</v>
      </c>
    </row>
    <row r="211" spans="1:6" x14ac:dyDescent="0.25">
      <c r="A211" s="75" t="s">
        <v>440</v>
      </c>
      <c r="B211" s="74" t="s">
        <v>221</v>
      </c>
      <c r="C211">
        <v>554266</v>
      </c>
      <c r="D211" s="74" t="s">
        <v>226</v>
      </c>
      <c r="E211">
        <v>2.66</v>
      </c>
      <c r="F211" s="111">
        <v>554266</v>
      </c>
    </row>
    <row r="212" spans="1:6" x14ac:dyDescent="0.25">
      <c r="A212" s="75" t="s">
        <v>440</v>
      </c>
      <c r="B212" s="74" t="s">
        <v>221</v>
      </c>
      <c r="C212">
        <v>554296</v>
      </c>
      <c r="D212" s="74" t="s">
        <v>227</v>
      </c>
      <c r="E212">
        <v>4.6100000000000003</v>
      </c>
      <c r="F212" s="111">
        <v>554296</v>
      </c>
    </row>
    <row r="213" spans="1:6" x14ac:dyDescent="0.25">
      <c r="A213" s="75" t="s">
        <v>440</v>
      </c>
      <c r="B213" s="74" t="s">
        <v>221</v>
      </c>
      <c r="C213">
        <v>554356</v>
      </c>
      <c r="D213" s="74" t="s">
        <v>228</v>
      </c>
      <c r="E213">
        <v>3.23</v>
      </c>
      <c r="F213" s="111">
        <v>554356</v>
      </c>
    </row>
    <row r="214" spans="1:6" x14ac:dyDescent="0.25">
      <c r="A214" s="75" t="s">
        <v>440</v>
      </c>
      <c r="B214" s="74" t="s">
        <v>221</v>
      </c>
      <c r="C214">
        <v>454426</v>
      </c>
      <c r="D214" s="74" t="s">
        <v>229</v>
      </c>
      <c r="E214">
        <v>11.02</v>
      </c>
      <c r="F214" s="111">
        <v>454426</v>
      </c>
    </row>
    <row r="215" spans="1:6" x14ac:dyDescent="0.25">
      <c r="A215" s="75" t="s">
        <v>440</v>
      </c>
      <c r="B215" s="74" t="s">
        <v>221</v>
      </c>
      <c r="C215">
        <v>554476</v>
      </c>
      <c r="D215" s="74" t="s">
        <v>231</v>
      </c>
      <c r="E215">
        <v>2.33</v>
      </c>
      <c r="F215" s="111">
        <v>554476</v>
      </c>
    </row>
    <row r="216" spans="1:6" x14ac:dyDescent="0.25">
      <c r="A216" s="75" t="s">
        <v>440</v>
      </c>
      <c r="B216" s="74" t="s">
        <v>221</v>
      </c>
      <c r="C216">
        <v>554471</v>
      </c>
      <c r="D216" s="74" t="s">
        <v>232</v>
      </c>
      <c r="E216">
        <v>2</v>
      </c>
      <c r="F216" s="111">
        <v>554471</v>
      </c>
    </row>
    <row r="217" spans="1:6" x14ac:dyDescent="0.25">
      <c r="A217" s="75" t="s">
        <v>440</v>
      </c>
      <c r="B217" s="74" t="s">
        <v>221</v>
      </c>
      <c r="C217">
        <v>454481</v>
      </c>
      <c r="D217" s="74" t="s">
        <v>233</v>
      </c>
      <c r="E217">
        <v>11.12</v>
      </c>
      <c r="F217" s="111">
        <v>454481</v>
      </c>
    </row>
    <row r="218" spans="1:6" x14ac:dyDescent="0.25">
      <c r="A218" s="75" t="s">
        <v>440</v>
      </c>
      <c r="B218" s="74" t="s">
        <v>221</v>
      </c>
      <c r="C218">
        <v>554486</v>
      </c>
      <c r="D218" s="74" t="s">
        <v>234</v>
      </c>
      <c r="E218">
        <v>5</v>
      </c>
      <c r="F218" s="111">
        <v>554486</v>
      </c>
    </row>
    <row r="219" spans="1:6" x14ac:dyDescent="0.25">
      <c r="A219" s="75" t="s">
        <v>440</v>
      </c>
      <c r="B219" s="74" t="s">
        <v>221</v>
      </c>
      <c r="C219">
        <v>554491</v>
      </c>
      <c r="D219" s="74" t="s">
        <v>235</v>
      </c>
      <c r="E219">
        <v>2.88</v>
      </c>
      <c r="F219" s="111">
        <v>554491</v>
      </c>
    </row>
    <row r="220" spans="1:6" x14ac:dyDescent="0.25">
      <c r="A220" s="75" t="s">
        <v>440</v>
      </c>
      <c r="B220" s="74" t="s">
        <v>221</v>
      </c>
      <c r="C220">
        <v>554601</v>
      </c>
      <c r="D220" s="74" t="s">
        <v>236</v>
      </c>
      <c r="E220">
        <v>4.88</v>
      </c>
      <c r="F220" s="111">
        <v>554601</v>
      </c>
    </row>
    <row r="221" spans="1:6" x14ac:dyDescent="0.25">
      <c r="A221" s="75" t="s">
        <v>440</v>
      </c>
      <c r="B221" s="74" t="s">
        <v>221</v>
      </c>
      <c r="C221">
        <v>554611</v>
      </c>
      <c r="D221" s="74" t="s">
        <v>237</v>
      </c>
      <c r="E221">
        <v>2.91</v>
      </c>
      <c r="F221" s="111">
        <v>554611</v>
      </c>
    </row>
    <row r="222" spans="1:6" x14ac:dyDescent="0.25">
      <c r="A222" s="75" t="s">
        <v>440</v>
      </c>
      <c r="B222" s="74" t="s">
        <v>221</v>
      </c>
      <c r="C222">
        <v>554636</v>
      </c>
      <c r="D222" s="74" t="s">
        <v>238</v>
      </c>
      <c r="E222">
        <v>2</v>
      </c>
      <c r="F222" s="111">
        <v>554636</v>
      </c>
    </row>
    <row r="223" spans="1:6" x14ac:dyDescent="0.25">
      <c r="A223" s="75" t="s">
        <v>440</v>
      </c>
      <c r="B223" s="74" t="s">
        <v>221</v>
      </c>
      <c r="C223">
        <v>454671</v>
      </c>
      <c r="D223" s="74" t="s">
        <v>239</v>
      </c>
      <c r="E223">
        <v>4.96</v>
      </c>
      <c r="F223" s="111">
        <v>454671</v>
      </c>
    </row>
    <row r="224" spans="1:6" x14ac:dyDescent="0.25">
      <c r="A224" s="75" t="s">
        <v>440</v>
      </c>
      <c r="B224" s="74" t="s">
        <v>441</v>
      </c>
      <c r="C224">
        <v>554184</v>
      </c>
      <c r="D224" s="74" t="s">
        <v>241</v>
      </c>
      <c r="E224">
        <v>4.6500000000000004</v>
      </c>
      <c r="F224" s="111">
        <v>554184</v>
      </c>
    </row>
    <row r="225" spans="1:6" x14ac:dyDescent="0.25">
      <c r="A225" s="75" t="s">
        <v>440</v>
      </c>
      <c r="B225" s="74" t="s">
        <v>441</v>
      </c>
      <c r="C225">
        <v>554506</v>
      </c>
      <c r="D225" s="74" t="s">
        <v>242</v>
      </c>
      <c r="E225">
        <v>2</v>
      </c>
      <c r="F225" s="111">
        <v>554506</v>
      </c>
    </row>
    <row r="226" spans="1:6" x14ac:dyDescent="0.25">
      <c r="A226" s="75" t="s">
        <v>440</v>
      </c>
      <c r="B226" s="74" t="s">
        <v>441</v>
      </c>
      <c r="C226">
        <v>554196</v>
      </c>
      <c r="D226" s="74" t="s">
        <v>243</v>
      </c>
      <c r="E226">
        <v>3.56</v>
      </c>
      <c r="F226" s="111">
        <v>554196</v>
      </c>
    </row>
    <row r="227" spans="1:6" x14ac:dyDescent="0.25">
      <c r="A227" s="75" t="s">
        <v>440</v>
      </c>
      <c r="B227" s="74" t="s">
        <v>441</v>
      </c>
      <c r="C227">
        <v>554257</v>
      </c>
      <c r="D227" s="74" t="s">
        <v>244</v>
      </c>
      <c r="E227">
        <v>3.78</v>
      </c>
      <c r="F227" s="111">
        <v>554257</v>
      </c>
    </row>
    <row r="228" spans="1:6" x14ac:dyDescent="0.25">
      <c r="A228" s="75" t="s">
        <v>440</v>
      </c>
      <c r="B228" s="74" t="s">
        <v>441</v>
      </c>
      <c r="C228">
        <v>554321</v>
      </c>
      <c r="D228" s="74" t="s">
        <v>245</v>
      </c>
      <c r="E228">
        <v>3</v>
      </c>
      <c r="F228" s="111">
        <v>554321</v>
      </c>
    </row>
    <row r="229" spans="1:6" x14ac:dyDescent="0.25">
      <c r="A229" s="75" t="s">
        <v>440</v>
      </c>
      <c r="B229" s="74" t="s">
        <v>441</v>
      </c>
      <c r="C229">
        <v>454355</v>
      </c>
      <c r="D229" s="74" t="s">
        <v>246</v>
      </c>
      <c r="E229">
        <v>3.78</v>
      </c>
      <c r="F229" s="111">
        <v>454355</v>
      </c>
    </row>
    <row r="230" spans="1:6" x14ac:dyDescent="0.25">
      <c r="A230" s="75" t="s">
        <v>440</v>
      </c>
      <c r="B230" s="74" t="s">
        <v>441</v>
      </c>
      <c r="C230">
        <v>554357</v>
      </c>
      <c r="D230" s="74" t="s">
        <v>247</v>
      </c>
      <c r="E230">
        <v>5.09</v>
      </c>
      <c r="F230" s="111">
        <v>554357</v>
      </c>
    </row>
    <row r="231" spans="1:6" x14ac:dyDescent="0.25">
      <c r="A231" s="75" t="s">
        <v>440</v>
      </c>
      <c r="B231" s="74" t="s">
        <v>441</v>
      </c>
      <c r="C231">
        <v>554381</v>
      </c>
      <c r="D231" s="74" t="s">
        <v>248</v>
      </c>
      <c r="E231">
        <v>4.6500000000000004</v>
      </c>
      <c r="F231" s="111">
        <v>554381</v>
      </c>
    </row>
    <row r="232" spans="1:6" x14ac:dyDescent="0.25">
      <c r="A232" s="75" t="s">
        <v>440</v>
      </c>
      <c r="B232" s="74" t="s">
        <v>441</v>
      </c>
      <c r="C232">
        <v>554376</v>
      </c>
      <c r="D232" s="74" t="s">
        <v>249</v>
      </c>
      <c r="E232">
        <v>3</v>
      </c>
      <c r="F232" s="111">
        <v>554376</v>
      </c>
    </row>
    <row r="233" spans="1:6" x14ac:dyDescent="0.25">
      <c r="A233" s="75" t="s">
        <v>440</v>
      </c>
      <c r="B233" s="74" t="s">
        <v>441</v>
      </c>
      <c r="C233">
        <v>554416</v>
      </c>
      <c r="D233" s="74" t="s">
        <v>250</v>
      </c>
      <c r="E233">
        <v>4</v>
      </c>
      <c r="F233" s="111">
        <v>554416</v>
      </c>
    </row>
    <row r="234" spans="1:6" x14ac:dyDescent="0.25">
      <c r="A234" s="75" t="s">
        <v>440</v>
      </c>
      <c r="B234" s="74" t="s">
        <v>441</v>
      </c>
      <c r="C234">
        <v>454466</v>
      </c>
      <c r="D234" s="74" t="s">
        <v>251</v>
      </c>
      <c r="E234">
        <v>1.83</v>
      </c>
      <c r="F234" s="111">
        <v>454466</v>
      </c>
    </row>
    <row r="235" spans="1:6" x14ac:dyDescent="0.25">
      <c r="A235" s="75" t="s">
        <v>440</v>
      </c>
      <c r="B235" s="74" t="s">
        <v>441</v>
      </c>
      <c r="C235">
        <v>554496</v>
      </c>
      <c r="D235" s="74" t="s">
        <v>252</v>
      </c>
      <c r="E235">
        <v>3</v>
      </c>
      <c r="F235" s="111">
        <v>554496</v>
      </c>
    </row>
    <row r="236" spans="1:6" x14ac:dyDescent="0.25">
      <c r="A236" s="75" t="s">
        <v>440</v>
      </c>
      <c r="B236" s="74" t="s">
        <v>441</v>
      </c>
      <c r="C236">
        <v>554516</v>
      </c>
      <c r="D236" s="74" t="s">
        <v>253</v>
      </c>
      <c r="E236">
        <v>2.5</v>
      </c>
      <c r="F236" s="111">
        <v>554516</v>
      </c>
    </row>
    <row r="237" spans="1:6" x14ac:dyDescent="0.25">
      <c r="A237" s="75" t="s">
        <v>440</v>
      </c>
      <c r="B237" s="74" t="s">
        <v>441</v>
      </c>
      <c r="C237">
        <v>554531</v>
      </c>
      <c r="D237" s="74" t="s">
        <v>254</v>
      </c>
      <c r="E237">
        <v>2.96</v>
      </c>
      <c r="F237" s="111">
        <v>554531</v>
      </c>
    </row>
    <row r="238" spans="1:6" x14ac:dyDescent="0.25">
      <c r="A238" s="75" t="s">
        <v>440</v>
      </c>
      <c r="B238" s="74" t="s">
        <v>441</v>
      </c>
      <c r="C238">
        <v>554533</v>
      </c>
      <c r="D238" s="74" t="s">
        <v>255</v>
      </c>
      <c r="E238">
        <v>2.88</v>
      </c>
      <c r="F238" s="111">
        <v>554533</v>
      </c>
    </row>
    <row r="239" spans="1:6" x14ac:dyDescent="0.25">
      <c r="A239" s="75" t="s">
        <v>440</v>
      </c>
      <c r="B239" s="74" t="s">
        <v>441</v>
      </c>
      <c r="C239">
        <v>454535</v>
      </c>
      <c r="D239" s="74" t="s">
        <v>256</v>
      </c>
      <c r="E239">
        <v>6.48</v>
      </c>
      <c r="F239" s="111">
        <v>454535</v>
      </c>
    </row>
    <row r="240" spans="1:6" x14ac:dyDescent="0.25">
      <c r="A240" s="75" t="s">
        <v>440</v>
      </c>
      <c r="B240" s="74" t="s">
        <v>441</v>
      </c>
      <c r="C240">
        <v>454651</v>
      </c>
      <c r="D240" s="74" t="s">
        <v>257</v>
      </c>
      <c r="E240">
        <v>11.17</v>
      </c>
      <c r="F240" s="111">
        <v>454651</v>
      </c>
    </row>
    <row r="241" spans="1:6" x14ac:dyDescent="0.25">
      <c r="A241" s="75" t="s">
        <v>440</v>
      </c>
      <c r="B241" s="74" t="s">
        <v>441</v>
      </c>
      <c r="C241">
        <v>554686</v>
      </c>
      <c r="D241" s="74" t="s">
        <v>258</v>
      </c>
      <c r="E241">
        <v>1.5</v>
      </c>
      <c r="F241" s="111">
        <v>554686</v>
      </c>
    </row>
    <row r="242" spans="1:6" x14ac:dyDescent="0.25">
      <c r="A242" s="75" t="s">
        <v>440</v>
      </c>
      <c r="B242" s="74" t="s">
        <v>441</v>
      </c>
      <c r="C242">
        <v>454696</v>
      </c>
      <c r="D242" s="74" t="s">
        <v>259</v>
      </c>
      <c r="E242">
        <v>2.71</v>
      </c>
      <c r="F242" s="111">
        <v>454696</v>
      </c>
    </row>
    <row r="243" spans="1:6" x14ac:dyDescent="0.25">
      <c r="A243" s="75" t="s">
        <v>440</v>
      </c>
      <c r="B243" s="74" t="s">
        <v>260</v>
      </c>
      <c r="C243">
        <v>455151</v>
      </c>
      <c r="D243" s="74" t="s">
        <v>261</v>
      </c>
      <c r="E243">
        <v>9.74</v>
      </c>
      <c r="F243" s="111">
        <v>455151</v>
      </c>
    </row>
    <row r="244" spans="1:6" x14ac:dyDescent="0.25">
      <c r="A244" s="75" t="s">
        <v>440</v>
      </c>
      <c r="B244" s="74" t="s">
        <v>260</v>
      </c>
      <c r="C244">
        <v>455231</v>
      </c>
      <c r="D244" s="74" t="s">
        <v>262</v>
      </c>
      <c r="E244">
        <v>4.8499999999999996</v>
      </c>
      <c r="F244" s="111">
        <v>455231</v>
      </c>
    </row>
    <row r="245" spans="1:6" x14ac:dyDescent="0.25">
      <c r="A245" s="75" t="s">
        <v>440</v>
      </c>
      <c r="B245" s="74" t="s">
        <v>260</v>
      </c>
      <c r="C245">
        <v>455298</v>
      </c>
      <c r="D245" s="74" t="s">
        <v>263</v>
      </c>
      <c r="E245">
        <v>1.8</v>
      </c>
      <c r="F245" s="111">
        <v>455298</v>
      </c>
    </row>
    <row r="246" spans="1:6" x14ac:dyDescent="0.25">
      <c r="A246" s="75" t="s">
        <v>440</v>
      </c>
      <c r="B246" s="74" t="s">
        <v>260</v>
      </c>
      <c r="C246">
        <v>555406</v>
      </c>
      <c r="D246" s="74" t="s">
        <v>264</v>
      </c>
      <c r="E246">
        <v>2.91</v>
      </c>
      <c r="F246" s="111">
        <v>555406</v>
      </c>
    </row>
    <row r="247" spans="1:6" x14ac:dyDescent="0.25">
      <c r="A247" s="75" t="s">
        <v>440</v>
      </c>
      <c r="B247" s="74" t="s">
        <v>260</v>
      </c>
      <c r="C247">
        <v>554412</v>
      </c>
      <c r="D247" s="74" t="s">
        <v>265</v>
      </c>
      <c r="E247">
        <v>3</v>
      </c>
      <c r="F247" s="111">
        <v>554412</v>
      </c>
    </row>
    <row r="248" spans="1:6" x14ac:dyDescent="0.25">
      <c r="A248" s="75" t="s">
        <v>440</v>
      </c>
      <c r="B248" s="74" t="s">
        <v>260</v>
      </c>
      <c r="C248">
        <v>554413</v>
      </c>
      <c r="D248" s="74" t="s">
        <v>266</v>
      </c>
      <c r="E248">
        <v>3.87</v>
      </c>
      <c r="F248" s="111">
        <v>554413</v>
      </c>
    </row>
    <row r="249" spans="1:6" x14ac:dyDescent="0.25">
      <c r="A249" s="75" t="s">
        <v>440</v>
      </c>
      <c r="B249" s="74" t="s">
        <v>260</v>
      </c>
      <c r="C249">
        <v>454414</v>
      </c>
      <c r="D249" s="74" t="s">
        <v>267</v>
      </c>
      <c r="E249">
        <v>3.5</v>
      </c>
      <c r="F249" s="111">
        <v>454414</v>
      </c>
    </row>
    <row r="250" spans="1:6" x14ac:dyDescent="0.25">
      <c r="A250" s="75" t="s">
        <v>440</v>
      </c>
      <c r="B250" s="74" t="s">
        <v>260</v>
      </c>
      <c r="C250">
        <v>455456</v>
      </c>
      <c r="D250" s="74" t="s">
        <v>268</v>
      </c>
      <c r="E250">
        <v>1.8</v>
      </c>
      <c r="F250" s="111">
        <v>455456</v>
      </c>
    </row>
    <row r="251" spans="1:6" x14ac:dyDescent="0.25">
      <c r="A251" s="75" t="s">
        <v>440</v>
      </c>
      <c r="B251" s="74" t="s">
        <v>260</v>
      </c>
      <c r="C251">
        <v>455566</v>
      </c>
      <c r="D251" s="74" t="s">
        <v>269</v>
      </c>
      <c r="E251">
        <v>2.65</v>
      </c>
      <c r="F251" s="111">
        <v>455566</v>
      </c>
    </row>
    <row r="252" spans="1:6" x14ac:dyDescent="0.25">
      <c r="A252" s="75" t="s">
        <v>440</v>
      </c>
      <c r="B252" s="74" t="s">
        <v>260</v>
      </c>
      <c r="C252">
        <v>555624</v>
      </c>
      <c r="D252" s="74" t="s">
        <v>270</v>
      </c>
      <c r="E252">
        <v>3.1</v>
      </c>
      <c r="F252" s="111">
        <v>555624</v>
      </c>
    </row>
    <row r="253" spans="1:6" x14ac:dyDescent="0.25">
      <c r="A253" s="75" t="s">
        <v>440</v>
      </c>
      <c r="B253" s="74" t="s">
        <v>260</v>
      </c>
      <c r="C253">
        <v>455676</v>
      </c>
      <c r="D253" s="74" t="s">
        <v>271</v>
      </c>
      <c r="E253">
        <v>2</v>
      </c>
      <c r="F253" s="111">
        <v>455676</v>
      </c>
    </row>
    <row r="254" spans="1:6" x14ac:dyDescent="0.25">
      <c r="A254" s="75" t="s">
        <v>440</v>
      </c>
      <c r="B254" s="74" t="s">
        <v>260</v>
      </c>
      <c r="C254">
        <v>455678</v>
      </c>
      <c r="D254" s="74" t="s">
        <v>272</v>
      </c>
      <c r="E254">
        <v>7.89</v>
      </c>
      <c r="F254" s="111">
        <v>455678</v>
      </c>
    </row>
    <row r="255" spans="1:6" x14ac:dyDescent="0.25">
      <c r="A255" s="75" t="s">
        <v>440</v>
      </c>
      <c r="B255" s="74" t="s">
        <v>260</v>
      </c>
      <c r="C255">
        <v>555679</v>
      </c>
      <c r="D255" s="74" t="s">
        <v>273</v>
      </c>
      <c r="E255">
        <v>4</v>
      </c>
      <c r="F255" s="111">
        <v>555679</v>
      </c>
    </row>
    <row r="256" spans="1:6" x14ac:dyDescent="0.25">
      <c r="A256" s="75" t="s">
        <v>440</v>
      </c>
      <c r="B256" s="74" t="s">
        <v>260</v>
      </c>
      <c r="C256">
        <v>554700</v>
      </c>
      <c r="D256" s="74" t="s">
        <v>274</v>
      </c>
      <c r="E256">
        <v>3</v>
      </c>
      <c r="F256" s="111">
        <v>554700</v>
      </c>
    </row>
    <row r="257" spans="1:6" x14ac:dyDescent="0.25">
      <c r="A257" s="74" t="s">
        <v>275</v>
      </c>
      <c r="B257" s="74" t="s">
        <v>276</v>
      </c>
      <c r="C257">
        <v>557105</v>
      </c>
      <c r="D257" s="74" t="s">
        <v>277</v>
      </c>
      <c r="E257">
        <v>4.0999999999999996</v>
      </c>
      <c r="F257" s="111">
        <v>557105</v>
      </c>
    </row>
    <row r="258" spans="1:6" x14ac:dyDescent="0.25">
      <c r="A258" s="74" t="s">
        <v>275</v>
      </c>
      <c r="B258" s="74" t="s">
        <v>276</v>
      </c>
      <c r="C258">
        <v>557178</v>
      </c>
      <c r="D258" s="74" t="s">
        <v>278</v>
      </c>
      <c r="E258">
        <v>3.26</v>
      </c>
      <c r="F258" s="111">
        <v>557178</v>
      </c>
    </row>
    <row r="259" spans="1:6" x14ac:dyDescent="0.25">
      <c r="A259" s="74" t="s">
        <v>275</v>
      </c>
      <c r="B259" s="74" t="s">
        <v>276</v>
      </c>
      <c r="C259">
        <v>557224</v>
      </c>
      <c r="D259" s="74" t="s">
        <v>279</v>
      </c>
      <c r="E259">
        <v>3.63</v>
      </c>
      <c r="F259" s="111">
        <v>557224</v>
      </c>
    </row>
    <row r="260" spans="1:6" x14ac:dyDescent="0.25">
      <c r="A260" s="74" t="s">
        <v>275</v>
      </c>
      <c r="B260" s="74" t="s">
        <v>276</v>
      </c>
      <c r="C260">
        <v>557432</v>
      </c>
      <c r="D260" s="74" t="s">
        <v>280</v>
      </c>
      <c r="E260">
        <v>3.8</v>
      </c>
      <c r="F260" s="111">
        <v>557432</v>
      </c>
    </row>
    <row r="261" spans="1:6" x14ac:dyDescent="0.25">
      <c r="A261" s="74" t="s">
        <v>275</v>
      </c>
      <c r="B261" s="74" t="s">
        <v>276</v>
      </c>
      <c r="C261">
        <v>557433</v>
      </c>
      <c r="D261" s="74" t="s">
        <v>281</v>
      </c>
      <c r="E261">
        <v>3.13</v>
      </c>
      <c r="F261" s="111">
        <v>557433</v>
      </c>
    </row>
    <row r="262" spans="1:6" x14ac:dyDescent="0.25">
      <c r="A262" s="74" t="s">
        <v>275</v>
      </c>
      <c r="B262" s="74" t="s">
        <v>276</v>
      </c>
      <c r="C262">
        <v>557434</v>
      </c>
      <c r="D262" s="74" t="s">
        <v>282</v>
      </c>
      <c r="E262">
        <v>4.0999999999999996</v>
      </c>
      <c r="F262" s="111">
        <v>557434</v>
      </c>
    </row>
    <row r="263" spans="1:6" x14ac:dyDescent="0.25">
      <c r="A263" s="74" t="s">
        <v>275</v>
      </c>
      <c r="B263" s="74" t="s">
        <v>276</v>
      </c>
      <c r="C263">
        <v>557436</v>
      </c>
      <c r="D263" s="74" t="s">
        <v>283</v>
      </c>
      <c r="E263">
        <v>5.09</v>
      </c>
      <c r="F263" s="111">
        <v>557436</v>
      </c>
    </row>
    <row r="264" spans="1:6" x14ac:dyDescent="0.25">
      <c r="A264" s="74" t="s">
        <v>275</v>
      </c>
      <c r="B264" s="74" t="s">
        <v>276</v>
      </c>
      <c r="C264">
        <v>557440</v>
      </c>
      <c r="D264" s="74" t="s">
        <v>284</v>
      </c>
      <c r="E264">
        <v>3.13</v>
      </c>
      <c r="F264" s="111">
        <v>557440</v>
      </c>
    </row>
    <row r="265" spans="1:6" x14ac:dyDescent="0.25">
      <c r="A265" s="74" t="s">
        <v>275</v>
      </c>
      <c r="B265" s="74" t="s">
        <v>276</v>
      </c>
      <c r="C265">
        <v>557441</v>
      </c>
      <c r="D265" s="74" t="s">
        <v>285</v>
      </c>
      <c r="E265">
        <v>3.13</v>
      </c>
      <c r="F265" s="111">
        <v>557441</v>
      </c>
    </row>
    <row r="266" spans="1:6" x14ac:dyDescent="0.25">
      <c r="A266" s="74" t="s">
        <v>275</v>
      </c>
      <c r="B266" s="74" t="s">
        <v>276</v>
      </c>
      <c r="C266">
        <v>557439</v>
      </c>
      <c r="D266" s="74" t="s">
        <v>286</v>
      </c>
      <c r="E266">
        <v>4.05</v>
      </c>
      <c r="F266" s="111">
        <v>557439</v>
      </c>
    </row>
    <row r="267" spans="1:6" x14ac:dyDescent="0.25">
      <c r="A267" s="74" t="s">
        <v>275</v>
      </c>
      <c r="B267" s="74" t="s">
        <v>276</v>
      </c>
      <c r="C267">
        <v>457443</v>
      </c>
      <c r="D267" s="74" t="s">
        <v>287</v>
      </c>
      <c r="E267">
        <v>4.18</v>
      </c>
      <c r="F267" s="111">
        <v>457443</v>
      </c>
    </row>
    <row r="268" spans="1:6" x14ac:dyDescent="0.25">
      <c r="A268" s="74" t="s">
        <v>275</v>
      </c>
      <c r="B268" s="74" t="s">
        <v>276</v>
      </c>
      <c r="C268">
        <v>557445</v>
      </c>
      <c r="D268" s="74" t="s">
        <v>288</v>
      </c>
      <c r="E268">
        <v>3.07</v>
      </c>
      <c r="F268" s="111">
        <v>557445</v>
      </c>
    </row>
    <row r="269" spans="1:6" x14ac:dyDescent="0.25">
      <c r="A269" s="74" t="s">
        <v>275</v>
      </c>
      <c r="B269" s="74" t="s">
        <v>276</v>
      </c>
      <c r="C269">
        <v>457446</v>
      </c>
      <c r="D269" s="74" t="s">
        <v>289</v>
      </c>
      <c r="E269">
        <v>7.5</v>
      </c>
      <c r="F269" s="111">
        <v>457446</v>
      </c>
    </row>
    <row r="270" spans="1:6" x14ac:dyDescent="0.25">
      <c r="A270" s="74" t="s">
        <v>275</v>
      </c>
      <c r="B270" s="74" t="s">
        <v>276</v>
      </c>
      <c r="C270">
        <v>557447</v>
      </c>
      <c r="D270" s="74" t="s">
        <v>290</v>
      </c>
      <c r="E270">
        <v>3.13</v>
      </c>
      <c r="F270" s="111">
        <v>557447</v>
      </c>
    </row>
    <row r="271" spans="1:6" x14ac:dyDescent="0.25">
      <c r="A271" s="74" t="s">
        <v>275</v>
      </c>
      <c r="B271" s="74" t="s">
        <v>276</v>
      </c>
      <c r="C271">
        <v>557437</v>
      </c>
      <c r="D271" s="74" t="s">
        <v>291</v>
      </c>
      <c r="E271">
        <v>3.1</v>
      </c>
      <c r="F271" s="111">
        <v>557437</v>
      </c>
    </row>
    <row r="272" spans="1:6" x14ac:dyDescent="0.25">
      <c r="A272" s="74" t="s">
        <v>275</v>
      </c>
      <c r="B272" s="74" t="s">
        <v>276</v>
      </c>
      <c r="C272">
        <v>457453</v>
      </c>
      <c r="D272" s="74" t="s">
        <v>292</v>
      </c>
      <c r="E272">
        <v>8.3699999999999992</v>
      </c>
      <c r="F272" s="111">
        <v>457453</v>
      </c>
    </row>
    <row r="273" spans="1:6" x14ac:dyDescent="0.25">
      <c r="A273" s="74" t="s">
        <v>275</v>
      </c>
      <c r="B273" s="74" t="s">
        <v>276</v>
      </c>
      <c r="C273">
        <v>557459</v>
      </c>
      <c r="D273" s="74" t="s">
        <v>293</v>
      </c>
      <c r="E273">
        <v>3.64</v>
      </c>
      <c r="F273" s="111">
        <v>557459</v>
      </c>
    </row>
    <row r="274" spans="1:6" x14ac:dyDescent="0.25">
      <c r="A274" s="74" t="s">
        <v>275</v>
      </c>
      <c r="B274" s="74" t="s">
        <v>276</v>
      </c>
      <c r="C274">
        <v>557559</v>
      </c>
      <c r="D274" s="74" t="s">
        <v>294</v>
      </c>
      <c r="E274">
        <v>4</v>
      </c>
      <c r="F274" s="111">
        <v>557559</v>
      </c>
    </row>
    <row r="275" spans="1:6" x14ac:dyDescent="0.25">
      <c r="A275" s="74" t="s">
        <v>275</v>
      </c>
      <c r="B275" s="74" t="s">
        <v>276</v>
      </c>
      <c r="C275">
        <v>457574</v>
      </c>
      <c r="D275" s="74" t="s">
        <v>295</v>
      </c>
      <c r="E275">
        <v>3.13</v>
      </c>
      <c r="F275" s="111">
        <v>457574</v>
      </c>
    </row>
    <row r="276" spans="1:6" x14ac:dyDescent="0.25">
      <c r="A276" s="74" t="s">
        <v>275</v>
      </c>
      <c r="B276" s="74" t="s">
        <v>276</v>
      </c>
      <c r="C276">
        <v>557444</v>
      </c>
      <c r="D276" s="74" t="s">
        <v>297</v>
      </c>
      <c r="E276">
        <v>6.09</v>
      </c>
      <c r="F276" s="111">
        <v>557444</v>
      </c>
    </row>
    <row r="277" spans="1:6" x14ac:dyDescent="0.25">
      <c r="A277" s="74" t="s">
        <v>275</v>
      </c>
      <c r="B277" s="74" t="s">
        <v>276</v>
      </c>
      <c r="C277">
        <v>557612</v>
      </c>
      <c r="D277" s="74" t="s">
        <v>296</v>
      </c>
      <c r="E277">
        <v>4.18</v>
      </c>
      <c r="F277" s="111">
        <v>557612</v>
      </c>
    </row>
    <row r="278" spans="1:6" x14ac:dyDescent="0.25">
      <c r="A278" s="74" t="s">
        <v>275</v>
      </c>
      <c r="B278" s="74" t="s">
        <v>276</v>
      </c>
      <c r="C278">
        <v>557712</v>
      </c>
      <c r="D278" s="74" t="s">
        <v>298</v>
      </c>
      <c r="E278">
        <v>5.93</v>
      </c>
      <c r="F278" s="111">
        <v>557712</v>
      </c>
    </row>
    <row r="279" spans="1:6" x14ac:dyDescent="0.25">
      <c r="A279" s="74" t="s">
        <v>275</v>
      </c>
      <c r="B279" s="74" t="s">
        <v>426</v>
      </c>
      <c r="C279">
        <v>457163</v>
      </c>
      <c r="D279" s="74" t="s">
        <v>300</v>
      </c>
      <c r="E279">
        <v>2.83</v>
      </c>
      <c r="F279" s="111">
        <v>457163</v>
      </c>
    </row>
    <row r="280" spans="1:6" x14ac:dyDescent="0.25">
      <c r="A280" s="74" t="s">
        <v>275</v>
      </c>
      <c r="B280" s="74" t="s">
        <v>426</v>
      </c>
      <c r="C280">
        <v>457165</v>
      </c>
      <c r="D280" s="74" t="s">
        <v>301</v>
      </c>
      <c r="E280">
        <v>3.23</v>
      </c>
      <c r="F280" s="111">
        <v>457165</v>
      </c>
    </row>
    <row r="281" spans="1:6" x14ac:dyDescent="0.25">
      <c r="A281" s="74" t="s">
        <v>275</v>
      </c>
      <c r="B281" s="74" t="s">
        <v>426</v>
      </c>
      <c r="C281">
        <v>557210</v>
      </c>
      <c r="D281" s="74" t="s">
        <v>302</v>
      </c>
      <c r="E281">
        <v>3.13</v>
      </c>
      <c r="F281" s="111">
        <v>557210</v>
      </c>
    </row>
    <row r="282" spans="1:6" x14ac:dyDescent="0.25">
      <c r="A282" s="74" t="s">
        <v>275</v>
      </c>
      <c r="B282" s="74" t="s">
        <v>426</v>
      </c>
      <c r="C282">
        <v>557250</v>
      </c>
      <c r="D282" s="74" t="s">
        <v>303</v>
      </c>
      <c r="E282">
        <v>3.23</v>
      </c>
      <c r="F282" s="111">
        <v>557250</v>
      </c>
    </row>
    <row r="283" spans="1:6" x14ac:dyDescent="0.25">
      <c r="A283" s="74" t="s">
        <v>275</v>
      </c>
      <c r="B283" s="74" t="s">
        <v>426</v>
      </c>
      <c r="C283">
        <v>457258</v>
      </c>
      <c r="D283" s="74" t="s">
        <v>304</v>
      </c>
      <c r="E283">
        <v>3.68</v>
      </c>
      <c r="F283" s="111">
        <v>457258</v>
      </c>
    </row>
    <row r="284" spans="1:6" x14ac:dyDescent="0.25">
      <c r="A284" s="74" t="s">
        <v>275</v>
      </c>
      <c r="B284" s="74" t="s">
        <v>426</v>
      </c>
      <c r="C284">
        <v>557305</v>
      </c>
      <c r="D284" s="74" t="s">
        <v>305</v>
      </c>
      <c r="E284">
        <v>2</v>
      </c>
      <c r="F284" s="111">
        <v>557305</v>
      </c>
    </row>
    <row r="285" spans="1:6" x14ac:dyDescent="0.25">
      <c r="A285" s="74" t="s">
        <v>275</v>
      </c>
      <c r="B285" s="74" t="s">
        <v>426</v>
      </c>
      <c r="C285">
        <v>457308</v>
      </c>
      <c r="D285" s="74" t="s">
        <v>306</v>
      </c>
      <c r="E285">
        <v>11</v>
      </c>
      <c r="F285" s="111">
        <v>457308</v>
      </c>
    </row>
    <row r="286" spans="1:6" x14ac:dyDescent="0.25">
      <c r="A286" s="74" t="s">
        <v>275</v>
      </c>
      <c r="B286" s="74" t="s">
        <v>426</v>
      </c>
      <c r="C286">
        <v>457345</v>
      </c>
      <c r="D286" s="74" t="s">
        <v>307</v>
      </c>
      <c r="E286">
        <v>2.35</v>
      </c>
      <c r="F286" s="111">
        <v>457345</v>
      </c>
    </row>
    <row r="287" spans="1:6" x14ac:dyDescent="0.25">
      <c r="A287" s="74" t="s">
        <v>275</v>
      </c>
      <c r="B287" s="74" t="s">
        <v>426</v>
      </c>
      <c r="C287">
        <v>557353</v>
      </c>
      <c r="D287" s="74" t="s">
        <v>308</v>
      </c>
      <c r="E287">
        <v>1.9</v>
      </c>
      <c r="F287" s="111">
        <v>557353</v>
      </c>
    </row>
    <row r="288" spans="1:6" x14ac:dyDescent="0.25">
      <c r="A288" s="74" t="s">
        <v>275</v>
      </c>
      <c r="B288" s="74" t="s">
        <v>426</v>
      </c>
      <c r="C288">
        <v>457435</v>
      </c>
      <c r="D288" s="74" t="s">
        <v>309</v>
      </c>
      <c r="E288">
        <v>3</v>
      </c>
      <c r="F288" s="111">
        <v>457435</v>
      </c>
    </row>
    <row r="289" spans="1:6" x14ac:dyDescent="0.25">
      <c r="A289" s="74" t="s">
        <v>275</v>
      </c>
      <c r="B289" s="74" t="s">
        <v>426</v>
      </c>
      <c r="C289">
        <v>557458</v>
      </c>
      <c r="D289" s="74" t="s">
        <v>310</v>
      </c>
      <c r="E289">
        <v>2.09</v>
      </c>
      <c r="F289" s="111">
        <v>557458</v>
      </c>
    </row>
    <row r="290" spans="1:6" x14ac:dyDescent="0.25">
      <c r="A290" s="74" t="s">
        <v>275</v>
      </c>
      <c r="B290" s="74" t="s">
        <v>426</v>
      </c>
      <c r="C290">
        <v>557503</v>
      </c>
      <c r="D290" s="74" t="s">
        <v>311</v>
      </c>
      <c r="E290">
        <v>2.75</v>
      </c>
      <c r="F290" s="111">
        <v>557503</v>
      </c>
    </row>
    <row r="291" spans="1:6" x14ac:dyDescent="0.25">
      <c r="A291" s="74" t="s">
        <v>275</v>
      </c>
      <c r="B291" s="74" t="s">
        <v>426</v>
      </c>
      <c r="C291">
        <v>557523</v>
      </c>
      <c r="D291" s="74" t="s">
        <v>312</v>
      </c>
      <c r="E291">
        <v>3.75</v>
      </c>
      <c r="F291" s="111">
        <v>557523</v>
      </c>
    </row>
  </sheetData>
  <autoFilter ref="A1:F291"/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</sheetPr>
  <dimension ref="A1:G1780"/>
  <sheetViews>
    <sheetView workbookViewId="0">
      <selection activeCell="E1784" sqref="E1784"/>
    </sheetView>
  </sheetViews>
  <sheetFormatPr baseColWidth="10" defaultRowHeight="15" x14ac:dyDescent="0.25"/>
  <cols>
    <col min="1" max="1" width="27.28515625" style="128" bestFit="1" customWidth="1"/>
    <col min="2" max="2" width="23.5703125" style="128" bestFit="1" customWidth="1"/>
    <col min="3" max="3" width="31.5703125" style="128" bestFit="1" customWidth="1"/>
    <col min="4" max="4" width="7" style="128" bestFit="1" customWidth="1"/>
    <col min="5" max="5" width="16.140625" style="131" bestFit="1" customWidth="1"/>
    <col min="6" max="6" width="17.42578125" style="133" bestFit="1" customWidth="1"/>
    <col min="7" max="7" width="17.140625" style="131" bestFit="1" customWidth="1"/>
  </cols>
  <sheetData>
    <row r="1" spans="1:7" x14ac:dyDescent="0.25">
      <c r="A1" s="125" t="s">
        <v>1</v>
      </c>
      <c r="B1" s="125" t="s">
        <v>2</v>
      </c>
      <c r="C1" s="125" t="s">
        <v>3</v>
      </c>
      <c r="D1" s="125" t="s">
        <v>423</v>
      </c>
      <c r="E1" s="130" t="s">
        <v>609</v>
      </c>
      <c r="F1" s="132" t="s">
        <v>608</v>
      </c>
      <c r="G1" s="130" t="s">
        <v>610</v>
      </c>
    </row>
    <row r="2" spans="1:7" x14ac:dyDescent="0.25">
      <c r="A2" s="126" t="s">
        <v>4</v>
      </c>
      <c r="B2" s="126" t="s">
        <v>0</v>
      </c>
      <c r="C2" s="126" t="s">
        <v>5</v>
      </c>
      <c r="D2" s="127">
        <v>410560</v>
      </c>
      <c r="E2" s="131">
        <v>5.2632911394150597</v>
      </c>
      <c r="F2" s="133">
        <v>42527.3924064737</v>
      </c>
      <c r="G2" s="131">
        <v>2.6316455697075298</v>
      </c>
    </row>
    <row r="3" spans="1:7" x14ac:dyDescent="0.25">
      <c r="A3" s="126" t="s">
        <v>4</v>
      </c>
      <c r="B3" s="126" t="s">
        <v>0</v>
      </c>
      <c r="C3" s="126" t="s">
        <v>56</v>
      </c>
      <c r="D3" s="127">
        <v>410566</v>
      </c>
      <c r="E3" s="131">
        <v>3.6446746822547502</v>
      </c>
      <c r="F3" s="133">
        <v>23162.723577672699</v>
      </c>
      <c r="G3" s="131">
        <v>2.1759251834356701</v>
      </c>
    </row>
    <row r="4" spans="1:7" x14ac:dyDescent="0.25">
      <c r="A4" s="126" t="s">
        <v>4</v>
      </c>
      <c r="B4" s="126" t="s">
        <v>0</v>
      </c>
      <c r="C4" s="126" t="s">
        <v>57</v>
      </c>
      <c r="D4" s="127">
        <v>510590</v>
      </c>
      <c r="E4" s="131">
        <v>4.7644637340036198</v>
      </c>
      <c r="F4" s="133">
        <v>39772.914649073697</v>
      </c>
      <c r="G4" s="131">
        <v>3.31440955408948</v>
      </c>
    </row>
    <row r="5" spans="1:7" x14ac:dyDescent="0.25">
      <c r="A5" s="126" t="s">
        <v>4</v>
      </c>
      <c r="B5" s="126" t="s">
        <v>0</v>
      </c>
      <c r="C5" s="126" t="s">
        <v>58</v>
      </c>
      <c r="D5" s="127">
        <v>451154</v>
      </c>
      <c r="E5" s="131">
        <v>2.1312617292509302</v>
      </c>
      <c r="F5" s="133">
        <v>29660.059065408699</v>
      </c>
      <c r="G5" s="131">
        <v>2.4864720174594099</v>
      </c>
    </row>
    <row r="6" spans="1:7" x14ac:dyDescent="0.25">
      <c r="A6" s="126" t="s">
        <v>4</v>
      </c>
      <c r="B6" s="126" t="s">
        <v>0</v>
      </c>
      <c r="C6" s="126" t="s">
        <v>59</v>
      </c>
      <c r="D6" s="127">
        <v>410541</v>
      </c>
      <c r="E6" s="131">
        <v>4.1184010078155602</v>
      </c>
      <c r="F6" s="133">
        <v>32378.1199232627</v>
      </c>
      <c r="G6" s="131">
        <v>2.99520073295677</v>
      </c>
    </row>
    <row r="7" spans="1:7" x14ac:dyDescent="0.25">
      <c r="A7" s="126" t="s">
        <v>4</v>
      </c>
      <c r="B7" s="126" t="s">
        <v>0</v>
      </c>
      <c r="C7" s="126" t="s">
        <v>60</v>
      </c>
      <c r="D7" s="127">
        <v>410582</v>
      </c>
      <c r="E7" s="131">
        <v>4.8101265822243704</v>
      </c>
      <c r="F7" s="133">
        <v>77443.037973812301</v>
      </c>
      <c r="G7" s="131">
        <v>2.4050632911121799</v>
      </c>
    </row>
    <row r="8" spans="1:7" x14ac:dyDescent="0.25">
      <c r="A8" s="126" t="s">
        <v>4</v>
      </c>
      <c r="B8" s="126" t="s">
        <v>0</v>
      </c>
      <c r="C8" s="126" t="s">
        <v>61</v>
      </c>
      <c r="D8" s="127">
        <v>451156</v>
      </c>
      <c r="E8" s="131">
        <v>2.86169975415689</v>
      </c>
      <c r="F8" s="133">
        <v>34525.022840473503</v>
      </c>
      <c r="G8" s="131">
        <v>4.4310189741784196</v>
      </c>
    </row>
    <row r="9" spans="1:7" x14ac:dyDescent="0.25">
      <c r="A9" s="126" t="s">
        <v>4</v>
      </c>
      <c r="B9" s="126" t="s">
        <v>0</v>
      </c>
      <c r="C9" s="126" t="s">
        <v>62</v>
      </c>
      <c r="D9" s="127">
        <v>551157</v>
      </c>
      <c r="E9" s="131">
        <v>4.9315154042648004</v>
      </c>
      <c r="F9" s="133">
        <v>62926.136558418802</v>
      </c>
      <c r="G9" s="131">
        <v>3.9452123234118401</v>
      </c>
    </row>
    <row r="10" spans="1:7" x14ac:dyDescent="0.25">
      <c r="A10" s="126" t="s">
        <v>4</v>
      </c>
      <c r="B10" s="126" t="s">
        <v>0</v>
      </c>
      <c r="C10" s="126" t="s">
        <v>63</v>
      </c>
      <c r="D10" s="127">
        <v>451151</v>
      </c>
      <c r="E10" s="131">
        <v>5.6769291521488601</v>
      </c>
      <c r="F10" s="133">
        <v>48431.301829269898</v>
      </c>
      <c r="G10" s="131">
        <v>2.1288484320558201</v>
      </c>
    </row>
    <row r="11" spans="1:7" x14ac:dyDescent="0.25">
      <c r="A11" s="126" t="s">
        <v>4</v>
      </c>
      <c r="B11" s="126" t="s">
        <v>64</v>
      </c>
      <c r="C11" s="126" t="s">
        <v>65</v>
      </c>
      <c r="D11" s="127">
        <v>510530</v>
      </c>
      <c r="E11" s="131">
        <v>4.2061194682713499</v>
      </c>
      <c r="F11" s="133">
        <v>39038.215916485002</v>
      </c>
      <c r="G11" s="131">
        <v>3.25635055608105</v>
      </c>
    </row>
    <row r="12" spans="1:7" x14ac:dyDescent="0.25">
      <c r="A12" s="126" t="s">
        <v>4</v>
      </c>
      <c r="B12" s="126" t="s">
        <v>64</v>
      </c>
      <c r="C12" s="126" t="s">
        <v>66</v>
      </c>
      <c r="D12" s="127">
        <v>410550</v>
      </c>
      <c r="E12" s="131">
        <v>3.5139573882492598</v>
      </c>
      <c r="F12" s="133">
        <v>56675.112733334499</v>
      </c>
      <c r="G12" s="131">
        <v>2.67730086723753</v>
      </c>
    </row>
    <row r="13" spans="1:7" x14ac:dyDescent="0.25">
      <c r="A13" s="126" t="s">
        <v>4</v>
      </c>
      <c r="B13" s="126" t="s">
        <v>64</v>
      </c>
      <c r="C13" s="126" t="s">
        <v>67</v>
      </c>
      <c r="D13" s="127">
        <v>510556</v>
      </c>
      <c r="E13" s="131">
        <v>4.0194208455429496</v>
      </c>
      <c r="F13" s="133">
        <v>48045.477173723397</v>
      </c>
      <c r="G13" s="131">
        <v>4.2873822352458202</v>
      </c>
    </row>
    <row r="14" spans="1:7" x14ac:dyDescent="0.25">
      <c r="A14" s="126" t="s">
        <v>4</v>
      </c>
      <c r="B14" s="126" t="s">
        <v>64</v>
      </c>
      <c r="C14" s="126" t="s">
        <v>68</v>
      </c>
      <c r="D14" s="127">
        <v>410551</v>
      </c>
      <c r="E14" s="131">
        <v>3.3146560153494402</v>
      </c>
      <c r="F14" s="133">
        <v>51625.767439067502</v>
      </c>
      <c r="G14" s="131">
        <v>3.3146560153494402</v>
      </c>
    </row>
    <row r="15" spans="1:7" x14ac:dyDescent="0.25">
      <c r="A15" s="126" t="s">
        <v>4</v>
      </c>
      <c r="B15" s="126" t="s">
        <v>64</v>
      </c>
      <c r="C15" s="126" t="s">
        <v>69</v>
      </c>
      <c r="D15" s="127">
        <v>510523</v>
      </c>
      <c r="E15" s="131">
        <v>3.2162513275884601</v>
      </c>
      <c r="F15" s="133">
        <v>29380.8905060783</v>
      </c>
      <c r="G15" s="131">
        <v>1.7385142311288999</v>
      </c>
    </row>
    <row r="16" spans="1:7" x14ac:dyDescent="0.25">
      <c r="A16" s="126" t="s">
        <v>4</v>
      </c>
      <c r="B16" s="126" t="s">
        <v>64</v>
      </c>
      <c r="C16" s="126" t="s">
        <v>70</v>
      </c>
      <c r="D16" s="127">
        <v>510570</v>
      </c>
      <c r="E16" s="131">
        <v>3.9037123902883901</v>
      </c>
      <c r="F16" s="133">
        <v>42806.225521093402</v>
      </c>
      <c r="G16" s="131">
        <v>2.6922154415781998</v>
      </c>
    </row>
    <row r="17" spans="1:7" x14ac:dyDescent="0.25">
      <c r="A17" s="126" t="s">
        <v>4</v>
      </c>
      <c r="B17" s="126" t="s">
        <v>64</v>
      </c>
      <c r="C17" s="126" t="s">
        <v>71</v>
      </c>
      <c r="D17" s="127">
        <v>410571</v>
      </c>
      <c r="E17" s="131">
        <v>2.4128473355700701</v>
      </c>
      <c r="F17" s="133">
        <v>41395.412100873997</v>
      </c>
      <c r="G17" s="131">
        <v>2.11124141862381</v>
      </c>
    </row>
    <row r="18" spans="1:7" x14ac:dyDescent="0.25">
      <c r="A18" s="126" t="s">
        <v>4</v>
      </c>
      <c r="B18" s="126" t="s">
        <v>64</v>
      </c>
      <c r="C18" s="126" t="s">
        <v>72</v>
      </c>
      <c r="D18" s="127">
        <v>510520</v>
      </c>
      <c r="E18" s="131">
        <v>3.7062717881003402</v>
      </c>
      <c r="F18" s="133">
        <v>42367.319377722</v>
      </c>
      <c r="G18" s="131">
        <v>3.24298781458779</v>
      </c>
    </row>
    <row r="19" spans="1:7" x14ac:dyDescent="0.25">
      <c r="A19" s="126" t="s">
        <v>4</v>
      </c>
      <c r="B19" s="126" t="s">
        <v>64</v>
      </c>
      <c r="C19" s="126" t="s">
        <v>73</v>
      </c>
      <c r="D19" s="127">
        <v>410521</v>
      </c>
      <c r="E19" s="131">
        <v>2.0106836013973899</v>
      </c>
      <c r="F19" s="133">
        <v>30830.4818880934</v>
      </c>
      <c r="G19" s="131">
        <v>1.78727431235324</v>
      </c>
    </row>
    <row r="20" spans="1:7" x14ac:dyDescent="0.25">
      <c r="A20" s="126" t="s">
        <v>4</v>
      </c>
      <c r="B20" s="126" t="s">
        <v>64</v>
      </c>
      <c r="C20" s="126" t="s">
        <v>74</v>
      </c>
      <c r="D20" s="127">
        <v>410524</v>
      </c>
      <c r="E20" s="131">
        <v>3.3389659256884499</v>
      </c>
      <c r="F20" s="133">
        <v>33868.943965760503</v>
      </c>
      <c r="G20" s="131">
        <v>2.2895766347577999</v>
      </c>
    </row>
    <row r="21" spans="1:7" x14ac:dyDescent="0.25">
      <c r="A21" s="126" t="s">
        <v>4</v>
      </c>
      <c r="B21" s="126" t="s">
        <v>64</v>
      </c>
      <c r="C21" s="126" t="s">
        <v>75</v>
      </c>
      <c r="D21" s="127">
        <v>510513</v>
      </c>
      <c r="E21" s="131">
        <v>3.1972036144613698</v>
      </c>
      <c r="F21" s="133">
        <v>47958.0542169205</v>
      </c>
      <c r="G21" s="131">
        <v>2.1314690763075799</v>
      </c>
    </row>
    <row r="22" spans="1:7" x14ac:dyDescent="0.25">
      <c r="A22" s="126" t="s">
        <v>4</v>
      </c>
      <c r="B22" s="126" t="s">
        <v>64</v>
      </c>
      <c r="C22" s="126" t="s">
        <v>76</v>
      </c>
      <c r="D22" s="127">
        <v>510511</v>
      </c>
      <c r="E22" s="131">
        <v>4.4669250011707602</v>
      </c>
      <c r="F22" s="133">
        <v>27109.613800208699</v>
      </c>
      <c r="G22" s="131">
        <v>3.0806379318418999</v>
      </c>
    </row>
    <row r="23" spans="1:7" x14ac:dyDescent="0.25">
      <c r="A23" s="126" t="s">
        <v>4</v>
      </c>
      <c r="B23" s="126" t="s">
        <v>64</v>
      </c>
      <c r="C23" s="126" t="s">
        <v>77</v>
      </c>
      <c r="D23" s="127">
        <v>510522</v>
      </c>
      <c r="E23" s="131">
        <v>3.1003976241178299</v>
      </c>
      <c r="F23" s="133">
        <v>45420.8251933262</v>
      </c>
      <c r="G23" s="131">
        <v>2.3252982180883701</v>
      </c>
    </row>
    <row r="24" spans="1:7" x14ac:dyDescent="0.25">
      <c r="A24" s="126" t="s">
        <v>4</v>
      </c>
      <c r="B24" s="126" t="s">
        <v>64</v>
      </c>
      <c r="C24" s="126" t="s">
        <v>78</v>
      </c>
      <c r="D24" s="127">
        <v>410510</v>
      </c>
      <c r="E24" s="131">
        <v>3.2509699437195199</v>
      </c>
      <c r="F24" s="133">
        <v>162029.89007590699</v>
      </c>
      <c r="G24" s="131">
        <v>2.9929564561227302</v>
      </c>
    </row>
    <row r="25" spans="1:7" x14ac:dyDescent="0.25">
      <c r="A25" s="126" t="s">
        <v>4</v>
      </c>
      <c r="B25" s="126" t="s">
        <v>64</v>
      </c>
      <c r="C25" s="126" t="s">
        <v>79</v>
      </c>
      <c r="D25" s="127">
        <v>410512</v>
      </c>
      <c r="E25" s="131">
        <v>3.38739155805871</v>
      </c>
      <c r="F25" s="133">
        <v>40422.872592833897</v>
      </c>
      <c r="G25" s="131">
        <v>3.6132176619292902</v>
      </c>
    </row>
    <row r="26" spans="1:7" x14ac:dyDescent="0.25">
      <c r="A26" s="126" t="s">
        <v>430</v>
      </c>
      <c r="B26" s="126" t="s">
        <v>605</v>
      </c>
      <c r="C26" s="126" t="s">
        <v>606</v>
      </c>
      <c r="D26" s="127">
        <v>405705</v>
      </c>
      <c r="E26" s="131" t="e">
        <v>#N/A</v>
      </c>
      <c r="F26" s="133" t="e">
        <v>#N/A</v>
      </c>
      <c r="G26" s="131">
        <v>0</v>
      </c>
    </row>
    <row r="27" spans="1:7" x14ac:dyDescent="0.25">
      <c r="A27" s="126" t="s">
        <v>430</v>
      </c>
      <c r="B27" s="126" t="s">
        <v>607</v>
      </c>
      <c r="C27" s="126" t="s">
        <v>607</v>
      </c>
      <c r="D27" s="127">
        <v>405800</v>
      </c>
      <c r="E27" s="131">
        <v>0</v>
      </c>
      <c r="F27" s="133">
        <v>0</v>
      </c>
      <c r="G27" s="131">
        <v>0</v>
      </c>
    </row>
    <row r="28" spans="1:7" x14ac:dyDescent="0.25">
      <c r="A28" s="126" t="s">
        <v>430</v>
      </c>
      <c r="B28" s="126" t="s">
        <v>432</v>
      </c>
      <c r="C28" s="126" t="s">
        <v>432</v>
      </c>
      <c r="D28" s="127">
        <v>4017</v>
      </c>
      <c r="E28" s="131">
        <v>4.3992624544313301</v>
      </c>
      <c r="F28" s="133">
        <v>23059.366146508099</v>
      </c>
      <c r="G28" s="131">
        <v>2.4678789378517201</v>
      </c>
    </row>
    <row r="29" spans="1:7" x14ac:dyDescent="0.25">
      <c r="A29" s="126" t="s">
        <v>430</v>
      </c>
      <c r="B29" s="126" t="s">
        <v>434</v>
      </c>
      <c r="C29" s="126" t="s">
        <v>434</v>
      </c>
      <c r="D29" s="127">
        <v>4022</v>
      </c>
      <c r="E29" s="131">
        <v>1.6520288072927101</v>
      </c>
      <c r="F29" s="133">
        <v>23348.673809737</v>
      </c>
      <c r="G29" s="131">
        <v>3.08378710694639</v>
      </c>
    </row>
    <row r="30" spans="1:7" x14ac:dyDescent="0.25">
      <c r="A30" s="126" t="s">
        <v>80</v>
      </c>
      <c r="B30" s="126" t="s">
        <v>81</v>
      </c>
      <c r="C30" s="126" t="s">
        <v>82</v>
      </c>
      <c r="D30" s="127">
        <v>4057</v>
      </c>
      <c r="E30" s="131">
        <v>4.3244110133981204</v>
      </c>
      <c r="F30" s="133">
        <v>33201.866780645498</v>
      </c>
      <c r="G30" s="131">
        <v>1.9219604503991601</v>
      </c>
    </row>
    <row r="31" spans="1:7" x14ac:dyDescent="0.25">
      <c r="A31" s="126" t="s">
        <v>80</v>
      </c>
      <c r="B31" s="126" t="s">
        <v>81</v>
      </c>
      <c r="C31" s="126" t="s">
        <v>83</v>
      </c>
      <c r="D31" s="127">
        <v>4082</v>
      </c>
      <c r="E31" s="131">
        <v>3.5208643815070002</v>
      </c>
      <c r="F31" s="133">
        <v>54925.484351509302</v>
      </c>
      <c r="G31" s="131">
        <v>3.5208643815070002</v>
      </c>
    </row>
    <row r="32" spans="1:7" x14ac:dyDescent="0.25">
      <c r="A32" s="126" t="s">
        <v>80</v>
      </c>
      <c r="B32" s="126" t="s">
        <v>81</v>
      </c>
      <c r="C32" s="126" t="s">
        <v>84</v>
      </c>
      <c r="D32" s="127">
        <v>4030</v>
      </c>
      <c r="E32" s="131">
        <v>2.4025724724314599</v>
      </c>
      <c r="F32" s="133">
        <v>51841.662356337998</v>
      </c>
      <c r="G32" s="131">
        <v>2.1356199754946301</v>
      </c>
    </row>
    <row r="33" spans="1:7" x14ac:dyDescent="0.25">
      <c r="A33" s="126" t="s">
        <v>80</v>
      </c>
      <c r="B33" s="126" t="s">
        <v>81</v>
      </c>
      <c r="C33" s="126" t="s">
        <v>85</v>
      </c>
      <c r="D33" s="127">
        <v>4060</v>
      </c>
      <c r="E33" s="131">
        <v>3.0974205752853701</v>
      </c>
      <c r="F33" s="133">
        <v>57612.022700307898</v>
      </c>
      <c r="G33" s="131">
        <v>2.3540396372168799</v>
      </c>
    </row>
    <row r="34" spans="1:7" x14ac:dyDescent="0.25">
      <c r="A34" s="126" t="s">
        <v>80</v>
      </c>
      <c r="B34" s="126" t="s">
        <v>81</v>
      </c>
      <c r="C34" s="126" t="s">
        <v>86</v>
      </c>
      <c r="D34" s="127">
        <v>4064</v>
      </c>
      <c r="E34" s="131">
        <v>2.44350983596033</v>
      </c>
      <c r="F34" s="133">
        <v>60040.527397882499</v>
      </c>
      <c r="G34" s="131">
        <v>2.79258266966895</v>
      </c>
    </row>
    <row r="35" spans="1:7" x14ac:dyDescent="0.25">
      <c r="A35" s="126" t="s">
        <v>80</v>
      </c>
      <c r="B35" s="126" t="s">
        <v>81</v>
      </c>
      <c r="C35" s="126" t="s">
        <v>87</v>
      </c>
      <c r="D35" s="127">
        <v>4092</v>
      </c>
      <c r="E35" s="131">
        <v>4.5468045558166503</v>
      </c>
      <c r="F35" s="133">
        <v>57662.162030998101</v>
      </c>
      <c r="G35" s="131">
        <v>2.89342108097423</v>
      </c>
    </row>
    <row r="36" spans="1:7" x14ac:dyDescent="0.25">
      <c r="A36" s="126" t="s">
        <v>80</v>
      </c>
      <c r="B36" s="126" t="s">
        <v>81</v>
      </c>
      <c r="C36" s="126" t="s">
        <v>88</v>
      </c>
      <c r="D36" s="127">
        <v>4041</v>
      </c>
      <c r="E36" s="131">
        <v>6.5325360474341796</v>
      </c>
      <c r="F36" s="133">
        <v>66958.494486200303</v>
      </c>
      <c r="G36" s="131">
        <v>3.6745515266817201</v>
      </c>
    </row>
    <row r="37" spans="1:7" x14ac:dyDescent="0.25">
      <c r="A37" s="126" t="s">
        <v>80</v>
      </c>
      <c r="B37" s="126" t="s">
        <v>81</v>
      </c>
      <c r="C37" s="126" t="s">
        <v>89</v>
      </c>
      <c r="D37" s="127">
        <v>4085</v>
      </c>
      <c r="E37" s="131">
        <v>3.2012456901594399</v>
      </c>
      <c r="F37" s="133">
        <v>43483.587291332398</v>
      </c>
      <c r="G37" s="131">
        <v>2.13416379343963</v>
      </c>
    </row>
    <row r="38" spans="1:7" x14ac:dyDescent="0.25">
      <c r="A38" s="126" t="s">
        <v>80</v>
      </c>
      <c r="B38" s="126" t="s">
        <v>81</v>
      </c>
      <c r="C38" s="126" t="s">
        <v>90</v>
      </c>
      <c r="D38" s="127">
        <v>4066</v>
      </c>
      <c r="E38" s="131">
        <v>3.0151998978435599</v>
      </c>
      <c r="F38" s="133">
        <v>41713.136872452902</v>
      </c>
      <c r="G38" s="131">
        <v>1.3783770961570501</v>
      </c>
    </row>
    <row r="39" spans="1:7" x14ac:dyDescent="0.25">
      <c r="A39" s="126" t="s">
        <v>80</v>
      </c>
      <c r="B39" s="126" t="s">
        <v>81</v>
      </c>
      <c r="C39" s="126" t="s">
        <v>91</v>
      </c>
      <c r="D39" s="127">
        <v>4067</v>
      </c>
      <c r="E39" s="131">
        <v>4.6222826086454099</v>
      </c>
      <c r="F39" s="133">
        <v>39991.3043473914</v>
      </c>
      <c r="G39" s="131">
        <v>2.3967391304087302</v>
      </c>
    </row>
    <row r="40" spans="1:7" x14ac:dyDescent="0.25">
      <c r="A40" s="126" t="s">
        <v>80</v>
      </c>
      <c r="B40" s="126" t="s">
        <v>81</v>
      </c>
      <c r="C40" s="126" t="s">
        <v>92</v>
      </c>
      <c r="D40" s="127">
        <v>4095</v>
      </c>
      <c r="E40" s="131">
        <v>3.8673641536410899</v>
      </c>
      <c r="F40" s="133">
        <v>59741.107763370797</v>
      </c>
      <c r="G40" s="131">
        <v>1.93368207682055</v>
      </c>
    </row>
    <row r="41" spans="1:7" x14ac:dyDescent="0.25">
      <c r="A41" s="126" t="s">
        <v>80</v>
      </c>
      <c r="B41" s="126" t="s">
        <v>81</v>
      </c>
      <c r="C41" s="126" t="s">
        <v>93</v>
      </c>
      <c r="D41" s="127">
        <v>4087</v>
      </c>
      <c r="E41" s="131">
        <v>3.5162799256535999</v>
      </c>
      <c r="F41" s="133">
        <v>50139.547088023501</v>
      </c>
      <c r="G41" s="131">
        <v>2.2139540272633802</v>
      </c>
    </row>
    <row r="42" spans="1:7" x14ac:dyDescent="0.25">
      <c r="A42" s="126" t="s">
        <v>80</v>
      </c>
      <c r="B42" s="126" t="s">
        <v>81</v>
      </c>
      <c r="C42" s="126" t="s">
        <v>94</v>
      </c>
      <c r="D42" s="127">
        <v>4073</v>
      </c>
      <c r="E42" s="131">
        <v>2.47875030241081</v>
      </c>
      <c r="F42" s="133">
        <v>51268.818754863598</v>
      </c>
      <c r="G42" s="131">
        <v>2.0656252520090099</v>
      </c>
    </row>
    <row r="43" spans="1:7" x14ac:dyDescent="0.25">
      <c r="A43" s="126" t="s">
        <v>80</v>
      </c>
      <c r="B43" s="126" t="s">
        <v>81</v>
      </c>
      <c r="C43" s="126" t="s">
        <v>95</v>
      </c>
      <c r="D43" s="127">
        <v>4074</v>
      </c>
      <c r="E43" s="131">
        <v>5.5701002119259702</v>
      </c>
      <c r="F43" s="133">
        <v>56938.802166354399</v>
      </c>
      <c r="G43" s="131">
        <v>2.4756000941893199</v>
      </c>
    </row>
    <row r="44" spans="1:7" x14ac:dyDescent="0.25">
      <c r="A44" s="126" t="s">
        <v>80</v>
      </c>
      <c r="B44" s="126" t="s">
        <v>81</v>
      </c>
      <c r="C44" s="126" t="s">
        <v>96</v>
      </c>
      <c r="D44" s="127">
        <v>4079</v>
      </c>
      <c r="E44" s="131">
        <v>5.65984094136331</v>
      </c>
      <c r="F44" s="133">
        <v>50198.596675121204</v>
      </c>
      <c r="G44" s="131">
        <v>3.77322729424221</v>
      </c>
    </row>
    <row r="45" spans="1:7" x14ac:dyDescent="0.25">
      <c r="A45" s="126" t="s">
        <v>80</v>
      </c>
      <c r="B45" s="126" t="s">
        <v>81</v>
      </c>
      <c r="C45" s="126" t="s">
        <v>97</v>
      </c>
      <c r="D45" s="127">
        <v>4031</v>
      </c>
      <c r="E45" s="131">
        <v>2.7205318332737098</v>
      </c>
      <c r="F45" s="133">
        <v>57131.168498747997</v>
      </c>
      <c r="G45" s="131">
        <v>3.74073127075135</v>
      </c>
    </row>
    <row r="46" spans="1:7" x14ac:dyDescent="0.25">
      <c r="A46" s="126" t="s">
        <v>80</v>
      </c>
      <c r="B46" s="126" t="s">
        <v>81</v>
      </c>
      <c r="C46" s="126" t="s">
        <v>98</v>
      </c>
      <c r="D46" s="127">
        <v>4071</v>
      </c>
      <c r="E46" s="131">
        <v>3.4052784348240799</v>
      </c>
      <c r="F46" s="133">
        <v>37123.306597946597</v>
      </c>
      <c r="G46" s="131">
        <v>1.7314975092325899</v>
      </c>
    </row>
    <row r="47" spans="1:7" x14ac:dyDescent="0.25">
      <c r="A47" s="126" t="s">
        <v>80</v>
      </c>
      <c r="B47" s="126" t="s">
        <v>81</v>
      </c>
      <c r="C47" s="126" t="s">
        <v>99</v>
      </c>
      <c r="D47" s="127">
        <v>4080</v>
      </c>
      <c r="E47" s="131">
        <v>4.9787438144152301</v>
      </c>
      <c r="F47" s="133">
        <v>44678.814056317598</v>
      </c>
      <c r="G47" s="131">
        <v>3.4634739578540801</v>
      </c>
    </row>
    <row r="48" spans="1:7" x14ac:dyDescent="0.25">
      <c r="A48" s="126" t="s">
        <v>80</v>
      </c>
      <c r="B48" s="126" t="s">
        <v>100</v>
      </c>
      <c r="C48" s="126" t="s">
        <v>101</v>
      </c>
      <c r="D48" s="127">
        <v>4113</v>
      </c>
      <c r="E48" s="131">
        <v>4.3872472783787799</v>
      </c>
      <c r="F48" s="133">
        <v>60915.241057489999</v>
      </c>
      <c r="G48" s="131">
        <v>3.3748055987529102</v>
      </c>
    </row>
    <row r="49" spans="1:7" x14ac:dyDescent="0.25">
      <c r="A49" s="126" t="s">
        <v>80</v>
      </c>
      <c r="B49" s="126" t="s">
        <v>100</v>
      </c>
      <c r="C49" s="126" t="s">
        <v>102</v>
      </c>
      <c r="D49" s="127">
        <v>4111</v>
      </c>
      <c r="E49" s="131">
        <v>2.5936782722293299</v>
      </c>
      <c r="F49" s="133">
        <v>29349.517291016102</v>
      </c>
      <c r="G49" s="131">
        <v>2.73018765497824</v>
      </c>
    </row>
    <row r="50" spans="1:7" x14ac:dyDescent="0.25">
      <c r="A50" s="126" t="s">
        <v>80</v>
      </c>
      <c r="B50" s="126" t="s">
        <v>100</v>
      </c>
      <c r="C50" s="126" t="s">
        <v>103</v>
      </c>
      <c r="D50" s="127">
        <v>4104</v>
      </c>
      <c r="E50" s="131">
        <v>3.4337643973738801</v>
      </c>
      <c r="F50" s="133">
        <v>24595.722078608698</v>
      </c>
      <c r="G50" s="131">
        <v>1.55073230849143</v>
      </c>
    </row>
    <row r="51" spans="1:7" x14ac:dyDescent="0.25">
      <c r="A51" s="126" t="s">
        <v>80</v>
      </c>
      <c r="B51" s="126" t="s">
        <v>100</v>
      </c>
      <c r="C51" s="126" t="s">
        <v>104</v>
      </c>
      <c r="D51" s="127">
        <v>4008</v>
      </c>
      <c r="E51" s="131">
        <v>3.6201777155688699</v>
      </c>
      <c r="F51" s="133">
        <v>43894.654801272598</v>
      </c>
      <c r="G51" s="131">
        <v>3.1676555011227601</v>
      </c>
    </row>
    <row r="52" spans="1:7" x14ac:dyDescent="0.25">
      <c r="A52" s="126" t="s">
        <v>80</v>
      </c>
      <c r="B52" s="126" t="s">
        <v>100</v>
      </c>
      <c r="C52" s="126" t="s">
        <v>105</v>
      </c>
      <c r="D52" s="127">
        <v>4007</v>
      </c>
      <c r="E52" s="131">
        <v>3.4187196815194598</v>
      </c>
      <c r="F52" s="133">
        <v>57795.713861159202</v>
      </c>
      <c r="G52" s="131">
        <v>2.7091740872418399</v>
      </c>
    </row>
    <row r="53" spans="1:7" x14ac:dyDescent="0.25">
      <c r="A53" s="126" t="s">
        <v>80</v>
      </c>
      <c r="B53" s="126" t="s">
        <v>100</v>
      </c>
      <c r="C53" s="126" t="s">
        <v>106</v>
      </c>
      <c r="D53" s="127">
        <v>4015</v>
      </c>
      <c r="E53" s="131">
        <v>2.82433332764024</v>
      </c>
      <c r="F53" s="133">
        <v>53625.721496843398</v>
      </c>
      <c r="G53" s="131">
        <v>2.3013086373365002</v>
      </c>
    </row>
    <row r="54" spans="1:7" x14ac:dyDescent="0.25">
      <c r="A54" s="126" t="s">
        <v>80</v>
      </c>
      <c r="B54" s="126" t="s">
        <v>100</v>
      </c>
      <c r="C54" s="126" t="s">
        <v>107</v>
      </c>
      <c r="D54" s="127">
        <v>4109</v>
      </c>
      <c r="E54" s="131">
        <v>4.7641851311354602</v>
      </c>
      <c r="F54" s="133">
        <v>60941.868135774501</v>
      </c>
      <c r="G54" s="131">
        <v>3.9701542759462201</v>
      </c>
    </row>
    <row r="55" spans="1:7" x14ac:dyDescent="0.25">
      <c r="A55" s="126" t="s">
        <v>80</v>
      </c>
      <c r="B55" s="126" t="s">
        <v>100</v>
      </c>
      <c r="C55" s="126" t="s">
        <v>108</v>
      </c>
      <c r="D55" s="127">
        <v>4129</v>
      </c>
      <c r="E55" s="131">
        <v>2.7240487549582002</v>
      </c>
      <c r="F55" s="133">
        <v>39537.621929107598</v>
      </c>
      <c r="G55" s="131">
        <v>3.1131985770950799</v>
      </c>
    </row>
    <row r="56" spans="1:7" x14ac:dyDescent="0.25">
      <c r="A56" s="126" t="s">
        <v>80</v>
      </c>
      <c r="B56" s="126" t="s">
        <v>100</v>
      </c>
      <c r="C56" s="126" t="s">
        <v>109</v>
      </c>
      <c r="D56" s="127">
        <v>4116</v>
      </c>
      <c r="E56" s="131">
        <v>1.9085786164983201</v>
      </c>
      <c r="F56" s="133">
        <v>41988.729562963003</v>
      </c>
      <c r="G56" s="131">
        <v>2.86286792474748</v>
      </c>
    </row>
    <row r="57" spans="1:7" x14ac:dyDescent="0.25">
      <c r="A57" s="126" t="s">
        <v>80</v>
      </c>
      <c r="B57" s="126" t="s">
        <v>100</v>
      </c>
      <c r="C57" s="126" t="s">
        <v>110</v>
      </c>
      <c r="D57" s="127">
        <v>4126</v>
      </c>
      <c r="E57" s="131">
        <v>3.60497924043485</v>
      </c>
      <c r="F57" s="133">
        <v>45840.157078371602</v>
      </c>
      <c r="G57" s="131">
        <v>3.0357719919451398</v>
      </c>
    </row>
    <row r="58" spans="1:7" x14ac:dyDescent="0.25">
      <c r="A58" s="126" t="s">
        <v>80</v>
      </c>
      <c r="B58" s="126" t="s">
        <v>100</v>
      </c>
      <c r="C58" s="126" t="s">
        <v>111</v>
      </c>
      <c r="D58" s="127">
        <v>4119</v>
      </c>
      <c r="E58" s="131">
        <v>4.0142421002965696</v>
      </c>
      <c r="F58" s="133">
        <v>47256.0314225611</v>
      </c>
      <c r="G58" s="131">
        <v>2.2405072187701802</v>
      </c>
    </row>
    <row r="59" spans="1:7" x14ac:dyDescent="0.25">
      <c r="A59" s="126" t="s">
        <v>80</v>
      </c>
      <c r="B59" s="126" t="s">
        <v>100</v>
      </c>
      <c r="C59" s="126" t="s">
        <v>112</v>
      </c>
      <c r="D59" s="127">
        <v>4127</v>
      </c>
      <c r="E59" s="131">
        <v>4.7006387357442998</v>
      </c>
      <c r="F59" s="133">
        <v>76656.570152137807</v>
      </c>
      <c r="G59" s="131">
        <v>2.1695255703435201</v>
      </c>
    </row>
    <row r="60" spans="1:7" x14ac:dyDescent="0.25">
      <c r="A60" s="126" t="s">
        <v>80</v>
      </c>
      <c r="B60" s="126" t="s">
        <v>100</v>
      </c>
      <c r="C60" s="126" t="s">
        <v>113</v>
      </c>
      <c r="D60" s="127">
        <v>4121</v>
      </c>
      <c r="E60" s="131">
        <v>3.49688909920325</v>
      </c>
      <c r="F60" s="133">
        <v>45626.4098552328</v>
      </c>
      <c r="G60" s="131">
        <v>2.6642964565358098</v>
      </c>
    </row>
    <row r="61" spans="1:7" x14ac:dyDescent="0.25">
      <c r="A61" s="126" t="s">
        <v>80</v>
      </c>
      <c r="B61" s="126" t="s">
        <v>100</v>
      </c>
      <c r="C61" s="126" t="s">
        <v>114</v>
      </c>
      <c r="D61" s="127">
        <v>4101</v>
      </c>
      <c r="E61" s="131">
        <v>3.2110888495452801</v>
      </c>
      <c r="F61" s="133">
        <v>51747.931844595099</v>
      </c>
      <c r="G61" s="131">
        <v>2.9640820149648701</v>
      </c>
    </row>
    <row r="62" spans="1:7" x14ac:dyDescent="0.25">
      <c r="A62" s="126" t="s">
        <v>80</v>
      </c>
      <c r="B62" s="126" t="s">
        <v>100</v>
      </c>
      <c r="C62" s="126" t="s">
        <v>115</v>
      </c>
      <c r="D62" s="127">
        <v>4110</v>
      </c>
      <c r="E62" s="131">
        <v>4.7482870539944102</v>
      </c>
      <c r="F62" s="133">
        <v>34293.184278848501</v>
      </c>
      <c r="G62" s="131">
        <v>3.6931121531067599</v>
      </c>
    </row>
    <row r="63" spans="1:7" x14ac:dyDescent="0.25">
      <c r="A63" s="126" t="s">
        <v>80</v>
      </c>
      <c r="B63" s="126" t="s">
        <v>100</v>
      </c>
      <c r="C63" s="126" t="s">
        <v>116</v>
      </c>
      <c r="D63" s="127">
        <v>4107</v>
      </c>
      <c r="E63" s="131">
        <v>5.1876577231546301</v>
      </c>
      <c r="F63" s="133">
        <v>66166.216232599501</v>
      </c>
      <c r="G63" s="131">
        <v>3.7728419804760902</v>
      </c>
    </row>
    <row r="64" spans="1:7" x14ac:dyDescent="0.25">
      <c r="A64" s="126" t="s">
        <v>80</v>
      </c>
      <c r="B64" s="126" t="s">
        <v>100</v>
      </c>
      <c r="C64" s="126" t="s">
        <v>117</v>
      </c>
      <c r="D64" s="127">
        <v>4120</v>
      </c>
      <c r="E64" s="131">
        <v>3.3326226898081801</v>
      </c>
      <c r="F64" s="133">
        <v>63515.867735167703</v>
      </c>
      <c r="G64" s="131">
        <v>3.13658606099593</v>
      </c>
    </row>
    <row r="65" spans="1:7" x14ac:dyDescent="0.25">
      <c r="A65" s="126" t="s">
        <v>80</v>
      </c>
      <c r="B65" s="126" t="s">
        <v>118</v>
      </c>
      <c r="C65" s="126" t="s">
        <v>119</v>
      </c>
      <c r="D65" s="127">
        <v>4028</v>
      </c>
      <c r="E65" s="131">
        <v>3.39857359556754</v>
      </c>
      <c r="F65" s="133">
        <v>51694.0931115274</v>
      </c>
      <c r="G65" s="131">
        <v>3.2197013010639899</v>
      </c>
    </row>
    <row r="66" spans="1:7" x14ac:dyDescent="0.25">
      <c r="A66" s="126" t="s">
        <v>80</v>
      </c>
      <c r="B66" s="126" t="s">
        <v>118</v>
      </c>
      <c r="C66" s="126" t="s">
        <v>120</v>
      </c>
      <c r="D66" s="127">
        <v>4033</v>
      </c>
      <c r="E66" s="131">
        <v>7.0368615320346004</v>
      </c>
      <c r="F66" s="133">
        <v>106256.609133722</v>
      </c>
      <c r="G66" s="131">
        <v>2.8147446128138398</v>
      </c>
    </row>
    <row r="67" spans="1:7" x14ac:dyDescent="0.25">
      <c r="A67" s="126" t="s">
        <v>80</v>
      </c>
      <c r="B67" s="126" t="s">
        <v>118</v>
      </c>
      <c r="C67" s="126" t="s">
        <v>121</v>
      </c>
      <c r="D67" s="127">
        <v>4037</v>
      </c>
      <c r="E67" s="131">
        <v>3.5578291690253701</v>
      </c>
      <c r="F67" s="133">
        <v>36840.747201843398</v>
      </c>
      <c r="G67" s="131">
        <v>2.5249110231793002</v>
      </c>
    </row>
    <row r="68" spans="1:7" x14ac:dyDescent="0.25">
      <c r="A68" s="126" t="s">
        <v>80</v>
      </c>
      <c r="B68" s="126" t="s">
        <v>118</v>
      </c>
      <c r="C68" s="126" t="s">
        <v>122</v>
      </c>
      <c r="D68" s="127">
        <v>4038</v>
      </c>
      <c r="E68" s="131">
        <v>3.6287714574085501</v>
      </c>
      <c r="F68" s="133">
        <v>34550.302785386797</v>
      </c>
      <c r="G68" s="131">
        <v>2.8590320573521901</v>
      </c>
    </row>
    <row r="69" spans="1:7" x14ac:dyDescent="0.25">
      <c r="A69" s="126" t="s">
        <v>80</v>
      </c>
      <c r="B69" s="126" t="s">
        <v>118</v>
      </c>
      <c r="C69" s="126" t="s">
        <v>123</v>
      </c>
      <c r="D69" s="127">
        <v>4039</v>
      </c>
      <c r="E69" s="131">
        <v>4.30372108246892</v>
      </c>
      <c r="F69" s="133">
        <v>46480.187690664403</v>
      </c>
      <c r="G69" s="131">
        <v>3.9726656145866999</v>
      </c>
    </row>
    <row r="70" spans="1:7" x14ac:dyDescent="0.25">
      <c r="A70" s="126" t="s">
        <v>80</v>
      </c>
      <c r="B70" s="126" t="s">
        <v>118</v>
      </c>
      <c r="C70" s="126" t="s">
        <v>124</v>
      </c>
      <c r="D70" s="127">
        <v>4027</v>
      </c>
      <c r="E70" s="131">
        <v>4.0934024487281597</v>
      </c>
      <c r="F70" s="133">
        <v>52068.079147822202</v>
      </c>
      <c r="G70" s="131">
        <v>4.5846107425755402</v>
      </c>
    </row>
    <row r="71" spans="1:7" x14ac:dyDescent="0.25">
      <c r="A71" s="126" t="s">
        <v>80</v>
      </c>
      <c r="B71" s="126" t="s">
        <v>118</v>
      </c>
      <c r="C71" s="126" t="s">
        <v>125</v>
      </c>
      <c r="D71" s="127">
        <v>4029</v>
      </c>
      <c r="E71" s="131">
        <v>5.4699488653590702</v>
      </c>
      <c r="F71" s="133">
        <v>34278.346222916902</v>
      </c>
      <c r="G71" s="131">
        <v>4.5582907211325603</v>
      </c>
    </row>
    <row r="72" spans="1:7" x14ac:dyDescent="0.25">
      <c r="A72" s="126" t="s">
        <v>80</v>
      </c>
      <c r="B72" s="126" t="s">
        <v>118</v>
      </c>
      <c r="C72" s="126" t="s">
        <v>126</v>
      </c>
      <c r="D72" s="127">
        <v>4019</v>
      </c>
      <c r="E72" s="131">
        <v>4.7910402434681298</v>
      </c>
      <c r="F72" s="133">
        <v>59452.453930308999</v>
      </c>
      <c r="G72" s="131">
        <v>3.91994201738301</v>
      </c>
    </row>
    <row r="73" spans="1:7" x14ac:dyDescent="0.25">
      <c r="A73" s="126" t="s">
        <v>80</v>
      </c>
      <c r="B73" s="126" t="s">
        <v>118</v>
      </c>
      <c r="C73" s="126" t="s">
        <v>127</v>
      </c>
      <c r="D73" s="127">
        <v>4024</v>
      </c>
      <c r="E73" s="131">
        <v>3.62230826902911</v>
      </c>
      <c r="F73" s="133">
        <v>69185.7909091779</v>
      </c>
      <c r="G73" s="131">
        <v>3.9845390959320199</v>
      </c>
    </row>
    <row r="74" spans="1:7" x14ac:dyDescent="0.25">
      <c r="A74" s="126" t="s">
        <v>80</v>
      </c>
      <c r="B74" s="126" t="s">
        <v>118</v>
      </c>
      <c r="C74" s="126" t="s">
        <v>128</v>
      </c>
      <c r="D74" s="127">
        <v>4047</v>
      </c>
      <c r="E74" s="131">
        <v>3.8416183658424399</v>
      </c>
      <c r="F74" s="133">
        <v>38684.560904261401</v>
      </c>
      <c r="G74" s="131">
        <v>4.6456780238094604</v>
      </c>
    </row>
    <row r="75" spans="1:7" x14ac:dyDescent="0.25">
      <c r="A75" s="126" t="s">
        <v>80</v>
      </c>
      <c r="B75" s="126" t="s">
        <v>118</v>
      </c>
      <c r="C75" s="126" t="s">
        <v>129</v>
      </c>
      <c r="D75" s="127">
        <v>4026</v>
      </c>
      <c r="E75" s="131">
        <v>3.14913937081492</v>
      </c>
      <c r="F75" s="133">
        <v>48053.534102805497</v>
      </c>
      <c r="G75" s="131">
        <v>2.0994262472099501</v>
      </c>
    </row>
    <row r="76" spans="1:7" x14ac:dyDescent="0.25">
      <c r="A76" s="126" t="s">
        <v>80</v>
      </c>
      <c r="B76" s="126" t="s">
        <v>118</v>
      </c>
      <c r="C76" s="126" t="s">
        <v>130</v>
      </c>
      <c r="D76" s="127">
        <v>4045</v>
      </c>
      <c r="E76" s="131">
        <v>4.02691028766165</v>
      </c>
      <c r="F76" s="133">
        <v>35403.252945692002</v>
      </c>
      <c r="G76" s="131">
        <v>3.85912235900908</v>
      </c>
    </row>
    <row r="77" spans="1:7" x14ac:dyDescent="0.25">
      <c r="A77" s="126" t="s">
        <v>80</v>
      </c>
      <c r="B77" s="126" t="s">
        <v>118</v>
      </c>
      <c r="C77" s="126" t="s">
        <v>131</v>
      </c>
      <c r="D77" s="127">
        <v>4043</v>
      </c>
      <c r="E77" s="131">
        <v>4.0123955715794102</v>
      </c>
      <c r="F77" s="133">
        <v>52125.738940194802</v>
      </c>
      <c r="G77" s="131">
        <v>3.65836066820476</v>
      </c>
    </row>
    <row r="78" spans="1:7" x14ac:dyDescent="0.25">
      <c r="A78" s="126" t="s">
        <v>80</v>
      </c>
      <c r="B78" s="126" t="s">
        <v>118</v>
      </c>
      <c r="C78" s="126" t="s">
        <v>132</v>
      </c>
      <c r="D78" s="127">
        <v>4048</v>
      </c>
      <c r="E78" s="131">
        <v>3.2255082156767898</v>
      </c>
      <c r="F78" s="133">
        <v>35147.287856824703</v>
      </c>
      <c r="G78" s="131">
        <v>4.6590674226442497</v>
      </c>
    </row>
    <row r="79" spans="1:7" x14ac:dyDescent="0.25">
      <c r="A79" s="126" t="s">
        <v>80</v>
      </c>
      <c r="B79" s="126" t="s">
        <v>118</v>
      </c>
      <c r="C79" s="126" t="s">
        <v>133</v>
      </c>
      <c r="D79" s="127">
        <v>4010</v>
      </c>
      <c r="E79" s="131">
        <v>5.1022377559934897</v>
      </c>
      <c r="F79" s="133">
        <v>67349.538379114107</v>
      </c>
      <c r="G79" s="131">
        <v>3.6736111843153099</v>
      </c>
    </row>
    <row r="80" spans="1:7" x14ac:dyDescent="0.25">
      <c r="A80" s="126" t="s">
        <v>80</v>
      </c>
      <c r="B80" s="126" t="s">
        <v>118</v>
      </c>
      <c r="C80" s="126" t="s">
        <v>134</v>
      </c>
      <c r="D80" s="127">
        <v>4054</v>
      </c>
      <c r="E80" s="131">
        <v>4.8553105311006099</v>
      </c>
      <c r="F80" s="133">
        <v>40149.6832379474</v>
      </c>
      <c r="G80" s="131">
        <v>3.7348542546927801</v>
      </c>
    </row>
    <row r="81" spans="1:7" x14ac:dyDescent="0.25">
      <c r="A81" s="126" t="s">
        <v>80</v>
      </c>
      <c r="B81" s="126" t="s">
        <v>118</v>
      </c>
      <c r="C81" s="126" t="s">
        <v>135</v>
      </c>
      <c r="D81" s="127">
        <v>4006</v>
      </c>
      <c r="E81" s="131">
        <v>4.2255968297315203</v>
      </c>
      <c r="F81" s="133">
        <v>50293.5929053578</v>
      </c>
      <c r="G81" s="131">
        <v>3.4164399899957001</v>
      </c>
    </row>
    <row r="82" spans="1:7" x14ac:dyDescent="0.25">
      <c r="A82" s="126" t="s">
        <v>80</v>
      </c>
      <c r="B82" s="126" t="s">
        <v>118</v>
      </c>
      <c r="C82" s="126" t="s">
        <v>136</v>
      </c>
      <c r="D82" s="127">
        <v>4020</v>
      </c>
      <c r="E82" s="131">
        <v>3.3107694983423599</v>
      </c>
      <c r="F82" s="133">
        <v>69614.174670317705</v>
      </c>
      <c r="G82" s="131">
        <v>2.5631763858134402</v>
      </c>
    </row>
    <row r="83" spans="1:7" x14ac:dyDescent="0.25">
      <c r="A83" s="126" t="s">
        <v>80</v>
      </c>
      <c r="B83" s="126" t="s">
        <v>118</v>
      </c>
      <c r="C83" s="126" t="s">
        <v>137</v>
      </c>
      <c r="D83" s="127">
        <v>4012</v>
      </c>
      <c r="E83" s="131">
        <v>2.6248674308954101</v>
      </c>
      <c r="F83" s="133">
        <v>20473.965960984198</v>
      </c>
      <c r="G83" s="131">
        <v>3.1498409170745001</v>
      </c>
    </row>
    <row r="84" spans="1:7" x14ac:dyDescent="0.25">
      <c r="A84" s="126" t="s">
        <v>80</v>
      </c>
      <c r="B84" s="126" t="s">
        <v>118</v>
      </c>
      <c r="C84" s="126" t="s">
        <v>138</v>
      </c>
      <c r="D84" s="127">
        <v>4023</v>
      </c>
      <c r="E84" s="131">
        <v>2.6086953655510201</v>
      </c>
      <c r="F84" s="133">
        <v>44347.821214367301</v>
      </c>
      <c r="G84" s="131">
        <v>1.8414320227419001</v>
      </c>
    </row>
    <row r="85" spans="1:7" x14ac:dyDescent="0.25">
      <c r="A85" s="126" t="s">
        <v>139</v>
      </c>
      <c r="B85" s="126" t="s">
        <v>140</v>
      </c>
      <c r="C85" s="126" t="s">
        <v>141</v>
      </c>
      <c r="D85" s="127">
        <v>4132</v>
      </c>
      <c r="E85" s="131">
        <v>4.4367801318092699</v>
      </c>
      <c r="F85" s="133">
        <v>38989.886006808701</v>
      </c>
      <c r="G85" s="131">
        <v>1.8822703589493901</v>
      </c>
    </row>
    <row r="86" spans="1:7" x14ac:dyDescent="0.25">
      <c r="A86" s="126" t="s">
        <v>139</v>
      </c>
      <c r="B86" s="126" t="s">
        <v>140</v>
      </c>
      <c r="C86" s="126" t="s">
        <v>142</v>
      </c>
      <c r="D86" s="127">
        <v>4130</v>
      </c>
      <c r="E86" s="131">
        <v>4.8381867202578697</v>
      </c>
      <c r="F86" s="133">
        <v>30021.568879548799</v>
      </c>
      <c r="G86" s="131">
        <v>2.2330092555036298</v>
      </c>
    </row>
    <row r="87" spans="1:7" x14ac:dyDescent="0.25">
      <c r="A87" s="126" t="s">
        <v>139</v>
      </c>
      <c r="B87" s="126" t="s">
        <v>140</v>
      </c>
      <c r="C87" s="126" t="s">
        <v>143</v>
      </c>
      <c r="D87" s="127">
        <v>4135</v>
      </c>
      <c r="E87" s="131">
        <v>4.3956845341284696</v>
      </c>
      <c r="F87" s="133">
        <v>29102.463122505698</v>
      </c>
      <c r="G87" s="131">
        <v>2.4252052602088101</v>
      </c>
    </row>
    <row r="88" spans="1:7" x14ac:dyDescent="0.25">
      <c r="A88" s="126" t="s">
        <v>139</v>
      </c>
      <c r="B88" s="126" t="s">
        <v>140</v>
      </c>
      <c r="C88" s="126" t="s">
        <v>144</v>
      </c>
      <c r="D88" s="127">
        <v>4134</v>
      </c>
      <c r="E88" s="131">
        <v>2.97350444819884</v>
      </c>
      <c r="F88" s="133">
        <v>37664.389677185303</v>
      </c>
      <c r="G88" s="131">
        <v>15.8586903903938</v>
      </c>
    </row>
    <row r="89" spans="1:7" x14ac:dyDescent="0.25">
      <c r="A89" s="126" t="s">
        <v>139</v>
      </c>
      <c r="B89" s="126" t="s">
        <v>140</v>
      </c>
      <c r="C89" s="126" t="s">
        <v>146</v>
      </c>
      <c r="D89" s="127">
        <v>4133</v>
      </c>
      <c r="E89" s="131">
        <v>3.9871747895046599</v>
      </c>
      <c r="F89" s="133">
        <v>92625.137417723599</v>
      </c>
      <c r="G89" s="131">
        <v>2.4536460243105598</v>
      </c>
    </row>
    <row r="90" spans="1:7" x14ac:dyDescent="0.25">
      <c r="A90" s="126" t="s">
        <v>139</v>
      </c>
      <c r="B90" s="126" t="s">
        <v>140</v>
      </c>
      <c r="C90" s="126" t="s">
        <v>147</v>
      </c>
      <c r="D90" s="127">
        <v>4162</v>
      </c>
      <c r="E90" s="131">
        <v>6.5229495324163098</v>
      </c>
      <c r="F90" s="133">
        <v>34897.779998427301</v>
      </c>
      <c r="G90" s="131">
        <v>2.8266114640470699</v>
      </c>
    </row>
    <row r="91" spans="1:7" x14ac:dyDescent="0.25">
      <c r="A91" s="126" t="s">
        <v>139</v>
      </c>
      <c r="B91" s="126" t="s">
        <v>140</v>
      </c>
      <c r="C91" s="126" t="s">
        <v>148</v>
      </c>
      <c r="D91" s="127">
        <v>4147</v>
      </c>
      <c r="E91" s="131">
        <v>5.3765551656966402</v>
      </c>
      <c r="F91" s="133">
        <v>31917.962412230801</v>
      </c>
      <c r="G91" s="131">
        <v>4.9498444382604001</v>
      </c>
    </row>
    <row r="92" spans="1:7" x14ac:dyDescent="0.25">
      <c r="A92" s="126" t="s">
        <v>139</v>
      </c>
      <c r="B92" s="126" t="s">
        <v>140</v>
      </c>
      <c r="C92" s="126" t="s">
        <v>149</v>
      </c>
      <c r="D92" s="127">
        <v>4141</v>
      </c>
      <c r="E92" s="131">
        <v>6.6238684946862003</v>
      </c>
      <c r="F92" s="133">
        <v>53175.800101527297</v>
      </c>
      <c r="G92" s="131">
        <v>5.8536512278622199</v>
      </c>
    </row>
    <row r="93" spans="1:7" x14ac:dyDescent="0.25">
      <c r="A93" s="126" t="s">
        <v>139</v>
      </c>
      <c r="B93" s="126" t="s">
        <v>140</v>
      </c>
      <c r="C93" s="126" t="s">
        <v>150</v>
      </c>
      <c r="D93" s="127">
        <v>4139</v>
      </c>
      <c r="E93" s="131">
        <v>3.68288804061419</v>
      </c>
      <c r="F93" s="133">
        <v>20540.471026516399</v>
      </c>
      <c r="G93" s="131">
        <v>1.67404001846099</v>
      </c>
    </row>
    <row r="94" spans="1:7" x14ac:dyDescent="0.25">
      <c r="A94" s="126" t="s">
        <v>139</v>
      </c>
      <c r="B94" s="126" t="s">
        <v>140</v>
      </c>
      <c r="C94" s="126" t="s">
        <v>151</v>
      </c>
      <c r="D94" s="127">
        <v>4143</v>
      </c>
      <c r="E94" s="131">
        <v>9.4440356632337306</v>
      </c>
      <c r="F94" s="133">
        <v>33063.475351677698</v>
      </c>
      <c r="G94" s="131">
        <v>4.6752651798186804</v>
      </c>
    </row>
    <row r="95" spans="1:7" x14ac:dyDescent="0.25">
      <c r="A95" s="126" t="s">
        <v>139</v>
      </c>
      <c r="B95" s="126" t="s">
        <v>140</v>
      </c>
      <c r="C95" s="126" t="s">
        <v>152</v>
      </c>
      <c r="D95" s="127">
        <v>4159</v>
      </c>
      <c r="E95" s="131">
        <v>4.84477026738542</v>
      </c>
      <c r="F95" s="133">
        <v>49524.318288828697</v>
      </c>
      <c r="G95" s="131">
        <v>4.3064624598981496</v>
      </c>
    </row>
    <row r="96" spans="1:7" x14ac:dyDescent="0.25">
      <c r="A96" s="126" t="s">
        <v>139</v>
      </c>
      <c r="B96" s="126" t="s">
        <v>140</v>
      </c>
      <c r="C96" s="126" t="s">
        <v>153</v>
      </c>
      <c r="D96" s="127">
        <v>4157</v>
      </c>
      <c r="E96" s="131">
        <v>3.62810944684185</v>
      </c>
      <c r="F96" s="133">
        <v>44141.9982699092</v>
      </c>
      <c r="G96" s="131">
        <v>3.62810944684185</v>
      </c>
    </row>
    <row r="97" spans="1:7" x14ac:dyDescent="0.25">
      <c r="A97" s="126" t="s">
        <v>139</v>
      </c>
      <c r="B97" s="126" t="s">
        <v>140</v>
      </c>
      <c r="C97" s="126" t="s">
        <v>154</v>
      </c>
      <c r="D97" s="127">
        <v>4148</v>
      </c>
      <c r="E97" s="131">
        <v>4.41929004017046</v>
      </c>
      <c r="F97" s="133">
        <v>31753.417325669299</v>
      </c>
      <c r="G97" s="131">
        <v>2.2914837245328301</v>
      </c>
    </row>
    <row r="98" spans="1:7" x14ac:dyDescent="0.25">
      <c r="A98" s="126" t="s">
        <v>139</v>
      </c>
      <c r="B98" s="126" t="s">
        <v>140</v>
      </c>
      <c r="C98" s="126" t="s">
        <v>155</v>
      </c>
      <c r="D98" s="127">
        <v>4144</v>
      </c>
      <c r="E98" s="131">
        <v>6.1926477019679602</v>
      </c>
      <c r="F98" s="133">
        <v>23313.497230938199</v>
      </c>
      <c r="G98" s="131">
        <v>3.6427339423340999</v>
      </c>
    </row>
    <row r="99" spans="1:7" x14ac:dyDescent="0.25">
      <c r="A99" s="126" t="s">
        <v>139</v>
      </c>
      <c r="B99" s="126" t="s">
        <v>140</v>
      </c>
      <c r="C99" s="126" t="s">
        <v>156</v>
      </c>
      <c r="D99" s="127">
        <v>4153</v>
      </c>
      <c r="E99" s="131">
        <v>5.5903047687268002</v>
      </c>
      <c r="F99" s="133">
        <v>26021.537673478299</v>
      </c>
      <c r="G99" s="131">
        <v>2.3958449008829099</v>
      </c>
    </row>
    <row r="100" spans="1:7" x14ac:dyDescent="0.25">
      <c r="A100" s="126" t="s">
        <v>139</v>
      </c>
      <c r="B100" s="126" t="s">
        <v>140</v>
      </c>
      <c r="C100" s="126" t="s">
        <v>157</v>
      </c>
      <c r="D100" s="127">
        <v>4164</v>
      </c>
      <c r="E100" s="131">
        <v>4.0423535378988902</v>
      </c>
      <c r="F100" s="133">
        <v>28577.6819679287</v>
      </c>
      <c r="G100" s="131">
        <v>1.7575450164777799</v>
      </c>
    </row>
    <row r="101" spans="1:7" x14ac:dyDescent="0.25">
      <c r="A101" s="126" t="s">
        <v>139</v>
      </c>
      <c r="B101" s="126" t="s">
        <v>140</v>
      </c>
      <c r="C101" s="126" t="s">
        <v>158</v>
      </c>
      <c r="D101" s="127">
        <v>4140</v>
      </c>
      <c r="E101" s="131">
        <v>5.08820819743491</v>
      </c>
      <c r="F101" s="133">
        <v>32564.5324635834</v>
      </c>
      <c r="G101" s="131">
        <v>2.8493965905635501</v>
      </c>
    </row>
    <row r="102" spans="1:7" x14ac:dyDescent="0.25">
      <c r="A102" s="126" t="s">
        <v>139</v>
      </c>
      <c r="B102" s="126" t="s">
        <v>159</v>
      </c>
      <c r="C102" s="126" t="s">
        <v>160</v>
      </c>
      <c r="D102" s="127">
        <v>4189</v>
      </c>
      <c r="E102" s="131">
        <v>3.5027355801524398</v>
      </c>
      <c r="F102" s="133">
        <v>34026.574207195103</v>
      </c>
      <c r="G102" s="131">
        <v>2.0015631886585399</v>
      </c>
    </row>
    <row r="103" spans="1:7" x14ac:dyDescent="0.25">
      <c r="A103" s="126" t="s">
        <v>139</v>
      </c>
      <c r="B103" s="126" t="s">
        <v>159</v>
      </c>
      <c r="C103" s="126" t="s">
        <v>161</v>
      </c>
      <c r="D103" s="127">
        <v>4195</v>
      </c>
      <c r="E103" s="131">
        <v>3.20819674157068</v>
      </c>
      <c r="F103" s="133">
        <v>34648.524808963397</v>
      </c>
      <c r="G103" s="131">
        <v>2.56655739325655</v>
      </c>
    </row>
    <row r="104" spans="1:7" x14ac:dyDescent="0.25">
      <c r="A104" s="126" t="s">
        <v>139</v>
      </c>
      <c r="B104" s="126" t="s">
        <v>159</v>
      </c>
      <c r="C104" s="126" t="s">
        <v>162</v>
      </c>
      <c r="D104" s="127">
        <v>4193</v>
      </c>
      <c r="E104" s="131">
        <v>4.9731346251786297</v>
      </c>
      <c r="F104" s="133">
        <v>42967.883161543403</v>
      </c>
      <c r="G104" s="131">
        <v>1.9892538500714501</v>
      </c>
    </row>
    <row r="105" spans="1:7" x14ac:dyDescent="0.25">
      <c r="A105" s="126" t="s">
        <v>139</v>
      </c>
      <c r="B105" s="126" t="s">
        <v>159</v>
      </c>
      <c r="C105" s="126" t="s">
        <v>163</v>
      </c>
      <c r="D105" s="127">
        <v>4184</v>
      </c>
      <c r="E105" s="131">
        <v>4.5776028163758502</v>
      </c>
      <c r="F105" s="133">
        <v>47454.482529763001</v>
      </c>
      <c r="G105" s="131">
        <v>3.0517352109172302</v>
      </c>
    </row>
    <row r="106" spans="1:7" x14ac:dyDescent="0.25">
      <c r="A106" s="126" t="s">
        <v>139</v>
      </c>
      <c r="B106" s="126" t="s">
        <v>159</v>
      </c>
      <c r="C106" s="126" t="s">
        <v>164</v>
      </c>
      <c r="D106" s="127">
        <v>4196</v>
      </c>
      <c r="E106" s="131">
        <v>4.1625589932528699</v>
      </c>
      <c r="F106" s="133">
        <v>26957.524908685202</v>
      </c>
      <c r="G106" s="131">
        <v>1.58573675933443</v>
      </c>
    </row>
    <row r="107" spans="1:7" x14ac:dyDescent="0.25">
      <c r="A107" s="126" t="s">
        <v>139</v>
      </c>
      <c r="B107" s="126" t="s">
        <v>159</v>
      </c>
      <c r="C107" s="126" t="s">
        <v>165</v>
      </c>
      <c r="D107" s="127">
        <v>4174</v>
      </c>
      <c r="E107" s="131">
        <v>2.5277426199791</v>
      </c>
      <c r="F107" s="133">
        <v>17910.8619929948</v>
      </c>
      <c r="G107" s="131">
        <v>3.79161392996865</v>
      </c>
    </row>
    <row r="108" spans="1:7" x14ac:dyDescent="0.25">
      <c r="A108" s="126" t="s">
        <v>139</v>
      </c>
      <c r="B108" s="126" t="s">
        <v>159</v>
      </c>
      <c r="C108" s="126" t="s">
        <v>166</v>
      </c>
      <c r="D108" s="127">
        <v>4170</v>
      </c>
      <c r="E108" s="131">
        <v>4.3185030179352797</v>
      </c>
      <c r="F108" s="133">
        <v>33600.060066374499</v>
      </c>
      <c r="G108" s="131">
        <v>2.1065868380172099</v>
      </c>
    </row>
    <row r="109" spans="1:7" x14ac:dyDescent="0.25">
      <c r="A109" s="126" t="s">
        <v>139</v>
      </c>
      <c r="B109" s="126" t="s">
        <v>159</v>
      </c>
      <c r="C109" s="126" t="s">
        <v>167</v>
      </c>
      <c r="D109" s="127">
        <v>4169</v>
      </c>
      <c r="E109" s="131">
        <v>4.8923070374419098</v>
      </c>
      <c r="F109" s="133">
        <v>38966.796403484703</v>
      </c>
      <c r="G109" s="131">
        <v>2.2315786486577198</v>
      </c>
    </row>
    <row r="110" spans="1:7" x14ac:dyDescent="0.25">
      <c r="A110" s="126" t="s">
        <v>139</v>
      </c>
      <c r="B110" s="126" t="s">
        <v>159</v>
      </c>
      <c r="C110" s="126" t="s">
        <v>168</v>
      </c>
      <c r="D110" s="127">
        <v>4188</v>
      </c>
      <c r="E110" s="131">
        <v>4.00281557484176</v>
      </c>
      <c r="F110" s="133">
        <v>48177.221122866198</v>
      </c>
      <c r="G110" s="131">
        <v>2.00140778742088</v>
      </c>
    </row>
    <row r="111" spans="1:7" x14ac:dyDescent="0.25">
      <c r="A111" s="126" t="s">
        <v>139</v>
      </c>
      <c r="B111" s="126" t="s">
        <v>159</v>
      </c>
      <c r="C111" s="126" t="s">
        <v>169</v>
      </c>
      <c r="D111" s="127">
        <v>4180</v>
      </c>
      <c r="E111" s="131">
        <v>4.1215852393533101</v>
      </c>
      <c r="F111" s="133">
        <v>40960.029861435301</v>
      </c>
      <c r="G111" s="131">
        <v>2.8424725788643501</v>
      </c>
    </row>
    <row r="112" spans="1:7" x14ac:dyDescent="0.25">
      <c r="A112" s="126" t="s">
        <v>139</v>
      </c>
      <c r="B112" s="126" t="s">
        <v>159</v>
      </c>
      <c r="C112" s="126" t="s">
        <v>170</v>
      </c>
      <c r="D112" s="127">
        <v>4185</v>
      </c>
      <c r="E112" s="131">
        <v>2.10173827346456</v>
      </c>
      <c r="F112" s="133">
        <v>39032.282221484798</v>
      </c>
      <c r="G112" s="131">
        <v>2.7022349230258702</v>
      </c>
    </row>
    <row r="113" spans="1:7" x14ac:dyDescent="0.25">
      <c r="A113" s="126" t="s">
        <v>139</v>
      </c>
      <c r="B113" s="126" t="s">
        <v>159</v>
      </c>
      <c r="C113" s="126" t="s">
        <v>171</v>
      </c>
      <c r="D113" s="127">
        <v>4178</v>
      </c>
      <c r="E113" s="131">
        <v>3.5973938356722801</v>
      </c>
      <c r="F113" s="133">
        <v>28465.196314264998</v>
      </c>
      <c r="G113" s="131">
        <v>1.56977185556609</v>
      </c>
    </row>
    <row r="114" spans="1:7" x14ac:dyDescent="0.25">
      <c r="A114" s="126" t="s">
        <v>139</v>
      </c>
      <c r="B114" s="126" t="s">
        <v>159</v>
      </c>
      <c r="C114" s="126" t="s">
        <v>172</v>
      </c>
      <c r="D114" s="127">
        <v>4194</v>
      </c>
      <c r="E114" s="131">
        <v>2.4814751955576102</v>
      </c>
      <c r="F114" s="133">
        <v>88257.801121998898</v>
      </c>
      <c r="G114" s="131">
        <v>2.8123385549652902</v>
      </c>
    </row>
    <row r="115" spans="1:7" x14ac:dyDescent="0.25">
      <c r="A115" s="126" t="s">
        <v>139</v>
      </c>
      <c r="B115" s="126" t="s">
        <v>159</v>
      </c>
      <c r="C115" s="126" t="s">
        <v>173</v>
      </c>
      <c r="D115" s="127">
        <v>4181</v>
      </c>
      <c r="E115" s="131">
        <v>3.8650048858635002</v>
      </c>
      <c r="F115" s="133">
        <v>45656.928683974598</v>
      </c>
      <c r="G115" s="131">
        <v>1.9948412314134201</v>
      </c>
    </row>
    <row r="116" spans="1:7" x14ac:dyDescent="0.25">
      <c r="A116" s="126" t="s">
        <v>139</v>
      </c>
      <c r="B116" s="126" t="s">
        <v>159</v>
      </c>
      <c r="C116" s="126" t="s">
        <v>174</v>
      </c>
      <c r="D116" s="127">
        <v>4183</v>
      </c>
      <c r="E116" s="131">
        <v>4.66862783681119</v>
      </c>
      <c r="F116" s="133">
        <v>32043.763789022199</v>
      </c>
      <c r="G116" s="131">
        <v>2.54652427462428</v>
      </c>
    </row>
    <row r="117" spans="1:7" x14ac:dyDescent="0.25">
      <c r="A117" s="126" t="s">
        <v>175</v>
      </c>
      <c r="B117" s="126" t="s">
        <v>176</v>
      </c>
      <c r="C117" s="126" t="s">
        <v>177</v>
      </c>
      <c r="D117" s="127">
        <v>551110</v>
      </c>
      <c r="E117" s="131">
        <v>4.3833883868203296</v>
      </c>
      <c r="F117" s="133">
        <v>29807.041030378299</v>
      </c>
      <c r="G117" s="131">
        <v>3.7305433079322001</v>
      </c>
    </row>
    <row r="118" spans="1:7" x14ac:dyDescent="0.25">
      <c r="A118" s="126" t="s">
        <v>175</v>
      </c>
      <c r="B118" s="126" t="s">
        <v>176</v>
      </c>
      <c r="C118" s="126" t="s">
        <v>178</v>
      </c>
      <c r="D118" s="127">
        <v>451101</v>
      </c>
      <c r="E118" s="131">
        <v>8.02918427862949</v>
      </c>
      <c r="F118" s="133">
        <v>99510.4159250144</v>
      </c>
      <c r="G118" s="131">
        <v>3.6028390993850299</v>
      </c>
    </row>
    <row r="119" spans="1:7" x14ac:dyDescent="0.25">
      <c r="A119" s="126" t="s">
        <v>175</v>
      </c>
      <c r="B119" s="126" t="s">
        <v>176</v>
      </c>
      <c r="C119" s="126" t="s">
        <v>179</v>
      </c>
      <c r="D119" s="127">
        <v>551103</v>
      </c>
      <c r="E119" s="131">
        <v>6.2261957190900699</v>
      </c>
      <c r="F119" s="133">
        <v>35965.4364479203</v>
      </c>
      <c r="G119" s="131">
        <v>3.6624680700529799</v>
      </c>
    </row>
    <row r="120" spans="1:7" x14ac:dyDescent="0.25">
      <c r="A120" s="126" t="s">
        <v>175</v>
      </c>
      <c r="B120" s="126" t="s">
        <v>176</v>
      </c>
      <c r="C120" s="126" t="s">
        <v>180</v>
      </c>
      <c r="D120" s="127">
        <v>551330</v>
      </c>
      <c r="E120" s="131">
        <v>6.3734326077967296</v>
      </c>
      <c r="F120" s="133">
        <v>38686.735929326198</v>
      </c>
      <c r="G120" s="131">
        <v>2.2307014127288598</v>
      </c>
    </row>
    <row r="121" spans="1:7" x14ac:dyDescent="0.25">
      <c r="A121" s="126" t="s">
        <v>175</v>
      </c>
      <c r="B121" s="126" t="s">
        <v>176</v>
      </c>
      <c r="C121" s="126" t="s">
        <v>181</v>
      </c>
      <c r="D121" s="127">
        <v>451115</v>
      </c>
      <c r="E121" s="131">
        <v>9.7821980651561393</v>
      </c>
      <c r="F121" s="133">
        <v>50665.0396340156</v>
      </c>
      <c r="G121" s="131">
        <v>6.0717091438900201</v>
      </c>
    </row>
    <row r="122" spans="1:7" x14ac:dyDescent="0.25">
      <c r="A122" s="126" t="s">
        <v>175</v>
      </c>
      <c r="B122" s="126" t="s">
        <v>176</v>
      </c>
      <c r="C122" s="126" t="s">
        <v>182</v>
      </c>
      <c r="D122" s="127">
        <v>551128</v>
      </c>
      <c r="E122" s="131">
        <v>3.6816621911299299</v>
      </c>
      <c r="F122" s="133">
        <v>32214.544172386901</v>
      </c>
      <c r="G122" s="131">
        <v>3.0680518259416099</v>
      </c>
    </row>
    <row r="123" spans="1:7" x14ac:dyDescent="0.25">
      <c r="A123" s="126" t="s">
        <v>175</v>
      </c>
      <c r="B123" s="126" t="s">
        <v>176</v>
      </c>
      <c r="C123" s="126" t="s">
        <v>183</v>
      </c>
      <c r="D123" s="127">
        <v>451120</v>
      </c>
      <c r="E123" s="131">
        <v>3.8363966658584601</v>
      </c>
      <c r="F123" s="133">
        <v>41554.233359666898</v>
      </c>
      <c r="G123" s="131">
        <v>3.2306498238808099</v>
      </c>
    </row>
    <row r="124" spans="1:7" x14ac:dyDescent="0.25">
      <c r="A124" s="126" t="s">
        <v>175</v>
      </c>
      <c r="B124" s="126" t="s">
        <v>176</v>
      </c>
      <c r="C124" s="126" t="s">
        <v>184</v>
      </c>
      <c r="D124" s="127">
        <v>451381</v>
      </c>
      <c r="E124" s="131">
        <v>4.6981770583290796</v>
      </c>
      <c r="F124" s="133">
        <v>46288.5969189471</v>
      </c>
      <c r="G124" s="131">
        <v>2.4646174732218098</v>
      </c>
    </row>
    <row r="125" spans="1:7" x14ac:dyDescent="0.25">
      <c r="A125" s="126" t="s">
        <v>175</v>
      </c>
      <c r="B125" s="126" t="s">
        <v>176</v>
      </c>
      <c r="C125" s="126" t="s">
        <v>185</v>
      </c>
      <c r="D125" s="127">
        <v>551354</v>
      </c>
      <c r="E125" s="131">
        <v>4.3129585005770901</v>
      </c>
      <c r="F125" s="133">
        <v>42770.171797389499</v>
      </c>
      <c r="G125" s="131">
        <v>2.1564792502885402</v>
      </c>
    </row>
    <row r="126" spans="1:7" x14ac:dyDescent="0.25">
      <c r="A126" s="126" t="s">
        <v>175</v>
      </c>
      <c r="B126" s="126" t="s">
        <v>176</v>
      </c>
      <c r="C126" s="126" t="s">
        <v>186</v>
      </c>
      <c r="D126" s="127">
        <v>451166</v>
      </c>
      <c r="E126" s="131">
        <v>3.9498274129258002</v>
      </c>
      <c r="F126" s="133">
        <v>28053.254217564201</v>
      </c>
      <c r="G126" s="131">
        <v>3.1598619303406399</v>
      </c>
    </row>
    <row r="127" spans="1:7" x14ac:dyDescent="0.25">
      <c r="A127" s="126" t="s">
        <v>175</v>
      </c>
      <c r="B127" s="126" t="s">
        <v>187</v>
      </c>
      <c r="C127" s="126" t="s">
        <v>188</v>
      </c>
      <c r="D127" s="127">
        <v>508815</v>
      </c>
      <c r="E127" s="131">
        <v>4.4499876513070902</v>
      </c>
      <c r="F127" s="133">
        <v>44499.8765130709</v>
      </c>
      <c r="G127" s="131">
        <v>4.4499876513070902</v>
      </c>
    </row>
    <row r="128" spans="1:7" x14ac:dyDescent="0.25">
      <c r="A128" s="126" t="s">
        <v>175</v>
      </c>
      <c r="B128" s="126" t="s">
        <v>187</v>
      </c>
      <c r="C128" s="126" t="s">
        <v>189</v>
      </c>
      <c r="D128" s="127">
        <v>408801</v>
      </c>
      <c r="E128" s="131">
        <v>4.3971907382905</v>
      </c>
      <c r="F128" s="133">
        <v>44710.635426937799</v>
      </c>
      <c r="G128" s="131">
        <v>2.4624268134426801</v>
      </c>
    </row>
    <row r="129" spans="1:7" x14ac:dyDescent="0.25">
      <c r="A129" s="126" t="s">
        <v>175</v>
      </c>
      <c r="B129" s="126" t="s">
        <v>187</v>
      </c>
      <c r="C129" s="126" t="s">
        <v>187</v>
      </c>
      <c r="D129" s="127">
        <v>408822</v>
      </c>
      <c r="E129" s="131">
        <v>7.5827367317516998</v>
      </c>
      <c r="F129" s="133">
        <v>71253.653098365205</v>
      </c>
      <c r="G129" s="131">
        <v>3.1293834131038798</v>
      </c>
    </row>
    <row r="130" spans="1:7" x14ac:dyDescent="0.25">
      <c r="A130" s="126" t="s">
        <v>175</v>
      </c>
      <c r="B130" s="126" t="s">
        <v>187</v>
      </c>
      <c r="C130" s="126" t="s">
        <v>190</v>
      </c>
      <c r="D130" s="127">
        <v>508817</v>
      </c>
      <c r="E130" s="131">
        <v>3.1275205291729802</v>
      </c>
      <c r="F130" s="133">
        <v>50032.8224174977</v>
      </c>
      <c r="G130" s="131">
        <v>3.1275205291729802</v>
      </c>
    </row>
    <row r="131" spans="1:7" x14ac:dyDescent="0.25">
      <c r="A131" s="126" t="s">
        <v>175</v>
      </c>
      <c r="B131" s="126" t="s">
        <v>187</v>
      </c>
      <c r="C131" s="126" t="s">
        <v>191</v>
      </c>
      <c r="D131" s="127">
        <v>508802</v>
      </c>
      <c r="E131" s="131">
        <v>6.2762240180665101</v>
      </c>
      <c r="F131" s="133">
        <v>34328.216585772498</v>
      </c>
      <c r="G131" s="131">
        <v>2.7287930513332701</v>
      </c>
    </row>
    <row r="132" spans="1:7" x14ac:dyDescent="0.25">
      <c r="A132" s="126" t="s">
        <v>175</v>
      </c>
      <c r="B132" s="126" t="s">
        <v>187</v>
      </c>
      <c r="C132" s="126" t="s">
        <v>192</v>
      </c>
      <c r="D132" s="127">
        <v>508839</v>
      </c>
      <c r="E132" s="131">
        <v>8.6861210849868407</v>
      </c>
      <c r="F132" s="133">
        <v>39973.529233109402</v>
      </c>
      <c r="G132" s="131">
        <v>2.4817488814248101</v>
      </c>
    </row>
    <row r="133" spans="1:7" x14ac:dyDescent="0.25">
      <c r="A133" s="126" t="s">
        <v>175</v>
      </c>
      <c r="B133" s="126" t="s">
        <v>187</v>
      </c>
      <c r="C133" s="126" t="s">
        <v>193</v>
      </c>
      <c r="D133" s="127">
        <v>508819</v>
      </c>
      <c r="E133" s="131">
        <v>4.0930670505103004</v>
      </c>
      <c r="F133" s="133">
        <v>61779.730793639901</v>
      </c>
      <c r="G133" s="131">
        <v>3.5814336691965201</v>
      </c>
    </row>
    <row r="134" spans="1:7" x14ac:dyDescent="0.25">
      <c r="A134" s="126" t="s">
        <v>175</v>
      </c>
      <c r="B134" s="126" t="s">
        <v>187</v>
      </c>
      <c r="C134" s="126" t="s">
        <v>194</v>
      </c>
      <c r="D134" s="127">
        <v>408840</v>
      </c>
      <c r="E134" s="131">
        <v>5.1749146803762098</v>
      </c>
      <c r="F134" s="133">
        <v>34504.995626895601</v>
      </c>
      <c r="G134" s="131">
        <v>1.8362600478754301</v>
      </c>
    </row>
    <row r="135" spans="1:7" x14ac:dyDescent="0.25">
      <c r="A135" s="126" t="s">
        <v>175</v>
      </c>
      <c r="B135" s="126" t="s">
        <v>187</v>
      </c>
      <c r="C135" s="126" t="s">
        <v>195</v>
      </c>
      <c r="D135" s="127">
        <v>408862</v>
      </c>
      <c r="E135" s="131">
        <v>5.1637322223059403</v>
      </c>
      <c r="F135" s="133">
        <v>48487.4455674528</v>
      </c>
      <c r="G135" s="131">
        <v>3.0982393333835598</v>
      </c>
    </row>
    <row r="136" spans="1:7" x14ac:dyDescent="0.25">
      <c r="A136" s="126" t="s">
        <v>175</v>
      </c>
      <c r="B136" s="126" t="s">
        <v>187</v>
      </c>
      <c r="C136" s="126" t="s">
        <v>196</v>
      </c>
      <c r="D136" s="127">
        <v>508860</v>
      </c>
      <c r="E136" s="131">
        <v>3.7761049361279801</v>
      </c>
      <c r="F136" s="133">
        <v>45313.259233535799</v>
      </c>
      <c r="G136" s="131">
        <v>3.59629041535998</v>
      </c>
    </row>
    <row r="137" spans="1:7" x14ac:dyDescent="0.25">
      <c r="A137" s="126" t="s">
        <v>175</v>
      </c>
      <c r="B137" s="126" t="s">
        <v>187</v>
      </c>
      <c r="C137" s="126" t="s">
        <v>197</v>
      </c>
      <c r="D137" s="127">
        <v>408806</v>
      </c>
      <c r="E137" s="131">
        <v>4.4831826295103001</v>
      </c>
      <c r="F137" s="133">
        <v>70883.025788183601</v>
      </c>
      <c r="G137" s="131">
        <v>2.06916121362014</v>
      </c>
    </row>
    <row r="138" spans="1:7" x14ac:dyDescent="0.25">
      <c r="A138" s="126" t="s">
        <v>175</v>
      </c>
      <c r="B138" s="126" t="s">
        <v>187</v>
      </c>
      <c r="C138" s="126" t="s">
        <v>198</v>
      </c>
      <c r="D138" s="127">
        <v>508833</v>
      </c>
      <c r="E138" s="131">
        <v>6.8350633945877703</v>
      </c>
      <c r="F138" s="133">
        <v>47503.690592384999</v>
      </c>
      <c r="G138" s="131">
        <v>3.0757785275645002</v>
      </c>
    </row>
    <row r="139" spans="1:7" x14ac:dyDescent="0.25">
      <c r="A139" s="126" t="s">
        <v>175</v>
      </c>
      <c r="B139" s="126" t="s">
        <v>187</v>
      </c>
      <c r="C139" s="126" t="s">
        <v>199</v>
      </c>
      <c r="D139" s="127">
        <v>508820</v>
      </c>
      <c r="E139" s="131">
        <v>16.513897861146202</v>
      </c>
      <c r="F139" s="133">
        <v>52703.929344083597</v>
      </c>
      <c r="G139" s="131">
        <v>5.2703929344083598</v>
      </c>
    </row>
    <row r="140" spans="1:7" x14ac:dyDescent="0.25">
      <c r="A140" s="126" t="s">
        <v>175</v>
      </c>
      <c r="B140" s="126" t="s">
        <v>187</v>
      </c>
      <c r="C140" s="126" t="s">
        <v>200</v>
      </c>
      <c r="D140" s="127">
        <v>408814</v>
      </c>
      <c r="E140" s="131">
        <v>14.4098610124466</v>
      </c>
      <c r="F140" s="133">
        <v>119809.988840153</v>
      </c>
      <c r="G140" s="131">
        <v>6.4043826721984898</v>
      </c>
    </row>
    <row r="141" spans="1:7" x14ac:dyDescent="0.25">
      <c r="A141" s="126" t="s">
        <v>175</v>
      </c>
      <c r="B141" s="126" t="s">
        <v>201</v>
      </c>
      <c r="C141" s="126" t="s">
        <v>202</v>
      </c>
      <c r="D141" s="127">
        <v>551367</v>
      </c>
      <c r="E141" s="131">
        <v>9.79061008660406</v>
      </c>
      <c r="F141" s="133">
        <v>60960.402426025299</v>
      </c>
      <c r="G141" s="131">
        <v>3.69456984400153</v>
      </c>
    </row>
    <row r="142" spans="1:7" x14ac:dyDescent="0.25">
      <c r="A142" s="126" t="s">
        <v>175</v>
      </c>
      <c r="B142" s="126" t="s">
        <v>201</v>
      </c>
      <c r="C142" s="126" t="s">
        <v>203</v>
      </c>
      <c r="D142" s="127">
        <v>551340</v>
      </c>
      <c r="E142" s="131">
        <v>5.01769911499985</v>
      </c>
      <c r="F142" s="133">
        <v>37699.6460173655</v>
      </c>
      <c r="G142" s="131">
        <v>3.0106194689999102</v>
      </c>
    </row>
    <row r="143" spans="1:7" x14ac:dyDescent="0.25">
      <c r="A143" s="126" t="s">
        <v>175</v>
      </c>
      <c r="B143" s="126" t="s">
        <v>201</v>
      </c>
      <c r="C143" s="126" t="s">
        <v>204</v>
      </c>
      <c r="D143" s="127">
        <v>551369</v>
      </c>
      <c r="E143" s="131">
        <v>3.2481123171874402</v>
      </c>
      <c r="F143" s="133">
        <v>59908.070749040497</v>
      </c>
      <c r="G143" s="131">
        <v>3.7609721567433501</v>
      </c>
    </row>
    <row r="144" spans="1:7" x14ac:dyDescent="0.25">
      <c r="A144" s="126" t="s">
        <v>175</v>
      </c>
      <c r="B144" s="126" t="s">
        <v>201</v>
      </c>
      <c r="C144" s="126" t="s">
        <v>205</v>
      </c>
      <c r="D144" s="127">
        <v>551365</v>
      </c>
      <c r="E144" s="131">
        <v>5.8092616689577303</v>
      </c>
      <c r="F144" s="133">
        <v>32306.990700913298</v>
      </c>
      <c r="G144" s="131">
        <v>2.9983286033330199</v>
      </c>
    </row>
    <row r="145" spans="1:7" x14ac:dyDescent="0.25">
      <c r="A145" s="126" t="s">
        <v>175</v>
      </c>
      <c r="B145" s="126" t="s">
        <v>201</v>
      </c>
      <c r="C145" s="126" t="s">
        <v>206</v>
      </c>
      <c r="D145" s="127">
        <v>451370</v>
      </c>
      <c r="E145" s="131">
        <v>6.1153793366229499</v>
      </c>
      <c r="F145" s="133">
        <v>25468.202868059001</v>
      </c>
      <c r="G145" s="131">
        <v>1.88165518049937</v>
      </c>
    </row>
    <row r="146" spans="1:7" x14ac:dyDescent="0.25">
      <c r="A146" s="126" t="s">
        <v>175</v>
      </c>
      <c r="B146" s="126" t="s">
        <v>201</v>
      </c>
      <c r="C146" s="126" t="s">
        <v>207</v>
      </c>
      <c r="D146" s="127">
        <v>551314</v>
      </c>
      <c r="E146" s="131">
        <v>5.7068980912925102</v>
      </c>
      <c r="F146" s="133">
        <v>34664.121739702699</v>
      </c>
      <c r="G146" s="131">
        <v>5.0727983033711199</v>
      </c>
    </row>
    <row r="147" spans="1:7" x14ac:dyDescent="0.25">
      <c r="A147" s="126" t="s">
        <v>175</v>
      </c>
      <c r="B147" s="126" t="s">
        <v>201</v>
      </c>
      <c r="C147" s="126" t="s">
        <v>208</v>
      </c>
      <c r="D147" s="127">
        <v>451361</v>
      </c>
      <c r="E147" s="131">
        <v>3.96845940310227</v>
      </c>
      <c r="F147" s="133">
        <v>30953.983344197699</v>
      </c>
      <c r="G147" s="131">
        <v>4.2330233633090799</v>
      </c>
    </row>
    <row r="148" spans="1:7" x14ac:dyDescent="0.25">
      <c r="A148" s="126" t="s">
        <v>175</v>
      </c>
      <c r="B148" s="126" t="s">
        <v>201</v>
      </c>
      <c r="C148" s="126" t="s">
        <v>209</v>
      </c>
      <c r="D148" s="127">
        <v>451350</v>
      </c>
      <c r="E148" s="131">
        <v>9.5984374106890797</v>
      </c>
      <c r="F148" s="133">
        <v>34903.4087661421</v>
      </c>
      <c r="G148" s="131">
        <v>2.9917207513836099</v>
      </c>
    </row>
    <row r="149" spans="1:7" x14ac:dyDescent="0.25">
      <c r="A149" s="126" t="s">
        <v>175</v>
      </c>
      <c r="B149" s="126" t="s">
        <v>201</v>
      </c>
      <c r="C149" s="126" t="s">
        <v>210</v>
      </c>
      <c r="D149" s="127">
        <v>551310</v>
      </c>
      <c r="E149" s="131">
        <v>5.5467580720639296</v>
      </c>
      <c r="F149" s="133">
        <v>38731.252889053198</v>
      </c>
      <c r="G149" s="131">
        <v>4.32917703185477</v>
      </c>
    </row>
    <row r="150" spans="1:7" x14ac:dyDescent="0.25">
      <c r="A150" s="126" t="s">
        <v>175</v>
      </c>
      <c r="B150" s="126" t="s">
        <v>201</v>
      </c>
      <c r="C150" s="126" t="s">
        <v>211</v>
      </c>
      <c r="D150" s="127">
        <v>551309</v>
      </c>
      <c r="E150" s="131">
        <v>5.5235015445555797</v>
      </c>
      <c r="F150" s="133">
        <v>45257.077171519901</v>
      </c>
      <c r="G150" s="131">
        <v>3.56354938358424</v>
      </c>
    </row>
    <row r="151" spans="1:7" x14ac:dyDescent="0.25">
      <c r="A151" s="126" t="s">
        <v>175</v>
      </c>
      <c r="B151" s="126" t="s">
        <v>201</v>
      </c>
      <c r="C151" s="126" t="s">
        <v>212</v>
      </c>
      <c r="D151" s="127">
        <v>551305</v>
      </c>
      <c r="E151" s="131">
        <v>5.5033393900257899</v>
      </c>
      <c r="F151" s="133">
        <v>26885.826337126</v>
      </c>
      <c r="G151" s="131">
        <v>3.7583781200176101</v>
      </c>
    </row>
    <row r="152" spans="1:7" x14ac:dyDescent="0.25">
      <c r="A152" s="126" t="s">
        <v>175</v>
      </c>
      <c r="B152" s="126" t="s">
        <v>201</v>
      </c>
      <c r="C152" s="126" t="s">
        <v>213</v>
      </c>
      <c r="D152" s="127">
        <v>451301</v>
      </c>
      <c r="E152" s="131">
        <v>4.4128190590714196</v>
      </c>
      <c r="F152" s="133">
        <v>41588.928423580001</v>
      </c>
      <c r="G152" s="131">
        <v>2.6476914354428498</v>
      </c>
    </row>
    <row r="153" spans="1:7" x14ac:dyDescent="0.25">
      <c r="A153" s="126" t="s">
        <v>175</v>
      </c>
      <c r="B153" s="126" t="s">
        <v>201</v>
      </c>
      <c r="C153" s="126" t="s">
        <v>214</v>
      </c>
      <c r="D153" s="127">
        <v>551341</v>
      </c>
      <c r="E153" s="131">
        <v>4.8216579447175496</v>
      </c>
      <c r="F153" s="133">
        <v>41837.155089549196</v>
      </c>
      <c r="G153" s="131">
        <v>2.9671741198261898</v>
      </c>
    </row>
    <row r="154" spans="1:7" x14ac:dyDescent="0.25">
      <c r="A154" s="126" t="s">
        <v>175</v>
      </c>
      <c r="B154" s="126" t="s">
        <v>201</v>
      </c>
      <c r="C154" s="126" t="s">
        <v>215</v>
      </c>
      <c r="D154" s="127">
        <v>551307</v>
      </c>
      <c r="E154" s="131">
        <v>6.3805168670755501</v>
      </c>
      <c r="F154" s="133">
        <v>30695.459522687801</v>
      </c>
      <c r="G154" s="131">
        <v>3.1040352326313498</v>
      </c>
    </row>
    <row r="155" spans="1:7" x14ac:dyDescent="0.25">
      <c r="A155" s="126" t="s">
        <v>175</v>
      </c>
      <c r="B155" s="126" t="s">
        <v>201</v>
      </c>
      <c r="C155" s="126" t="s">
        <v>216</v>
      </c>
      <c r="D155" s="127">
        <v>551306</v>
      </c>
      <c r="E155" s="131">
        <v>5.1920075062916196</v>
      </c>
      <c r="F155" s="133">
        <v>61489.657525492898</v>
      </c>
      <c r="G155" s="131">
        <v>3.2577302000261099</v>
      </c>
    </row>
    <row r="156" spans="1:7" x14ac:dyDescent="0.25">
      <c r="A156" s="126" t="s">
        <v>175</v>
      </c>
      <c r="B156" s="126" t="s">
        <v>201</v>
      </c>
      <c r="C156" s="126" t="s">
        <v>217</v>
      </c>
      <c r="D156" s="127">
        <v>551349</v>
      </c>
      <c r="E156" s="131">
        <v>4.2737851918469003</v>
      </c>
      <c r="F156" s="133">
        <v>86081.156739116195</v>
      </c>
      <c r="G156" s="131">
        <v>4.9860827238213803</v>
      </c>
    </row>
    <row r="157" spans="1:7" x14ac:dyDescent="0.25">
      <c r="A157" s="126" t="s">
        <v>175</v>
      </c>
      <c r="B157" s="126" t="s">
        <v>201</v>
      </c>
      <c r="C157" s="126" t="s">
        <v>218</v>
      </c>
      <c r="D157" s="127">
        <v>451308</v>
      </c>
      <c r="E157" s="131">
        <v>5.4019706774535603</v>
      </c>
      <c r="F157" s="133">
        <v>30999.945364932399</v>
      </c>
      <c r="G157" s="131">
        <v>1.96435297361948</v>
      </c>
    </row>
    <row r="158" spans="1:7" x14ac:dyDescent="0.25">
      <c r="A158" s="126" t="s">
        <v>175</v>
      </c>
      <c r="B158" s="126" t="s">
        <v>201</v>
      </c>
      <c r="C158" s="126" t="s">
        <v>219</v>
      </c>
      <c r="D158" s="127">
        <v>451336</v>
      </c>
      <c r="E158" s="131">
        <v>6.5114141333394997</v>
      </c>
      <c r="F158" s="133">
        <v>63439.205267095997</v>
      </c>
      <c r="G158" s="131">
        <v>3.2056192656440601</v>
      </c>
    </row>
    <row r="159" spans="1:7" x14ac:dyDescent="0.25">
      <c r="A159" s="126" t="s">
        <v>220</v>
      </c>
      <c r="B159" s="126" t="s">
        <v>221</v>
      </c>
      <c r="C159" s="126" t="s">
        <v>222</v>
      </c>
      <c r="D159" s="127">
        <v>554116</v>
      </c>
      <c r="E159" s="131">
        <v>4.3962783483447101</v>
      </c>
      <c r="F159" s="133">
        <v>42563.967645337398</v>
      </c>
      <c r="G159" s="131">
        <v>1.9983083401566899</v>
      </c>
    </row>
    <row r="160" spans="1:7" x14ac:dyDescent="0.25">
      <c r="A160" s="126" t="s">
        <v>220</v>
      </c>
      <c r="B160" s="126" t="s">
        <v>221</v>
      </c>
      <c r="C160" s="126" t="s">
        <v>223</v>
      </c>
      <c r="D160" s="127">
        <v>454161</v>
      </c>
      <c r="E160" s="131">
        <v>6.1834143206724503</v>
      </c>
      <c r="F160" s="133">
        <v>63143.5721216905</v>
      </c>
      <c r="G160" s="131">
        <v>3.6373025415720299</v>
      </c>
    </row>
    <row r="161" spans="1:7" x14ac:dyDescent="0.25">
      <c r="A161" s="126" t="s">
        <v>220</v>
      </c>
      <c r="B161" s="126" t="s">
        <v>221</v>
      </c>
      <c r="C161" s="126" t="s">
        <v>224</v>
      </c>
      <c r="D161" s="127">
        <v>554166</v>
      </c>
      <c r="E161" s="131">
        <v>2.3814011539159901</v>
      </c>
      <c r="F161" s="133">
        <v>62502.6210550873</v>
      </c>
      <c r="G161" s="131">
        <v>2.5645858580633698</v>
      </c>
    </row>
    <row r="162" spans="1:7" x14ac:dyDescent="0.25">
      <c r="A162" s="126" t="s">
        <v>220</v>
      </c>
      <c r="B162" s="126" t="s">
        <v>221</v>
      </c>
      <c r="C162" s="126" t="s">
        <v>225</v>
      </c>
      <c r="D162" s="127">
        <v>454171</v>
      </c>
      <c r="E162" s="131">
        <v>5.5162162918463498</v>
      </c>
      <c r="F162" s="133">
        <v>35982.703196043898</v>
      </c>
      <c r="G162" s="131">
        <v>4.2432433014202697</v>
      </c>
    </row>
    <row r="163" spans="1:7" x14ac:dyDescent="0.25">
      <c r="A163" s="126" t="s">
        <v>220</v>
      </c>
      <c r="B163" s="126" t="s">
        <v>221</v>
      </c>
      <c r="C163" s="126" t="s">
        <v>226</v>
      </c>
      <c r="D163" s="127">
        <v>554266</v>
      </c>
      <c r="E163" s="131">
        <v>4.4043417154857796</v>
      </c>
      <c r="F163" s="133">
        <v>45050.123832683101</v>
      </c>
      <c r="G163" s="131">
        <v>5.6627250627674304</v>
      </c>
    </row>
    <row r="164" spans="1:7" x14ac:dyDescent="0.25">
      <c r="A164" s="126" t="s">
        <v>220</v>
      </c>
      <c r="B164" s="126" t="s">
        <v>221</v>
      </c>
      <c r="C164" s="126" t="s">
        <v>227</v>
      </c>
      <c r="D164" s="127">
        <v>554296</v>
      </c>
      <c r="E164" s="131">
        <v>2.2926547696355901</v>
      </c>
      <c r="F164" s="133">
        <v>57990.679467253103</v>
      </c>
      <c r="G164" s="131">
        <v>2.42751681490827</v>
      </c>
    </row>
    <row r="165" spans="1:7" x14ac:dyDescent="0.25">
      <c r="A165" s="126" t="s">
        <v>220</v>
      </c>
      <c r="B165" s="126" t="s">
        <v>221</v>
      </c>
      <c r="C165" s="126" t="s">
        <v>228</v>
      </c>
      <c r="D165" s="127">
        <v>554356</v>
      </c>
      <c r="E165" s="131">
        <v>3.3419786514904999</v>
      </c>
      <c r="F165" s="133">
        <v>35424.973705799297</v>
      </c>
      <c r="G165" s="131">
        <v>2.78498220957542</v>
      </c>
    </row>
    <row r="166" spans="1:7" x14ac:dyDescent="0.25">
      <c r="A166" s="126" t="s">
        <v>220</v>
      </c>
      <c r="B166" s="126" t="s">
        <v>221</v>
      </c>
      <c r="C166" s="126" t="s">
        <v>229</v>
      </c>
      <c r="D166" s="127">
        <v>454426</v>
      </c>
      <c r="E166" s="131">
        <v>4.83639116388962</v>
      </c>
      <c r="F166" s="133">
        <v>38050.307481901596</v>
      </c>
      <c r="G166" s="131">
        <v>3.6272933729172201</v>
      </c>
    </row>
    <row r="167" spans="1:7" x14ac:dyDescent="0.25">
      <c r="A167" s="126" t="s">
        <v>220</v>
      </c>
      <c r="B167" s="126" t="s">
        <v>221</v>
      </c>
      <c r="C167" s="126" t="s">
        <v>230</v>
      </c>
      <c r="D167" s="127">
        <v>554431</v>
      </c>
      <c r="E167" s="131">
        <v>9.4571467275169105</v>
      </c>
      <c r="F167" s="133">
        <v>37058.920661012802</v>
      </c>
      <c r="G167" s="131">
        <v>2.9098913007744298</v>
      </c>
    </row>
    <row r="168" spans="1:7" x14ac:dyDescent="0.25">
      <c r="A168" s="126" t="s">
        <v>220</v>
      </c>
      <c r="B168" s="126" t="s">
        <v>221</v>
      </c>
      <c r="C168" s="126" t="s">
        <v>231</v>
      </c>
      <c r="D168" s="127">
        <v>554476</v>
      </c>
      <c r="E168" s="131">
        <v>4.2080315952451404</v>
      </c>
      <c r="F168" s="133">
        <v>72279.130930093001</v>
      </c>
      <c r="G168" s="131">
        <v>2.4753127030853799</v>
      </c>
    </row>
    <row r="169" spans="1:7" x14ac:dyDescent="0.25">
      <c r="A169" s="126" t="s">
        <v>220</v>
      </c>
      <c r="B169" s="126" t="s">
        <v>221</v>
      </c>
      <c r="C169" s="126" t="s">
        <v>232</v>
      </c>
      <c r="D169" s="127">
        <v>554471</v>
      </c>
      <c r="E169" s="131">
        <v>5.9092662046511801</v>
      </c>
      <c r="F169" s="133">
        <v>68493.767372093207</v>
      </c>
      <c r="G169" s="131">
        <v>5.3720601860465296</v>
      </c>
    </row>
    <row r="170" spans="1:7" x14ac:dyDescent="0.25">
      <c r="A170" s="126" t="s">
        <v>220</v>
      </c>
      <c r="B170" s="126" t="s">
        <v>221</v>
      </c>
      <c r="C170" s="126" t="s">
        <v>233</v>
      </c>
      <c r="D170" s="127">
        <v>454481</v>
      </c>
      <c r="E170" s="131">
        <v>3.84643513805131</v>
      </c>
      <c r="F170" s="133">
        <v>30874.854048745601</v>
      </c>
      <c r="G170" s="131">
        <v>3.0771481104410499</v>
      </c>
    </row>
    <row r="171" spans="1:7" x14ac:dyDescent="0.25">
      <c r="A171" s="126" t="s">
        <v>220</v>
      </c>
      <c r="B171" s="126" t="s">
        <v>221</v>
      </c>
      <c r="C171" s="126" t="s">
        <v>234</v>
      </c>
      <c r="D171" s="127">
        <v>554486</v>
      </c>
      <c r="E171" s="131">
        <v>4.1050162593632402</v>
      </c>
      <c r="F171" s="133">
        <v>33682.184692211202</v>
      </c>
      <c r="G171" s="131">
        <v>1.6841092346105599</v>
      </c>
    </row>
    <row r="172" spans="1:7" x14ac:dyDescent="0.25">
      <c r="A172" s="126" t="s">
        <v>220</v>
      </c>
      <c r="B172" s="126" t="s">
        <v>221</v>
      </c>
      <c r="C172" s="126" t="s">
        <v>235</v>
      </c>
      <c r="D172" s="127">
        <v>554491</v>
      </c>
      <c r="E172" s="131">
        <v>3.1806189207796902</v>
      </c>
      <c r="F172" s="133">
        <v>43559.333410296997</v>
      </c>
      <c r="G172" s="131">
        <v>2.42332870154643</v>
      </c>
    </row>
    <row r="173" spans="1:7" x14ac:dyDescent="0.25">
      <c r="A173" s="126" t="s">
        <v>220</v>
      </c>
      <c r="B173" s="126" t="s">
        <v>221</v>
      </c>
      <c r="C173" s="126" t="s">
        <v>236</v>
      </c>
      <c r="D173" s="127">
        <v>554601</v>
      </c>
      <c r="E173" s="131">
        <v>2.76021068422504</v>
      </c>
      <c r="F173" s="133">
        <v>17815.905325452499</v>
      </c>
      <c r="G173" s="131">
        <v>2.0074259521636599</v>
      </c>
    </row>
    <row r="174" spans="1:7" x14ac:dyDescent="0.25">
      <c r="A174" s="126" t="s">
        <v>220</v>
      </c>
      <c r="B174" s="126" t="s">
        <v>221</v>
      </c>
      <c r="C174" s="126" t="s">
        <v>237</v>
      </c>
      <c r="D174" s="127">
        <v>554611</v>
      </c>
      <c r="E174" s="131">
        <v>4.8306524022976696</v>
      </c>
      <c r="F174" s="133">
        <v>37712.403582075603</v>
      </c>
      <c r="G174" s="131">
        <v>2.99833597383993</v>
      </c>
    </row>
    <row r="175" spans="1:7" x14ac:dyDescent="0.25">
      <c r="A175" s="126" t="s">
        <v>220</v>
      </c>
      <c r="B175" s="126" t="s">
        <v>221</v>
      </c>
      <c r="C175" s="126" t="s">
        <v>238</v>
      </c>
      <c r="D175" s="127">
        <v>554636</v>
      </c>
      <c r="E175" s="131">
        <v>3.6946863339462999</v>
      </c>
      <c r="F175" s="133">
        <v>42119.424206987802</v>
      </c>
      <c r="G175" s="131">
        <v>3.6946863339462999</v>
      </c>
    </row>
    <row r="176" spans="1:7" x14ac:dyDescent="0.25">
      <c r="A176" s="126" t="s">
        <v>220</v>
      </c>
      <c r="B176" s="126" t="s">
        <v>221</v>
      </c>
      <c r="C176" s="126" t="s">
        <v>239</v>
      </c>
      <c r="D176" s="127">
        <v>454671</v>
      </c>
      <c r="E176" s="131">
        <v>3.4293546977133098</v>
      </c>
      <c r="F176" s="133">
        <v>35665.288856218503</v>
      </c>
      <c r="G176" s="131">
        <v>2.7434837581706502</v>
      </c>
    </row>
    <row r="177" spans="1:7" x14ac:dyDescent="0.25">
      <c r="A177" s="126" t="s">
        <v>220</v>
      </c>
      <c r="B177" s="126" t="s">
        <v>240</v>
      </c>
      <c r="C177" s="126" t="s">
        <v>241</v>
      </c>
      <c r="D177" s="127">
        <v>554184</v>
      </c>
      <c r="E177" s="131">
        <v>6.2889301167370597</v>
      </c>
      <c r="F177" s="133">
        <v>45531.854045176296</v>
      </c>
      <c r="G177" s="131">
        <v>1.5093432280168899</v>
      </c>
    </row>
    <row r="178" spans="1:7" x14ac:dyDescent="0.25">
      <c r="A178" s="126" t="s">
        <v>220</v>
      </c>
      <c r="B178" s="126" t="s">
        <v>240</v>
      </c>
      <c r="C178" s="126" t="s">
        <v>242</v>
      </c>
      <c r="D178" s="127">
        <v>554506</v>
      </c>
      <c r="E178" s="131">
        <v>5.5326460339765902</v>
      </c>
      <c r="F178" s="133">
        <v>43517.1227706918</v>
      </c>
      <c r="G178" s="131">
        <v>3.05249436357329</v>
      </c>
    </row>
    <row r="179" spans="1:7" x14ac:dyDescent="0.25">
      <c r="A179" s="126" t="s">
        <v>220</v>
      </c>
      <c r="B179" s="126" t="s">
        <v>240</v>
      </c>
      <c r="C179" s="126" t="s">
        <v>243</v>
      </c>
      <c r="D179" s="127">
        <v>554196</v>
      </c>
      <c r="E179" s="131">
        <v>5.2026806086263502</v>
      </c>
      <c r="F179" s="133">
        <v>67477.190924002396</v>
      </c>
      <c r="G179" s="131">
        <v>1.89188385768231</v>
      </c>
    </row>
    <row r="180" spans="1:7" x14ac:dyDescent="0.25">
      <c r="A180" s="126" t="s">
        <v>220</v>
      </c>
      <c r="B180" s="126" t="s">
        <v>240</v>
      </c>
      <c r="C180" s="126" t="s">
        <v>244</v>
      </c>
      <c r="D180" s="127">
        <v>554257</v>
      </c>
      <c r="E180" s="131">
        <v>4.5836242592011898</v>
      </c>
      <c r="F180" s="133">
        <v>47068.091611672302</v>
      </c>
      <c r="G180" s="131">
        <v>2.0053356134005198</v>
      </c>
    </row>
    <row r="181" spans="1:7" x14ac:dyDescent="0.25">
      <c r="A181" s="126" t="s">
        <v>220</v>
      </c>
      <c r="B181" s="126" t="s">
        <v>240</v>
      </c>
      <c r="C181" s="126" t="s">
        <v>245</v>
      </c>
      <c r="D181" s="127">
        <v>554321</v>
      </c>
      <c r="E181" s="131">
        <v>7.4970465312850196</v>
      </c>
      <c r="F181" s="133">
        <v>69012.2862274605</v>
      </c>
      <c r="G181" s="131">
        <v>3.1566511710673799</v>
      </c>
    </row>
    <row r="182" spans="1:7" x14ac:dyDescent="0.25">
      <c r="A182" s="126" t="s">
        <v>220</v>
      </c>
      <c r="B182" s="126" t="s">
        <v>240</v>
      </c>
      <c r="C182" s="126" t="s">
        <v>246</v>
      </c>
      <c r="D182" s="127">
        <v>454355</v>
      </c>
      <c r="E182" s="131">
        <v>7.9108671510364399</v>
      </c>
      <c r="F182" s="133">
        <v>47495.089894150296</v>
      </c>
      <c r="G182" s="131">
        <v>1.8771549171950901</v>
      </c>
    </row>
    <row r="183" spans="1:7" x14ac:dyDescent="0.25">
      <c r="A183" s="126" t="s">
        <v>220</v>
      </c>
      <c r="B183" s="126" t="s">
        <v>240</v>
      </c>
      <c r="C183" s="126" t="s">
        <v>247</v>
      </c>
      <c r="D183" s="127">
        <v>554357</v>
      </c>
      <c r="E183" s="131">
        <v>3.0339077768893898</v>
      </c>
      <c r="F183" s="133">
        <v>28765.940403099401</v>
      </c>
      <c r="G183" s="131">
        <v>2.24733909399214</v>
      </c>
    </row>
    <row r="184" spans="1:7" x14ac:dyDescent="0.25">
      <c r="A184" s="126" t="s">
        <v>220</v>
      </c>
      <c r="B184" s="126" t="s">
        <v>240</v>
      </c>
      <c r="C184" s="126" t="s">
        <v>248</v>
      </c>
      <c r="D184" s="127">
        <v>554381</v>
      </c>
      <c r="E184" s="131">
        <v>4.2035840075540802</v>
      </c>
      <c r="F184" s="133">
        <v>35464.9745479431</v>
      </c>
      <c r="G184" s="131">
        <v>2.4336538991102601</v>
      </c>
    </row>
    <row r="185" spans="1:7" x14ac:dyDescent="0.25">
      <c r="A185" s="126" t="s">
        <v>220</v>
      </c>
      <c r="B185" s="126" t="s">
        <v>240</v>
      </c>
      <c r="C185" s="126" t="s">
        <v>249</v>
      </c>
      <c r="D185" s="127">
        <v>554376</v>
      </c>
      <c r="E185" s="131">
        <v>2.8012591880782298</v>
      </c>
      <c r="F185" s="133">
        <v>39711.968489815001</v>
      </c>
      <c r="G185" s="131">
        <v>2.63647923583834</v>
      </c>
    </row>
    <row r="186" spans="1:7" x14ac:dyDescent="0.25">
      <c r="A186" s="126" t="s">
        <v>220</v>
      </c>
      <c r="B186" s="126" t="s">
        <v>240</v>
      </c>
      <c r="C186" s="126" t="s">
        <v>250</v>
      </c>
      <c r="D186" s="127">
        <v>554416</v>
      </c>
      <c r="E186" s="131">
        <v>3.3126627247935598</v>
      </c>
      <c r="F186" s="133">
        <v>29049.503894343499</v>
      </c>
      <c r="G186" s="131">
        <v>3.5674829343930599</v>
      </c>
    </row>
    <row r="187" spans="1:7" x14ac:dyDescent="0.25">
      <c r="A187" s="126" t="s">
        <v>220</v>
      </c>
      <c r="B187" s="126" t="s">
        <v>240</v>
      </c>
      <c r="C187" s="126" t="s">
        <v>251</v>
      </c>
      <c r="D187" s="127">
        <v>454466</v>
      </c>
      <c r="E187" s="131">
        <v>6.5613859974623301</v>
      </c>
      <c r="F187" s="133">
        <v>41992.870383758898</v>
      </c>
      <c r="G187" s="131">
        <v>3.8274751651863599</v>
      </c>
    </row>
    <row r="188" spans="1:7" x14ac:dyDescent="0.25">
      <c r="A188" s="126" t="s">
        <v>220</v>
      </c>
      <c r="B188" s="126" t="s">
        <v>240</v>
      </c>
      <c r="C188" s="126" t="s">
        <v>252</v>
      </c>
      <c r="D188" s="127">
        <v>554496</v>
      </c>
      <c r="E188" s="131">
        <v>3.31988395777211</v>
      </c>
      <c r="F188" s="133">
        <v>41830.537867928499</v>
      </c>
      <c r="G188" s="131">
        <v>1.99193037466326</v>
      </c>
    </row>
    <row r="189" spans="1:7" x14ac:dyDescent="0.25">
      <c r="A189" s="126" t="s">
        <v>220</v>
      </c>
      <c r="B189" s="126" t="s">
        <v>240</v>
      </c>
      <c r="C189" s="126" t="s">
        <v>253</v>
      </c>
      <c r="D189" s="127">
        <v>554516</v>
      </c>
      <c r="E189" s="131">
        <v>4.8194884971249499</v>
      </c>
      <c r="F189" s="133">
        <v>45562.702792050499</v>
      </c>
      <c r="G189" s="131">
        <v>2.9658390751538102</v>
      </c>
    </row>
    <row r="190" spans="1:7" x14ac:dyDescent="0.25">
      <c r="A190" s="126" t="s">
        <v>220</v>
      </c>
      <c r="B190" s="126" t="s">
        <v>240</v>
      </c>
      <c r="C190" s="126" t="s">
        <v>254</v>
      </c>
      <c r="D190" s="127">
        <v>554531</v>
      </c>
      <c r="E190" s="131">
        <v>4.77853807210208</v>
      </c>
      <c r="F190" s="133">
        <v>60249.400859087102</v>
      </c>
      <c r="G190" s="131">
        <v>4.3803265660935802</v>
      </c>
    </row>
    <row r="191" spans="1:7" x14ac:dyDescent="0.25">
      <c r="A191" s="126" t="s">
        <v>220</v>
      </c>
      <c r="B191" s="126" t="s">
        <v>240</v>
      </c>
      <c r="C191" s="126" t="s">
        <v>255</v>
      </c>
      <c r="D191" s="127">
        <v>554533</v>
      </c>
      <c r="E191" s="131">
        <v>3.27009839197917</v>
      </c>
      <c r="F191" s="133">
        <v>32672.548281600601</v>
      </c>
      <c r="G191" s="131">
        <v>1.99049467337863</v>
      </c>
    </row>
    <row r="192" spans="1:7" x14ac:dyDescent="0.25">
      <c r="A192" s="126" t="s">
        <v>220</v>
      </c>
      <c r="B192" s="126" t="s">
        <v>240</v>
      </c>
      <c r="C192" s="126" t="s">
        <v>256</v>
      </c>
      <c r="D192" s="127">
        <v>454535</v>
      </c>
      <c r="E192" s="131">
        <v>4.0289912018869902</v>
      </c>
      <c r="F192" s="133">
        <v>33279.467327586499</v>
      </c>
      <c r="G192" s="131">
        <v>2.1487953076730602</v>
      </c>
    </row>
    <row r="193" spans="1:7" x14ac:dyDescent="0.25">
      <c r="A193" s="126" t="s">
        <v>220</v>
      </c>
      <c r="B193" s="126" t="s">
        <v>240</v>
      </c>
      <c r="C193" s="126" t="s">
        <v>257</v>
      </c>
      <c r="D193" s="127">
        <v>454651</v>
      </c>
      <c r="E193" s="131">
        <v>5.9656730886818004</v>
      </c>
      <c r="F193" s="133">
        <v>57462.280986042897</v>
      </c>
      <c r="G193" s="131">
        <v>4.3136405410468397</v>
      </c>
    </row>
    <row r="194" spans="1:7" x14ac:dyDescent="0.25">
      <c r="A194" s="126" t="s">
        <v>220</v>
      </c>
      <c r="B194" s="126" t="s">
        <v>240</v>
      </c>
      <c r="C194" s="126" t="s">
        <v>258</v>
      </c>
      <c r="D194" s="127">
        <v>554686</v>
      </c>
      <c r="E194" s="131">
        <v>4.6014663162810399</v>
      </c>
      <c r="F194" s="133">
        <v>56367.962374442803</v>
      </c>
      <c r="G194" s="131">
        <v>2.87591644767565</v>
      </c>
    </row>
    <row r="195" spans="1:7" x14ac:dyDescent="0.25">
      <c r="A195" s="126" t="s">
        <v>220</v>
      </c>
      <c r="B195" s="126" t="s">
        <v>240</v>
      </c>
      <c r="C195" s="126" t="s">
        <v>259</v>
      </c>
      <c r="D195" s="127">
        <v>454696</v>
      </c>
      <c r="E195" s="131">
        <v>4.9580278926120798</v>
      </c>
      <c r="F195" s="133">
        <v>36579.228007715799</v>
      </c>
      <c r="G195" s="131">
        <v>2.4239247474992398</v>
      </c>
    </row>
    <row r="196" spans="1:7" x14ac:dyDescent="0.25">
      <c r="A196" s="126" t="s">
        <v>220</v>
      </c>
      <c r="B196" s="126" t="s">
        <v>260</v>
      </c>
      <c r="C196" s="126" t="s">
        <v>261</v>
      </c>
      <c r="D196" s="127">
        <v>455151</v>
      </c>
      <c r="E196" s="131">
        <v>2.7080883550532202</v>
      </c>
      <c r="F196" s="133">
        <v>29549.410243407699</v>
      </c>
      <c r="G196" s="131">
        <v>1.66651591080198</v>
      </c>
    </row>
    <row r="197" spans="1:7" x14ac:dyDescent="0.25">
      <c r="A197" s="126" t="s">
        <v>220</v>
      </c>
      <c r="B197" s="126" t="s">
        <v>260</v>
      </c>
      <c r="C197" s="126" t="s">
        <v>262</v>
      </c>
      <c r="D197" s="127">
        <v>455231</v>
      </c>
      <c r="E197" s="131">
        <v>3.9188093606727801</v>
      </c>
      <c r="F197" s="133">
        <v>54591.191510483397</v>
      </c>
      <c r="G197" s="131">
        <v>1.95940468033639</v>
      </c>
    </row>
    <row r="198" spans="1:7" x14ac:dyDescent="0.25">
      <c r="A198" s="126" t="s">
        <v>220</v>
      </c>
      <c r="B198" s="126" t="s">
        <v>260</v>
      </c>
      <c r="C198" s="126" t="s">
        <v>263</v>
      </c>
      <c r="D198" s="127">
        <v>455298</v>
      </c>
      <c r="E198" s="131">
        <v>4.6004193983930897</v>
      </c>
      <c r="F198" s="133">
        <v>53415.980792453098</v>
      </c>
      <c r="G198" s="131">
        <v>2.5557885546628301</v>
      </c>
    </row>
    <row r="199" spans="1:7" x14ac:dyDescent="0.25">
      <c r="A199" s="126" t="s">
        <v>220</v>
      </c>
      <c r="B199" s="126" t="s">
        <v>260</v>
      </c>
      <c r="C199" s="126" t="s">
        <v>264</v>
      </c>
      <c r="D199" s="127">
        <v>555406</v>
      </c>
      <c r="E199" s="131">
        <v>2.8403758177610601</v>
      </c>
      <c r="F199" s="133">
        <v>36029.220456359799</v>
      </c>
      <c r="G199" s="131">
        <v>2.65101742991033</v>
      </c>
    </row>
    <row r="200" spans="1:7" x14ac:dyDescent="0.25">
      <c r="A200" s="126" t="s">
        <v>220</v>
      </c>
      <c r="B200" s="126" t="s">
        <v>260</v>
      </c>
      <c r="C200" s="126" t="s">
        <v>265</v>
      </c>
      <c r="D200" s="127">
        <v>554412</v>
      </c>
      <c r="E200" s="131">
        <v>4.8288708925174699</v>
      </c>
      <c r="F200" s="133">
        <v>40116.773568606703</v>
      </c>
      <c r="G200" s="131">
        <v>2.2287096427003701</v>
      </c>
    </row>
    <row r="201" spans="1:7" x14ac:dyDescent="0.25">
      <c r="A201" s="126" t="s">
        <v>220</v>
      </c>
      <c r="B201" s="126" t="s">
        <v>260</v>
      </c>
      <c r="C201" s="126" t="s">
        <v>266</v>
      </c>
      <c r="D201" s="127">
        <v>554413</v>
      </c>
      <c r="E201" s="131">
        <v>3.7423681776064002</v>
      </c>
      <c r="F201" s="133">
        <v>39746.530989750703</v>
      </c>
      <c r="G201" s="131">
        <v>2.8390379278393398</v>
      </c>
    </row>
    <row r="202" spans="1:7" x14ac:dyDescent="0.25">
      <c r="A202" s="126" t="s">
        <v>220</v>
      </c>
      <c r="B202" s="126" t="s">
        <v>260</v>
      </c>
      <c r="C202" s="126" t="s">
        <v>267</v>
      </c>
      <c r="D202" s="127">
        <v>454414</v>
      </c>
      <c r="E202" s="131">
        <v>4.78497603206843</v>
      </c>
      <c r="F202" s="133">
        <v>41181.6646888986</v>
      </c>
      <c r="G202" s="131">
        <v>3.7044975732142702</v>
      </c>
    </row>
    <row r="203" spans="1:7" x14ac:dyDescent="0.25">
      <c r="A203" s="126" t="s">
        <v>220</v>
      </c>
      <c r="B203" s="126" t="s">
        <v>260</v>
      </c>
      <c r="C203" s="126" t="s">
        <v>268</v>
      </c>
      <c r="D203" s="127">
        <v>455456</v>
      </c>
      <c r="E203" s="131">
        <v>8.7375205392062991</v>
      </c>
      <c r="F203" s="133">
        <v>60935.468240424801</v>
      </c>
      <c r="G203" s="131">
        <v>3.1205430497165398</v>
      </c>
    </row>
    <row r="204" spans="1:7" x14ac:dyDescent="0.25">
      <c r="A204" s="126" t="s">
        <v>220</v>
      </c>
      <c r="B204" s="126" t="s">
        <v>260</v>
      </c>
      <c r="C204" s="126" t="s">
        <v>269</v>
      </c>
      <c r="D204" s="127">
        <v>455566</v>
      </c>
      <c r="E204" s="131">
        <v>5.0169345167587798</v>
      </c>
      <c r="F204" s="133">
        <v>43076.437747342599</v>
      </c>
      <c r="G204" s="131">
        <v>1.7299774195719899</v>
      </c>
    </row>
    <row r="205" spans="1:7" x14ac:dyDescent="0.25">
      <c r="A205" s="126" t="s">
        <v>220</v>
      </c>
      <c r="B205" s="126" t="s">
        <v>260</v>
      </c>
      <c r="C205" s="126" t="s">
        <v>270</v>
      </c>
      <c r="D205" s="127">
        <v>555624</v>
      </c>
      <c r="E205" s="131">
        <v>5.6434774864674004</v>
      </c>
      <c r="F205" s="133">
        <v>70919.700413273706</v>
      </c>
      <c r="G205" s="131">
        <v>3.0098546594492799</v>
      </c>
    </row>
    <row r="206" spans="1:7" x14ac:dyDescent="0.25">
      <c r="A206" s="126" t="s">
        <v>220</v>
      </c>
      <c r="B206" s="126" t="s">
        <v>260</v>
      </c>
      <c r="C206" s="126" t="s">
        <v>271</v>
      </c>
      <c r="D206" s="127">
        <v>455676</v>
      </c>
      <c r="E206" s="131">
        <v>2.3049055253531301</v>
      </c>
      <c r="F206" s="133">
        <v>32268.6773549438</v>
      </c>
      <c r="G206" s="131">
        <v>2.048804911425</v>
      </c>
    </row>
    <row r="207" spans="1:7" x14ac:dyDescent="0.25">
      <c r="A207" s="126" t="s">
        <v>220</v>
      </c>
      <c r="B207" s="126" t="s">
        <v>260</v>
      </c>
      <c r="C207" s="126" t="s">
        <v>272</v>
      </c>
      <c r="D207" s="127">
        <v>455678</v>
      </c>
      <c r="E207" s="131">
        <v>3.4757626877001702</v>
      </c>
      <c r="F207" s="133">
        <v>35154.856898453203</v>
      </c>
      <c r="G207" s="131">
        <v>1.9861501072572401</v>
      </c>
    </row>
    <row r="208" spans="1:7" x14ac:dyDescent="0.25">
      <c r="A208" s="126" t="s">
        <v>220</v>
      </c>
      <c r="B208" s="126" t="s">
        <v>260</v>
      </c>
      <c r="C208" s="126" t="s">
        <v>273</v>
      </c>
      <c r="D208" s="127">
        <v>555679</v>
      </c>
      <c r="E208" s="131">
        <v>3.7259326125224899</v>
      </c>
      <c r="F208" s="133">
        <v>65682.869197896507</v>
      </c>
      <c r="G208" s="131">
        <v>2.3952423937644598</v>
      </c>
    </row>
    <row r="209" spans="1:7" x14ac:dyDescent="0.25">
      <c r="A209" s="126" t="s">
        <v>220</v>
      </c>
      <c r="B209" s="126" t="s">
        <v>260</v>
      </c>
      <c r="C209" s="126" t="s">
        <v>274</v>
      </c>
      <c r="D209" s="127">
        <v>554700</v>
      </c>
      <c r="E209" s="131">
        <v>4.7623435016442004</v>
      </c>
      <c r="F209" s="133">
        <v>45242.263265619898</v>
      </c>
      <c r="G209" s="131">
        <v>3.0478998410522902</v>
      </c>
    </row>
    <row r="210" spans="1:7" x14ac:dyDescent="0.25">
      <c r="A210" s="126" t="s">
        <v>275</v>
      </c>
      <c r="B210" s="126" t="s">
        <v>276</v>
      </c>
      <c r="C210" s="126" t="s">
        <v>277</v>
      </c>
      <c r="D210" s="127">
        <v>557105</v>
      </c>
      <c r="E210" s="131">
        <v>4.9375412217107701</v>
      </c>
      <c r="F210" s="133">
        <v>78256.816363615697</v>
      </c>
      <c r="G210" s="131">
        <v>3.3783176780126301</v>
      </c>
    </row>
    <row r="211" spans="1:7" x14ac:dyDescent="0.25">
      <c r="A211" s="126" t="s">
        <v>275</v>
      </c>
      <c r="B211" s="126" t="s">
        <v>276</v>
      </c>
      <c r="C211" s="126" t="s">
        <v>278</v>
      </c>
      <c r="D211" s="127">
        <v>557178</v>
      </c>
      <c r="E211" s="131">
        <v>3.1777176016744599</v>
      </c>
      <c r="F211" s="133">
        <v>41343.778480733003</v>
      </c>
      <c r="G211" s="131">
        <v>3.0104693068494899</v>
      </c>
    </row>
    <row r="212" spans="1:7" x14ac:dyDescent="0.25">
      <c r="A212" s="126" t="s">
        <v>275</v>
      </c>
      <c r="B212" s="126" t="s">
        <v>276</v>
      </c>
      <c r="C212" s="126" t="s">
        <v>279</v>
      </c>
      <c r="D212" s="127">
        <v>557224</v>
      </c>
      <c r="E212" s="131">
        <v>3.1478621822829802</v>
      </c>
      <c r="F212" s="133">
        <v>53363.7588996544</v>
      </c>
      <c r="G212" s="131">
        <v>2.9979639831266498</v>
      </c>
    </row>
    <row r="213" spans="1:7" x14ac:dyDescent="0.25">
      <c r="A213" s="126" t="s">
        <v>275</v>
      </c>
      <c r="B213" s="126" t="s">
        <v>276</v>
      </c>
      <c r="C213" s="126" t="s">
        <v>280</v>
      </c>
      <c r="D213" s="127">
        <v>557432</v>
      </c>
      <c r="E213" s="131">
        <v>3.2012324711816098</v>
      </c>
      <c r="F213" s="133">
        <v>34813.403124099998</v>
      </c>
      <c r="G213" s="131">
        <v>2.66769372598467</v>
      </c>
    </row>
    <row r="214" spans="1:7" x14ac:dyDescent="0.25">
      <c r="A214" s="126" t="s">
        <v>275</v>
      </c>
      <c r="B214" s="126" t="s">
        <v>276</v>
      </c>
      <c r="C214" s="126" t="s">
        <v>281</v>
      </c>
      <c r="D214" s="127">
        <v>557433</v>
      </c>
      <c r="E214" s="131">
        <v>3.3773346987667101</v>
      </c>
      <c r="F214" s="133">
        <v>57903.920933969697</v>
      </c>
      <c r="G214" s="131">
        <v>2.25155646584447</v>
      </c>
    </row>
    <row r="215" spans="1:7" x14ac:dyDescent="0.25">
      <c r="A215" s="126" t="s">
        <v>275</v>
      </c>
      <c r="B215" s="126" t="s">
        <v>276</v>
      </c>
      <c r="C215" s="126" t="s">
        <v>282</v>
      </c>
      <c r="D215" s="127">
        <v>557434</v>
      </c>
      <c r="E215" s="131">
        <v>2.6686330675636301</v>
      </c>
      <c r="F215" s="133">
        <v>49796.693040737402</v>
      </c>
      <c r="G215" s="131">
        <v>2.93549637432</v>
      </c>
    </row>
    <row r="216" spans="1:7" x14ac:dyDescent="0.25">
      <c r="A216" s="126" t="s">
        <v>275</v>
      </c>
      <c r="B216" s="126" t="s">
        <v>276</v>
      </c>
      <c r="C216" s="126" t="s">
        <v>283</v>
      </c>
      <c r="D216" s="127">
        <v>557436</v>
      </c>
      <c r="E216" s="131">
        <v>3.9821567697354099</v>
      </c>
      <c r="F216" s="133">
        <v>33695.172666991901</v>
      </c>
      <c r="G216" s="131">
        <v>2.45055801214487</v>
      </c>
    </row>
    <row r="217" spans="1:7" x14ac:dyDescent="0.25">
      <c r="A217" s="126" t="s">
        <v>275</v>
      </c>
      <c r="B217" s="126" t="s">
        <v>276</v>
      </c>
      <c r="C217" s="126" t="s">
        <v>284</v>
      </c>
      <c r="D217" s="127">
        <v>557440</v>
      </c>
      <c r="E217" s="131">
        <v>4.1738299456292101</v>
      </c>
      <c r="F217" s="133">
        <v>43477.395266970998</v>
      </c>
      <c r="G217" s="131">
        <v>2.4347341349503702</v>
      </c>
    </row>
    <row r="218" spans="1:7" x14ac:dyDescent="0.25">
      <c r="A218" s="126" t="s">
        <v>275</v>
      </c>
      <c r="B218" s="126" t="s">
        <v>276</v>
      </c>
      <c r="C218" s="126" t="s">
        <v>285</v>
      </c>
      <c r="D218" s="127">
        <v>557441</v>
      </c>
      <c r="E218" s="131">
        <v>4.7129417243949296</v>
      </c>
      <c r="F218" s="133">
        <v>48307.652675048099</v>
      </c>
      <c r="G218" s="131">
        <v>2.7492160058970398</v>
      </c>
    </row>
    <row r="219" spans="1:7" x14ac:dyDescent="0.25">
      <c r="A219" s="126" t="s">
        <v>275</v>
      </c>
      <c r="B219" s="126" t="s">
        <v>276</v>
      </c>
      <c r="C219" s="126" t="s">
        <v>286</v>
      </c>
      <c r="D219" s="127">
        <v>557439</v>
      </c>
      <c r="E219" s="131">
        <v>1.71450151759946</v>
      </c>
      <c r="F219" s="133">
        <v>30096.095870476602</v>
      </c>
      <c r="G219" s="131">
        <v>2.9014641067067699</v>
      </c>
    </row>
    <row r="220" spans="1:7" x14ac:dyDescent="0.25">
      <c r="A220" s="126" t="s">
        <v>275</v>
      </c>
      <c r="B220" s="126" t="s">
        <v>276</v>
      </c>
      <c r="C220" s="126" t="s">
        <v>287</v>
      </c>
      <c r="D220" s="127">
        <v>457443</v>
      </c>
      <c r="E220" s="131">
        <v>2.1959934868785198</v>
      </c>
      <c r="F220" s="133">
        <v>38088.2870335263</v>
      </c>
      <c r="G220" s="131">
        <v>3.6599891447975299</v>
      </c>
    </row>
    <row r="221" spans="1:7" x14ac:dyDescent="0.25">
      <c r="A221" s="126" t="s">
        <v>275</v>
      </c>
      <c r="B221" s="126" t="s">
        <v>276</v>
      </c>
      <c r="C221" s="126" t="s">
        <v>288</v>
      </c>
      <c r="D221" s="127">
        <v>557445</v>
      </c>
      <c r="E221" s="131">
        <v>2.9343451843705801</v>
      </c>
      <c r="F221" s="133">
        <v>38798.564104455501</v>
      </c>
      <c r="G221" s="131">
        <v>4.2384985996464</v>
      </c>
    </row>
    <row r="222" spans="1:7" x14ac:dyDescent="0.25">
      <c r="A222" s="126" t="s">
        <v>275</v>
      </c>
      <c r="B222" s="126" t="s">
        <v>276</v>
      </c>
      <c r="C222" s="126" t="s">
        <v>289</v>
      </c>
      <c r="D222" s="127">
        <v>457446</v>
      </c>
      <c r="E222" s="131">
        <v>2.3286885686827299</v>
      </c>
      <c r="F222" s="133">
        <v>39656.196507861801</v>
      </c>
      <c r="G222" s="131">
        <v>2.4656702491934799</v>
      </c>
    </row>
    <row r="223" spans="1:7" x14ac:dyDescent="0.25">
      <c r="A223" s="126" t="s">
        <v>275</v>
      </c>
      <c r="B223" s="126" t="s">
        <v>276</v>
      </c>
      <c r="C223" s="126" t="s">
        <v>290</v>
      </c>
      <c r="D223" s="127">
        <v>557447</v>
      </c>
      <c r="E223" s="131">
        <v>3.0392563576420799</v>
      </c>
      <c r="F223" s="133">
        <v>58590.108672322298</v>
      </c>
      <c r="G223" s="131">
        <v>6.41620786613327</v>
      </c>
    </row>
    <row r="224" spans="1:7" x14ac:dyDescent="0.25">
      <c r="A224" s="126" t="s">
        <v>275</v>
      </c>
      <c r="B224" s="126" t="s">
        <v>276</v>
      </c>
      <c r="C224" s="126" t="s">
        <v>291</v>
      </c>
      <c r="D224" s="127">
        <v>557437</v>
      </c>
      <c r="E224" s="131">
        <v>5.86898936808561</v>
      </c>
      <c r="F224" s="133">
        <v>65701.908383709902</v>
      </c>
      <c r="G224" s="131">
        <v>3.4896693539968502</v>
      </c>
    </row>
    <row r="225" spans="1:7" x14ac:dyDescent="0.25">
      <c r="A225" s="126" t="s">
        <v>275</v>
      </c>
      <c r="B225" s="126" t="s">
        <v>276</v>
      </c>
      <c r="C225" s="126" t="s">
        <v>292</v>
      </c>
      <c r="D225" s="127">
        <v>457453</v>
      </c>
      <c r="E225" s="131">
        <v>2.98332802174022</v>
      </c>
      <c r="F225" s="133">
        <v>34334.2142328103</v>
      </c>
      <c r="G225" s="131">
        <v>2.8536181077515099</v>
      </c>
    </row>
    <row r="226" spans="1:7" x14ac:dyDescent="0.25">
      <c r="A226" s="126" t="s">
        <v>275</v>
      </c>
      <c r="B226" s="126" t="s">
        <v>276</v>
      </c>
      <c r="C226" s="126" t="s">
        <v>293</v>
      </c>
      <c r="D226" s="127">
        <v>557459</v>
      </c>
      <c r="E226" s="131">
        <v>3.5248962371594801</v>
      </c>
      <c r="F226" s="133">
        <v>56468.837719294897</v>
      </c>
      <c r="G226" s="131">
        <v>2.8199169897275902</v>
      </c>
    </row>
    <row r="227" spans="1:7" x14ac:dyDescent="0.25">
      <c r="A227" s="126" t="s">
        <v>275</v>
      </c>
      <c r="B227" s="126" t="s">
        <v>276</v>
      </c>
      <c r="C227" s="126" t="s">
        <v>294</v>
      </c>
      <c r="D227" s="127">
        <v>557559</v>
      </c>
      <c r="E227" s="131">
        <v>4.0298528380329399</v>
      </c>
      <c r="F227" s="133">
        <v>38585.840924165401</v>
      </c>
      <c r="G227" s="131">
        <v>3.02238962852471</v>
      </c>
    </row>
    <row r="228" spans="1:7" x14ac:dyDescent="0.25">
      <c r="A228" s="126" t="s">
        <v>275</v>
      </c>
      <c r="B228" s="126" t="s">
        <v>276</v>
      </c>
      <c r="C228" s="126" t="s">
        <v>295</v>
      </c>
      <c r="D228" s="127">
        <v>457574</v>
      </c>
      <c r="E228" s="131">
        <v>6.3397928869317104</v>
      </c>
      <c r="F228" s="133">
        <v>44982.340007277402</v>
      </c>
      <c r="G228" s="131">
        <v>2.4151591950215998</v>
      </c>
    </row>
    <row r="229" spans="1:7" x14ac:dyDescent="0.25">
      <c r="A229" s="126" t="s">
        <v>275</v>
      </c>
      <c r="B229" s="126" t="s">
        <v>276</v>
      </c>
      <c r="C229" s="126" t="s">
        <v>296</v>
      </c>
      <c r="D229" s="127">
        <v>557612</v>
      </c>
      <c r="E229" s="131">
        <v>2.3515982973046499</v>
      </c>
      <c r="F229" s="133">
        <v>42067.480651783197</v>
      </c>
      <c r="G229" s="131">
        <v>2.0903095976041302</v>
      </c>
    </row>
    <row r="230" spans="1:7" x14ac:dyDescent="0.25">
      <c r="A230" s="126" t="s">
        <v>275</v>
      </c>
      <c r="B230" s="126" t="s">
        <v>276</v>
      </c>
      <c r="C230" s="126" t="s">
        <v>297</v>
      </c>
      <c r="D230" s="127">
        <v>557444</v>
      </c>
      <c r="E230" s="131">
        <v>4.7321839750297796</v>
      </c>
      <c r="F230" s="133">
        <v>40198.657556305603</v>
      </c>
      <c r="G230" s="131">
        <v>2.49062314475252</v>
      </c>
    </row>
    <row r="231" spans="1:7" x14ac:dyDescent="0.25">
      <c r="A231" s="126" t="s">
        <v>275</v>
      </c>
      <c r="B231" s="126" t="s">
        <v>276</v>
      </c>
      <c r="C231" s="126" t="s">
        <v>298</v>
      </c>
      <c r="D231" s="127">
        <v>557712</v>
      </c>
      <c r="E231" s="131">
        <v>4.0317806806670102</v>
      </c>
      <c r="F231" s="133">
        <v>44525.057594352198</v>
      </c>
      <c r="G231" s="131">
        <v>2.4541273708407898</v>
      </c>
    </row>
    <row r="232" spans="1:7" x14ac:dyDescent="0.25">
      <c r="A232" s="126" t="s">
        <v>275</v>
      </c>
      <c r="B232" s="126" t="s">
        <v>299</v>
      </c>
      <c r="C232" s="126" t="s">
        <v>300</v>
      </c>
      <c r="D232" s="127">
        <v>457163</v>
      </c>
      <c r="E232" s="131">
        <v>8.9565946661432996</v>
      </c>
      <c r="F232" s="133">
        <v>91479.808094412103</v>
      </c>
      <c r="G232" s="131">
        <v>2.84982557559105</v>
      </c>
    </row>
    <row r="233" spans="1:7" x14ac:dyDescent="0.25">
      <c r="A233" s="126" t="s">
        <v>275</v>
      </c>
      <c r="B233" s="126" t="s">
        <v>299</v>
      </c>
      <c r="C233" s="126" t="s">
        <v>301</v>
      </c>
      <c r="D233" s="127">
        <v>457165</v>
      </c>
      <c r="E233" s="131">
        <v>7.5157658380320704</v>
      </c>
      <c r="F233" s="133">
        <v>50235.378861406403</v>
      </c>
      <c r="G233" s="131">
        <v>4.2088288692979603</v>
      </c>
    </row>
    <row r="234" spans="1:7" x14ac:dyDescent="0.25">
      <c r="A234" s="126" t="s">
        <v>275</v>
      </c>
      <c r="B234" s="126" t="s">
        <v>299</v>
      </c>
      <c r="C234" s="126" t="s">
        <v>302</v>
      </c>
      <c r="D234" s="127">
        <v>557210</v>
      </c>
      <c r="E234" s="131">
        <v>7.0338495806375798</v>
      </c>
      <c r="F234" s="133">
        <v>48841.293025552201</v>
      </c>
      <c r="G234" s="131">
        <v>4.3961559878984904</v>
      </c>
    </row>
    <row r="235" spans="1:7" x14ac:dyDescent="0.25">
      <c r="A235" s="126" t="s">
        <v>275</v>
      </c>
      <c r="B235" s="126" t="s">
        <v>299</v>
      </c>
      <c r="C235" s="126" t="s">
        <v>303</v>
      </c>
      <c r="D235" s="127">
        <v>557250</v>
      </c>
      <c r="E235" s="131">
        <v>5.1061499940077804</v>
      </c>
      <c r="F235" s="133">
        <v>49359.449942075204</v>
      </c>
      <c r="G235" s="131">
        <v>3.06368999640467</v>
      </c>
    </row>
    <row r="236" spans="1:7" x14ac:dyDescent="0.25">
      <c r="A236" s="126" t="s">
        <v>275</v>
      </c>
      <c r="B236" s="126" t="s">
        <v>299</v>
      </c>
      <c r="C236" s="126" t="s">
        <v>304</v>
      </c>
      <c r="D236" s="127">
        <v>457258</v>
      </c>
      <c r="E236" s="131">
        <v>2.9271344653351901</v>
      </c>
      <c r="F236" s="133">
        <v>30195.702905563001</v>
      </c>
      <c r="G236" s="131">
        <v>2.1568359218259299</v>
      </c>
    </row>
    <row r="237" spans="1:7" x14ac:dyDescent="0.25">
      <c r="A237" s="126" t="s">
        <v>275</v>
      </c>
      <c r="B237" s="126" t="s">
        <v>299</v>
      </c>
      <c r="C237" s="126" t="s">
        <v>305</v>
      </c>
      <c r="D237" s="127">
        <v>557305</v>
      </c>
      <c r="E237" s="131">
        <v>4.9018224457076904</v>
      </c>
      <c r="F237" s="133">
        <v>39144.553530722798</v>
      </c>
      <c r="G237" s="131">
        <v>4.9018224457076904</v>
      </c>
    </row>
    <row r="238" spans="1:7" x14ac:dyDescent="0.25">
      <c r="A238" s="126" t="s">
        <v>275</v>
      </c>
      <c r="B238" s="126" t="s">
        <v>299</v>
      </c>
      <c r="C238" s="126" t="s">
        <v>306</v>
      </c>
      <c r="D238" s="127">
        <v>457308</v>
      </c>
      <c r="E238" s="131">
        <v>5.1078963108177602</v>
      </c>
      <c r="F238" s="133">
        <v>38572.224651817902</v>
      </c>
      <c r="G238" s="131">
        <v>4.0211098617076004</v>
      </c>
    </row>
    <row r="239" spans="1:7" x14ac:dyDescent="0.25">
      <c r="A239" s="126" t="s">
        <v>275</v>
      </c>
      <c r="B239" s="126" t="s">
        <v>299</v>
      </c>
      <c r="C239" s="126" t="s">
        <v>307</v>
      </c>
      <c r="D239" s="127">
        <v>457345</v>
      </c>
      <c r="E239" s="131">
        <v>3.6080108268308799</v>
      </c>
      <c r="F239" s="133">
        <v>65345.084974825899</v>
      </c>
      <c r="G239" s="131">
        <v>2.80623064309068</v>
      </c>
    </row>
    <row r="240" spans="1:7" x14ac:dyDescent="0.25">
      <c r="A240" s="126" t="s">
        <v>275</v>
      </c>
      <c r="B240" s="126" t="s">
        <v>299</v>
      </c>
      <c r="C240" s="126" t="s">
        <v>308</v>
      </c>
      <c r="D240" s="127">
        <v>557353</v>
      </c>
      <c r="E240" s="131">
        <v>4.4227697721116499</v>
      </c>
      <c r="F240" s="133">
        <v>48073.584479474397</v>
      </c>
      <c r="G240" s="131">
        <v>3.0767094066863598</v>
      </c>
    </row>
    <row r="241" spans="1:7" x14ac:dyDescent="0.25">
      <c r="A241" s="126" t="s">
        <v>275</v>
      </c>
      <c r="B241" s="126" t="s">
        <v>299</v>
      </c>
      <c r="C241" s="126" t="s">
        <v>309</v>
      </c>
      <c r="D241" s="127">
        <v>457435</v>
      </c>
      <c r="E241" s="131">
        <v>4.0137433288371502</v>
      </c>
      <c r="F241" s="133">
        <v>48819.011451486003</v>
      </c>
      <c r="G241" s="131">
        <v>2.3785145652368298</v>
      </c>
    </row>
    <row r="242" spans="1:7" x14ac:dyDescent="0.25">
      <c r="A242" s="126" t="s">
        <v>275</v>
      </c>
      <c r="B242" s="126" t="s">
        <v>299</v>
      </c>
      <c r="C242" s="126" t="s">
        <v>310</v>
      </c>
      <c r="D242" s="127">
        <v>557458</v>
      </c>
      <c r="E242" s="131">
        <v>4.3146003991686301</v>
      </c>
      <c r="F242" s="133">
        <v>59110.025468610198</v>
      </c>
      <c r="G242" s="131">
        <v>3.4516803193348999</v>
      </c>
    </row>
    <row r="243" spans="1:7" x14ac:dyDescent="0.25">
      <c r="A243" s="126" t="s">
        <v>275</v>
      </c>
      <c r="B243" s="126" t="s">
        <v>299</v>
      </c>
      <c r="C243" s="126" t="s">
        <v>311</v>
      </c>
      <c r="D243" s="127">
        <v>557503</v>
      </c>
      <c r="E243" s="131">
        <v>2.8671024449314801</v>
      </c>
      <c r="F243" s="133">
        <v>182197.801878553</v>
      </c>
      <c r="G243" s="131">
        <v>2.5087146393150399</v>
      </c>
    </row>
    <row r="244" spans="1:7" x14ac:dyDescent="0.25">
      <c r="A244" s="126" t="s">
        <v>275</v>
      </c>
      <c r="B244" s="126" t="s">
        <v>299</v>
      </c>
      <c r="C244" s="126" t="s">
        <v>312</v>
      </c>
      <c r="D244" s="127">
        <v>557523</v>
      </c>
      <c r="E244" s="131">
        <v>5.30960595403831</v>
      </c>
      <c r="F244" s="133">
        <v>31606.128073775399</v>
      </c>
      <c r="G244" s="131">
        <v>3.0739823944432301</v>
      </c>
    </row>
    <row r="245" spans="1:7" x14ac:dyDescent="0.25">
      <c r="A245" s="126" t="s">
        <v>275</v>
      </c>
      <c r="B245" s="126" t="s">
        <v>299</v>
      </c>
      <c r="C245" s="126" t="s">
        <v>313</v>
      </c>
      <c r="D245" s="127">
        <v>457543</v>
      </c>
      <c r="E245" s="131">
        <v>2.43490445202334</v>
      </c>
      <c r="F245" s="133">
        <v>30614.865310106699</v>
      </c>
      <c r="G245" s="131">
        <v>3.5711931963008898</v>
      </c>
    </row>
    <row r="246" spans="1:7" x14ac:dyDescent="0.25">
      <c r="A246" s="126" t="s">
        <v>275</v>
      </c>
      <c r="B246" s="126" t="s">
        <v>299</v>
      </c>
      <c r="C246" s="126" t="s">
        <v>314</v>
      </c>
      <c r="D246" s="127">
        <v>457583</v>
      </c>
      <c r="E246" s="131">
        <v>7.2353217481911898</v>
      </c>
      <c r="F246" s="133">
        <v>32267.871704576799</v>
      </c>
      <c r="G246" s="131">
        <v>3.1602554762214399</v>
      </c>
    </row>
    <row r="247" spans="1:7" x14ac:dyDescent="0.25">
      <c r="A247" s="126" t="s">
        <v>275</v>
      </c>
      <c r="B247" s="126" t="s">
        <v>299</v>
      </c>
      <c r="C247" s="126" t="s">
        <v>315</v>
      </c>
      <c r="D247" s="127">
        <v>457614</v>
      </c>
      <c r="E247" s="131">
        <v>4.3243610420769798</v>
      </c>
      <c r="F247" s="133">
        <v>28236.908858535098</v>
      </c>
      <c r="G247" s="131">
        <v>1.8699939641414001</v>
      </c>
    </row>
    <row r="248" spans="1:7" x14ac:dyDescent="0.25">
      <c r="A248" s="126" t="s">
        <v>275</v>
      </c>
      <c r="B248" s="126" t="s">
        <v>299</v>
      </c>
      <c r="C248" s="126" t="s">
        <v>316</v>
      </c>
      <c r="D248" s="127">
        <v>457617</v>
      </c>
      <c r="E248" s="131">
        <v>4.1755151510620898</v>
      </c>
      <c r="F248" s="133">
        <v>40856.2413895063</v>
      </c>
      <c r="G248" s="131">
        <v>1.8267878785896601</v>
      </c>
    </row>
    <row r="249" spans="1:7" x14ac:dyDescent="0.25">
      <c r="A249" s="126" t="s">
        <v>275</v>
      </c>
      <c r="B249" s="126" t="s">
        <v>299</v>
      </c>
      <c r="C249" s="126" t="s">
        <v>317</v>
      </c>
      <c r="D249" s="127">
        <v>557668</v>
      </c>
      <c r="E249" s="131">
        <v>3.9525965690752001</v>
      </c>
      <c r="F249" s="133">
        <v>32339.426474251701</v>
      </c>
      <c r="G249" s="131">
        <v>2.6350643793834698</v>
      </c>
    </row>
    <row r="250" spans="1:7" x14ac:dyDescent="0.25">
      <c r="A250" s="126" t="s">
        <v>275</v>
      </c>
      <c r="B250" s="126" t="s">
        <v>318</v>
      </c>
      <c r="C250" s="126" t="s">
        <v>319</v>
      </c>
      <c r="D250" s="127">
        <v>557113</v>
      </c>
      <c r="E250" s="131">
        <v>7.8329813570178199</v>
      </c>
      <c r="F250" s="133">
        <v>54047.571363422998</v>
      </c>
      <c r="G250" s="131">
        <v>3.52484161065802</v>
      </c>
    </row>
    <row r="251" spans="1:7" x14ac:dyDescent="0.25">
      <c r="A251" s="126" t="s">
        <v>275</v>
      </c>
      <c r="B251" s="126" t="s">
        <v>318</v>
      </c>
      <c r="C251" s="126" t="s">
        <v>320</v>
      </c>
      <c r="D251" s="127">
        <v>457180</v>
      </c>
      <c r="E251" s="131">
        <v>3.1090846642318999</v>
      </c>
      <c r="F251" s="133">
        <v>39973.945682981597</v>
      </c>
      <c r="G251" s="131">
        <v>2.2207747601656398</v>
      </c>
    </row>
    <row r="252" spans="1:7" x14ac:dyDescent="0.25">
      <c r="A252" s="126" t="s">
        <v>275</v>
      </c>
      <c r="B252" s="126" t="s">
        <v>318</v>
      </c>
      <c r="C252" s="126" t="s">
        <v>321</v>
      </c>
      <c r="D252" s="127">
        <v>557182</v>
      </c>
      <c r="E252" s="131">
        <v>3.3456093216615002</v>
      </c>
      <c r="F252" s="133">
        <v>31695.2462052142</v>
      </c>
      <c r="G252" s="131">
        <v>2.4651858159611</v>
      </c>
    </row>
    <row r="253" spans="1:7" x14ac:dyDescent="0.25">
      <c r="A253" s="126" t="s">
        <v>275</v>
      </c>
      <c r="B253" s="126" t="s">
        <v>318</v>
      </c>
      <c r="C253" s="126" t="s">
        <v>322</v>
      </c>
      <c r="D253" s="127">
        <v>457192</v>
      </c>
      <c r="E253" s="131">
        <v>3.8484388346738601</v>
      </c>
      <c r="F253" s="133">
        <v>79524.140079700694</v>
      </c>
      <c r="G253" s="131">
        <v>3.0787510677390899</v>
      </c>
    </row>
    <row r="254" spans="1:7" x14ac:dyDescent="0.25">
      <c r="A254" s="126" t="s">
        <v>275</v>
      </c>
      <c r="B254" s="126" t="s">
        <v>318</v>
      </c>
      <c r="C254" s="126" t="s">
        <v>323</v>
      </c>
      <c r="D254" s="127">
        <v>557303</v>
      </c>
      <c r="E254" s="131">
        <v>2.4838578169103802</v>
      </c>
      <c r="F254" s="133">
        <v>52891.560571856302</v>
      </c>
      <c r="G254" s="131">
        <v>2.9221856669533901</v>
      </c>
    </row>
    <row r="255" spans="1:7" x14ac:dyDescent="0.25">
      <c r="A255" s="126" t="s">
        <v>275</v>
      </c>
      <c r="B255" s="126" t="s">
        <v>318</v>
      </c>
      <c r="C255" s="126" t="s">
        <v>324</v>
      </c>
      <c r="D255" s="127">
        <v>457306</v>
      </c>
      <c r="E255" s="131">
        <v>7.1901206349862496</v>
      </c>
      <c r="F255" s="133">
        <v>59602.315790017601</v>
      </c>
      <c r="G255" s="131">
        <v>3.7842740184138202</v>
      </c>
    </row>
    <row r="256" spans="1:7" x14ac:dyDescent="0.25">
      <c r="A256" s="126" t="s">
        <v>275</v>
      </c>
      <c r="B256" s="126" t="s">
        <v>318</v>
      </c>
      <c r="C256" s="126" t="s">
        <v>325</v>
      </c>
      <c r="D256" s="127">
        <v>557307</v>
      </c>
      <c r="E256" s="131">
        <v>5.7383430474924699</v>
      </c>
      <c r="F256" s="133">
        <v>39348.638039948397</v>
      </c>
      <c r="G256" s="131">
        <v>2.2953372189969898</v>
      </c>
    </row>
    <row r="257" spans="1:7" x14ac:dyDescent="0.25">
      <c r="A257" s="126" t="s">
        <v>275</v>
      </c>
      <c r="B257" s="126" t="s">
        <v>318</v>
      </c>
      <c r="C257" s="126" t="s">
        <v>326</v>
      </c>
      <c r="D257" s="127">
        <v>557347</v>
      </c>
      <c r="E257" s="131">
        <v>3.8605351710157798</v>
      </c>
      <c r="F257" s="133">
        <v>46150.943180779599</v>
      </c>
      <c r="G257" s="131">
        <v>3.15861968537655</v>
      </c>
    </row>
    <row r="258" spans="1:7" x14ac:dyDescent="0.25">
      <c r="A258" s="126" t="s">
        <v>275</v>
      </c>
      <c r="B258" s="126" t="s">
        <v>318</v>
      </c>
      <c r="C258" s="126" t="s">
        <v>327</v>
      </c>
      <c r="D258" s="127">
        <v>457348</v>
      </c>
      <c r="E258" s="131">
        <v>6.6850700250369197</v>
      </c>
      <c r="F258" s="133">
        <v>61820.980898198599</v>
      </c>
      <c r="G258" s="131">
        <v>2.2920240085840899</v>
      </c>
    </row>
    <row r="259" spans="1:7" x14ac:dyDescent="0.25">
      <c r="A259" s="126" t="s">
        <v>275</v>
      </c>
      <c r="B259" s="126" t="s">
        <v>318</v>
      </c>
      <c r="C259" s="126" t="s">
        <v>328</v>
      </c>
      <c r="D259" s="127">
        <v>457350</v>
      </c>
      <c r="E259" s="131">
        <v>6.5656282737674596</v>
      </c>
      <c r="F259" s="133">
        <v>37682.216972947397</v>
      </c>
      <c r="G259" s="131">
        <v>2.0201933150053701</v>
      </c>
    </row>
    <row r="260" spans="1:7" x14ac:dyDescent="0.25">
      <c r="A260" s="126" t="s">
        <v>275</v>
      </c>
      <c r="B260" s="126" t="s">
        <v>318</v>
      </c>
      <c r="C260" s="126" t="s">
        <v>329</v>
      </c>
      <c r="D260" s="127">
        <v>557352</v>
      </c>
      <c r="E260" s="131">
        <v>3.6255647360053098</v>
      </c>
      <c r="F260" s="133">
        <v>70156.289003807702</v>
      </c>
      <c r="G260" s="131">
        <v>3.75984491141292</v>
      </c>
    </row>
    <row r="261" spans="1:7" x14ac:dyDescent="0.25">
      <c r="A261" s="126" t="s">
        <v>275</v>
      </c>
      <c r="B261" s="126" t="s">
        <v>318</v>
      </c>
      <c r="C261" s="126" t="s">
        <v>330</v>
      </c>
      <c r="D261" s="127">
        <v>457449</v>
      </c>
      <c r="E261" s="131">
        <v>5.0250381171720298</v>
      </c>
      <c r="F261" s="133">
        <v>32160.243949901</v>
      </c>
      <c r="G261" s="131">
        <v>2.8140213456163399</v>
      </c>
    </row>
    <row r="262" spans="1:7" x14ac:dyDescent="0.25">
      <c r="A262" s="126" t="s">
        <v>275</v>
      </c>
      <c r="B262" s="126" t="s">
        <v>318</v>
      </c>
      <c r="C262" s="126" t="s">
        <v>331</v>
      </c>
      <c r="D262" s="127">
        <v>557508</v>
      </c>
      <c r="E262" s="131">
        <v>8.8829163756212193</v>
      </c>
      <c r="F262" s="133">
        <v>44414.581878106103</v>
      </c>
      <c r="G262" s="131">
        <v>3.7799644151579601</v>
      </c>
    </row>
    <row r="263" spans="1:7" x14ac:dyDescent="0.25">
      <c r="A263" s="126" t="s">
        <v>275</v>
      </c>
      <c r="B263" s="126" t="s">
        <v>318</v>
      </c>
      <c r="C263" s="126" t="s">
        <v>332</v>
      </c>
      <c r="D263" s="127">
        <v>557622</v>
      </c>
      <c r="E263" s="131">
        <v>2.74953260796668</v>
      </c>
      <c r="F263" s="133">
        <v>71762.801067930399</v>
      </c>
      <c r="G263" s="131">
        <v>3.5351133531000198</v>
      </c>
    </row>
    <row r="264" spans="1:7" x14ac:dyDescent="0.25">
      <c r="A264" s="126" t="s">
        <v>275</v>
      </c>
      <c r="B264" s="126" t="s">
        <v>318</v>
      </c>
      <c r="C264" s="126" t="s">
        <v>333</v>
      </c>
      <c r="D264" s="127">
        <v>557628</v>
      </c>
      <c r="E264" s="131">
        <v>3.2394012652477699</v>
      </c>
      <c r="F264" s="133">
        <v>44919.6975447691</v>
      </c>
      <c r="G264" s="131">
        <v>2.1596008434985099</v>
      </c>
    </row>
    <row r="265" spans="1:7" x14ac:dyDescent="0.25">
      <c r="A265" s="126" t="s">
        <v>275</v>
      </c>
      <c r="B265" s="126" t="s">
        <v>318</v>
      </c>
      <c r="C265" s="126" t="s">
        <v>334</v>
      </c>
      <c r="D265" s="127">
        <v>457632</v>
      </c>
      <c r="E265" s="131">
        <v>4.2983504683483202</v>
      </c>
      <c r="F265" s="133">
        <v>25079.442199322999</v>
      </c>
      <c r="G265" s="131">
        <v>1.8339628664952801</v>
      </c>
    </row>
    <row r="266" spans="1:7" x14ac:dyDescent="0.25">
      <c r="A266" s="126" t="s">
        <v>275</v>
      </c>
      <c r="B266" s="126" t="s">
        <v>318</v>
      </c>
      <c r="C266" s="126" t="s">
        <v>335</v>
      </c>
      <c r="D266" s="127">
        <v>557633</v>
      </c>
      <c r="E266" s="131">
        <v>6.14205311753192</v>
      </c>
      <c r="F266" s="133">
        <v>64901.027941920598</v>
      </c>
      <c r="G266" s="131">
        <v>5.1183775979432697</v>
      </c>
    </row>
    <row r="267" spans="1:7" x14ac:dyDescent="0.25">
      <c r="A267" s="126" t="s">
        <v>275</v>
      </c>
      <c r="B267" s="126" t="s">
        <v>318</v>
      </c>
      <c r="C267" s="126" t="s">
        <v>336</v>
      </c>
      <c r="D267" s="127">
        <v>457634</v>
      </c>
      <c r="E267" s="131">
        <v>1.20513954608875</v>
      </c>
      <c r="F267" s="133">
        <v>25648.3823896338</v>
      </c>
      <c r="G267" s="131">
        <v>0.60256977304437598</v>
      </c>
    </row>
    <row r="268" spans="1:7" x14ac:dyDescent="0.25">
      <c r="A268" s="126" t="s">
        <v>275</v>
      </c>
      <c r="B268" s="126" t="s">
        <v>318</v>
      </c>
      <c r="C268" s="126" t="s">
        <v>337</v>
      </c>
      <c r="D268" s="127">
        <v>557660</v>
      </c>
      <c r="E268" s="131">
        <v>5.2328499853141004</v>
      </c>
      <c r="F268" s="133">
        <v>63945.426820538298</v>
      </c>
      <c r="G268" s="131">
        <v>5.2328499853141004</v>
      </c>
    </row>
    <row r="269" spans="1:7" x14ac:dyDescent="0.25">
      <c r="A269" s="126" t="s">
        <v>275</v>
      </c>
      <c r="B269" s="126" t="s">
        <v>318</v>
      </c>
      <c r="C269" s="126" t="s">
        <v>338</v>
      </c>
      <c r="D269" s="127">
        <v>457158</v>
      </c>
      <c r="E269" s="131">
        <v>4.8506164684028104</v>
      </c>
      <c r="F269" s="133">
        <v>43918.5440209074</v>
      </c>
      <c r="G269" s="131">
        <v>3.2337443122685401</v>
      </c>
    </row>
    <row r="270" spans="1:7" x14ac:dyDescent="0.25">
      <c r="A270" s="126" t="s">
        <v>339</v>
      </c>
      <c r="B270" s="126" t="s">
        <v>340</v>
      </c>
      <c r="C270" s="126" t="s">
        <v>341</v>
      </c>
      <c r="D270" s="127">
        <v>588201</v>
      </c>
      <c r="E270" s="131">
        <v>7.1280813027161303</v>
      </c>
      <c r="F270" s="133">
        <v>28803.2673048529</v>
      </c>
      <c r="G270" s="131">
        <v>4.0731893158377899</v>
      </c>
    </row>
    <row r="271" spans="1:7" x14ac:dyDescent="0.25">
      <c r="A271" s="126" t="s">
        <v>339</v>
      </c>
      <c r="B271" s="126" t="s">
        <v>340</v>
      </c>
      <c r="C271" s="126" t="s">
        <v>342</v>
      </c>
      <c r="D271" s="127">
        <v>588206</v>
      </c>
      <c r="E271" s="131">
        <v>5.7695437486063001</v>
      </c>
      <c r="F271" s="133">
        <v>46677.470069369701</v>
      </c>
      <c r="G271" s="131">
        <v>1.8611431447117099</v>
      </c>
    </row>
    <row r="272" spans="1:7" x14ac:dyDescent="0.25">
      <c r="A272" s="126" t="s">
        <v>339</v>
      </c>
      <c r="B272" s="126" t="s">
        <v>340</v>
      </c>
      <c r="C272" s="126" t="s">
        <v>343</v>
      </c>
      <c r="D272" s="127">
        <v>588216</v>
      </c>
      <c r="E272" s="131">
        <v>6</v>
      </c>
      <c r="F272" s="133">
        <v>45200</v>
      </c>
      <c r="G272" s="131">
        <v>7</v>
      </c>
    </row>
    <row r="273" spans="1:7" x14ac:dyDescent="0.25">
      <c r="A273" s="126" t="s">
        <v>339</v>
      </c>
      <c r="B273" s="126" t="s">
        <v>340</v>
      </c>
      <c r="C273" s="126" t="s">
        <v>344</v>
      </c>
      <c r="D273" s="127">
        <v>488256</v>
      </c>
      <c r="E273" s="131">
        <v>3.61885777583662</v>
      </c>
      <c r="F273" s="133">
        <v>55120.917911953497</v>
      </c>
      <c r="G273" s="131">
        <v>1.52372958982594</v>
      </c>
    </row>
    <row r="274" spans="1:7" x14ac:dyDescent="0.25">
      <c r="A274" s="126" t="s">
        <v>339</v>
      </c>
      <c r="B274" s="126" t="s">
        <v>340</v>
      </c>
      <c r="C274" s="126" t="s">
        <v>345</v>
      </c>
      <c r="D274" s="127">
        <v>488281</v>
      </c>
      <c r="E274" s="131">
        <v>4.22085866122125</v>
      </c>
      <c r="F274" s="133">
        <v>42475.167159236997</v>
      </c>
      <c r="G274" s="131">
        <v>1.7772036468300001</v>
      </c>
    </row>
    <row r="275" spans="1:7" x14ac:dyDescent="0.25">
      <c r="A275" s="126" t="s">
        <v>339</v>
      </c>
      <c r="B275" s="126" t="s">
        <v>340</v>
      </c>
      <c r="C275" s="126" t="s">
        <v>346</v>
      </c>
      <c r="D275" s="127">
        <v>488286</v>
      </c>
      <c r="E275" s="131">
        <v>5.9359402069646299</v>
      </c>
      <c r="F275" s="133">
        <v>36349.162086003802</v>
      </c>
      <c r="G275" s="131">
        <v>5.4172658199482999</v>
      </c>
    </row>
    <row r="276" spans="1:7" x14ac:dyDescent="0.25">
      <c r="A276" s="126" t="s">
        <v>339</v>
      </c>
      <c r="B276" s="126" t="s">
        <v>340</v>
      </c>
      <c r="C276" s="126" t="s">
        <v>347</v>
      </c>
      <c r="D276" s="127">
        <v>488291</v>
      </c>
      <c r="E276" s="131">
        <v>4.7395243487124699</v>
      </c>
      <c r="F276" s="133">
        <v>37758.2106447427</v>
      </c>
      <c r="G276" s="131">
        <v>4.2129105321888698</v>
      </c>
    </row>
    <row r="277" spans="1:7" x14ac:dyDescent="0.25">
      <c r="A277" s="126" t="s">
        <v>339</v>
      </c>
      <c r="B277" s="126" t="s">
        <v>340</v>
      </c>
      <c r="C277" s="126" t="s">
        <v>348</v>
      </c>
      <c r="D277" s="127">
        <v>488288</v>
      </c>
      <c r="E277" s="131">
        <v>6.9840818648546801</v>
      </c>
      <c r="F277" s="133">
        <v>57133.550313977001</v>
      </c>
      <c r="G277" s="131">
        <v>4.8351335987455499</v>
      </c>
    </row>
    <row r="278" spans="1:7" x14ac:dyDescent="0.25">
      <c r="A278" s="126" t="s">
        <v>339</v>
      </c>
      <c r="B278" s="126" t="s">
        <v>340</v>
      </c>
      <c r="C278" s="126" t="s">
        <v>349</v>
      </c>
      <c r="D278" s="127">
        <v>588336</v>
      </c>
      <c r="E278" s="131">
        <v>8.4871200198439194</v>
      </c>
      <c r="F278" s="133">
        <v>21156.299179900801</v>
      </c>
      <c r="G278" s="131">
        <v>2.4600347883605602</v>
      </c>
    </row>
    <row r="279" spans="1:7" x14ac:dyDescent="0.25">
      <c r="A279" s="126" t="s">
        <v>339</v>
      </c>
      <c r="B279" s="126" t="s">
        <v>340</v>
      </c>
      <c r="C279" s="126" t="s">
        <v>350</v>
      </c>
      <c r="D279" s="127">
        <v>588396</v>
      </c>
      <c r="E279" s="131">
        <v>8.6197149930090102</v>
      </c>
      <c r="F279" s="133">
        <v>43816.884547795802</v>
      </c>
      <c r="G279" s="131">
        <v>2.8732383310029999</v>
      </c>
    </row>
    <row r="280" spans="1:7" x14ac:dyDescent="0.25">
      <c r="A280" s="126" t="s">
        <v>339</v>
      </c>
      <c r="B280" s="126" t="s">
        <v>340</v>
      </c>
      <c r="C280" s="126" t="s">
        <v>351</v>
      </c>
      <c r="D280" s="127">
        <v>488451</v>
      </c>
      <c r="E280" s="131">
        <v>4.1216633405334901</v>
      </c>
      <c r="F280" s="133">
        <v>36530.9529760968</v>
      </c>
      <c r="G280" s="131">
        <v>2.38622614451939</v>
      </c>
    </row>
    <row r="281" spans="1:7" x14ac:dyDescent="0.25">
      <c r="A281" s="126" t="s">
        <v>339</v>
      </c>
      <c r="B281" s="126" t="s">
        <v>340</v>
      </c>
      <c r="C281" s="126" t="s">
        <v>352</v>
      </c>
      <c r="D281" s="127">
        <v>588501</v>
      </c>
      <c r="E281" s="131">
        <v>2.3829321662706802</v>
      </c>
      <c r="F281" s="133">
        <v>32494.529540054798</v>
      </c>
      <c r="G281" s="131">
        <v>2.5995623632043801</v>
      </c>
    </row>
    <row r="282" spans="1:7" x14ac:dyDescent="0.25">
      <c r="A282" s="126" t="s">
        <v>339</v>
      </c>
      <c r="B282" s="126" t="s">
        <v>340</v>
      </c>
      <c r="C282" s="126" t="s">
        <v>353</v>
      </c>
      <c r="D282" s="127">
        <v>488561</v>
      </c>
      <c r="E282" s="131">
        <v>3.8292599959868201</v>
      </c>
      <c r="F282" s="133">
        <v>25496.619720217601</v>
      </c>
      <c r="G282" s="131">
        <v>2.8133338746025598</v>
      </c>
    </row>
    <row r="283" spans="1:7" x14ac:dyDescent="0.25">
      <c r="A283" s="126" t="s">
        <v>339</v>
      </c>
      <c r="B283" s="126" t="s">
        <v>340</v>
      </c>
      <c r="C283" s="126" t="s">
        <v>354</v>
      </c>
      <c r="D283" s="127">
        <v>588631</v>
      </c>
      <c r="E283" s="131">
        <v>3.3700221188443602</v>
      </c>
      <c r="F283" s="133">
        <v>35335.673099059299</v>
      </c>
      <c r="G283" s="131">
        <v>2.9735489283920802</v>
      </c>
    </row>
    <row r="284" spans="1:7" x14ac:dyDescent="0.25">
      <c r="A284" s="126" t="s">
        <v>339</v>
      </c>
      <c r="B284" s="126" t="s">
        <v>340</v>
      </c>
      <c r="C284" s="126" t="s">
        <v>355</v>
      </c>
      <c r="D284" s="127">
        <v>488706</v>
      </c>
      <c r="E284" s="131">
        <v>6.5888888073784999</v>
      </c>
      <c r="F284" s="133">
        <v>30339.534508394001</v>
      </c>
      <c r="G284" s="131">
        <v>2.4516795562338598</v>
      </c>
    </row>
    <row r="285" spans="1:7" x14ac:dyDescent="0.25">
      <c r="A285" s="126" t="s">
        <v>339</v>
      </c>
      <c r="B285" s="126" t="s">
        <v>340</v>
      </c>
      <c r="C285" s="126" t="s">
        <v>356</v>
      </c>
      <c r="D285" s="127">
        <v>588716</v>
      </c>
      <c r="E285" s="131">
        <v>5.3656558207407699</v>
      </c>
      <c r="F285" s="133">
        <v>51548.621992116699</v>
      </c>
      <c r="G285" s="131">
        <v>4.5991335606349502</v>
      </c>
    </row>
    <row r="286" spans="1:7" x14ac:dyDescent="0.25">
      <c r="A286" s="126" t="s">
        <v>339</v>
      </c>
      <c r="B286" s="126" t="s">
        <v>357</v>
      </c>
      <c r="C286" s="126" t="s">
        <v>358</v>
      </c>
      <c r="D286" s="127">
        <v>588186</v>
      </c>
      <c r="E286" s="131">
        <v>7.79008512148632</v>
      </c>
      <c r="F286" s="133">
        <v>51726.165206669197</v>
      </c>
      <c r="G286" s="131">
        <v>3.1160340485945301</v>
      </c>
    </row>
    <row r="287" spans="1:7" x14ac:dyDescent="0.25">
      <c r="A287" s="126" t="s">
        <v>339</v>
      </c>
      <c r="B287" s="126" t="s">
        <v>357</v>
      </c>
      <c r="C287" s="126" t="s">
        <v>359</v>
      </c>
      <c r="D287" s="127">
        <v>488246</v>
      </c>
      <c r="E287" s="131">
        <v>5.4648273240877003</v>
      </c>
      <c r="F287" s="133">
        <v>62674.738373130902</v>
      </c>
      <c r="G287" s="131">
        <v>6.8310341551096299</v>
      </c>
    </row>
    <row r="288" spans="1:7" x14ac:dyDescent="0.25">
      <c r="A288" s="126" t="s">
        <v>339</v>
      </c>
      <c r="B288" s="126" t="s">
        <v>357</v>
      </c>
      <c r="C288" s="126" t="s">
        <v>360</v>
      </c>
      <c r="D288" s="127">
        <v>588316</v>
      </c>
      <c r="E288" s="131">
        <v>3.0122572026425698</v>
      </c>
      <c r="F288" s="133">
        <v>36774.640015594698</v>
      </c>
      <c r="G288" s="131">
        <v>2.51021433553547</v>
      </c>
    </row>
    <row r="289" spans="1:7" x14ac:dyDescent="0.25">
      <c r="A289" s="126" t="s">
        <v>339</v>
      </c>
      <c r="B289" s="126" t="s">
        <v>357</v>
      </c>
      <c r="C289" s="126" t="s">
        <v>361</v>
      </c>
      <c r="D289" s="127">
        <v>488326</v>
      </c>
      <c r="E289" s="131">
        <v>4.2880947247693104</v>
      </c>
      <c r="F289" s="133">
        <v>48365.719570072397</v>
      </c>
      <c r="G289" s="131">
        <v>1.9944626626833999</v>
      </c>
    </row>
    <row r="290" spans="1:7" x14ac:dyDescent="0.25">
      <c r="A290" s="126" t="s">
        <v>339</v>
      </c>
      <c r="B290" s="126" t="s">
        <v>357</v>
      </c>
      <c r="C290" s="126" t="s">
        <v>362</v>
      </c>
      <c r="D290" s="127">
        <v>488346</v>
      </c>
      <c r="E290" s="131">
        <v>9.6133584528775504</v>
      </c>
      <c r="F290" s="133">
        <v>52392.8035681826</v>
      </c>
      <c r="G290" s="131">
        <v>5.3407546960430796</v>
      </c>
    </row>
    <row r="291" spans="1:7" x14ac:dyDescent="0.25">
      <c r="A291" s="126" t="s">
        <v>339</v>
      </c>
      <c r="B291" s="126" t="s">
        <v>357</v>
      </c>
      <c r="C291" s="126" t="s">
        <v>363</v>
      </c>
      <c r="D291" s="127">
        <v>588386</v>
      </c>
      <c r="E291" s="131">
        <v>3.7136128641602402</v>
      </c>
      <c r="F291" s="133">
        <v>53624.569758473903</v>
      </c>
      <c r="G291" s="131">
        <v>3.46603867321623</v>
      </c>
    </row>
    <row r="292" spans="1:7" x14ac:dyDescent="0.25">
      <c r="A292" s="126" t="s">
        <v>339</v>
      </c>
      <c r="B292" s="126" t="s">
        <v>357</v>
      </c>
      <c r="C292" s="126" t="s">
        <v>364</v>
      </c>
      <c r="D292" s="127">
        <v>588461</v>
      </c>
      <c r="E292" s="131">
        <v>3.1098579238398401</v>
      </c>
      <c r="F292" s="133">
        <v>36627.215547446998</v>
      </c>
      <c r="G292" s="131">
        <v>1.7276988465776899</v>
      </c>
    </row>
    <row r="293" spans="1:7" x14ac:dyDescent="0.25">
      <c r="A293" s="126" t="s">
        <v>339</v>
      </c>
      <c r="B293" s="126" t="s">
        <v>357</v>
      </c>
      <c r="C293" s="126" t="s">
        <v>365</v>
      </c>
      <c r="D293" s="127">
        <v>588551</v>
      </c>
      <c r="E293" s="131">
        <v>3.7820073895639199</v>
      </c>
      <c r="F293" s="133">
        <v>55781.907562218199</v>
      </c>
      <c r="G293" s="131">
        <v>3.5118640045950702</v>
      </c>
    </row>
    <row r="294" spans="1:7" x14ac:dyDescent="0.25">
      <c r="A294" s="126" t="s">
        <v>339</v>
      </c>
      <c r="B294" s="126" t="s">
        <v>357</v>
      </c>
      <c r="C294" s="126" t="s">
        <v>366</v>
      </c>
      <c r="D294" s="127">
        <v>488556</v>
      </c>
      <c r="E294" s="131">
        <v>4.6214970240867803</v>
      </c>
      <c r="F294" s="133">
        <v>62731.045230698001</v>
      </c>
      <c r="G294" s="131">
        <v>2.59959207604882</v>
      </c>
    </row>
    <row r="295" spans="1:7" x14ac:dyDescent="0.25">
      <c r="A295" s="126" t="s">
        <v>339</v>
      </c>
      <c r="B295" s="126" t="s">
        <v>357</v>
      </c>
      <c r="C295" s="126" t="s">
        <v>357</v>
      </c>
      <c r="D295" s="127">
        <v>488586</v>
      </c>
      <c r="E295" s="131">
        <v>3.2109766151250998</v>
      </c>
      <c r="F295" s="133">
        <v>28169.022123597399</v>
      </c>
      <c r="G295" s="131">
        <v>2.2379533984205202</v>
      </c>
    </row>
    <row r="296" spans="1:7" x14ac:dyDescent="0.25">
      <c r="A296" s="126" t="s">
        <v>339</v>
      </c>
      <c r="B296" s="126" t="s">
        <v>357</v>
      </c>
      <c r="C296" s="126" t="s">
        <v>367</v>
      </c>
      <c r="D296" s="127">
        <v>588587</v>
      </c>
      <c r="E296" s="131">
        <v>4.6351442550020998</v>
      </c>
      <c r="F296" s="133">
        <v>45223.975028533998</v>
      </c>
      <c r="G296" s="131">
        <v>2.254935042974</v>
      </c>
    </row>
    <row r="297" spans="1:7" x14ac:dyDescent="0.25">
      <c r="A297" s="126" t="s">
        <v>339</v>
      </c>
      <c r="B297" s="126" t="s">
        <v>357</v>
      </c>
      <c r="C297" s="126" t="s">
        <v>368</v>
      </c>
      <c r="D297" s="127">
        <v>488616</v>
      </c>
      <c r="E297" s="131">
        <v>7.14742283799061</v>
      </c>
      <c r="F297" s="133">
        <v>49951.4851791658</v>
      </c>
      <c r="G297" s="131">
        <v>3.7060711011803198</v>
      </c>
    </row>
    <row r="298" spans="1:7" x14ac:dyDescent="0.25">
      <c r="A298" s="126" t="s">
        <v>339</v>
      </c>
      <c r="B298" s="126" t="s">
        <v>357</v>
      </c>
      <c r="C298" s="126" t="s">
        <v>369</v>
      </c>
      <c r="D298" s="127">
        <v>588666</v>
      </c>
      <c r="E298" s="131">
        <v>4.9884779420575702</v>
      </c>
      <c r="F298" s="133">
        <v>43563.130748503303</v>
      </c>
      <c r="G298" s="131">
        <v>2.18245909965019</v>
      </c>
    </row>
    <row r="299" spans="1:7" x14ac:dyDescent="0.25">
      <c r="A299" s="129"/>
      <c r="B299" s="129"/>
      <c r="C299" s="129"/>
      <c r="D299" s="129"/>
    </row>
    <row r="300" spans="1:7" x14ac:dyDescent="0.25">
      <c r="A300"/>
      <c r="B300"/>
      <c r="C300"/>
      <c r="D300"/>
    </row>
    <row r="301" spans="1:7" x14ac:dyDescent="0.25">
      <c r="A301"/>
      <c r="B301"/>
      <c r="C301"/>
      <c r="D301"/>
    </row>
    <row r="302" spans="1:7" x14ac:dyDescent="0.25">
      <c r="A302"/>
      <c r="B302"/>
      <c r="C302"/>
      <c r="D302"/>
    </row>
    <row r="303" spans="1:7" x14ac:dyDescent="0.25">
      <c r="A303"/>
      <c r="B303"/>
      <c r="C303"/>
      <c r="D303"/>
    </row>
    <row r="304" spans="1:7" x14ac:dyDescent="0.25">
      <c r="A304"/>
      <c r="B304"/>
      <c r="C304"/>
      <c r="D304"/>
    </row>
    <row r="305" spans="1:4" x14ac:dyDescent="0.25">
      <c r="A305"/>
      <c r="B305"/>
      <c r="C305"/>
      <c r="D305"/>
    </row>
    <row r="306" spans="1:4" x14ac:dyDescent="0.25">
      <c r="A306"/>
      <c r="B306"/>
      <c r="C306"/>
      <c r="D306"/>
    </row>
    <row r="307" spans="1:4" x14ac:dyDescent="0.25">
      <c r="A307"/>
      <c r="B307"/>
      <c r="C307"/>
      <c r="D307"/>
    </row>
    <row r="308" spans="1:4" x14ac:dyDescent="0.25">
      <c r="A308"/>
      <c r="B308"/>
      <c r="C308"/>
      <c r="D308"/>
    </row>
    <row r="309" spans="1:4" x14ac:dyDescent="0.25">
      <c r="A309"/>
      <c r="B309"/>
      <c r="C309"/>
      <c r="D309"/>
    </row>
    <row r="310" spans="1:4" x14ac:dyDescent="0.25">
      <c r="A310"/>
      <c r="B310"/>
      <c r="C310"/>
      <c r="D310"/>
    </row>
    <row r="311" spans="1:4" x14ac:dyDescent="0.25">
      <c r="A311"/>
      <c r="B311"/>
      <c r="C311"/>
      <c r="D311"/>
    </row>
    <row r="312" spans="1:4" x14ac:dyDescent="0.25">
      <c r="A312"/>
      <c r="B312"/>
      <c r="C312"/>
      <c r="D312"/>
    </row>
    <row r="313" spans="1:4" x14ac:dyDescent="0.25">
      <c r="A313"/>
      <c r="B313"/>
      <c r="C313"/>
      <c r="D313"/>
    </row>
    <row r="314" spans="1:4" x14ac:dyDescent="0.25">
      <c r="A314"/>
      <c r="B314"/>
      <c r="C314"/>
      <c r="D314"/>
    </row>
    <row r="315" spans="1:4" x14ac:dyDescent="0.25">
      <c r="A315"/>
      <c r="B315"/>
      <c r="C315"/>
      <c r="D315"/>
    </row>
    <row r="316" spans="1:4" x14ac:dyDescent="0.25">
      <c r="A316"/>
      <c r="B316"/>
      <c r="C316"/>
      <c r="D316"/>
    </row>
    <row r="317" spans="1:4" x14ac:dyDescent="0.25">
      <c r="A317"/>
      <c r="B317"/>
      <c r="C317"/>
      <c r="D317"/>
    </row>
    <row r="318" spans="1:4" x14ac:dyDescent="0.25">
      <c r="A318"/>
      <c r="B318"/>
      <c r="C318"/>
      <c r="D318"/>
    </row>
    <row r="319" spans="1:4" x14ac:dyDescent="0.25">
      <c r="A319"/>
      <c r="B319"/>
      <c r="C319"/>
      <c r="D319"/>
    </row>
    <row r="320" spans="1:4" x14ac:dyDescent="0.25">
      <c r="A320"/>
      <c r="B320"/>
      <c r="C320"/>
      <c r="D320"/>
    </row>
    <row r="321" spans="1:4" x14ac:dyDescent="0.25">
      <c r="A321"/>
      <c r="B321"/>
      <c r="C321"/>
      <c r="D321"/>
    </row>
    <row r="322" spans="1:4" x14ac:dyDescent="0.25">
      <c r="A322"/>
      <c r="B322"/>
      <c r="C322"/>
      <c r="D322"/>
    </row>
    <row r="323" spans="1:4" x14ac:dyDescent="0.25">
      <c r="A323"/>
      <c r="B323"/>
      <c r="C323"/>
      <c r="D323"/>
    </row>
    <row r="324" spans="1:4" x14ac:dyDescent="0.25">
      <c r="A324"/>
      <c r="B324"/>
      <c r="C324"/>
      <c r="D324"/>
    </row>
    <row r="325" spans="1:4" x14ac:dyDescent="0.25">
      <c r="A325"/>
      <c r="B325"/>
      <c r="C325"/>
      <c r="D325"/>
    </row>
    <row r="326" spans="1:4" x14ac:dyDescent="0.25">
      <c r="A326"/>
      <c r="B326"/>
      <c r="C326"/>
      <c r="D326"/>
    </row>
    <row r="327" spans="1:4" x14ac:dyDescent="0.25">
      <c r="A327"/>
      <c r="B327"/>
      <c r="C327"/>
      <c r="D327"/>
    </row>
    <row r="328" spans="1:4" x14ac:dyDescent="0.25">
      <c r="A328"/>
      <c r="B328"/>
      <c r="C328"/>
      <c r="D328"/>
    </row>
    <row r="329" spans="1:4" x14ac:dyDescent="0.25">
      <c r="A329"/>
      <c r="B329"/>
      <c r="C329"/>
      <c r="D329"/>
    </row>
    <row r="330" spans="1:4" x14ac:dyDescent="0.25">
      <c r="A330"/>
      <c r="B330"/>
      <c r="C330"/>
      <c r="D330"/>
    </row>
    <row r="331" spans="1:4" x14ac:dyDescent="0.25">
      <c r="A331"/>
      <c r="B331"/>
      <c r="C331"/>
      <c r="D331"/>
    </row>
    <row r="332" spans="1:4" x14ac:dyDescent="0.25">
      <c r="A332"/>
      <c r="B332"/>
      <c r="C332"/>
      <c r="D332"/>
    </row>
    <row r="333" spans="1:4" x14ac:dyDescent="0.25">
      <c r="A333"/>
      <c r="B333"/>
      <c r="C333"/>
      <c r="D333"/>
    </row>
    <row r="334" spans="1:4" x14ac:dyDescent="0.25">
      <c r="A334"/>
      <c r="B334"/>
      <c r="C334"/>
      <c r="D334"/>
    </row>
    <row r="335" spans="1:4" x14ac:dyDescent="0.25">
      <c r="A335"/>
      <c r="B335"/>
      <c r="C335"/>
      <c r="D335"/>
    </row>
    <row r="336" spans="1:4" x14ac:dyDescent="0.25">
      <c r="A336"/>
      <c r="B336"/>
      <c r="C336"/>
      <c r="D336"/>
    </row>
    <row r="337" spans="1:4" x14ac:dyDescent="0.25">
      <c r="A337"/>
      <c r="B337"/>
      <c r="C337"/>
      <c r="D337"/>
    </row>
    <row r="338" spans="1:4" x14ac:dyDescent="0.25">
      <c r="A338"/>
      <c r="B338"/>
      <c r="C338"/>
      <c r="D338"/>
    </row>
    <row r="339" spans="1:4" x14ac:dyDescent="0.25">
      <c r="A339"/>
      <c r="B339"/>
      <c r="C339"/>
      <c r="D339"/>
    </row>
    <row r="340" spans="1:4" x14ac:dyDescent="0.25">
      <c r="A340"/>
      <c r="B340"/>
      <c r="C340"/>
      <c r="D340"/>
    </row>
    <row r="341" spans="1:4" x14ac:dyDescent="0.25">
      <c r="A341"/>
      <c r="B341"/>
      <c r="C341"/>
      <c r="D341"/>
    </row>
    <row r="342" spans="1:4" x14ac:dyDescent="0.25">
      <c r="A342"/>
      <c r="B342"/>
      <c r="C342"/>
      <c r="D342"/>
    </row>
    <row r="343" spans="1:4" x14ac:dyDescent="0.25">
      <c r="A343"/>
      <c r="B343"/>
      <c r="C343"/>
      <c r="D343"/>
    </row>
    <row r="344" spans="1:4" x14ac:dyDescent="0.25">
      <c r="A344"/>
      <c r="B344"/>
      <c r="C344"/>
      <c r="D344"/>
    </row>
    <row r="345" spans="1:4" x14ac:dyDescent="0.25">
      <c r="A345"/>
      <c r="B345"/>
      <c r="C345"/>
      <c r="D345"/>
    </row>
    <row r="346" spans="1:4" x14ac:dyDescent="0.25">
      <c r="A346"/>
      <c r="B346"/>
      <c r="C346"/>
      <c r="D346"/>
    </row>
    <row r="347" spans="1:4" x14ac:dyDescent="0.25">
      <c r="A347"/>
      <c r="B347"/>
      <c r="C347"/>
      <c r="D347"/>
    </row>
    <row r="348" spans="1:4" x14ac:dyDescent="0.25">
      <c r="A348"/>
      <c r="B348"/>
      <c r="C348"/>
      <c r="D348"/>
    </row>
    <row r="349" spans="1:4" x14ac:dyDescent="0.25">
      <c r="A349"/>
      <c r="B349"/>
      <c r="C349"/>
      <c r="D349"/>
    </row>
    <row r="350" spans="1:4" x14ac:dyDescent="0.25">
      <c r="A350"/>
      <c r="B350"/>
      <c r="C350"/>
      <c r="D350"/>
    </row>
    <row r="351" spans="1:4" x14ac:dyDescent="0.25">
      <c r="A351"/>
      <c r="B351"/>
      <c r="C351"/>
      <c r="D351"/>
    </row>
    <row r="352" spans="1:4" x14ac:dyDescent="0.25">
      <c r="A352"/>
      <c r="B352"/>
      <c r="C352"/>
      <c r="D352"/>
    </row>
    <row r="353" spans="1:4" x14ac:dyDescent="0.25">
      <c r="A353"/>
      <c r="B353"/>
      <c r="C353"/>
      <c r="D353"/>
    </row>
    <row r="354" spans="1:4" x14ac:dyDescent="0.25">
      <c r="A354"/>
      <c r="B354"/>
      <c r="C354"/>
      <c r="D354"/>
    </row>
    <row r="355" spans="1:4" x14ac:dyDescent="0.25">
      <c r="A355"/>
      <c r="B355"/>
      <c r="C355"/>
      <c r="D355"/>
    </row>
    <row r="356" spans="1:4" x14ac:dyDescent="0.25">
      <c r="A356"/>
      <c r="B356"/>
      <c r="C356"/>
      <c r="D356"/>
    </row>
    <row r="357" spans="1:4" x14ac:dyDescent="0.25">
      <c r="A357"/>
      <c r="B357"/>
      <c r="C357"/>
      <c r="D357"/>
    </row>
    <row r="358" spans="1:4" x14ac:dyDescent="0.25">
      <c r="A358"/>
      <c r="B358"/>
      <c r="C358"/>
      <c r="D358"/>
    </row>
    <row r="359" spans="1:4" x14ac:dyDescent="0.25">
      <c r="A359"/>
      <c r="B359"/>
      <c r="C359"/>
      <c r="D359"/>
    </row>
    <row r="360" spans="1:4" x14ac:dyDescent="0.25">
      <c r="A360"/>
      <c r="B360"/>
      <c r="C360"/>
      <c r="D360"/>
    </row>
    <row r="361" spans="1:4" x14ac:dyDescent="0.25">
      <c r="A361"/>
      <c r="B361"/>
      <c r="C361"/>
      <c r="D361"/>
    </row>
    <row r="362" spans="1:4" x14ac:dyDescent="0.25">
      <c r="A362"/>
      <c r="B362"/>
      <c r="C362"/>
      <c r="D362"/>
    </row>
    <row r="363" spans="1:4" x14ac:dyDescent="0.25">
      <c r="A363"/>
      <c r="B363"/>
      <c r="C363"/>
      <c r="D363"/>
    </row>
    <row r="364" spans="1:4" x14ac:dyDescent="0.25">
      <c r="A364"/>
      <c r="B364"/>
      <c r="C364"/>
      <c r="D364"/>
    </row>
    <row r="365" spans="1:4" x14ac:dyDescent="0.25">
      <c r="A365"/>
      <c r="B365"/>
      <c r="C365"/>
      <c r="D365"/>
    </row>
    <row r="366" spans="1:4" x14ac:dyDescent="0.25">
      <c r="A366"/>
      <c r="B366"/>
      <c r="C366"/>
      <c r="D366"/>
    </row>
    <row r="367" spans="1:4" x14ac:dyDescent="0.25">
      <c r="A367"/>
      <c r="B367"/>
      <c r="C367"/>
      <c r="D367"/>
    </row>
    <row r="368" spans="1:4" x14ac:dyDescent="0.25">
      <c r="A368"/>
      <c r="B368"/>
      <c r="C368"/>
      <c r="D368"/>
    </row>
    <row r="369" spans="1:4" x14ac:dyDescent="0.25">
      <c r="A369"/>
      <c r="B369"/>
      <c r="C369"/>
      <c r="D369"/>
    </row>
    <row r="370" spans="1:4" x14ac:dyDescent="0.25">
      <c r="A370"/>
      <c r="B370"/>
      <c r="C370"/>
      <c r="D370"/>
    </row>
    <row r="371" spans="1:4" x14ac:dyDescent="0.25">
      <c r="A371"/>
      <c r="B371"/>
      <c r="C371"/>
      <c r="D371"/>
    </row>
    <row r="372" spans="1:4" x14ac:dyDescent="0.25">
      <c r="A372"/>
      <c r="B372"/>
      <c r="C372"/>
      <c r="D372"/>
    </row>
    <row r="373" spans="1:4" x14ac:dyDescent="0.25">
      <c r="A373"/>
      <c r="B373"/>
      <c r="C373"/>
      <c r="D373"/>
    </row>
    <row r="374" spans="1:4" x14ac:dyDescent="0.25">
      <c r="A374"/>
      <c r="B374"/>
      <c r="C374"/>
      <c r="D374"/>
    </row>
    <row r="375" spans="1:4" x14ac:dyDescent="0.25">
      <c r="A375"/>
      <c r="B375"/>
      <c r="C375"/>
      <c r="D375"/>
    </row>
    <row r="376" spans="1:4" x14ac:dyDescent="0.25">
      <c r="A376"/>
      <c r="B376"/>
      <c r="C376"/>
      <c r="D376"/>
    </row>
    <row r="377" spans="1:4" x14ac:dyDescent="0.25">
      <c r="A377"/>
      <c r="B377"/>
      <c r="C377"/>
      <c r="D377"/>
    </row>
    <row r="378" spans="1:4" x14ac:dyDescent="0.25">
      <c r="A378"/>
      <c r="B378"/>
      <c r="C378"/>
      <c r="D378"/>
    </row>
    <row r="379" spans="1:4" x14ac:dyDescent="0.25">
      <c r="A379"/>
      <c r="B379"/>
      <c r="C379"/>
      <c r="D379"/>
    </row>
    <row r="380" spans="1:4" x14ac:dyDescent="0.25">
      <c r="A380"/>
      <c r="B380"/>
      <c r="C380"/>
      <c r="D380"/>
    </row>
    <row r="381" spans="1:4" x14ac:dyDescent="0.25">
      <c r="A381"/>
      <c r="B381"/>
      <c r="C381"/>
      <c r="D381"/>
    </row>
    <row r="382" spans="1:4" x14ac:dyDescent="0.25">
      <c r="A382"/>
      <c r="B382"/>
      <c r="C382"/>
      <c r="D382"/>
    </row>
    <row r="383" spans="1:4" x14ac:dyDescent="0.25">
      <c r="A383"/>
      <c r="B383"/>
      <c r="C383"/>
      <c r="D383"/>
    </row>
    <row r="384" spans="1:4" x14ac:dyDescent="0.25">
      <c r="A384"/>
      <c r="B384"/>
      <c r="C384"/>
      <c r="D384"/>
    </row>
    <row r="385" spans="1:4" x14ac:dyDescent="0.25">
      <c r="A385"/>
      <c r="B385"/>
      <c r="C385"/>
      <c r="D385"/>
    </row>
    <row r="386" spans="1:4" x14ac:dyDescent="0.25">
      <c r="A386"/>
      <c r="B386"/>
      <c r="C386"/>
      <c r="D386"/>
    </row>
    <row r="387" spans="1:4" x14ac:dyDescent="0.25">
      <c r="A387"/>
      <c r="B387"/>
      <c r="C387"/>
      <c r="D387"/>
    </row>
    <row r="388" spans="1:4" x14ac:dyDescent="0.25">
      <c r="A388"/>
      <c r="B388"/>
      <c r="C388"/>
      <c r="D388"/>
    </row>
    <row r="389" spans="1:4" x14ac:dyDescent="0.25">
      <c r="A389"/>
      <c r="B389"/>
      <c r="C389"/>
      <c r="D389"/>
    </row>
    <row r="390" spans="1:4" x14ac:dyDescent="0.25">
      <c r="A390"/>
      <c r="B390"/>
      <c r="C390"/>
      <c r="D390"/>
    </row>
    <row r="391" spans="1:4" x14ac:dyDescent="0.25">
      <c r="A391"/>
      <c r="B391"/>
      <c r="C391"/>
      <c r="D391"/>
    </row>
    <row r="392" spans="1:4" x14ac:dyDescent="0.25">
      <c r="A392"/>
      <c r="B392"/>
      <c r="C392"/>
      <c r="D392"/>
    </row>
    <row r="393" spans="1:4" x14ac:dyDescent="0.25">
      <c r="A393"/>
      <c r="B393"/>
      <c r="C393"/>
      <c r="D393"/>
    </row>
    <row r="394" spans="1:4" x14ac:dyDescent="0.25">
      <c r="A394"/>
      <c r="B394"/>
      <c r="C394"/>
      <c r="D394"/>
    </row>
    <row r="395" spans="1:4" x14ac:dyDescent="0.25">
      <c r="A395"/>
      <c r="B395"/>
      <c r="C395"/>
      <c r="D395"/>
    </row>
    <row r="396" spans="1:4" x14ac:dyDescent="0.25">
      <c r="A396"/>
      <c r="B396"/>
      <c r="C396"/>
      <c r="D396"/>
    </row>
    <row r="397" spans="1:4" x14ac:dyDescent="0.25">
      <c r="A397"/>
      <c r="B397"/>
      <c r="C397"/>
      <c r="D397"/>
    </row>
    <row r="398" spans="1:4" x14ac:dyDescent="0.25">
      <c r="A398"/>
      <c r="B398"/>
      <c r="C398"/>
      <c r="D398"/>
    </row>
    <row r="399" spans="1:4" x14ac:dyDescent="0.25">
      <c r="A399"/>
      <c r="B399"/>
      <c r="C399"/>
      <c r="D399"/>
    </row>
    <row r="400" spans="1:4" x14ac:dyDescent="0.25">
      <c r="A400"/>
      <c r="B400"/>
      <c r="C400"/>
      <c r="D400"/>
    </row>
    <row r="401" spans="1:4" x14ac:dyDescent="0.25">
      <c r="A401"/>
      <c r="B401"/>
      <c r="C401"/>
      <c r="D401"/>
    </row>
    <row r="402" spans="1:4" x14ac:dyDescent="0.25">
      <c r="A402"/>
      <c r="B402"/>
      <c r="C402"/>
      <c r="D402"/>
    </row>
    <row r="403" spans="1:4" x14ac:dyDescent="0.25">
      <c r="A403"/>
      <c r="B403"/>
      <c r="C403"/>
      <c r="D403"/>
    </row>
    <row r="404" spans="1:4" x14ac:dyDescent="0.25">
      <c r="A404"/>
      <c r="B404"/>
      <c r="C404"/>
      <c r="D404"/>
    </row>
    <row r="405" spans="1:4" x14ac:dyDescent="0.25">
      <c r="A405"/>
      <c r="B405"/>
      <c r="C405"/>
      <c r="D405"/>
    </row>
    <row r="406" spans="1:4" x14ac:dyDescent="0.25">
      <c r="A406"/>
      <c r="B406"/>
      <c r="C406"/>
      <c r="D406"/>
    </row>
    <row r="407" spans="1:4" x14ac:dyDescent="0.25">
      <c r="A407"/>
      <c r="B407"/>
      <c r="C407"/>
      <c r="D407"/>
    </row>
    <row r="408" spans="1:4" x14ac:dyDescent="0.25">
      <c r="A408"/>
      <c r="B408"/>
      <c r="C408"/>
      <c r="D408"/>
    </row>
    <row r="409" spans="1:4" x14ac:dyDescent="0.25">
      <c r="A409"/>
      <c r="B409"/>
      <c r="C409"/>
      <c r="D409"/>
    </row>
    <row r="410" spans="1:4" x14ac:dyDescent="0.25">
      <c r="A410"/>
      <c r="B410"/>
      <c r="C410"/>
      <c r="D410"/>
    </row>
    <row r="411" spans="1:4" x14ac:dyDescent="0.25">
      <c r="A411"/>
      <c r="B411"/>
      <c r="C411"/>
      <c r="D411"/>
    </row>
    <row r="412" spans="1:4" x14ac:dyDescent="0.25">
      <c r="A412"/>
      <c r="B412"/>
      <c r="C412"/>
      <c r="D412"/>
    </row>
    <row r="413" spans="1:4" x14ac:dyDescent="0.25">
      <c r="A413"/>
      <c r="B413"/>
      <c r="C413"/>
      <c r="D413"/>
    </row>
    <row r="414" spans="1:4" x14ac:dyDescent="0.25">
      <c r="A414"/>
      <c r="B414"/>
      <c r="C414"/>
      <c r="D414"/>
    </row>
    <row r="415" spans="1:4" x14ac:dyDescent="0.25">
      <c r="A415"/>
      <c r="B415"/>
      <c r="C415"/>
      <c r="D415"/>
    </row>
    <row r="416" spans="1:4" x14ac:dyDescent="0.25">
      <c r="A416"/>
      <c r="B416"/>
      <c r="C416"/>
      <c r="D416"/>
    </row>
    <row r="417" spans="1:4" x14ac:dyDescent="0.25">
      <c r="A417"/>
      <c r="B417"/>
      <c r="C417"/>
      <c r="D417"/>
    </row>
    <row r="418" spans="1:4" x14ac:dyDescent="0.25">
      <c r="A418"/>
      <c r="B418"/>
      <c r="C418"/>
      <c r="D418"/>
    </row>
    <row r="419" spans="1:4" x14ac:dyDescent="0.25">
      <c r="A419"/>
      <c r="B419"/>
      <c r="C419"/>
      <c r="D419"/>
    </row>
    <row r="420" spans="1:4" x14ac:dyDescent="0.25">
      <c r="A420"/>
      <c r="B420"/>
      <c r="C420"/>
      <c r="D420"/>
    </row>
    <row r="421" spans="1:4" x14ac:dyDescent="0.25">
      <c r="A421"/>
      <c r="B421"/>
      <c r="C421"/>
      <c r="D421"/>
    </row>
    <row r="422" spans="1:4" x14ac:dyDescent="0.25">
      <c r="A422"/>
      <c r="B422"/>
      <c r="C422"/>
      <c r="D422"/>
    </row>
    <row r="423" spans="1:4" x14ac:dyDescent="0.25">
      <c r="A423"/>
      <c r="B423"/>
      <c r="C423"/>
      <c r="D423"/>
    </row>
    <row r="424" spans="1:4" x14ac:dyDescent="0.25">
      <c r="A424"/>
      <c r="B424"/>
      <c r="C424"/>
      <c r="D424"/>
    </row>
    <row r="425" spans="1:4" x14ac:dyDescent="0.25">
      <c r="A425"/>
      <c r="B425"/>
      <c r="C425"/>
      <c r="D425"/>
    </row>
    <row r="426" spans="1:4" x14ac:dyDescent="0.25">
      <c r="A426"/>
      <c r="B426"/>
      <c r="C426"/>
      <c r="D426"/>
    </row>
    <row r="427" spans="1:4" x14ac:dyDescent="0.25">
      <c r="A427"/>
      <c r="B427"/>
      <c r="C427"/>
      <c r="D427"/>
    </row>
    <row r="428" spans="1:4" x14ac:dyDescent="0.25">
      <c r="A428"/>
      <c r="B428"/>
      <c r="C428"/>
      <c r="D428"/>
    </row>
    <row r="429" spans="1:4" x14ac:dyDescent="0.25">
      <c r="A429"/>
      <c r="B429"/>
      <c r="C429"/>
      <c r="D429"/>
    </row>
    <row r="430" spans="1:4" x14ac:dyDescent="0.25">
      <c r="A430"/>
      <c r="B430"/>
      <c r="C430"/>
      <c r="D430"/>
    </row>
    <row r="431" spans="1:4" x14ac:dyDescent="0.25">
      <c r="A431"/>
      <c r="B431"/>
      <c r="C431"/>
      <c r="D431"/>
    </row>
    <row r="432" spans="1:4" x14ac:dyDescent="0.25">
      <c r="A432"/>
      <c r="B432"/>
      <c r="C432"/>
      <c r="D432"/>
    </row>
    <row r="433" spans="1:4" x14ac:dyDescent="0.25">
      <c r="A433"/>
      <c r="B433"/>
      <c r="C433"/>
      <c r="D433"/>
    </row>
    <row r="434" spans="1:4" x14ac:dyDescent="0.25">
      <c r="A434"/>
      <c r="B434"/>
      <c r="C434"/>
      <c r="D434"/>
    </row>
    <row r="435" spans="1:4" x14ac:dyDescent="0.25">
      <c r="A435"/>
      <c r="B435"/>
      <c r="C435"/>
      <c r="D435"/>
    </row>
    <row r="436" spans="1:4" x14ac:dyDescent="0.25">
      <c r="A436"/>
      <c r="B436"/>
      <c r="C436"/>
      <c r="D436"/>
    </row>
    <row r="437" spans="1:4" x14ac:dyDescent="0.25">
      <c r="A437"/>
      <c r="B437"/>
      <c r="C437"/>
      <c r="D437"/>
    </row>
    <row r="438" spans="1:4" x14ac:dyDescent="0.25">
      <c r="A438"/>
      <c r="B438"/>
      <c r="C438"/>
      <c r="D438"/>
    </row>
    <row r="439" spans="1:4" x14ac:dyDescent="0.25">
      <c r="A439"/>
      <c r="B439"/>
      <c r="C439"/>
      <c r="D439"/>
    </row>
    <row r="440" spans="1:4" x14ac:dyDescent="0.25">
      <c r="A440"/>
      <c r="B440"/>
      <c r="C440"/>
      <c r="D440"/>
    </row>
    <row r="441" spans="1:4" x14ac:dyDescent="0.25">
      <c r="A441"/>
      <c r="B441"/>
      <c r="C441"/>
      <c r="D441"/>
    </row>
    <row r="442" spans="1:4" x14ac:dyDescent="0.25">
      <c r="A442"/>
      <c r="B442"/>
      <c r="C442"/>
      <c r="D442"/>
    </row>
    <row r="443" spans="1:4" x14ac:dyDescent="0.25">
      <c r="A443"/>
      <c r="B443"/>
      <c r="C443"/>
      <c r="D443"/>
    </row>
    <row r="444" spans="1:4" x14ac:dyDescent="0.25">
      <c r="A444"/>
      <c r="B444"/>
      <c r="C444"/>
      <c r="D444"/>
    </row>
    <row r="445" spans="1:4" x14ac:dyDescent="0.25">
      <c r="A445"/>
      <c r="B445"/>
      <c r="C445"/>
      <c r="D445"/>
    </row>
    <row r="446" spans="1:4" x14ac:dyDescent="0.25">
      <c r="A446"/>
      <c r="B446"/>
      <c r="C446"/>
      <c r="D446"/>
    </row>
    <row r="447" spans="1:4" x14ac:dyDescent="0.25">
      <c r="A447"/>
      <c r="B447"/>
      <c r="C447"/>
      <c r="D447"/>
    </row>
    <row r="448" spans="1:4" x14ac:dyDescent="0.25">
      <c r="A448"/>
      <c r="B448"/>
      <c r="C448"/>
      <c r="D448"/>
    </row>
    <row r="449" spans="1:4" x14ac:dyDescent="0.25">
      <c r="A449"/>
      <c r="B449"/>
      <c r="C449"/>
      <c r="D449"/>
    </row>
    <row r="450" spans="1:4" x14ac:dyDescent="0.25">
      <c r="A450"/>
      <c r="B450"/>
      <c r="C450"/>
      <c r="D450"/>
    </row>
    <row r="451" spans="1:4" x14ac:dyDescent="0.25">
      <c r="A451"/>
      <c r="B451"/>
      <c r="C451"/>
      <c r="D451"/>
    </row>
    <row r="452" spans="1:4" x14ac:dyDescent="0.25">
      <c r="A452"/>
      <c r="B452"/>
      <c r="C452"/>
      <c r="D452"/>
    </row>
    <row r="453" spans="1:4" x14ac:dyDescent="0.25">
      <c r="A453"/>
      <c r="B453"/>
      <c r="C453"/>
      <c r="D453"/>
    </row>
    <row r="454" spans="1:4" x14ac:dyDescent="0.25">
      <c r="A454"/>
      <c r="B454"/>
      <c r="C454"/>
      <c r="D454"/>
    </row>
    <row r="455" spans="1:4" x14ac:dyDescent="0.25">
      <c r="A455"/>
      <c r="B455"/>
      <c r="C455"/>
      <c r="D455"/>
    </row>
    <row r="456" spans="1:4" x14ac:dyDescent="0.25">
      <c r="A456"/>
      <c r="B456"/>
      <c r="C456"/>
      <c r="D456"/>
    </row>
    <row r="457" spans="1:4" x14ac:dyDescent="0.25">
      <c r="A457"/>
      <c r="B457"/>
      <c r="C457"/>
      <c r="D457"/>
    </row>
    <row r="458" spans="1:4" x14ac:dyDescent="0.25">
      <c r="A458"/>
      <c r="B458"/>
      <c r="C458"/>
      <c r="D458"/>
    </row>
    <row r="459" spans="1:4" x14ac:dyDescent="0.25">
      <c r="A459"/>
      <c r="B459"/>
      <c r="C459"/>
      <c r="D459"/>
    </row>
    <row r="460" spans="1:4" x14ac:dyDescent="0.25">
      <c r="A460"/>
      <c r="B460"/>
      <c r="C460"/>
      <c r="D460"/>
    </row>
    <row r="461" spans="1:4" x14ac:dyDescent="0.25">
      <c r="A461"/>
      <c r="B461"/>
      <c r="C461"/>
      <c r="D461"/>
    </row>
    <row r="462" spans="1:4" x14ac:dyDescent="0.25">
      <c r="A462"/>
      <c r="B462"/>
      <c r="C462"/>
      <c r="D462"/>
    </row>
    <row r="463" spans="1:4" x14ac:dyDescent="0.25">
      <c r="A463"/>
      <c r="B463"/>
      <c r="C463"/>
      <c r="D463"/>
    </row>
    <row r="464" spans="1:4" x14ac:dyDescent="0.25">
      <c r="A464"/>
      <c r="B464"/>
      <c r="C464"/>
      <c r="D464"/>
    </row>
    <row r="465" spans="1:4" x14ac:dyDescent="0.25">
      <c r="A465"/>
      <c r="B465"/>
      <c r="C465"/>
      <c r="D465"/>
    </row>
    <row r="466" spans="1:4" x14ac:dyDescent="0.25">
      <c r="A466"/>
      <c r="B466"/>
      <c r="C466"/>
      <c r="D466"/>
    </row>
    <row r="467" spans="1:4" x14ac:dyDescent="0.25">
      <c r="A467"/>
      <c r="B467"/>
      <c r="C467"/>
      <c r="D467"/>
    </row>
    <row r="468" spans="1:4" x14ac:dyDescent="0.25">
      <c r="A468"/>
      <c r="B468"/>
      <c r="C468"/>
      <c r="D468"/>
    </row>
    <row r="469" spans="1:4" x14ac:dyDescent="0.25">
      <c r="A469"/>
      <c r="B469"/>
      <c r="C469"/>
      <c r="D469"/>
    </row>
    <row r="470" spans="1:4" x14ac:dyDescent="0.25">
      <c r="A470"/>
      <c r="B470"/>
      <c r="C470"/>
      <c r="D470"/>
    </row>
    <row r="471" spans="1:4" x14ac:dyDescent="0.25">
      <c r="A471"/>
      <c r="B471"/>
      <c r="C471"/>
      <c r="D471"/>
    </row>
    <row r="472" spans="1:4" x14ac:dyDescent="0.25">
      <c r="A472"/>
      <c r="B472"/>
      <c r="C472"/>
      <c r="D472"/>
    </row>
    <row r="473" spans="1:4" x14ac:dyDescent="0.25">
      <c r="A473"/>
      <c r="B473"/>
      <c r="C473"/>
      <c r="D473"/>
    </row>
    <row r="474" spans="1:4" x14ac:dyDescent="0.25">
      <c r="A474"/>
      <c r="B474"/>
      <c r="C474"/>
      <c r="D474"/>
    </row>
    <row r="475" spans="1:4" x14ac:dyDescent="0.25">
      <c r="A475"/>
      <c r="B475"/>
      <c r="C475"/>
      <c r="D475"/>
    </row>
    <row r="476" spans="1:4" x14ac:dyDescent="0.25">
      <c r="A476"/>
      <c r="B476"/>
      <c r="C476"/>
      <c r="D476"/>
    </row>
    <row r="477" spans="1:4" x14ac:dyDescent="0.25">
      <c r="A477"/>
      <c r="B477"/>
      <c r="C477"/>
      <c r="D477"/>
    </row>
    <row r="478" spans="1:4" x14ac:dyDescent="0.25">
      <c r="A478"/>
      <c r="B478"/>
      <c r="C478"/>
      <c r="D478"/>
    </row>
    <row r="479" spans="1:4" x14ac:dyDescent="0.25">
      <c r="A479"/>
      <c r="B479"/>
      <c r="C479"/>
      <c r="D479"/>
    </row>
    <row r="480" spans="1:4" x14ac:dyDescent="0.25">
      <c r="A480"/>
      <c r="B480"/>
      <c r="C480"/>
      <c r="D480"/>
    </row>
    <row r="481" spans="1:4" x14ac:dyDescent="0.25">
      <c r="A481"/>
      <c r="B481"/>
      <c r="C481"/>
      <c r="D481"/>
    </row>
    <row r="482" spans="1:4" x14ac:dyDescent="0.25">
      <c r="A482"/>
      <c r="B482"/>
      <c r="C482"/>
      <c r="D482"/>
    </row>
    <row r="483" spans="1:4" x14ac:dyDescent="0.25">
      <c r="A483"/>
      <c r="B483"/>
      <c r="C483"/>
      <c r="D483"/>
    </row>
    <row r="484" spans="1:4" x14ac:dyDescent="0.25">
      <c r="A484"/>
      <c r="B484"/>
      <c r="C484"/>
      <c r="D484"/>
    </row>
    <row r="485" spans="1:4" x14ac:dyDescent="0.25">
      <c r="A485"/>
      <c r="B485"/>
      <c r="C485"/>
      <c r="D485"/>
    </row>
    <row r="486" spans="1:4" x14ac:dyDescent="0.25">
      <c r="A486"/>
      <c r="B486"/>
      <c r="C486"/>
      <c r="D486"/>
    </row>
    <row r="487" spans="1:4" x14ac:dyDescent="0.25">
      <c r="A487"/>
      <c r="B487"/>
      <c r="C487"/>
      <c r="D487"/>
    </row>
    <row r="488" spans="1:4" x14ac:dyDescent="0.25">
      <c r="A488"/>
      <c r="B488"/>
      <c r="C488"/>
      <c r="D488"/>
    </row>
    <row r="489" spans="1:4" x14ac:dyDescent="0.25">
      <c r="A489"/>
      <c r="B489"/>
      <c r="C489"/>
      <c r="D489"/>
    </row>
    <row r="490" spans="1:4" x14ac:dyDescent="0.25">
      <c r="A490"/>
      <c r="B490"/>
      <c r="C490"/>
      <c r="D490"/>
    </row>
    <row r="491" spans="1:4" x14ac:dyDescent="0.25">
      <c r="A491"/>
      <c r="B491"/>
      <c r="C491"/>
      <c r="D491"/>
    </row>
    <row r="492" spans="1:4" x14ac:dyDescent="0.25">
      <c r="A492"/>
      <c r="B492"/>
      <c r="C492"/>
      <c r="D492"/>
    </row>
    <row r="493" spans="1:4" x14ac:dyDescent="0.25">
      <c r="A493"/>
      <c r="B493"/>
      <c r="C493"/>
      <c r="D493"/>
    </row>
    <row r="494" spans="1:4" x14ac:dyDescent="0.25">
      <c r="A494"/>
      <c r="B494"/>
      <c r="C494"/>
      <c r="D494"/>
    </row>
    <row r="495" spans="1:4" x14ac:dyDescent="0.25">
      <c r="A495"/>
      <c r="B495"/>
      <c r="C495"/>
      <c r="D495"/>
    </row>
    <row r="496" spans="1:4" x14ac:dyDescent="0.25">
      <c r="A496"/>
      <c r="B496"/>
      <c r="C496"/>
      <c r="D496"/>
    </row>
    <row r="497" spans="1:4" x14ac:dyDescent="0.25">
      <c r="A497"/>
      <c r="B497"/>
      <c r="C497"/>
      <c r="D497"/>
    </row>
    <row r="498" spans="1:4" x14ac:dyDescent="0.25">
      <c r="A498"/>
      <c r="B498"/>
      <c r="C498"/>
      <c r="D498"/>
    </row>
    <row r="499" spans="1:4" x14ac:dyDescent="0.25">
      <c r="A499"/>
      <c r="B499"/>
      <c r="C499"/>
      <c r="D499"/>
    </row>
    <row r="500" spans="1:4" x14ac:dyDescent="0.25">
      <c r="A500"/>
      <c r="B500"/>
      <c r="C500"/>
      <c r="D500"/>
    </row>
    <row r="501" spans="1:4" x14ac:dyDescent="0.25">
      <c r="A501"/>
      <c r="B501"/>
      <c r="C501"/>
      <c r="D501"/>
    </row>
    <row r="502" spans="1:4" x14ac:dyDescent="0.25">
      <c r="A502"/>
      <c r="B502"/>
      <c r="C502"/>
      <c r="D502"/>
    </row>
    <row r="503" spans="1:4" x14ac:dyDescent="0.25">
      <c r="A503"/>
      <c r="B503"/>
      <c r="C503"/>
      <c r="D503"/>
    </row>
    <row r="504" spans="1:4" x14ac:dyDescent="0.25">
      <c r="A504"/>
      <c r="B504"/>
      <c r="C504"/>
      <c r="D504"/>
    </row>
    <row r="505" spans="1:4" x14ac:dyDescent="0.25">
      <c r="A505"/>
      <c r="B505"/>
      <c r="C505"/>
      <c r="D505"/>
    </row>
    <row r="506" spans="1:4" x14ac:dyDescent="0.25">
      <c r="A506"/>
      <c r="B506"/>
      <c r="C506"/>
      <c r="D506"/>
    </row>
    <row r="507" spans="1:4" x14ac:dyDescent="0.25">
      <c r="A507"/>
      <c r="B507"/>
      <c r="C507"/>
      <c r="D507"/>
    </row>
    <row r="508" spans="1:4" x14ac:dyDescent="0.25">
      <c r="A508"/>
      <c r="B508"/>
      <c r="C508"/>
      <c r="D508"/>
    </row>
    <row r="509" spans="1:4" x14ac:dyDescent="0.25">
      <c r="A509"/>
      <c r="B509"/>
      <c r="C509"/>
      <c r="D509"/>
    </row>
    <row r="510" spans="1:4" x14ac:dyDescent="0.25">
      <c r="A510"/>
      <c r="B510"/>
      <c r="C510"/>
      <c r="D510"/>
    </row>
    <row r="511" spans="1:4" x14ac:dyDescent="0.25">
      <c r="A511"/>
      <c r="B511"/>
      <c r="C511"/>
      <c r="D511"/>
    </row>
    <row r="512" spans="1:4" x14ac:dyDescent="0.25">
      <c r="A512"/>
      <c r="B512"/>
      <c r="C512"/>
      <c r="D512"/>
    </row>
    <row r="513" spans="1:4" x14ac:dyDescent="0.25">
      <c r="A513"/>
      <c r="B513"/>
      <c r="C513"/>
      <c r="D513"/>
    </row>
    <row r="514" spans="1:4" x14ac:dyDescent="0.25">
      <c r="A514"/>
      <c r="B514"/>
      <c r="C514"/>
      <c r="D514"/>
    </row>
    <row r="515" spans="1:4" x14ac:dyDescent="0.25">
      <c r="A515"/>
      <c r="B515"/>
      <c r="C515"/>
      <c r="D515"/>
    </row>
    <row r="516" spans="1:4" x14ac:dyDescent="0.25">
      <c r="A516"/>
      <c r="B516"/>
      <c r="C516"/>
      <c r="D516"/>
    </row>
    <row r="517" spans="1:4" x14ac:dyDescent="0.25">
      <c r="A517"/>
      <c r="B517"/>
      <c r="C517"/>
      <c r="D517"/>
    </row>
    <row r="518" spans="1:4" x14ac:dyDescent="0.25">
      <c r="A518"/>
      <c r="B518"/>
      <c r="C518"/>
      <c r="D518"/>
    </row>
    <row r="519" spans="1:4" x14ac:dyDescent="0.25">
      <c r="A519"/>
      <c r="B519"/>
      <c r="C519"/>
      <c r="D519"/>
    </row>
    <row r="520" spans="1:4" x14ac:dyDescent="0.25">
      <c r="A520"/>
      <c r="B520"/>
      <c r="C520"/>
      <c r="D520"/>
    </row>
    <row r="521" spans="1:4" x14ac:dyDescent="0.25">
      <c r="A521"/>
      <c r="B521"/>
      <c r="C521"/>
      <c r="D521"/>
    </row>
    <row r="522" spans="1:4" x14ac:dyDescent="0.25">
      <c r="A522"/>
      <c r="B522"/>
      <c r="C522"/>
      <c r="D522"/>
    </row>
    <row r="523" spans="1:4" x14ac:dyDescent="0.25">
      <c r="A523"/>
      <c r="B523"/>
      <c r="C523"/>
      <c r="D523"/>
    </row>
    <row r="524" spans="1:4" x14ac:dyDescent="0.25">
      <c r="A524"/>
      <c r="B524"/>
      <c r="C524"/>
      <c r="D524"/>
    </row>
    <row r="525" spans="1:4" x14ac:dyDescent="0.25">
      <c r="A525"/>
      <c r="B525"/>
      <c r="C525"/>
      <c r="D525"/>
    </row>
    <row r="526" spans="1:4" x14ac:dyDescent="0.25">
      <c r="A526"/>
      <c r="B526"/>
      <c r="C526"/>
      <c r="D526"/>
    </row>
    <row r="527" spans="1:4" x14ac:dyDescent="0.25">
      <c r="A527"/>
      <c r="B527"/>
      <c r="C527"/>
      <c r="D527"/>
    </row>
    <row r="528" spans="1:4" x14ac:dyDescent="0.25">
      <c r="A528"/>
      <c r="B528"/>
      <c r="C528"/>
      <c r="D528"/>
    </row>
    <row r="529" spans="1:4" x14ac:dyDescent="0.25">
      <c r="A529"/>
      <c r="B529"/>
      <c r="C529"/>
      <c r="D529"/>
    </row>
    <row r="530" spans="1:4" x14ac:dyDescent="0.25">
      <c r="A530"/>
      <c r="B530"/>
      <c r="C530"/>
      <c r="D530"/>
    </row>
    <row r="531" spans="1:4" x14ac:dyDescent="0.25">
      <c r="A531"/>
      <c r="B531"/>
      <c r="C531"/>
      <c r="D531"/>
    </row>
    <row r="532" spans="1:4" x14ac:dyDescent="0.25">
      <c r="A532"/>
      <c r="B532"/>
      <c r="C532"/>
      <c r="D532"/>
    </row>
    <row r="533" spans="1:4" x14ac:dyDescent="0.25">
      <c r="A533"/>
      <c r="B533"/>
      <c r="C533"/>
      <c r="D533"/>
    </row>
    <row r="534" spans="1:4" x14ac:dyDescent="0.25">
      <c r="A534"/>
      <c r="B534"/>
      <c r="C534"/>
      <c r="D534"/>
    </row>
    <row r="535" spans="1:4" x14ac:dyDescent="0.25">
      <c r="A535"/>
      <c r="B535"/>
      <c r="C535"/>
      <c r="D535"/>
    </row>
    <row r="536" spans="1:4" x14ac:dyDescent="0.25">
      <c r="A536"/>
      <c r="B536"/>
      <c r="C536"/>
      <c r="D536"/>
    </row>
    <row r="537" spans="1:4" x14ac:dyDescent="0.25">
      <c r="A537"/>
      <c r="B537"/>
      <c r="C537"/>
      <c r="D537"/>
    </row>
    <row r="538" spans="1:4" x14ac:dyDescent="0.25">
      <c r="A538"/>
      <c r="B538"/>
      <c r="C538"/>
      <c r="D538"/>
    </row>
    <row r="539" spans="1:4" x14ac:dyDescent="0.25">
      <c r="A539"/>
      <c r="B539"/>
      <c r="C539"/>
      <c r="D539"/>
    </row>
    <row r="540" spans="1:4" x14ac:dyDescent="0.25">
      <c r="A540"/>
      <c r="B540"/>
      <c r="C540"/>
      <c r="D540"/>
    </row>
    <row r="541" spans="1:4" x14ac:dyDescent="0.25">
      <c r="A541"/>
      <c r="B541"/>
      <c r="C541"/>
      <c r="D541"/>
    </row>
    <row r="542" spans="1:4" x14ac:dyDescent="0.25">
      <c r="A542"/>
      <c r="B542"/>
      <c r="C542"/>
      <c r="D542"/>
    </row>
    <row r="543" spans="1:4" x14ac:dyDescent="0.25">
      <c r="A543"/>
      <c r="B543"/>
      <c r="C543"/>
      <c r="D543"/>
    </row>
    <row r="544" spans="1:4" x14ac:dyDescent="0.25">
      <c r="A544"/>
      <c r="B544"/>
      <c r="C544"/>
      <c r="D544"/>
    </row>
    <row r="545" spans="1:4" x14ac:dyDescent="0.25">
      <c r="A545"/>
      <c r="B545"/>
      <c r="C545"/>
      <c r="D545"/>
    </row>
    <row r="546" spans="1:4" x14ac:dyDescent="0.25">
      <c r="A546"/>
      <c r="B546"/>
      <c r="C546"/>
      <c r="D546"/>
    </row>
    <row r="547" spans="1:4" x14ac:dyDescent="0.25">
      <c r="A547"/>
      <c r="B547"/>
      <c r="C547"/>
      <c r="D547"/>
    </row>
    <row r="548" spans="1:4" x14ac:dyDescent="0.25">
      <c r="A548"/>
      <c r="B548"/>
      <c r="C548"/>
      <c r="D548"/>
    </row>
    <row r="549" spans="1:4" x14ac:dyDescent="0.25">
      <c r="A549"/>
      <c r="B549"/>
      <c r="C549"/>
      <c r="D549"/>
    </row>
    <row r="550" spans="1:4" x14ac:dyDescent="0.25">
      <c r="A550"/>
      <c r="B550"/>
      <c r="C550"/>
      <c r="D550"/>
    </row>
    <row r="551" spans="1:4" x14ac:dyDescent="0.25">
      <c r="A551"/>
      <c r="B551"/>
      <c r="C551"/>
      <c r="D551"/>
    </row>
    <row r="552" spans="1:4" x14ac:dyDescent="0.25">
      <c r="A552"/>
      <c r="B552"/>
      <c r="C552"/>
      <c r="D552"/>
    </row>
    <row r="553" spans="1:4" x14ac:dyDescent="0.25">
      <c r="A553"/>
      <c r="B553"/>
      <c r="C553"/>
      <c r="D553"/>
    </row>
    <row r="554" spans="1:4" x14ac:dyDescent="0.25">
      <c r="A554"/>
      <c r="B554"/>
      <c r="C554"/>
      <c r="D554"/>
    </row>
    <row r="555" spans="1:4" x14ac:dyDescent="0.25">
      <c r="A555"/>
      <c r="B555"/>
      <c r="C555"/>
      <c r="D555"/>
    </row>
    <row r="556" spans="1:4" x14ac:dyDescent="0.25">
      <c r="A556"/>
      <c r="B556"/>
      <c r="C556"/>
      <c r="D556"/>
    </row>
    <row r="557" spans="1:4" x14ac:dyDescent="0.25">
      <c r="A557"/>
      <c r="B557"/>
      <c r="C557"/>
      <c r="D557"/>
    </row>
    <row r="558" spans="1:4" x14ac:dyDescent="0.25">
      <c r="A558"/>
      <c r="B558"/>
      <c r="C558"/>
      <c r="D558"/>
    </row>
    <row r="559" spans="1:4" x14ac:dyDescent="0.25">
      <c r="A559"/>
      <c r="B559"/>
      <c r="C559"/>
      <c r="D559"/>
    </row>
    <row r="560" spans="1:4" x14ac:dyDescent="0.25">
      <c r="A560"/>
      <c r="B560"/>
      <c r="C560"/>
      <c r="D560"/>
    </row>
    <row r="561" spans="1:4" x14ac:dyDescent="0.25">
      <c r="A561"/>
      <c r="B561"/>
      <c r="C561"/>
      <c r="D561"/>
    </row>
    <row r="562" spans="1:4" x14ac:dyDescent="0.25">
      <c r="A562"/>
      <c r="B562"/>
      <c r="C562"/>
      <c r="D562"/>
    </row>
    <row r="563" spans="1:4" x14ac:dyDescent="0.25">
      <c r="A563"/>
      <c r="B563"/>
      <c r="C563"/>
      <c r="D563"/>
    </row>
    <row r="564" spans="1:4" x14ac:dyDescent="0.25">
      <c r="A564"/>
      <c r="B564"/>
      <c r="C564"/>
      <c r="D564"/>
    </row>
    <row r="565" spans="1:4" x14ac:dyDescent="0.25">
      <c r="A565"/>
      <c r="B565"/>
      <c r="C565"/>
      <c r="D565"/>
    </row>
    <row r="566" spans="1:4" x14ac:dyDescent="0.25">
      <c r="A566"/>
      <c r="B566"/>
      <c r="C566"/>
      <c r="D566"/>
    </row>
    <row r="567" spans="1:4" x14ac:dyDescent="0.25">
      <c r="A567"/>
      <c r="B567"/>
      <c r="C567"/>
      <c r="D567"/>
    </row>
    <row r="568" spans="1:4" x14ac:dyDescent="0.25">
      <c r="A568"/>
      <c r="B568"/>
      <c r="C568"/>
      <c r="D568"/>
    </row>
    <row r="569" spans="1:4" x14ac:dyDescent="0.25">
      <c r="A569"/>
      <c r="B569"/>
      <c r="C569"/>
      <c r="D569"/>
    </row>
    <row r="570" spans="1:4" x14ac:dyDescent="0.25">
      <c r="A570"/>
      <c r="B570"/>
      <c r="C570"/>
      <c r="D570"/>
    </row>
    <row r="571" spans="1:4" x14ac:dyDescent="0.25">
      <c r="A571"/>
      <c r="B571"/>
      <c r="C571"/>
      <c r="D571"/>
    </row>
    <row r="572" spans="1:4" x14ac:dyDescent="0.25">
      <c r="A572"/>
      <c r="B572"/>
      <c r="C572"/>
      <c r="D572"/>
    </row>
    <row r="573" spans="1:4" x14ac:dyDescent="0.25">
      <c r="A573"/>
      <c r="B573"/>
      <c r="C573"/>
      <c r="D573"/>
    </row>
    <row r="574" spans="1:4" x14ac:dyDescent="0.25">
      <c r="A574"/>
      <c r="B574"/>
      <c r="C574"/>
      <c r="D574"/>
    </row>
    <row r="575" spans="1:4" x14ac:dyDescent="0.25">
      <c r="A575"/>
      <c r="B575"/>
      <c r="C575"/>
      <c r="D575"/>
    </row>
    <row r="576" spans="1:4" x14ac:dyDescent="0.25">
      <c r="A576"/>
      <c r="B576"/>
      <c r="C576"/>
      <c r="D576"/>
    </row>
    <row r="577" spans="1:4" x14ac:dyDescent="0.25">
      <c r="A577"/>
      <c r="B577"/>
      <c r="C577"/>
      <c r="D577"/>
    </row>
    <row r="578" spans="1:4" x14ac:dyDescent="0.25">
      <c r="A578"/>
      <c r="B578"/>
      <c r="C578"/>
      <c r="D578"/>
    </row>
    <row r="579" spans="1:4" x14ac:dyDescent="0.25">
      <c r="A579"/>
      <c r="B579"/>
      <c r="C579"/>
      <c r="D579"/>
    </row>
    <row r="580" spans="1:4" x14ac:dyDescent="0.25">
      <c r="A580"/>
      <c r="B580"/>
      <c r="C580"/>
      <c r="D580"/>
    </row>
    <row r="581" spans="1:4" x14ac:dyDescent="0.25">
      <c r="A581"/>
      <c r="B581"/>
      <c r="C581"/>
      <c r="D581"/>
    </row>
    <row r="582" spans="1:4" x14ac:dyDescent="0.25">
      <c r="A582"/>
      <c r="B582"/>
      <c r="C582"/>
      <c r="D582"/>
    </row>
    <row r="583" spans="1:4" x14ac:dyDescent="0.25">
      <c r="A583"/>
      <c r="B583"/>
      <c r="C583"/>
      <c r="D583"/>
    </row>
    <row r="584" spans="1:4" x14ac:dyDescent="0.25">
      <c r="A584"/>
      <c r="B584"/>
      <c r="C584"/>
      <c r="D584"/>
    </row>
    <row r="585" spans="1:4" x14ac:dyDescent="0.25">
      <c r="A585"/>
      <c r="B585"/>
      <c r="C585"/>
      <c r="D585"/>
    </row>
    <row r="586" spans="1:4" x14ac:dyDescent="0.25">
      <c r="A586"/>
      <c r="B586"/>
      <c r="C586"/>
      <c r="D586"/>
    </row>
    <row r="587" spans="1:4" x14ac:dyDescent="0.25">
      <c r="A587"/>
      <c r="B587"/>
      <c r="C587"/>
      <c r="D587"/>
    </row>
    <row r="588" spans="1:4" x14ac:dyDescent="0.25">
      <c r="A588"/>
      <c r="B588"/>
      <c r="C588"/>
      <c r="D588"/>
    </row>
    <row r="589" spans="1:4" x14ac:dyDescent="0.25">
      <c r="A589"/>
      <c r="B589"/>
      <c r="C589"/>
      <c r="D589"/>
    </row>
    <row r="590" spans="1:4" x14ac:dyDescent="0.25">
      <c r="A590"/>
      <c r="B590"/>
      <c r="C590"/>
      <c r="D590"/>
    </row>
    <row r="591" spans="1:4" x14ac:dyDescent="0.25">
      <c r="A591"/>
      <c r="B591"/>
      <c r="C591"/>
      <c r="D591"/>
    </row>
    <row r="592" spans="1:4" x14ac:dyDescent="0.25">
      <c r="A592"/>
      <c r="B592"/>
      <c r="C592"/>
      <c r="D592"/>
    </row>
    <row r="593" spans="1:4" x14ac:dyDescent="0.25">
      <c r="A593"/>
      <c r="B593"/>
      <c r="C593"/>
      <c r="D593"/>
    </row>
    <row r="594" spans="1:4" x14ac:dyDescent="0.25">
      <c r="A594"/>
      <c r="B594"/>
      <c r="C594"/>
      <c r="D594"/>
    </row>
    <row r="595" spans="1:4" x14ac:dyDescent="0.25">
      <c r="A595"/>
      <c r="B595"/>
      <c r="C595"/>
      <c r="D595"/>
    </row>
    <row r="596" spans="1:4" x14ac:dyDescent="0.25">
      <c r="A596"/>
      <c r="B596"/>
      <c r="C596"/>
      <c r="D596"/>
    </row>
    <row r="597" spans="1:4" x14ac:dyDescent="0.25">
      <c r="A597"/>
      <c r="B597"/>
      <c r="C597"/>
      <c r="D597"/>
    </row>
    <row r="598" spans="1:4" x14ac:dyDescent="0.25">
      <c r="A598"/>
      <c r="B598"/>
      <c r="C598"/>
      <c r="D598"/>
    </row>
    <row r="599" spans="1:4" x14ac:dyDescent="0.25">
      <c r="A599"/>
      <c r="B599"/>
      <c r="C599"/>
      <c r="D599"/>
    </row>
    <row r="600" spans="1:4" x14ac:dyDescent="0.25">
      <c r="A600"/>
      <c r="B600"/>
      <c r="C600"/>
      <c r="D600"/>
    </row>
    <row r="601" spans="1:4" x14ac:dyDescent="0.25">
      <c r="A601"/>
      <c r="B601"/>
      <c r="C601"/>
      <c r="D601"/>
    </row>
    <row r="602" spans="1:4" x14ac:dyDescent="0.25">
      <c r="A602"/>
      <c r="B602"/>
      <c r="C602"/>
      <c r="D602"/>
    </row>
    <row r="603" spans="1:4" x14ac:dyDescent="0.25">
      <c r="A603"/>
      <c r="B603"/>
      <c r="C603"/>
      <c r="D603"/>
    </row>
    <row r="604" spans="1:4" x14ac:dyDescent="0.25">
      <c r="A604"/>
      <c r="B604"/>
      <c r="C604"/>
      <c r="D604"/>
    </row>
    <row r="605" spans="1:4" x14ac:dyDescent="0.25">
      <c r="A605"/>
      <c r="B605"/>
      <c r="C605"/>
      <c r="D605"/>
    </row>
    <row r="606" spans="1:4" x14ac:dyDescent="0.25">
      <c r="A606"/>
      <c r="B606"/>
      <c r="C606"/>
      <c r="D606"/>
    </row>
    <row r="607" spans="1:4" x14ac:dyDescent="0.25">
      <c r="A607"/>
      <c r="B607"/>
      <c r="C607"/>
      <c r="D607"/>
    </row>
    <row r="608" spans="1:4" x14ac:dyDescent="0.25">
      <c r="A608"/>
      <c r="B608"/>
      <c r="C608"/>
      <c r="D608"/>
    </row>
    <row r="609" spans="1:4" x14ac:dyDescent="0.25">
      <c r="A609"/>
      <c r="B609"/>
      <c r="C609"/>
      <c r="D609"/>
    </row>
    <row r="610" spans="1:4" x14ac:dyDescent="0.25">
      <c r="A610"/>
      <c r="B610"/>
      <c r="C610"/>
      <c r="D610"/>
    </row>
    <row r="611" spans="1:4" x14ac:dyDescent="0.25">
      <c r="A611"/>
      <c r="B611"/>
      <c r="C611"/>
      <c r="D611"/>
    </row>
    <row r="612" spans="1:4" x14ac:dyDescent="0.25">
      <c r="A612"/>
      <c r="B612"/>
      <c r="C612"/>
      <c r="D612"/>
    </row>
    <row r="613" spans="1:4" x14ac:dyDescent="0.25">
      <c r="A613"/>
      <c r="B613"/>
      <c r="C613"/>
      <c r="D613"/>
    </row>
    <row r="614" spans="1:4" x14ac:dyDescent="0.25">
      <c r="A614"/>
      <c r="B614"/>
      <c r="C614"/>
      <c r="D614"/>
    </row>
    <row r="615" spans="1:4" x14ac:dyDescent="0.25">
      <c r="A615"/>
      <c r="B615"/>
      <c r="C615"/>
      <c r="D615"/>
    </row>
    <row r="616" spans="1:4" x14ac:dyDescent="0.25">
      <c r="A616"/>
      <c r="B616"/>
      <c r="C616"/>
      <c r="D616"/>
    </row>
    <row r="617" spans="1:4" x14ac:dyDescent="0.25">
      <c r="A617"/>
      <c r="B617"/>
      <c r="C617"/>
      <c r="D617"/>
    </row>
    <row r="618" spans="1:4" x14ac:dyDescent="0.25">
      <c r="A618"/>
      <c r="B618"/>
      <c r="C618"/>
      <c r="D618"/>
    </row>
    <row r="619" spans="1:4" x14ac:dyDescent="0.25">
      <c r="A619"/>
      <c r="B619"/>
      <c r="C619"/>
      <c r="D619"/>
    </row>
    <row r="620" spans="1:4" x14ac:dyDescent="0.25">
      <c r="A620"/>
      <c r="B620"/>
      <c r="C620"/>
      <c r="D620"/>
    </row>
    <row r="621" spans="1:4" x14ac:dyDescent="0.25">
      <c r="A621"/>
      <c r="B621"/>
      <c r="C621"/>
      <c r="D621"/>
    </row>
    <row r="622" spans="1:4" x14ac:dyDescent="0.25">
      <c r="A622"/>
      <c r="B622"/>
      <c r="C622"/>
      <c r="D622"/>
    </row>
    <row r="623" spans="1:4" x14ac:dyDescent="0.25">
      <c r="A623"/>
      <c r="B623"/>
      <c r="C623"/>
      <c r="D623"/>
    </row>
    <row r="624" spans="1:4" x14ac:dyDescent="0.25">
      <c r="A624"/>
      <c r="B624"/>
      <c r="C624"/>
      <c r="D624"/>
    </row>
    <row r="625" spans="1:4" x14ac:dyDescent="0.25">
      <c r="A625"/>
      <c r="B625"/>
      <c r="C625"/>
      <c r="D625"/>
    </row>
    <row r="626" spans="1:4" x14ac:dyDescent="0.25">
      <c r="A626"/>
      <c r="B626"/>
      <c r="C626"/>
      <c r="D626"/>
    </row>
    <row r="627" spans="1:4" x14ac:dyDescent="0.25">
      <c r="A627"/>
      <c r="B627"/>
      <c r="C627"/>
      <c r="D627"/>
    </row>
    <row r="628" spans="1:4" x14ac:dyDescent="0.25">
      <c r="A628"/>
      <c r="B628"/>
      <c r="C628"/>
      <c r="D628"/>
    </row>
    <row r="629" spans="1:4" x14ac:dyDescent="0.25">
      <c r="A629"/>
      <c r="B629"/>
      <c r="C629"/>
      <c r="D629"/>
    </row>
    <row r="630" spans="1:4" x14ac:dyDescent="0.25">
      <c r="A630"/>
      <c r="B630"/>
      <c r="C630"/>
      <c r="D630"/>
    </row>
    <row r="631" spans="1:4" x14ac:dyDescent="0.25">
      <c r="A631"/>
      <c r="B631"/>
      <c r="C631"/>
      <c r="D631"/>
    </row>
    <row r="632" spans="1:4" x14ac:dyDescent="0.25">
      <c r="A632"/>
      <c r="B632"/>
      <c r="C632"/>
      <c r="D632"/>
    </row>
    <row r="633" spans="1:4" x14ac:dyDescent="0.25">
      <c r="A633"/>
      <c r="B633"/>
      <c r="C633"/>
      <c r="D633"/>
    </row>
    <row r="634" spans="1:4" x14ac:dyDescent="0.25">
      <c r="A634"/>
      <c r="B634"/>
      <c r="C634"/>
      <c r="D634"/>
    </row>
    <row r="635" spans="1:4" x14ac:dyDescent="0.25">
      <c r="A635"/>
      <c r="B635"/>
      <c r="C635"/>
      <c r="D635"/>
    </row>
    <row r="636" spans="1:4" x14ac:dyDescent="0.25">
      <c r="A636"/>
      <c r="B636"/>
      <c r="C636"/>
      <c r="D636"/>
    </row>
    <row r="637" spans="1:4" x14ac:dyDescent="0.25">
      <c r="A637"/>
      <c r="B637"/>
      <c r="C637"/>
      <c r="D637"/>
    </row>
    <row r="638" spans="1:4" x14ac:dyDescent="0.25">
      <c r="A638"/>
      <c r="B638"/>
      <c r="C638"/>
      <c r="D638"/>
    </row>
    <row r="639" spans="1:4" x14ac:dyDescent="0.25">
      <c r="A639"/>
      <c r="B639"/>
      <c r="C639"/>
      <c r="D639"/>
    </row>
    <row r="640" spans="1:4" x14ac:dyDescent="0.25">
      <c r="A640"/>
      <c r="B640"/>
      <c r="C640"/>
      <c r="D640"/>
    </row>
    <row r="641" spans="1:4" x14ac:dyDescent="0.25">
      <c r="A641"/>
      <c r="B641"/>
      <c r="C641"/>
      <c r="D641"/>
    </row>
    <row r="642" spans="1:4" x14ac:dyDescent="0.25">
      <c r="A642"/>
      <c r="B642"/>
      <c r="C642"/>
      <c r="D642"/>
    </row>
    <row r="643" spans="1:4" x14ac:dyDescent="0.25">
      <c r="A643"/>
      <c r="B643"/>
      <c r="C643"/>
      <c r="D643"/>
    </row>
    <row r="644" spans="1:4" x14ac:dyDescent="0.25">
      <c r="A644"/>
      <c r="B644"/>
      <c r="C644"/>
      <c r="D644"/>
    </row>
    <row r="645" spans="1:4" x14ac:dyDescent="0.25">
      <c r="A645"/>
      <c r="B645"/>
      <c r="C645"/>
      <c r="D645"/>
    </row>
    <row r="646" spans="1:4" x14ac:dyDescent="0.25">
      <c r="A646"/>
      <c r="B646"/>
      <c r="C646"/>
      <c r="D646"/>
    </row>
    <row r="647" spans="1:4" x14ac:dyDescent="0.25">
      <c r="A647"/>
      <c r="B647"/>
      <c r="C647"/>
      <c r="D647"/>
    </row>
    <row r="648" spans="1:4" x14ac:dyDescent="0.25">
      <c r="A648"/>
      <c r="B648"/>
      <c r="C648"/>
      <c r="D648"/>
    </row>
    <row r="649" spans="1:4" x14ac:dyDescent="0.25">
      <c r="A649"/>
      <c r="B649"/>
      <c r="C649"/>
      <c r="D649"/>
    </row>
    <row r="650" spans="1:4" x14ac:dyDescent="0.25">
      <c r="A650"/>
      <c r="B650"/>
      <c r="C650"/>
      <c r="D650"/>
    </row>
    <row r="651" spans="1:4" x14ac:dyDescent="0.25">
      <c r="A651"/>
      <c r="B651"/>
      <c r="C651"/>
      <c r="D651"/>
    </row>
    <row r="652" spans="1:4" x14ac:dyDescent="0.25">
      <c r="A652"/>
      <c r="B652"/>
      <c r="C652"/>
      <c r="D652"/>
    </row>
    <row r="653" spans="1:4" x14ac:dyDescent="0.25">
      <c r="A653"/>
      <c r="B653"/>
      <c r="C653"/>
      <c r="D653"/>
    </row>
    <row r="654" spans="1:4" x14ac:dyDescent="0.25">
      <c r="A654"/>
      <c r="B654"/>
      <c r="C654"/>
      <c r="D654"/>
    </row>
    <row r="655" spans="1:4" x14ac:dyDescent="0.25">
      <c r="A655"/>
      <c r="B655"/>
      <c r="C655"/>
      <c r="D655"/>
    </row>
    <row r="656" spans="1:4" x14ac:dyDescent="0.25">
      <c r="A656"/>
      <c r="B656"/>
      <c r="C656"/>
      <c r="D656"/>
    </row>
    <row r="657" spans="1:4" x14ac:dyDescent="0.25">
      <c r="A657"/>
      <c r="B657"/>
      <c r="C657"/>
      <c r="D657"/>
    </row>
    <row r="658" spans="1:4" x14ac:dyDescent="0.25">
      <c r="A658"/>
      <c r="B658"/>
      <c r="C658"/>
      <c r="D658"/>
    </row>
    <row r="659" spans="1:4" x14ac:dyDescent="0.25">
      <c r="A659"/>
      <c r="B659"/>
      <c r="C659"/>
      <c r="D659"/>
    </row>
    <row r="660" spans="1:4" x14ac:dyDescent="0.25">
      <c r="A660"/>
      <c r="B660"/>
      <c r="C660"/>
      <c r="D660"/>
    </row>
    <row r="661" spans="1:4" x14ac:dyDescent="0.25">
      <c r="A661"/>
      <c r="B661"/>
      <c r="C661"/>
      <c r="D661"/>
    </row>
    <row r="662" spans="1:4" x14ac:dyDescent="0.25">
      <c r="A662"/>
      <c r="B662"/>
      <c r="C662"/>
      <c r="D662"/>
    </row>
    <row r="663" spans="1:4" x14ac:dyDescent="0.25">
      <c r="A663"/>
      <c r="B663"/>
      <c r="C663"/>
      <c r="D663"/>
    </row>
    <row r="664" spans="1:4" x14ac:dyDescent="0.25">
      <c r="A664"/>
      <c r="B664"/>
      <c r="C664"/>
      <c r="D664"/>
    </row>
    <row r="665" spans="1:4" x14ac:dyDescent="0.25">
      <c r="A665"/>
      <c r="B665"/>
      <c r="C665"/>
      <c r="D665"/>
    </row>
    <row r="666" spans="1:4" x14ac:dyDescent="0.25">
      <c r="A666"/>
      <c r="B666"/>
      <c r="C666"/>
      <c r="D666"/>
    </row>
    <row r="667" spans="1:4" x14ac:dyDescent="0.25">
      <c r="A667"/>
      <c r="B667"/>
      <c r="C667"/>
      <c r="D667"/>
    </row>
    <row r="668" spans="1:4" x14ac:dyDescent="0.25">
      <c r="A668"/>
      <c r="B668"/>
      <c r="C668"/>
      <c r="D668"/>
    </row>
    <row r="669" spans="1:4" x14ac:dyDescent="0.25">
      <c r="A669"/>
      <c r="B669"/>
      <c r="C669"/>
      <c r="D669"/>
    </row>
    <row r="670" spans="1:4" x14ac:dyDescent="0.25">
      <c r="A670"/>
      <c r="B670"/>
      <c r="C670"/>
      <c r="D670"/>
    </row>
    <row r="671" spans="1:4" x14ac:dyDescent="0.25">
      <c r="A671"/>
      <c r="B671"/>
      <c r="C671"/>
      <c r="D671"/>
    </row>
    <row r="672" spans="1:4" x14ac:dyDescent="0.25">
      <c r="A672"/>
      <c r="B672"/>
      <c r="C672"/>
      <c r="D672"/>
    </row>
    <row r="673" spans="1:4" x14ac:dyDescent="0.25">
      <c r="A673"/>
      <c r="B673"/>
      <c r="C673"/>
      <c r="D673"/>
    </row>
    <row r="674" spans="1:4" x14ac:dyDescent="0.25">
      <c r="A674"/>
      <c r="B674"/>
      <c r="C674"/>
      <c r="D674"/>
    </row>
    <row r="675" spans="1:4" x14ac:dyDescent="0.25">
      <c r="A675"/>
      <c r="B675"/>
      <c r="C675"/>
      <c r="D675"/>
    </row>
    <row r="676" spans="1:4" x14ac:dyDescent="0.25">
      <c r="A676"/>
      <c r="B676"/>
      <c r="C676"/>
      <c r="D676"/>
    </row>
    <row r="677" spans="1:4" x14ac:dyDescent="0.25">
      <c r="A677"/>
      <c r="B677"/>
      <c r="C677"/>
      <c r="D677"/>
    </row>
    <row r="678" spans="1:4" x14ac:dyDescent="0.25">
      <c r="A678"/>
      <c r="B678"/>
      <c r="C678"/>
      <c r="D678"/>
    </row>
    <row r="679" spans="1:4" x14ac:dyDescent="0.25">
      <c r="A679"/>
      <c r="B679"/>
      <c r="C679"/>
      <c r="D679"/>
    </row>
    <row r="680" spans="1:4" x14ac:dyDescent="0.25">
      <c r="A680"/>
      <c r="B680"/>
      <c r="C680"/>
      <c r="D680"/>
    </row>
    <row r="681" spans="1:4" x14ac:dyDescent="0.25">
      <c r="A681"/>
      <c r="B681"/>
      <c r="C681"/>
      <c r="D681"/>
    </row>
    <row r="682" spans="1:4" x14ac:dyDescent="0.25">
      <c r="A682"/>
      <c r="B682"/>
      <c r="C682"/>
      <c r="D682"/>
    </row>
    <row r="683" spans="1:4" x14ac:dyDescent="0.25">
      <c r="A683"/>
      <c r="B683"/>
      <c r="C683"/>
      <c r="D683"/>
    </row>
    <row r="684" spans="1:4" x14ac:dyDescent="0.25">
      <c r="A684"/>
      <c r="B684"/>
      <c r="C684"/>
      <c r="D684"/>
    </row>
    <row r="685" spans="1:4" x14ac:dyDescent="0.25">
      <c r="A685"/>
      <c r="B685"/>
      <c r="C685"/>
      <c r="D685"/>
    </row>
    <row r="686" spans="1:4" x14ac:dyDescent="0.25">
      <c r="A686"/>
      <c r="B686"/>
      <c r="C686"/>
      <c r="D686"/>
    </row>
    <row r="687" spans="1:4" x14ac:dyDescent="0.25">
      <c r="A687"/>
      <c r="B687"/>
      <c r="C687"/>
      <c r="D687"/>
    </row>
    <row r="688" spans="1:4" x14ac:dyDescent="0.25">
      <c r="A688"/>
      <c r="B688"/>
      <c r="C688"/>
      <c r="D688"/>
    </row>
    <row r="689" spans="1:4" x14ac:dyDescent="0.25">
      <c r="A689"/>
      <c r="B689"/>
      <c r="C689"/>
      <c r="D689"/>
    </row>
    <row r="690" spans="1:4" x14ac:dyDescent="0.25">
      <c r="A690"/>
      <c r="B690"/>
      <c r="C690"/>
      <c r="D690"/>
    </row>
    <row r="691" spans="1:4" x14ac:dyDescent="0.25">
      <c r="A691"/>
      <c r="B691"/>
      <c r="C691"/>
      <c r="D691"/>
    </row>
    <row r="692" spans="1:4" x14ac:dyDescent="0.25">
      <c r="A692"/>
      <c r="B692"/>
      <c r="C692"/>
      <c r="D692"/>
    </row>
    <row r="693" spans="1:4" x14ac:dyDescent="0.25">
      <c r="A693"/>
      <c r="B693"/>
      <c r="C693"/>
      <c r="D693"/>
    </row>
    <row r="694" spans="1:4" x14ac:dyDescent="0.25">
      <c r="A694"/>
      <c r="B694"/>
      <c r="C694"/>
      <c r="D694"/>
    </row>
    <row r="695" spans="1:4" x14ac:dyDescent="0.25">
      <c r="A695"/>
      <c r="B695"/>
      <c r="C695"/>
      <c r="D695"/>
    </row>
    <row r="696" spans="1:4" x14ac:dyDescent="0.25">
      <c r="A696"/>
      <c r="B696"/>
      <c r="C696"/>
      <c r="D696"/>
    </row>
    <row r="697" spans="1:4" x14ac:dyDescent="0.25">
      <c r="A697"/>
      <c r="B697"/>
      <c r="C697"/>
      <c r="D697"/>
    </row>
    <row r="698" spans="1:4" x14ac:dyDescent="0.25">
      <c r="A698"/>
      <c r="B698"/>
      <c r="C698"/>
      <c r="D698"/>
    </row>
    <row r="699" spans="1:4" x14ac:dyDescent="0.25">
      <c r="A699"/>
      <c r="B699"/>
      <c r="C699"/>
      <c r="D699"/>
    </row>
    <row r="700" spans="1:4" x14ac:dyDescent="0.25">
      <c r="A700"/>
      <c r="B700"/>
      <c r="C700"/>
      <c r="D700"/>
    </row>
    <row r="701" spans="1:4" x14ac:dyDescent="0.25">
      <c r="A701"/>
      <c r="B701"/>
      <c r="C701"/>
      <c r="D701"/>
    </row>
    <row r="702" spans="1:4" x14ac:dyDescent="0.25">
      <c r="A702"/>
      <c r="B702"/>
      <c r="C702"/>
      <c r="D702"/>
    </row>
    <row r="703" spans="1:4" x14ac:dyDescent="0.25">
      <c r="A703"/>
      <c r="B703"/>
      <c r="C703"/>
      <c r="D703"/>
    </row>
    <row r="704" spans="1:4" x14ac:dyDescent="0.25">
      <c r="A704"/>
      <c r="B704"/>
      <c r="C704"/>
      <c r="D704"/>
    </row>
    <row r="705" spans="1:4" x14ac:dyDescent="0.25">
      <c r="A705"/>
      <c r="B705"/>
      <c r="C705"/>
      <c r="D705"/>
    </row>
    <row r="706" spans="1:4" x14ac:dyDescent="0.25">
      <c r="A706"/>
      <c r="B706"/>
      <c r="C706"/>
      <c r="D706"/>
    </row>
    <row r="707" spans="1:4" x14ac:dyDescent="0.25">
      <c r="A707"/>
      <c r="B707"/>
      <c r="C707"/>
      <c r="D707"/>
    </row>
    <row r="708" spans="1:4" x14ac:dyDescent="0.25">
      <c r="A708"/>
      <c r="B708"/>
      <c r="C708"/>
      <c r="D708"/>
    </row>
    <row r="709" spans="1:4" x14ac:dyDescent="0.25">
      <c r="A709"/>
      <c r="B709"/>
      <c r="C709"/>
      <c r="D709"/>
    </row>
    <row r="710" spans="1:4" x14ac:dyDescent="0.25">
      <c r="A710"/>
      <c r="B710"/>
      <c r="C710"/>
      <c r="D710"/>
    </row>
    <row r="711" spans="1:4" x14ac:dyDescent="0.25">
      <c r="A711"/>
      <c r="B711"/>
      <c r="C711"/>
      <c r="D711"/>
    </row>
    <row r="712" spans="1:4" x14ac:dyDescent="0.25">
      <c r="A712"/>
      <c r="B712"/>
      <c r="C712"/>
      <c r="D712"/>
    </row>
    <row r="713" spans="1:4" x14ac:dyDescent="0.25">
      <c r="A713"/>
      <c r="B713"/>
      <c r="C713"/>
      <c r="D713"/>
    </row>
    <row r="714" spans="1:4" x14ac:dyDescent="0.25">
      <c r="A714"/>
      <c r="B714"/>
      <c r="C714"/>
      <c r="D714"/>
    </row>
    <row r="715" spans="1:4" x14ac:dyDescent="0.25">
      <c r="A715"/>
      <c r="B715"/>
      <c r="C715"/>
      <c r="D715"/>
    </row>
    <row r="716" spans="1:4" x14ac:dyDescent="0.25">
      <c r="A716"/>
      <c r="B716"/>
      <c r="C716"/>
      <c r="D716"/>
    </row>
    <row r="717" spans="1:4" x14ac:dyDescent="0.25">
      <c r="A717"/>
      <c r="B717"/>
      <c r="C717"/>
      <c r="D717"/>
    </row>
    <row r="718" spans="1:4" x14ac:dyDescent="0.25">
      <c r="A718"/>
      <c r="B718"/>
      <c r="C718"/>
      <c r="D718"/>
    </row>
    <row r="719" spans="1:4" x14ac:dyDescent="0.25">
      <c r="A719"/>
      <c r="B719"/>
      <c r="C719"/>
      <c r="D719"/>
    </row>
    <row r="720" spans="1:4" x14ac:dyDescent="0.25">
      <c r="A720"/>
      <c r="B720"/>
      <c r="C720"/>
      <c r="D720"/>
    </row>
    <row r="721" spans="1:4" x14ac:dyDescent="0.25">
      <c r="A721"/>
      <c r="B721"/>
      <c r="C721"/>
      <c r="D721"/>
    </row>
    <row r="722" spans="1:4" x14ac:dyDescent="0.25">
      <c r="A722"/>
      <c r="B722"/>
      <c r="C722"/>
      <c r="D722"/>
    </row>
    <row r="723" spans="1:4" x14ac:dyDescent="0.25">
      <c r="A723"/>
      <c r="B723"/>
      <c r="C723"/>
      <c r="D723"/>
    </row>
    <row r="724" spans="1:4" x14ac:dyDescent="0.25">
      <c r="A724"/>
      <c r="B724"/>
      <c r="C724"/>
      <c r="D724"/>
    </row>
    <row r="725" spans="1:4" x14ac:dyDescent="0.25">
      <c r="A725"/>
      <c r="B725"/>
      <c r="C725"/>
      <c r="D725"/>
    </row>
    <row r="726" spans="1:4" x14ac:dyDescent="0.25">
      <c r="A726"/>
      <c r="B726"/>
      <c r="C726"/>
      <c r="D726"/>
    </row>
    <row r="727" spans="1:4" x14ac:dyDescent="0.25">
      <c r="A727"/>
      <c r="B727"/>
      <c r="C727"/>
      <c r="D727"/>
    </row>
    <row r="728" spans="1:4" x14ac:dyDescent="0.25">
      <c r="A728"/>
      <c r="B728"/>
      <c r="C728"/>
      <c r="D728"/>
    </row>
    <row r="729" spans="1:4" x14ac:dyDescent="0.25">
      <c r="A729"/>
      <c r="B729"/>
      <c r="C729"/>
      <c r="D729"/>
    </row>
    <row r="730" spans="1:4" x14ac:dyDescent="0.25">
      <c r="A730"/>
      <c r="B730"/>
      <c r="C730"/>
      <c r="D730"/>
    </row>
    <row r="731" spans="1:4" x14ac:dyDescent="0.25">
      <c r="A731"/>
      <c r="B731"/>
      <c r="C731"/>
      <c r="D731"/>
    </row>
    <row r="732" spans="1:4" x14ac:dyDescent="0.25">
      <c r="A732"/>
      <c r="B732"/>
      <c r="C732"/>
      <c r="D732"/>
    </row>
    <row r="733" spans="1:4" x14ac:dyDescent="0.25">
      <c r="A733"/>
      <c r="B733"/>
      <c r="C733"/>
      <c r="D733"/>
    </row>
    <row r="734" spans="1:4" x14ac:dyDescent="0.25">
      <c r="A734"/>
      <c r="B734"/>
      <c r="C734"/>
      <c r="D734"/>
    </row>
    <row r="735" spans="1:4" x14ac:dyDescent="0.25">
      <c r="A735"/>
      <c r="B735"/>
      <c r="C735"/>
      <c r="D735"/>
    </row>
    <row r="736" spans="1:4" x14ac:dyDescent="0.25">
      <c r="A736"/>
      <c r="B736"/>
      <c r="C736"/>
      <c r="D736"/>
    </row>
    <row r="737" spans="1:4" x14ac:dyDescent="0.25">
      <c r="A737"/>
      <c r="B737"/>
      <c r="C737"/>
      <c r="D737"/>
    </row>
    <row r="738" spans="1:4" x14ac:dyDescent="0.25">
      <c r="A738"/>
      <c r="B738"/>
      <c r="C738"/>
      <c r="D738"/>
    </row>
    <row r="739" spans="1:4" x14ac:dyDescent="0.25">
      <c r="A739"/>
      <c r="B739"/>
      <c r="C739"/>
      <c r="D739"/>
    </row>
    <row r="740" spans="1:4" x14ac:dyDescent="0.25">
      <c r="A740"/>
      <c r="B740"/>
      <c r="C740"/>
      <c r="D740"/>
    </row>
    <row r="741" spans="1:4" x14ac:dyDescent="0.25">
      <c r="A741"/>
      <c r="B741"/>
      <c r="C741"/>
      <c r="D741"/>
    </row>
    <row r="742" spans="1:4" x14ac:dyDescent="0.25">
      <c r="A742"/>
      <c r="B742"/>
      <c r="C742"/>
      <c r="D742"/>
    </row>
    <row r="743" spans="1:4" x14ac:dyDescent="0.25">
      <c r="A743"/>
      <c r="B743"/>
      <c r="C743"/>
      <c r="D743"/>
    </row>
    <row r="744" spans="1:4" x14ac:dyDescent="0.25">
      <c r="A744"/>
      <c r="B744"/>
      <c r="C744"/>
      <c r="D744"/>
    </row>
    <row r="745" spans="1:4" x14ac:dyDescent="0.25">
      <c r="A745"/>
      <c r="B745"/>
      <c r="C745"/>
      <c r="D745"/>
    </row>
    <row r="746" spans="1:4" x14ac:dyDescent="0.25">
      <c r="A746"/>
      <c r="B746"/>
      <c r="C746"/>
      <c r="D746"/>
    </row>
    <row r="747" spans="1:4" x14ac:dyDescent="0.25">
      <c r="A747"/>
      <c r="B747"/>
      <c r="C747"/>
      <c r="D747"/>
    </row>
    <row r="748" spans="1:4" x14ac:dyDescent="0.25">
      <c r="A748"/>
      <c r="B748"/>
      <c r="C748"/>
      <c r="D748"/>
    </row>
    <row r="749" spans="1:4" x14ac:dyDescent="0.25">
      <c r="A749"/>
      <c r="B749"/>
      <c r="C749"/>
      <c r="D749"/>
    </row>
    <row r="750" spans="1:4" x14ac:dyDescent="0.25">
      <c r="A750"/>
      <c r="B750"/>
      <c r="C750"/>
      <c r="D750"/>
    </row>
    <row r="751" spans="1:4" x14ac:dyDescent="0.25">
      <c r="A751"/>
      <c r="B751"/>
      <c r="C751"/>
      <c r="D751"/>
    </row>
    <row r="752" spans="1:4" x14ac:dyDescent="0.25">
      <c r="A752"/>
      <c r="B752"/>
      <c r="C752"/>
      <c r="D752"/>
    </row>
    <row r="753" spans="1:4" x14ac:dyDescent="0.25">
      <c r="A753"/>
      <c r="B753"/>
      <c r="C753"/>
      <c r="D753"/>
    </row>
    <row r="754" spans="1:4" x14ac:dyDescent="0.25">
      <c r="A754"/>
      <c r="B754"/>
      <c r="C754"/>
      <c r="D754"/>
    </row>
    <row r="755" spans="1:4" x14ac:dyDescent="0.25">
      <c r="A755"/>
      <c r="B755"/>
      <c r="C755"/>
      <c r="D755"/>
    </row>
    <row r="756" spans="1:4" x14ac:dyDescent="0.25">
      <c r="A756"/>
      <c r="B756"/>
      <c r="C756"/>
      <c r="D756"/>
    </row>
    <row r="757" spans="1:4" x14ac:dyDescent="0.25">
      <c r="A757"/>
      <c r="B757"/>
      <c r="C757"/>
      <c r="D757"/>
    </row>
    <row r="758" spans="1:4" x14ac:dyDescent="0.25">
      <c r="A758"/>
      <c r="B758"/>
      <c r="C758"/>
      <c r="D758"/>
    </row>
    <row r="759" spans="1:4" x14ac:dyDescent="0.25">
      <c r="A759"/>
      <c r="B759"/>
      <c r="C759"/>
      <c r="D759"/>
    </row>
    <row r="760" spans="1:4" x14ac:dyDescent="0.25">
      <c r="A760"/>
      <c r="B760"/>
      <c r="C760"/>
      <c r="D760"/>
    </row>
    <row r="761" spans="1:4" x14ac:dyDescent="0.25">
      <c r="A761"/>
      <c r="B761"/>
      <c r="C761"/>
      <c r="D761"/>
    </row>
    <row r="762" spans="1:4" x14ac:dyDescent="0.25">
      <c r="A762"/>
      <c r="B762"/>
      <c r="C762"/>
      <c r="D762"/>
    </row>
    <row r="763" spans="1:4" x14ac:dyDescent="0.25">
      <c r="A763"/>
      <c r="B763"/>
      <c r="C763"/>
      <c r="D763"/>
    </row>
    <row r="764" spans="1:4" x14ac:dyDescent="0.25">
      <c r="A764"/>
      <c r="B764"/>
      <c r="C764"/>
      <c r="D764"/>
    </row>
    <row r="765" spans="1:4" x14ac:dyDescent="0.25">
      <c r="A765"/>
      <c r="B765"/>
      <c r="C765"/>
      <c r="D765"/>
    </row>
    <row r="766" spans="1:4" x14ac:dyDescent="0.25">
      <c r="A766"/>
      <c r="B766"/>
      <c r="C766"/>
      <c r="D766"/>
    </row>
    <row r="767" spans="1:4" x14ac:dyDescent="0.25">
      <c r="A767"/>
      <c r="B767"/>
      <c r="C767"/>
      <c r="D767"/>
    </row>
    <row r="768" spans="1:4" x14ac:dyDescent="0.25">
      <c r="A768"/>
      <c r="B768"/>
      <c r="C768"/>
      <c r="D768"/>
    </row>
    <row r="769" spans="1:4" x14ac:dyDescent="0.25">
      <c r="A769"/>
      <c r="B769"/>
      <c r="C769"/>
      <c r="D769"/>
    </row>
    <row r="770" spans="1:4" x14ac:dyDescent="0.25">
      <c r="A770"/>
      <c r="B770"/>
      <c r="C770"/>
      <c r="D770"/>
    </row>
    <row r="771" spans="1:4" x14ac:dyDescent="0.25">
      <c r="A771"/>
      <c r="B771"/>
      <c r="C771"/>
      <c r="D771"/>
    </row>
    <row r="772" spans="1:4" x14ac:dyDescent="0.25">
      <c r="A772"/>
      <c r="B772"/>
      <c r="C772"/>
      <c r="D772"/>
    </row>
    <row r="773" spans="1:4" x14ac:dyDescent="0.25">
      <c r="A773"/>
      <c r="B773"/>
      <c r="C773"/>
      <c r="D773"/>
    </row>
    <row r="774" spans="1:4" x14ac:dyDescent="0.25">
      <c r="A774"/>
      <c r="B774"/>
      <c r="C774"/>
      <c r="D774"/>
    </row>
    <row r="775" spans="1:4" x14ac:dyDescent="0.25">
      <c r="A775"/>
      <c r="B775"/>
      <c r="C775"/>
      <c r="D775"/>
    </row>
    <row r="776" spans="1:4" x14ac:dyDescent="0.25">
      <c r="A776"/>
      <c r="B776"/>
      <c r="C776"/>
      <c r="D776"/>
    </row>
    <row r="777" spans="1:4" x14ac:dyDescent="0.25">
      <c r="A777"/>
      <c r="B777"/>
      <c r="C777"/>
      <c r="D777"/>
    </row>
    <row r="778" spans="1:4" x14ac:dyDescent="0.25">
      <c r="A778"/>
      <c r="B778"/>
      <c r="C778"/>
      <c r="D778"/>
    </row>
    <row r="779" spans="1:4" x14ac:dyDescent="0.25">
      <c r="A779"/>
      <c r="B779"/>
      <c r="C779"/>
      <c r="D779"/>
    </row>
    <row r="780" spans="1:4" x14ac:dyDescent="0.25">
      <c r="A780"/>
      <c r="B780"/>
      <c r="C780"/>
      <c r="D780"/>
    </row>
    <row r="781" spans="1:4" x14ac:dyDescent="0.25">
      <c r="A781"/>
      <c r="B781"/>
      <c r="C781"/>
      <c r="D781"/>
    </row>
    <row r="782" spans="1:4" x14ac:dyDescent="0.25">
      <c r="A782"/>
      <c r="B782"/>
      <c r="C782"/>
      <c r="D782"/>
    </row>
    <row r="783" spans="1:4" x14ac:dyDescent="0.25">
      <c r="A783"/>
      <c r="B783"/>
      <c r="C783"/>
      <c r="D783"/>
    </row>
    <row r="784" spans="1:4" x14ac:dyDescent="0.25">
      <c r="A784"/>
      <c r="B784"/>
      <c r="C784"/>
      <c r="D784"/>
    </row>
    <row r="785" spans="1:4" x14ac:dyDescent="0.25">
      <c r="A785"/>
      <c r="B785"/>
      <c r="C785"/>
      <c r="D785"/>
    </row>
    <row r="786" spans="1:4" x14ac:dyDescent="0.25">
      <c r="A786"/>
      <c r="B786"/>
      <c r="C786"/>
      <c r="D786"/>
    </row>
    <row r="787" spans="1:4" x14ac:dyDescent="0.25">
      <c r="A787"/>
      <c r="B787"/>
      <c r="C787"/>
      <c r="D787"/>
    </row>
    <row r="788" spans="1:4" x14ac:dyDescent="0.25">
      <c r="A788"/>
      <c r="B788"/>
      <c r="C788"/>
      <c r="D788"/>
    </row>
    <row r="789" spans="1:4" x14ac:dyDescent="0.25">
      <c r="A789"/>
      <c r="B789"/>
      <c r="C789"/>
      <c r="D789"/>
    </row>
    <row r="790" spans="1:4" x14ac:dyDescent="0.25">
      <c r="A790"/>
      <c r="B790"/>
      <c r="C790"/>
      <c r="D790"/>
    </row>
    <row r="791" spans="1:4" x14ac:dyDescent="0.25">
      <c r="A791"/>
      <c r="B791"/>
      <c r="C791"/>
      <c r="D791"/>
    </row>
    <row r="792" spans="1:4" x14ac:dyDescent="0.25">
      <c r="A792"/>
      <c r="B792"/>
      <c r="C792"/>
      <c r="D792"/>
    </row>
    <row r="793" spans="1:4" x14ac:dyDescent="0.25">
      <c r="A793"/>
      <c r="B793"/>
      <c r="C793"/>
      <c r="D793"/>
    </row>
    <row r="794" spans="1:4" x14ac:dyDescent="0.25">
      <c r="A794"/>
      <c r="B794"/>
      <c r="C794"/>
      <c r="D794"/>
    </row>
    <row r="795" spans="1:4" x14ac:dyDescent="0.25">
      <c r="A795"/>
      <c r="B795"/>
      <c r="C795"/>
      <c r="D795"/>
    </row>
    <row r="796" spans="1:4" x14ac:dyDescent="0.25">
      <c r="A796"/>
      <c r="B796"/>
      <c r="C796"/>
      <c r="D796"/>
    </row>
    <row r="797" spans="1:4" x14ac:dyDescent="0.25">
      <c r="A797"/>
      <c r="B797"/>
      <c r="C797"/>
      <c r="D797"/>
    </row>
    <row r="798" spans="1:4" x14ac:dyDescent="0.25">
      <c r="A798"/>
      <c r="B798"/>
      <c r="C798"/>
      <c r="D798"/>
    </row>
    <row r="799" spans="1:4" x14ac:dyDescent="0.25">
      <c r="A799"/>
      <c r="B799"/>
      <c r="C799"/>
      <c r="D799"/>
    </row>
    <row r="800" spans="1:4" x14ac:dyDescent="0.25">
      <c r="A800"/>
      <c r="B800"/>
      <c r="C800"/>
      <c r="D800"/>
    </row>
    <row r="801" spans="1:4" x14ac:dyDescent="0.25">
      <c r="A801"/>
      <c r="B801"/>
      <c r="C801"/>
      <c r="D801"/>
    </row>
    <row r="802" spans="1:4" x14ac:dyDescent="0.25">
      <c r="A802"/>
      <c r="B802"/>
      <c r="C802"/>
      <c r="D802"/>
    </row>
    <row r="803" spans="1:4" x14ac:dyDescent="0.25">
      <c r="A803"/>
      <c r="B803"/>
      <c r="C803"/>
      <c r="D803"/>
    </row>
    <row r="804" spans="1:4" x14ac:dyDescent="0.25">
      <c r="A804"/>
      <c r="B804"/>
      <c r="C804"/>
      <c r="D804"/>
    </row>
    <row r="805" spans="1:4" x14ac:dyDescent="0.25">
      <c r="A805"/>
      <c r="B805"/>
      <c r="C805"/>
      <c r="D805"/>
    </row>
    <row r="806" spans="1:4" x14ac:dyDescent="0.25">
      <c r="A806"/>
      <c r="B806"/>
      <c r="C806"/>
      <c r="D806"/>
    </row>
    <row r="807" spans="1:4" x14ac:dyDescent="0.25">
      <c r="A807"/>
      <c r="B807"/>
      <c r="C807"/>
      <c r="D807"/>
    </row>
    <row r="808" spans="1:4" x14ac:dyDescent="0.25">
      <c r="A808"/>
      <c r="B808"/>
      <c r="C808"/>
      <c r="D808"/>
    </row>
    <row r="809" spans="1:4" x14ac:dyDescent="0.25">
      <c r="A809"/>
      <c r="B809"/>
      <c r="C809"/>
      <c r="D809"/>
    </row>
    <row r="810" spans="1:4" x14ac:dyDescent="0.25">
      <c r="A810"/>
      <c r="B810"/>
      <c r="C810"/>
      <c r="D810"/>
    </row>
    <row r="811" spans="1:4" x14ac:dyDescent="0.25">
      <c r="A811"/>
      <c r="B811"/>
      <c r="C811"/>
      <c r="D811"/>
    </row>
    <row r="812" spans="1:4" x14ac:dyDescent="0.25">
      <c r="A812"/>
      <c r="B812"/>
      <c r="C812"/>
      <c r="D812"/>
    </row>
    <row r="813" spans="1:4" x14ac:dyDescent="0.25">
      <c r="A813"/>
      <c r="B813"/>
      <c r="C813"/>
      <c r="D813"/>
    </row>
    <row r="814" spans="1:4" x14ac:dyDescent="0.25">
      <c r="A814"/>
      <c r="B814"/>
      <c r="C814"/>
      <c r="D814"/>
    </row>
    <row r="815" spans="1:4" x14ac:dyDescent="0.25">
      <c r="A815"/>
      <c r="B815"/>
      <c r="C815"/>
      <c r="D815"/>
    </row>
    <row r="816" spans="1:4" x14ac:dyDescent="0.25">
      <c r="A816"/>
      <c r="B816"/>
      <c r="C816"/>
      <c r="D816"/>
    </row>
    <row r="817" spans="1:4" x14ac:dyDescent="0.25">
      <c r="A817"/>
      <c r="B817"/>
      <c r="C817"/>
      <c r="D817"/>
    </row>
    <row r="818" spans="1:4" x14ac:dyDescent="0.25">
      <c r="A818"/>
      <c r="B818"/>
      <c r="C818"/>
      <c r="D818"/>
    </row>
    <row r="819" spans="1:4" x14ac:dyDescent="0.25">
      <c r="A819"/>
      <c r="B819"/>
      <c r="C819"/>
      <c r="D819"/>
    </row>
    <row r="820" spans="1:4" x14ac:dyDescent="0.25">
      <c r="A820"/>
      <c r="B820"/>
      <c r="C820"/>
      <c r="D820"/>
    </row>
    <row r="821" spans="1:4" x14ac:dyDescent="0.25">
      <c r="A821"/>
      <c r="B821"/>
      <c r="C821"/>
      <c r="D821"/>
    </row>
    <row r="822" spans="1:4" x14ac:dyDescent="0.25">
      <c r="A822"/>
      <c r="B822"/>
      <c r="C822"/>
      <c r="D822"/>
    </row>
    <row r="823" spans="1:4" x14ac:dyDescent="0.25">
      <c r="A823"/>
      <c r="B823"/>
      <c r="C823"/>
      <c r="D823"/>
    </row>
    <row r="824" spans="1:4" x14ac:dyDescent="0.25">
      <c r="A824"/>
      <c r="B824"/>
      <c r="C824"/>
      <c r="D824"/>
    </row>
    <row r="825" spans="1:4" x14ac:dyDescent="0.25">
      <c r="A825"/>
      <c r="B825"/>
      <c r="C825"/>
      <c r="D825"/>
    </row>
    <row r="826" spans="1:4" x14ac:dyDescent="0.25">
      <c r="A826"/>
      <c r="B826"/>
      <c r="C826"/>
      <c r="D826"/>
    </row>
    <row r="827" spans="1:4" x14ac:dyDescent="0.25">
      <c r="A827"/>
      <c r="B827"/>
      <c r="C827"/>
      <c r="D827"/>
    </row>
    <row r="828" spans="1:4" x14ac:dyDescent="0.25">
      <c r="A828"/>
      <c r="B828"/>
      <c r="C828"/>
      <c r="D828"/>
    </row>
    <row r="829" spans="1:4" x14ac:dyDescent="0.25">
      <c r="A829"/>
      <c r="B829"/>
      <c r="C829"/>
      <c r="D829"/>
    </row>
    <row r="830" spans="1:4" x14ac:dyDescent="0.25">
      <c r="A830"/>
      <c r="B830"/>
      <c r="C830"/>
      <c r="D830"/>
    </row>
    <row r="831" spans="1:4" x14ac:dyDescent="0.25">
      <c r="A831"/>
      <c r="B831"/>
      <c r="C831"/>
      <c r="D831"/>
    </row>
    <row r="832" spans="1:4" x14ac:dyDescent="0.25">
      <c r="A832"/>
      <c r="B832"/>
      <c r="C832"/>
      <c r="D832"/>
    </row>
    <row r="833" spans="1:4" x14ac:dyDescent="0.25">
      <c r="A833"/>
      <c r="B833"/>
      <c r="C833"/>
      <c r="D833"/>
    </row>
    <row r="834" spans="1:4" x14ac:dyDescent="0.25">
      <c r="A834"/>
      <c r="B834"/>
      <c r="C834"/>
      <c r="D834"/>
    </row>
    <row r="835" spans="1:4" x14ac:dyDescent="0.25">
      <c r="A835"/>
      <c r="B835"/>
      <c r="C835"/>
      <c r="D835"/>
    </row>
    <row r="836" spans="1:4" x14ac:dyDescent="0.25">
      <c r="A836"/>
      <c r="B836"/>
      <c r="C836"/>
      <c r="D836"/>
    </row>
    <row r="837" spans="1:4" x14ac:dyDescent="0.25">
      <c r="A837"/>
      <c r="B837"/>
      <c r="C837"/>
      <c r="D837"/>
    </row>
    <row r="838" spans="1:4" x14ac:dyDescent="0.25">
      <c r="A838"/>
      <c r="B838"/>
      <c r="C838"/>
      <c r="D838"/>
    </row>
    <row r="839" spans="1:4" x14ac:dyDescent="0.25">
      <c r="A839"/>
      <c r="B839"/>
      <c r="C839"/>
      <c r="D839"/>
    </row>
    <row r="840" spans="1:4" x14ac:dyDescent="0.25">
      <c r="A840"/>
      <c r="B840"/>
      <c r="C840"/>
      <c r="D840"/>
    </row>
    <row r="841" spans="1:4" x14ac:dyDescent="0.25">
      <c r="A841"/>
      <c r="B841"/>
      <c r="C841"/>
      <c r="D841"/>
    </row>
    <row r="842" spans="1:4" x14ac:dyDescent="0.25">
      <c r="A842"/>
      <c r="B842"/>
      <c r="C842"/>
      <c r="D842"/>
    </row>
    <row r="843" spans="1:4" x14ac:dyDescent="0.25">
      <c r="A843"/>
      <c r="B843"/>
      <c r="C843"/>
      <c r="D843"/>
    </row>
    <row r="844" spans="1:4" x14ac:dyDescent="0.25">
      <c r="A844"/>
      <c r="B844"/>
      <c r="C844"/>
      <c r="D844"/>
    </row>
    <row r="845" spans="1:4" x14ac:dyDescent="0.25">
      <c r="A845"/>
      <c r="B845"/>
      <c r="C845"/>
      <c r="D845"/>
    </row>
    <row r="846" spans="1:4" x14ac:dyDescent="0.25">
      <c r="A846"/>
      <c r="B846"/>
      <c r="C846"/>
      <c r="D846"/>
    </row>
    <row r="847" spans="1:4" x14ac:dyDescent="0.25">
      <c r="A847"/>
      <c r="B847"/>
      <c r="C847"/>
      <c r="D847"/>
    </row>
    <row r="848" spans="1:4" x14ac:dyDescent="0.25">
      <c r="A848"/>
      <c r="B848"/>
      <c r="C848"/>
      <c r="D848"/>
    </row>
    <row r="849" spans="1:4" x14ac:dyDescent="0.25">
      <c r="A849"/>
      <c r="B849"/>
      <c r="C849"/>
      <c r="D849"/>
    </row>
    <row r="850" spans="1:4" x14ac:dyDescent="0.25">
      <c r="A850"/>
      <c r="B850"/>
      <c r="C850"/>
      <c r="D850"/>
    </row>
    <row r="851" spans="1:4" x14ac:dyDescent="0.25">
      <c r="A851"/>
      <c r="B851"/>
      <c r="C851"/>
      <c r="D851"/>
    </row>
    <row r="852" spans="1:4" x14ac:dyDescent="0.25">
      <c r="A852"/>
      <c r="B852"/>
      <c r="C852"/>
      <c r="D852"/>
    </row>
    <row r="853" spans="1:4" x14ac:dyDescent="0.25">
      <c r="A853"/>
      <c r="B853"/>
      <c r="C853"/>
      <c r="D853"/>
    </row>
    <row r="854" spans="1:4" x14ac:dyDescent="0.25">
      <c r="A854"/>
      <c r="B854"/>
      <c r="C854"/>
      <c r="D854"/>
    </row>
    <row r="855" spans="1:4" x14ac:dyDescent="0.25">
      <c r="A855"/>
      <c r="B855"/>
      <c r="C855"/>
      <c r="D855"/>
    </row>
    <row r="856" spans="1:4" x14ac:dyDescent="0.25">
      <c r="A856"/>
      <c r="B856"/>
      <c r="C856"/>
      <c r="D856"/>
    </row>
    <row r="857" spans="1:4" x14ac:dyDescent="0.25">
      <c r="A857"/>
      <c r="B857"/>
      <c r="C857"/>
      <c r="D857"/>
    </row>
    <row r="858" spans="1:4" x14ac:dyDescent="0.25">
      <c r="A858"/>
      <c r="B858"/>
      <c r="C858"/>
      <c r="D858"/>
    </row>
    <row r="859" spans="1:4" x14ac:dyDescent="0.25">
      <c r="A859"/>
      <c r="B859"/>
      <c r="C859"/>
      <c r="D859"/>
    </row>
    <row r="860" spans="1:4" x14ac:dyDescent="0.25">
      <c r="A860"/>
      <c r="B860"/>
      <c r="C860"/>
      <c r="D860"/>
    </row>
    <row r="861" spans="1:4" x14ac:dyDescent="0.25">
      <c r="A861"/>
      <c r="B861"/>
      <c r="C861"/>
      <c r="D861"/>
    </row>
    <row r="862" spans="1:4" x14ac:dyDescent="0.25">
      <c r="A862"/>
      <c r="B862"/>
      <c r="C862"/>
      <c r="D862"/>
    </row>
    <row r="863" spans="1:4" x14ac:dyDescent="0.25">
      <c r="A863"/>
      <c r="B863"/>
      <c r="C863"/>
      <c r="D863"/>
    </row>
    <row r="864" spans="1:4" x14ac:dyDescent="0.25">
      <c r="A864"/>
      <c r="B864"/>
      <c r="C864"/>
      <c r="D864"/>
    </row>
    <row r="865" spans="1:4" x14ac:dyDescent="0.25">
      <c r="A865"/>
      <c r="B865"/>
      <c r="C865"/>
      <c r="D865"/>
    </row>
    <row r="866" spans="1:4" x14ac:dyDescent="0.25">
      <c r="A866"/>
      <c r="B866"/>
      <c r="C866"/>
      <c r="D866"/>
    </row>
    <row r="867" spans="1:4" x14ac:dyDescent="0.25">
      <c r="A867"/>
      <c r="B867"/>
      <c r="C867"/>
      <c r="D867"/>
    </row>
    <row r="868" spans="1:4" x14ac:dyDescent="0.25">
      <c r="A868"/>
      <c r="B868"/>
      <c r="C868"/>
      <c r="D868"/>
    </row>
    <row r="869" spans="1:4" x14ac:dyDescent="0.25">
      <c r="A869"/>
      <c r="B869"/>
      <c r="C869"/>
      <c r="D869"/>
    </row>
    <row r="870" spans="1:4" x14ac:dyDescent="0.25">
      <c r="A870"/>
      <c r="B870"/>
      <c r="C870"/>
      <c r="D870"/>
    </row>
    <row r="871" spans="1:4" x14ac:dyDescent="0.25">
      <c r="A871"/>
      <c r="B871"/>
      <c r="C871"/>
      <c r="D871"/>
    </row>
    <row r="872" spans="1:4" x14ac:dyDescent="0.25">
      <c r="A872"/>
      <c r="B872"/>
      <c r="C872"/>
      <c r="D872"/>
    </row>
    <row r="873" spans="1:4" x14ac:dyDescent="0.25">
      <c r="A873"/>
      <c r="B873"/>
      <c r="C873"/>
      <c r="D873"/>
    </row>
    <row r="874" spans="1:4" x14ac:dyDescent="0.25">
      <c r="A874"/>
      <c r="B874"/>
      <c r="C874"/>
      <c r="D874"/>
    </row>
    <row r="875" spans="1:4" x14ac:dyDescent="0.25">
      <c r="A875"/>
      <c r="B875"/>
      <c r="C875"/>
      <c r="D875"/>
    </row>
    <row r="876" spans="1:4" x14ac:dyDescent="0.25">
      <c r="A876"/>
      <c r="B876"/>
      <c r="C876"/>
      <c r="D876"/>
    </row>
    <row r="877" spans="1:4" x14ac:dyDescent="0.25">
      <c r="A877"/>
      <c r="B877"/>
      <c r="C877"/>
      <c r="D877"/>
    </row>
    <row r="878" spans="1:4" x14ac:dyDescent="0.25">
      <c r="A878"/>
      <c r="B878"/>
      <c r="C878"/>
      <c r="D878"/>
    </row>
    <row r="879" spans="1:4" x14ac:dyDescent="0.25">
      <c r="A879"/>
      <c r="B879"/>
      <c r="C879"/>
      <c r="D879"/>
    </row>
    <row r="880" spans="1:4" x14ac:dyDescent="0.25">
      <c r="A880"/>
      <c r="B880"/>
      <c r="C880"/>
      <c r="D880"/>
    </row>
    <row r="881" spans="1:4" x14ac:dyDescent="0.25">
      <c r="A881"/>
      <c r="B881"/>
      <c r="C881"/>
      <c r="D881"/>
    </row>
    <row r="882" spans="1:4" x14ac:dyDescent="0.25">
      <c r="A882"/>
      <c r="B882"/>
      <c r="C882"/>
      <c r="D882"/>
    </row>
    <row r="883" spans="1:4" x14ac:dyDescent="0.25">
      <c r="A883"/>
      <c r="B883"/>
      <c r="C883"/>
      <c r="D883"/>
    </row>
    <row r="884" spans="1:4" x14ac:dyDescent="0.25">
      <c r="A884"/>
      <c r="B884"/>
      <c r="C884"/>
      <c r="D884"/>
    </row>
    <row r="885" spans="1:4" x14ac:dyDescent="0.25">
      <c r="A885"/>
      <c r="B885"/>
      <c r="C885"/>
      <c r="D885"/>
    </row>
    <row r="886" spans="1:4" x14ac:dyDescent="0.25">
      <c r="A886"/>
      <c r="B886"/>
      <c r="C886"/>
      <c r="D886"/>
    </row>
    <row r="887" spans="1:4" x14ac:dyDescent="0.25">
      <c r="A887"/>
      <c r="B887"/>
      <c r="C887"/>
      <c r="D887"/>
    </row>
    <row r="888" spans="1:4" x14ac:dyDescent="0.25">
      <c r="A888"/>
      <c r="B888"/>
      <c r="C888"/>
      <c r="D888"/>
    </row>
    <row r="889" spans="1:4" x14ac:dyDescent="0.25">
      <c r="A889"/>
      <c r="B889"/>
      <c r="C889"/>
      <c r="D889"/>
    </row>
    <row r="890" spans="1:4" x14ac:dyDescent="0.25">
      <c r="A890"/>
      <c r="B890"/>
      <c r="C890"/>
      <c r="D890"/>
    </row>
    <row r="891" spans="1:4" x14ac:dyDescent="0.25">
      <c r="A891"/>
      <c r="B891"/>
      <c r="C891"/>
      <c r="D891"/>
    </row>
    <row r="892" spans="1:4" x14ac:dyDescent="0.25">
      <c r="A892"/>
      <c r="B892"/>
      <c r="C892"/>
      <c r="D892"/>
    </row>
    <row r="893" spans="1:4" x14ac:dyDescent="0.25">
      <c r="A893"/>
      <c r="B893"/>
      <c r="C893"/>
      <c r="D893"/>
    </row>
    <row r="894" spans="1:4" x14ac:dyDescent="0.25">
      <c r="A894"/>
      <c r="B894"/>
      <c r="C894"/>
      <c r="D894"/>
    </row>
    <row r="895" spans="1:4" x14ac:dyDescent="0.25">
      <c r="A895"/>
      <c r="B895"/>
      <c r="C895"/>
      <c r="D895"/>
    </row>
    <row r="896" spans="1:4" x14ac:dyDescent="0.25">
      <c r="A896"/>
      <c r="B896"/>
      <c r="C896"/>
      <c r="D896"/>
    </row>
    <row r="897" spans="1:4" x14ac:dyDescent="0.25">
      <c r="A897"/>
      <c r="B897"/>
      <c r="C897"/>
      <c r="D897"/>
    </row>
    <row r="898" spans="1:4" x14ac:dyDescent="0.25">
      <c r="A898"/>
      <c r="B898"/>
      <c r="C898"/>
      <c r="D898"/>
    </row>
    <row r="899" spans="1:4" x14ac:dyDescent="0.25">
      <c r="A899"/>
      <c r="B899"/>
      <c r="C899"/>
      <c r="D899"/>
    </row>
    <row r="900" spans="1:4" x14ac:dyDescent="0.25">
      <c r="A900"/>
      <c r="B900"/>
      <c r="C900"/>
      <c r="D900"/>
    </row>
    <row r="901" spans="1:4" x14ac:dyDescent="0.25">
      <c r="A901"/>
      <c r="B901"/>
      <c r="C901"/>
      <c r="D901"/>
    </row>
    <row r="902" spans="1:4" x14ac:dyDescent="0.25">
      <c r="A902"/>
      <c r="B902"/>
      <c r="C902"/>
      <c r="D902"/>
    </row>
    <row r="903" spans="1:4" x14ac:dyDescent="0.25">
      <c r="A903"/>
      <c r="B903"/>
      <c r="C903"/>
      <c r="D903"/>
    </row>
    <row r="904" spans="1:4" x14ac:dyDescent="0.25">
      <c r="A904"/>
      <c r="B904"/>
      <c r="C904"/>
      <c r="D904"/>
    </row>
    <row r="905" spans="1:4" x14ac:dyDescent="0.25">
      <c r="A905"/>
      <c r="B905"/>
      <c r="C905"/>
      <c r="D905"/>
    </row>
    <row r="906" spans="1:4" x14ac:dyDescent="0.25">
      <c r="A906"/>
      <c r="B906"/>
      <c r="C906"/>
      <c r="D906"/>
    </row>
    <row r="907" spans="1:4" x14ac:dyDescent="0.25">
      <c r="A907"/>
      <c r="B907"/>
      <c r="C907"/>
      <c r="D907"/>
    </row>
    <row r="908" spans="1:4" x14ac:dyDescent="0.25">
      <c r="A908"/>
      <c r="B908"/>
      <c r="C908"/>
      <c r="D908"/>
    </row>
    <row r="909" spans="1:4" x14ac:dyDescent="0.25">
      <c r="A909"/>
      <c r="B909"/>
      <c r="C909"/>
      <c r="D909"/>
    </row>
    <row r="910" spans="1:4" x14ac:dyDescent="0.25">
      <c r="A910"/>
      <c r="B910"/>
      <c r="C910"/>
      <c r="D910"/>
    </row>
    <row r="911" spans="1:4" x14ac:dyDescent="0.25">
      <c r="A911"/>
      <c r="B911"/>
      <c r="C911"/>
      <c r="D911"/>
    </row>
    <row r="912" spans="1:4" x14ac:dyDescent="0.25">
      <c r="A912"/>
      <c r="B912"/>
      <c r="C912"/>
      <c r="D912"/>
    </row>
    <row r="913" spans="1:4" x14ac:dyDescent="0.25">
      <c r="A913"/>
      <c r="B913"/>
      <c r="C913"/>
      <c r="D913"/>
    </row>
    <row r="914" spans="1:4" x14ac:dyDescent="0.25">
      <c r="A914"/>
      <c r="B914"/>
      <c r="C914"/>
      <c r="D914"/>
    </row>
    <row r="915" spans="1:4" x14ac:dyDescent="0.25">
      <c r="A915"/>
      <c r="B915"/>
      <c r="C915"/>
      <c r="D915"/>
    </row>
    <row r="916" spans="1:4" x14ac:dyDescent="0.25">
      <c r="A916"/>
      <c r="B916"/>
      <c r="C916"/>
      <c r="D916"/>
    </row>
    <row r="917" spans="1:4" x14ac:dyDescent="0.25">
      <c r="A917"/>
      <c r="B917"/>
      <c r="C917"/>
      <c r="D917"/>
    </row>
    <row r="918" spans="1:4" x14ac:dyDescent="0.25">
      <c r="A918"/>
      <c r="B918"/>
      <c r="C918"/>
      <c r="D918"/>
    </row>
    <row r="919" spans="1:4" x14ac:dyDescent="0.25">
      <c r="A919"/>
      <c r="B919"/>
      <c r="C919"/>
      <c r="D919"/>
    </row>
    <row r="920" spans="1:4" x14ac:dyDescent="0.25">
      <c r="A920"/>
      <c r="B920"/>
      <c r="C920"/>
      <c r="D920"/>
    </row>
    <row r="921" spans="1:4" x14ac:dyDescent="0.25">
      <c r="A921"/>
      <c r="B921"/>
      <c r="C921"/>
      <c r="D921"/>
    </row>
    <row r="922" spans="1:4" x14ac:dyDescent="0.25">
      <c r="A922"/>
      <c r="B922"/>
      <c r="C922"/>
      <c r="D922"/>
    </row>
    <row r="923" spans="1:4" x14ac:dyDescent="0.25">
      <c r="A923"/>
      <c r="B923"/>
      <c r="C923"/>
      <c r="D923"/>
    </row>
    <row r="924" spans="1:4" x14ac:dyDescent="0.25">
      <c r="A924"/>
      <c r="B924"/>
      <c r="C924"/>
      <c r="D924"/>
    </row>
    <row r="925" spans="1:4" x14ac:dyDescent="0.25">
      <c r="A925"/>
      <c r="B925"/>
      <c r="C925"/>
      <c r="D925"/>
    </row>
    <row r="926" spans="1:4" x14ac:dyDescent="0.25">
      <c r="A926"/>
      <c r="B926"/>
      <c r="C926"/>
      <c r="D926"/>
    </row>
    <row r="927" spans="1:4" x14ac:dyDescent="0.25">
      <c r="A927"/>
      <c r="B927"/>
      <c r="C927"/>
      <c r="D927"/>
    </row>
    <row r="928" spans="1:4" x14ac:dyDescent="0.25">
      <c r="A928"/>
      <c r="B928"/>
      <c r="C928"/>
      <c r="D928"/>
    </row>
    <row r="929" spans="1:4" x14ac:dyDescent="0.25">
      <c r="A929"/>
      <c r="B929"/>
      <c r="C929"/>
      <c r="D929"/>
    </row>
    <row r="930" spans="1:4" x14ac:dyDescent="0.25">
      <c r="A930"/>
      <c r="B930"/>
      <c r="C930"/>
      <c r="D930"/>
    </row>
    <row r="931" spans="1:4" x14ac:dyDescent="0.25">
      <c r="A931"/>
      <c r="B931"/>
      <c r="C931"/>
      <c r="D931"/>
    </row>
    <row r="932" spans="1:4" x14ac:dyDescent="0.25">
      <c r="A932"/>
      <c r="B932"/>
      <c r="C932"/>
      <c r="D932"/>
    </row>
    <row r="933" spans="1:4" x14ac:dyDescent="0.25">
      <c r="A933"/>
      <c r="B933"/>
      <c r="C933"/>
      <c r="D933"/>
    </row>
    <row r="934" spans="1:4" x14ac:dyDescent="0.25">
      <c r="A934"/>
      <c r="B934"/>
      <c r="C934"/>
      <c r="D934"/>
    </row>
    <row r="935" spans="1:4" x14ac:dyDescent="0.25">
      <c r="A935"/>
      <c r="B935"/>
      <c r="C935"/>
      <c r="D935"/>
    </row>
    <row r="936" spans="1:4" x14ac:dyDescent="0.25">
      <c r="A936"/>
      <c r="B936"/>
      <c r="C936"/>
      <c r="D936"/>
    </row>
    <row r="937" spans="1:4" x14ac:dyDescent="0.25">
      <c r="A937"/>
      <c r="B937"/>
      <c r="C937"/>
      <c r="D937"/>
    </row>
    <row r="938" spans="1:4" x14ac:dyDescent="0.25">
      <c r="A938"/>
      <c r="B938"/>
      <c r="C938"/>
      <c r="D938"/>
    </row>
    <row r="939" spans="1:4" x14ac:dyDescent="0.25">
      <c r="A939"/>
      <c r="B939"/>
      <c r="C939"/>
      <c r="D939"/>
    </row>
    <row r="940" spans="1:4" x14ac:dyDescent="0.25">
      <c r="A940"/>
      <c r="B940"/>
      <c r="C940"/>
      <c r="D940"/>
    </row>
    <row r="941" spans="1:4" x14ac:dyDescent="0.25">
      <c r="A941"/>
      <c r="B941"/>
      <c r="C941"/>
      <c r="D941"/>
    </row>
    <row r="942" spans="1:4" x14ac:dyDescent="0.25">
      <c r="A942"/>
      <c r="B942"/>
      <c r="C942"/>
      <c r="D942"/>
    </row>
    <row r="943" spans="1:4" x14ac:dyDescent="0.25">
      <c r="A943"/>
      <c r="B943"/>
      <c r="C943"/>
      <c r="D943"/>
    </row>
    <row r="944" spans="1:4" x14ac:dyDescent="0.25">
      <c r="A944"/>
      <c r="B944"/>
      <c r="C944"/>
      <c r="D944"/>
    </row>
    <row r="945" spans="1:4" x14ac:dyDescent="0.25">
      <c r="A945"/>
      <c r="B945"/>
      <c r="C945"/>
      <c r="D945"/>
    </row>
    <row r="946" spans="1:4" x14ac:dyDescent="0.25">
      <c r="A946"/>
      <c r="B946"/>
      <c r="C946"/>
      <c r="D946"/>
    </row>
    <row r="947" spans="1:4" x14ac:dyDescent="0.25">
      <c r="A947"/>
      <c r="B947"/>
      <c r="C947"/>
      <c r="D947"/>
    </row>
    <row r="948" spans="1:4" x14ac:dyDescent="0.25">
      <c r="A948"/>
      <c r="B948"/>
      <c r="C948"/>
      <c r="D948"/>
    </row>
    <row r="949" spans="1:4" x14ac:dyDescent="0.25">
      <c r="A949"/>
      <c r="B949"/>
      <c r="C949"/>
      <c r="D949"/>
    </row>
    <row r="950" spans="1:4" x14ac:dyDescent="0.25">
      <c r="A950"/>
      <c r="B950"/>
      <c r="C950"/>
      <c r="D950"/>
    </row>
    <row r="951" spans="1:4" x14ac:dyDescent="0.25">
      <c r="A951"/>
      <c r="B951"/>
      <c r="C951"/>
      <c r="D951"/>
    </row>
    <row r="952" spans="1:4" x14ac:dyDescent="0.25">
      <c r="A952"/>
      <c r="B952"/>
      <c r="C952"/>
      <c r="D952"/>
    </row>
    <row r="953" spans="1:4" x14ac:dyDescent="0.25">
      <c r="A953"/>
      <c r="B953"/>
      <c r="C953"/>
      <c r="D953"/>
    </row>
    <row r="954" spans="1:4" x14ac:dyDescent="0.25">
      <c r="A954"/>
      <c r="B954"/>
      <c r="C954"/>
      <c r="D954"/>
    </row>
    <row r="955" spans="1:4" x14ac:dyDescent="0.25">
      <c r="A955"/>
      <c r="B955"/>
      <c r="C955"/>
      <c r="D955"/>
    </row>
    <row r="956" spans="1:4" x14ac:dyDescent="0.25">
      <c r="A956"/>
      <c r="B956"/>
      <c r="C956"/>
      <c r="D956"/>
    </row>
    <row r="957" spans="1:4" x14ac:dyDescent="0.25">
      <c r="A957"/>
      <c r="B957"/>
      <c r="C957"/>
      <c r="D957"/>
    </row>
    <row r="958" spans="1:4" x14ac:dyDescent="0.25">
      <c r="A958"/>
      <c r="B958"/>
      <c r="C958"/>
      <c r="D958"/>
    </row>
    <row r="959" spans="1:4" x14ac:dyDescent="0.25">
      <c r="A959"/>
      <c r="B959"/>
      <c r="C959"/>
      <c r="D959"/>
    </row>
    <row r="960" spans="1:4" x14ac:dyDescent="0.25">
      <c r="A960"/>
      <c r="B960"/>
      <c r="C960"/>
      <c r="D960"/>
    </row>
    <row r="961" spans="1:4" x14ac:dyDescent="0.25">
      <c r="A961"/>
      <c r="B961"/>
      <c r="C961"/>
      <c r="D961"/>
    </row>
    <row r="962" spans="1:4" x14ac:dyDescent="0.25">
      <c r="A962"/>
      <c r="B962"/>
      <c r="C962"/>
      <c r="D962"/>
    </row>
    <row r="963" spans="1:4" x14ac:dyDescent="0.25">
      <c r="A963"/>
      <c r="B963"/>
      <c r="C963"/>
      <c r="D963"/>
    </row>
    <row r="964" spans="1:4" x14ac:dyDescent="0.25">
      <c r="A964"/>
      <c r="B964"/>
      <c r="C964"/>
      <c r="D964"/>
    </row>
    <row r="965" spans="1:4" x14ac:dyDescent="0.25">
      <c r="A965"/>
      <c r="B965"/>
      <c r="C965"/>
      <c r="D965"/>
    </row>
    <row r="966" spans="1:4" x14ac:dyDescent="0.25">
      <c r="A966"/>
      <c r="B966"/>
      <c r="C966"/>
      <c r="D966"/>
    </row>
    <row r="967" spans="1:4" x14ac:dyDescent="0.25">
      <c r="A967"/>
      <c r="B967"/>
      <c r="C967"/>
      <c r="D967"/>
    </row>
    <row r="968" spans="1:4" x14ac:dyDescent="0.25">
      <c r="A968"/>
      <c r="B968"/>
      <c r="C968"/>
      <c r="D968"/>
    </row>
    <row r="969" spans="1:4" x14ac:dyDescent="0.25">
      <c r="A969"/>
      <c r="B969"/>
      <c r="C969"/>
      <c r="D969"/>
    </row>
    <row r="970" spans="1:4" x14ac:dyDescent="0.25">
      <c r="A970"/>
      <c r="B970"/>
      <c r="C970"/>
      <c r="D970"/>
    </row>
    <row r="971" spans="1:4" x14ac:dyDescent="0.25">
      <c r="A971"/>
      <c r="B971"/>
      <c r="C971"/>
      <c r="D971"/>
    </row>
    <row r="972" spans="1:4" x14ac:dyDescent="0.25">
      <c r="A972"/>
      <c r="B972"/>
      <c r="C972"/>
      <c r="D972"/>
    </row>
    <row r="973" spans="1:4" x14ac:dyDescent="0.25">
      <c r="A973"/>
      <c r="B973"/>
      <c r="C973"/>
      <c r="D973"/>
    </row>
    <row r="974" spans="1:4" x14ac:dyDescent="0.25">
      <c r="A974"/>
      <c r="B974"/>
      <c r="C974"/>
      <c r="D974"/>
    </row>
    <row r="975" spans="1:4" x14ac:dyDescent="0.25">
      <c r="A975"/>
      <c r="B975"/>
      <c r="C975"/>
      <c r="D975"/>
    </row>
    <row r="976" spans="1:4" x14ac:dyDescent="0.25">
      <c r="A976"/>
      <c r="B976"/>
      <c r="C976"/>
      <c r="D976"/>
    </row>
    <row r="977" spans="1:4" x14ac:dyDescent="0.25">
      <c r="A977"/>
      <c r="B977"/>
      <c r="C977"/>
      <c r="D977"/>
    </row>
    <row r="978" spans="1:4" x14ac:dyDescent="0.25">
      <c r="A978"/>
      <c r="B978"/>
      <c r="C978"/>
      <c r="D978"/>
    </row>
    <row r="979" spans="1:4" x14ac:dyDescent="0.25">
      <c r="A979"/>
      <c r="B979"/>
      <c r="C979"/>
      <c r="D979"/>
    </row>
    <row r="980" spans="1:4" x14ac:dyDescent="0.25">
      <c r="A980"/>
      <c r="B980"/>
      <c r="C980"/>
      <c r="D980"/>
    </row>
    <row r="981" spans="1:4" x14ac:dyDescent="0.25">
      <c r="A981"/>
      <c r="B981"/>
      <c r="C981"/>
      <c r="D981"/>
    </row>
    <row r="982" spans="1:4" x14ac:dyDescent="0.25">
      <c r="A982"/>
      <c r="B982"/>
      <c r="C982"/>
      <c r="D982"/>
    </row>
    <row r="983" spans="1:4" x14ac:dyDescent="0.25">
      <c r="A983"/>
      <c r="B983"/>
      <c r="C983"/>
      <c r="D983"/>
    </row>
    <row r="984" spans="1:4" x14ac:dyDescent="0.25">
      <c r="A984"/>
      <c r="B984"/>
      <c r="C984"/>
      <c r="D984"/>
    </row>
    <row r="985" spans="1:4" x14ac:dyDescent="0.25">
      <c r="A985"/>
      <c r="B985"/>
      <c r="C985"/>
      <c r="D985"/>
    </row>
    <row r="986" spans="1:4" x14ac:dyDescent="0.25">
      <c r="A986"/>
      <c r="B986"/>
      <c r="C986"/>
      <c r="D986"/>
    </row>
    <row r="987" spans="1:4" x14ac:dyDescent="0.25">
      <c r="A987"/>
      <c r="B987"/>
      <c r="C987"/>
      <c r="D987"/>
    </row>
    <row r="988" spans="1:4" x14ac:dyDescent="0.25">
      <c r="A988"/>
      <c r="B988"/>
      <c r="C988"/>
      <c r="D988"/>
    </row>
    <row r="989" spans="1:4" x14ac:dyDescent="0.25">
      <c r="A989"/>
      <c r="B989"/>
      <c r="C989"/>
      <c r="D989"/>
    </row>
    <row r="990" spans="1:4" x14ac:dyDescent="0.25">
      <c r="A990"/>
      <c r="B990"/>
      <c r="C990"/>
      <c r="D990"/>
    </row>
    <row r="991" spans="1:4" x14ac:dyDescent="0.25">
      <c r="A991"/>
      <c r="B991"/>
      <c r="C991"/>
      <c r="D991"/>
    </row>
    <row r="992" spans="1:4" x14ac:dyDescent="0.25">
      <c r="A992"/>
      <c r="B992"/>
      <c r="C992"/>
      <c r="D992"/>
    </row>
    <row r="993" spans="1:4" x14ac:dyDescent="0.25">
      <c r="A993"/>
      <c r="B993"/>
      <c r="C993"/>
      <c r="D993"/>
    </row>
    <row r="994" spans="1:4" x14ac:dyDescent="0.25">
      <c r="A994"/>
      <c r="B994"/>
      <c r="C994"/>
      <c r="D994"/>
    </row>
    <row r="995" spans="1:4" x14ac:dyDescent="0.25">
      <c r="A995"/>
      <c r="B995"/>
      <c r="C995"/>
      <c r="D995"/>
    </row>
    <row r="996" spans="1:4" x14ac:dyDescent="0.25">
      <c r="A996"/>
      <c r="B996"/>
      <c r="C996"/>
      <c r="D996"/>
    </row>
    <row r="997" spans="1:4" x14ac:dyDescent="0.25">
      <c r="A997"/>
      <c r="B997"/>
      <c r="C997"/>
      <c r="D997"/>
    </row>
    <row r="998" spans="1:4" x14ac:dyDescent="0.25">
      <c r="A998"/>
      <c r="B998"/>
      <c r="C998"/>
      <c r="D998"/>
    </row>
    <row r="999" spans="1:4" x14ac:dyDescent="0.25">
      <c r="A999"/>
      <c r="B999"/>
      <c r="C999"/>
      <c r="D999"/>
    </row>
    <row r="1000" spans="1:4" x14ac:dyDescent="0.25">
      <c r="A1000"/>
      <c r="B1000"/>
      <c r="C1000"/>
      <c r="D1000"/>
    </row>
    <row r="1001" spans="1:4" x14ac:dyDescent="0.25">
      <c r="A1001"/>
      <c r="B1001"/>
      <c r="C1001"/>
      <c r="D1001"/>
    </row>
    <row r="1002" spans="1:4" x14ac:dyDescent="0.25">
      <c r="A1002"/>
      <c r="B1002"/>
      <c r="C1002"/>
      <c r="D1002"/>
    </row>
    <row r="1003" spans="1:4" x14ac:dyDescent="0.25">
      <c r="A1003"/>
      <c r="B1003"/>
      <c r="C1003"/>
      <c r="D1003"/>
    </row>
    <row r="1004" spans="1:4" x14ac:dyDescent="0.25">
      <c r="A1004"/>
      <c r="B1004"/>
      <c r="C1004"/>
      <c r="D1004"/>
    </row>
    <row r="1005" spans="1:4" x14ac:dyDescent="0.25">
      <c r="A1005"/>
      <c r="B1005"/>
      <c r="C1005"/>
      <c r="D1005"/>
    </row>
    <row r="1006" spans="1:4" x14ac:dyDescent="0.25">
      <c r="A1006"/>
      <c r="B1006"/>
      <c r="C1006"/>
      <c r="D1006"/>
    </row>
    <row r="1007" spans="1:4" x14ac:dyDescent="0.25">
      <c r="A1007"/>
      <c r="B1007"/>
      <c r="C1007"/>
      <c r="D1007"/>
    </row>
    <row r="1008" spans="1:4" x14ac:dyDescent="0.25">
      <c r="A1008"/>
      <c r="B1008"/>
      <c r="C1008"/>
      <c r="D1008"/>
    </row>
    <row r="1009" spans="1:4" x14ac:dyDescent="0.25">
      <c r="A1009"/>
      <c r="B1009"/>
      <c r="C1009"/>
      <c r="D1009"/>
    </row>
    <row r="1010" spans="1:4" x14ac:dyDescent="0.25">
      <c r="A1010"/>
      <c r="B1010"/>
      <c r="C1010"/>
      <c r="D1010"/>
    </row>
    <row r="1011" spans="1:4" x14ac:dyDescent="0.25">
      <c r="A1011"/>
      <c r="B1011"/>
      <c r="C1011"/>
      <c r="D1011"/>
    </row>
    <row r="1012" spans="1:4" x14ac:dyDescent="0.25">
      <c r="A1012"/>
      <c r="B1012"/>
      <c r="C1012"/>
      <c r="D1012"/>
    </row>
    <row r="1013" spans="1:4" x14ac:dyDescent="0.25">
      <c r="A1013"/>
      <c r="B1013"/>
      <c r="C1013"/>
      <c r="D1013"/>
    </row>
    <row r="1014" spans="1:4" x14ac:dyDescent="0.25">
      <c r="A1014"/>
      <c r="B1014"/>
      <c r="C1014"/>
      <c r="D1014"/>
    </row>
    <row r="1015" spans="1:4" x14ac:dyDescent="0.25">
      <c r="A1015"/>
      <c r="B1015"/>
      <c r="C1015"/>
      <c r="D1015"/>
    </row>
    <row r="1016" spans="1:4" x14ac:dyDescent="0.25">
      <c r="A1016"/>
      <c r="B1016"/>
      <c r="C1016"/>
      <c r="D1016"/>
    </row>
    <row r="1017" spans="1:4" x14ac:dyDescent="0.25">
      <c r="A1017"/>
      <c r="B1017"/>
      <c r="C1017"/>
      <c r="D1017"/>
    </row>
    <row r="1018" spans="1:4" x14ac:dyDescent="0.25">
      <c r="A1018"/>
      <c r="B1018"/>
      <c r="C1018"/>
      <c r="D1018"/>
    </row>
    <row r="1019" spans="1:4" x14ac:dyDescent="0.25">
      <c r="A1019"/>
      <c r="B1019"/>
      <c r="C1019"/>
      <c r="D1019"/>
    </row>
    <row r="1020" spans="1:4" x14ac:dyDescent="0.25">
      <c r="A1020"/>
      <c r="B1020"/>
      <c r="C1020"/>
      <c r="D1020"/>
    </row>
    <row r="1021" spans="1:4" x14ac:dyDescent="0.25">
      <c r="A1021"/>
      <c r="B1021"/>
      <c r="C1021"/>
      <c r="D1021"/>
    </row>
    <row r="1022" spans="1:4" x14ac:dyDescent="0.25">
      <c r="A1022"/>
      <c r="B1022"/>
      <c r="C1022"/>
      <c r="D1022"/>
    </row>
    <row r="1023" spans="1:4" x14ac:dyDescent="0.25">
      <c r="A1023"/>
      <c r="B1023"/>
      <c r="C1023"/>
      <c r="D1023"/>
    </row>
    <row r="1024" spans="1:4" x14ac:dyDescent="0.25">
      <c r="A1024"/>
      <c r="B1024"/>
      <c r="C1024"/>
      <c r="D1024"/>
    </row>
    <row r="1025" spans="1:4" x14ac:dyDescent="0.25">
      <c r="A1025"/>
      <c r="B1025"/>
      <c r="C1025"/>
      <c r="D1025"/>
    </row>
    <row r="1026" spans="1:4" x14ac:dyDescent="0.25">
      <c r="A1026"/>
      <c r="B1026"/>
      <c r="C1026"/>
      <c r="D1026"/>
    </row>
    <row r="1027" spans="1:4" x14ac:dyDescent="0.25">
      <c r="A1027"/>
      <c r="B1027"/>
      <c r="C1027"/>
      <c r="D1027"/>
    </row>
    <row r="1028" spans="1:4" x14ac:dyDescent="0.25">
      <c r="A1028"/>
      <c r="B1028"/>
      <c r="C1028"/>
      <c r="D1028"/>
    </row>
    <row r="1029" spans="1:4" x14ac:dyDescent="0.25">
      <c r="A1029"/>
      <c r="B1029"/>
      <c r="C1029"/>
      <c r="D1029"/>
    </row>
    <row r="1030" spans="1:4" x14ac:dyDescent="0.25">
      <c r="A1030"/>
      <c r="B1030"/>
      <c r="C1030"/>
      <c r="D1030"/>
    </row>
    <row r="1031" spans="1:4" x14ac:dyDescent="0.25">
      <c r="A1031"/>
      <c r="B1031"/>
      <c r="C1031"/>
      <c r="D1031"/>
    </row>
    <row r="1032" spans="1:4" x14ac:dyDescent="0.25">
      <c r="A1032"/>
      <c r="B1032"/>
      <c r="C1032"/>
      <c r="D1032"/>
    </row>
    <row r="1033" spans="1:4" x14ac:dyDescent="0.25">
      <c r="A1033"/>
      <c r="B1033"/>
      <c r="C1033"/>
      <c r="D1033"/>
    </row>
    <row r="1034" spans="1:4" x14ac:dyDescent="0.25">
      <c r="A1034"/>
      <c r="B1034"/>
      <c r="C1034"/>
      <c r="D1034"/>
    </row>
    <row r="1035" spans="1:4" x14ac:dyDescent="0.25">
      <c r="A1035"/>
      <c r="B1035"/>
      <c r="C1035"/>
      <c r="D1035"/>
    </row>
    <row r="1036" spans="1:4" x14ac:dyDescent="0.25">
      <c r="A1036"/>
      <c r="B1036"/>
      <c r="C1036"/>
      <c r="D1036"/>
    </row>
    <row r="1037" spans="1:4" x14ac:dyDescent="0.25">
      <c r="A1037"/>
      <c r="B1037"/>
      <c r="C1037"/>
      <c r="D1037"/>
    </row>
    <row r="1038" spans="1:4" x14ac:dyDescent="0.25">
      <c r="A1038"/>
      <c r="B1038"/>
      <c r="C1038"/>
      <c r="D1038"/>
    </row>
    <row r="1039" spans="1:4" x14ac:dyDescent="0.25">
      <c r="A1039"/>
      <c r="B1039"/>
      <c r="C1039"/>
      <c r="D1039"/>
    </row>
    <row r="1040" spans="1:4" x14ac:dyDescent="0.25">
      <c r="A1040"/>
      <c r="B1040"/>
      <c r="C1040"/>
      <c r="D1040"/>
    </row>
    <row r="1041" spans="1:4" x14ac:dyDescent="0.25">
      <c r="A1041"/>
      <c r="B1041"/>
      <c r="C1041"/>
      <c r="D1041"/>
    </row>
    <row r="1042" spans="1:4" x14ac:dyDescent="0.25">
      <c r="A1042"/>
      <c r="B1042"/>
      <c r="C1042"/>
      <c r="D1042"/>
    </row>
    <row r="1043" spans="1:4" x14ac:dyDescent="0.25">
      <c r="A1043"/>
      <c r="B1043"/>
      <c r="C1043"/>
      <c r="D1043"/>
    </row>
    <row r="1044" spans="1:4" x14ac:dyDescent="0.25">
      <c r="A1044"/>
      <c r="B1044"/>
      <c r="C1044"/>
      <c r="D1044"/>
    </row>
    <row r="1045" spans="1:4" x14ac:dyDescent="0.25">
      <c r="A1045"/>
      <c r="B1045"/>
      <c r="C1045"/>
      <c r="D1045"/>
    </row>
    <row r="1046" spans="1:4" x14ac:dyDescent="0.25">
      <c r="A1046"/>
      <c r="B1046"/>
      <c r="C1046"/>
      <c r="D1046"/>
    </row>
    <row r="1047" spans="1:4" x14ac:dyDescent="0.25">
      <c r="A1047"/>
      <c r="B1047"/>
      <c r="C1047"/>
      <c r="D1047"/>
    </row>
    <row r="1048" spans="1:4" x14ac:dyDescent="0.25">
      <c r="A1048"/>
      <c r="B1048"/>
      <c r="C1048"/>
      <c r="D1048"/>
    </row>
    <row r="1049" spans="1:4" x14ac:dyDescent="0.25">
      <c r="A1049"/>
      <c r="B1049"/>
      <c r="C1049"/>
      <c r="D1049"/>
    </row>
    <row r="1050" spans="1:4" x14ac:dyDescent="0.25">
      <c r="A1050"/>
      <c r="B1050"/>
      <c r="C1050"/>
      <c r="D1050"/>
    </row>
    <row r="1051" spans="1:4" x14ac:dyDescent="0.25">
      <c r="A1051"/>
      <c r="B1051"/>
      <c r="C1051"/>
      <c r="D1051"/>
    </row>
    <row r="1052" spans="1:4" x14ac:dyDescent="0.25">
      <c r="A1052"/>
      <c r="B1052"/>
      <c r="C1052"/>
      <c r="D1052"/>
    </row>
    <row r="1053" spans="1:4" x14ac:dyDescent="0.25">
      <c r="A1053"/>
      <c r="B1053"/>
      <c r="C1053"/>
      <c r="D1053"/>
    </row>
    <row r="1054" spans="1:4" x14ac:dyDescent="0.25">
      <c r="A1054"/>
      <c r="B1054"/>
      <c r="C1054"/>
      <c r="D1054"/>
    </row>
    <row r="1055" spans="1:4" x14ac:dyDescent="0.25">
      <c r="A1055"/>
      <c r="B1055"/>
      <c r="C1055"/>
      <c r="D1055"/>
    </row>
    <row r="1056" spans="1:4" x14ac:dyDescent="0.25">
      <c r="A1056"/>
      <c r="B1056"/>
      <c r="C1056"/>
      <c r="D1056"/>
    </row>
    <row r="1057" spans="1:4" x14ac:dyDescent="0.25">
      <c r="A1057"/>
      <c r="B1057"/>
      <c r="C1057"/>
      <c r="D1057"/>
    </row>
    <row r="1058" spans="1:4" x14ac:dyDescent="0.25">
      <c r="A1058"/>
      <c r="B1058"/>
      <c r="C1058"/>
      <c r="D1058"/>
    </row>
    <row r="1059" spans="1:4" x14ac:dyDescent="0.25">
      <c r="A1059"/>
      <c r="B1059"/>
      <c r="C1059"/>
      <c r="D1059"/>
    </row>
    <row r="1060" spans="1:4" x14ac:dyDescent="0.25">
      <c r="A1060"/>
      <c r="B1060"/>
      <c r="C1060"/>
      <c r="D1060"/>
    </row>
    <row r="1061" spans="1:4" x14ac:dyDescent="0.25">
      <c r="A1061"/>
      <c r="B1061"/>
      <c r="C1061"/>
      <c r="D1061"/>
    </row>
    <row r="1062" spans="1:4" x14ac:dyDescent="0.25">
      <c r="A1062"/>
      <c r="B1062"/>
      <c r="C1062"/>
      <c r="D1062"/>
    </row>
    <row r="1063" spans="1:4" x14ac:dyDescent="0.25">
      <c r="A1063"/>
      <c r="B1063"/>
      <c r="C1063"/>
      <c r="D1063"/>
    </row>
    <row r="1064" spans="1:4" x14ac:dyDescent="0.25">
      <c r="A1064"/>
      <c r="B1064"/>
      <c r="C1064"/>
      <c r="D1064"/>
    </row>
    <row r="1065" spans="1:4" x14ac:dyDescent="0.25">
      <c r="A1065"/>
      <c r="B1065"/>
      <c r="C1065"/>
      <c r="D1065"/>
    </row>
    <row r="1066" spans="1:4" x14ac:dyDescent="0.25">
      <c r="A1066"/>
      <c r="B1066"/>
      <c r="C1066"/>
      <c r="D1066"/>
    </row>
    <row r="1067" spans="1:4" x14ac:dyDescent="0.25">
      <c r="A1067"/>
      <c r="B1067"/>
      <c r="C1067"/>
      <c r="D1067"/>
    </row>
    <row r="1068" spans="1:4" x14ac:dyDescent="0.25">
      <c r="A1068"/>
      <c r="B1068"/>
      <c r="C1068"/>
      <c r="D1068"/>
    </row>
    <row r="1069" spans="1:4" x14ac:dyDescent="0.25">
      <c r="A1069"/>
      <c r="B1069"/>
      <c r="C1069"/>
      <c r="D1069"/>
    </row>
    <row r="1070" spans="1:4" x14ac:dyDescent="0.25">
      <c r="A1070"/>
      <c r="B1070"/>
      <c r="C1070"/>
      <c r="D1070"/>
    </row>
    <row r="1071" spans="1:4" x14ac:dyDescent="0.25">
      <c r="A1071"/>
      <c r="B1071"/>
      <c r="C1071"/>
      <c r="D1071"/>
    </row>
    <row r="1072" spans="1:4" x14ac:dyDescent="0.25">
      <c r="A1072"/>
      <c r="B1072"/>
      <c r="C1072"/>
      <c r="D1072"/>
    </row>
    <row r="1073" spans="1:4" x14ac:dyDescent="0.25">
      <c r="A1073"/>
      <c r="B1073"/>
      <c r="C1073"/>
      <c r="D1073"/>
    </row>
    <row r="1074" spans="1:4" x14ac:dyDescent="0.25">
      <c r="A1074"/>
      <c r="B1074"/>
      <c r="C1074"/>
      <c r="D1074"/>
    </row>
    <row r="1075" spans="1:4" x14ac:dyDescent="0.25">
      <c r="A1075"/>
      <c r="B1075"/>
      <c r="C1075"/>
      <c r="D1075"/>
    </row>
    <row r="1076" spans="1:4" x14ac:dyDescent="0.25">
      <c r="A1076"/>
      <c r="B1076"/>
      <c r="C1076"/>
      <c r="D1076"/>
    </row>
    <row r="1077" spans="1:4" x14ac:dyDescent="0.25">
      <c r="A1077"/>
      <c r="B1077"/>
      <c r="C1077"/>
      <c r="D1077"/>
    </row>
    <row r="1078" spans="1:4" x14ac:dyDescent="0.25">
      <c r="A1078"/>
      <c r="B1078"/>
      <c r="C1078"/>
      <c r="D1078"/>
    </row>
    <row r="1079" spans="1:4" x14ac:dyDescent="0.25">
      <c r="A1079"/>
      <c r="B1079"/>
      <c r="C1079"/>
      <c r="D1079"/>
    </row>
    <row r="1080" spans="1:4" x14ac:dyDescent="0.25">
      <c r="A1080"/>
      <c r="B1080"/>
      <c r="C1080"/>
      <c r="D1080"/>
    </row>
    <row r="1081" spans="1:4" x14ac:dyDescent="0.25">
      <c r="A1081"/>
      <c r="B1081"/>
      <c r="C1081"/>
      <c r="D1081"/>
    </row>
    <row r="1082" spans="1:4" x14ac:dyDescent="0.25">
      <c r="A1082"/>
      <c r="B1082"/>
      <c r="C1082"/>
      <c r="D1082"/>
    </row>
    <row r="1083" spans="1:4" x14ac:dyDescent="0.25">
      <c r="A1083"/>
      <c r="B1083"/>
      <c r="C1083"/>
      <c r="D1083"/>
    </row>
    <row r="1084" spans="1:4" x14ac:dyDescent="0.25">
      <c r="A1084"/>
      <c r="B1084"/>
      <c r="C1084"/>
      <c r="D1084"/>
    </row>
    <row r="1085" spans="1:4" x14ac:dyDescent="0.25">
      <c r="A1085"/>
      <c r="B1085"/>
      <c r="C1085"/>
      <c r="D1085"/>
    </row>
    <row r="1086" spans="1:4" x14ac:dyDescent="0.25">
      <c r="A1086"/>
      <c r="B1086"/>
      <c r="C1086"/>
      <c r="D1086"/>
    </row>
    <row r="1087" spans="1:4" x14ac:dyDescent="0.25">
      <c r="A1087"/>
      <c r="B1087"/>
      <c r="C1087"/>
      <c r="D1087"/>
    </row>
    <row r="1088" spans="1:4" x14ac:dyDescent="0.25">
      <c r="A1088"/>
      <c r="B1088"/>
      <c r="C1088"/>
      <c r="D1088"/>
    </row>
    <row r="1089" spans="1:4" x14ac:dyDescent="0.25">
      <c r="A1089"/>
      <c r="B1089"/>
      <c r="C1089"/>
      <c r="D1089"/>
    </row>
    <row r="1090" spans="1:4" x14ac:dyDescent="0.25">
      <c r="A1090"/>
      <c r="B1090"/>
      <c r="C1090"/>
      <c r="D1090"/>
    </row>
    <row r="1091" spans="1:4" x14ac:dyDescent="0.25">
      <c r="A1091"/>
      <c r="B1091"/>
      <c r="C1091"/>
      <c r="D1091"/>
    </row>
    <row r="1092" spans="1:4" x14ac:dyDescent="0.25">
      <c r="A1092"/>
      <c r="B1092"/>
      <c r="C1092"/>
      <c r="D1092"/>
    </row>
    <row r="1093" spans="1:4" x14ac:dyDescent="0.25">
      <c r="A1093"/>
      <c r="B1093"/>
      <c r="C1093"/>
      <c r="D1093"/>
    </row>
    <row r="1094" spans="1:4" x14ac:dyDescent="0.25">
      <c r="A1094"/>
      <c r="B1094"/>
      <c r="C1094"/>
      <c r="D1094"/>
    </row>
    <row r="1095" spans="1:4" x14ac:dyDescent="0.25">
      <c r="A1095"/>
      <c r="B1095"/>
      <c r="C1095"/>
      <c r="D1095"/>
    </row>
    <row r="1096" spans="1:4" x14ac:dyDescent="0.25">
      <c r="A1096"/>
      <c r="B1096"/>
      <c r="C1096"/>
      <c r="D1096"/>
    </row>
    <row r="1097" spans="1:4" x14ac:dyDescent="0.25">
      <c r="A1097"/>
      <c r="B1097"/>
      <c r="C1097"/>
      <c r="D1097"/>
    </row>
    <row r="1098" spans="1:4" x14ac:dyDescent="0.25">
      <c r="A1098"/>
      <c r="B1098"/>
      <c r="C1098"/>
      <c r="D1098"/>
    </row>
    <row r="1099" spans="1:4" x14ac:dyDescent="0.25">
      <c r="A1099"/>
      <c r="B1099"/>
      <c r="C1099"/>
      <c r="D1099"/>
    </row>
    <row r="1100" spans="1:4" x14ac:dyDescent="0.25">
      <c r="A1100"/>
      <c r="B1100"/>
      <c r="C1100"/>
      <c r="D1100"/>
    </row>
    <row r="1101" spans="1:4" x14ac:dyDescent="0.25">
      <c r="A1101"/>
      <c r="B1101"/>
      <c r="C1101"/>
      <c r="D1101"/>
    </row>
    <row r="1102" spans="1:4" x14ac:dyDescent="0.25">
      <c r="A1102"/>
      <c r="B1102"/>
      <c r="C1102"/>
      <c r="D1102"/>
    </row>
    <row r="1103" spans="1:4" x14ac:dyDescent="0.25">
      <c r="A1103"/>
      <c r="B1103"/>
      <c r="C1103"/>
      <c r="D1103"/>
    </row>
    <row r="1104" spans="1:4" x14ac:dyDescent="0.25">
      <c r="A1104"/>
      <c r="B1104"/>
      <c r="C1104"/>
      <c r="D1104"/>
    </row>
    <row r="1105" spans="1:4" x14ac:dyDescent="0.25">
      <c r="A1105"/>
      <c r="B1105"/>
      <c r="C1105"/>
      <c r="D1105"/>
    </row>
    <row r="1106" spans="1:4" x14ac:dyDescent="0.25">
      <c r="A1106"/>
      <c r="B1106"/>
      <c r="C1106"/>
      <c r="D1106"/>
    </row>
    <row r="1107" spans="1:4" x14ac:dyDescent="0.25">
      <c r="A1107"/>
      <c r="B1107"/>
      <c r="C1107"/>
      <c r="D1107"/>
    </row>
    <row r="1108" spans="1:4" x14ac:dyDescent="0.25">
      <c r="A1108"/>
      <c r="B1108"/>
      <c r="C1108"/>
      <c r="D1108"/>
    </row>
    <row r="1109" spans="1:4" x14ac:dyDescent="0.25">
      <c r="A1109"/>
      <c r="B1109"/>
      <c r="C1109"/>
      <c r="D1109"/>
    </row>
    <row r="1110" spans="1:4" x14ac:dyDescent="0.25">
      <c r="A1110"/>
      <c r="B1110"/>
      <c r="C1110"/>
      <c r="D1110"/>
    </row>
    <row r="1111" spans="1:4" x14ac:dyDescent="0.25">
      <c r="A1111"/>
      <c r="B1111"/>
      <c r="C1111"/>
      <c r="D1111"/>
    </row>
    <row r="1112" spans="1:4" x14ac:dyDescent="0.25">
      <c r="A1112"/>
      <c r="B1112"/>
      <c r="C1112"/>
      <c r="D1112"/>
    </row>
    <row r="1113" spans="1:4" x14ac:dyDescent="0.25">
      <c r="A1113"/>
      <c r="B1113"/>
      <c r="C1113"/>
      <c r="D1113"/>
    </row>
    <row r="1114" spans="1:4" x14ac:dyDescent="0.25">
      <c r="A1114"/>
      <c r="B1114"/>
      <c r="C1114"/>
      <c r="D1114"/>
    </row>
    <row r="1115" spans="1:4" x14ac:dyDescent="0.25">
      <c r="A1115"/>
      <c r="B1115"/>
      <c r="C1115"/>
      <c r="D1115"/>
    </row>
    <row r="1116" spans="1:4" x14ac:dyDescent="0.25">
      <c r="A1116"/>
      <c r="B1116"/>
      <c r="C1116"/>
      <c r="D1116"/>
    </row>
    <row r="1117" spans="1:4" x14ac:dyDescent="0.25">
      <c r="A1117"/>
      <c r="B1117"/>
      <c r="C1117"/>
      <c r="D1117"/>
    </row>
    <row r="1118" spans="1:4" x14ac:dyDescent="0.25">
      <c r="A1118"/>
      <c r="B1118"/>
      <c r="C1118"/>
      <c r="D1118"/>
    </row>
    <row r="1119" spans="1:4" x14ac:dyDescent="0.25">
      <c r="A1119"/>
      <c r="B1119"/>
      <c r="C1119"/>
      <c r="D1119"/>
    </row>
    <row r="1120" spans="1:4" x14ac:dyDescent="0.25">
      <c r="A1120"/>
      <c r="B1120"/>
      <c r="C1120"/>
      <c r="D1120"/>
    </row>
    <row r="1121" spans="1:4" x14ac:dyDescent="0.25">
      <c r="A1121"/>
      <c r="B1121"/>
      <c r="C1121"/>
      <c r="D1121"/>
    </row>
    <row r="1122" spans="1:4" x14ac:dyDescent="0.25">
      <c r="A1122"/>
      <c r="B1122"/>
      <c r="C1122"/>
      <c r="D1122"/>
    </row>
    <row r="1123" spans="1:4" x14ac:dyDescent="0.25">
      <c r="A1123"/>
      <c r="B1123"/>
      <c r="C1123"/>
      <c r="D1123"/>
    </row>
    <row r="1124" spans="1:4" x14ac:dyDescent="0.25">
      <c r="A1124"/>
      <c r="B1124"/>
      <c r="C1124"/>
      <c r="D1124"/>
    </row>
    <row r="1125" spans="1:4" x14ac:dyDescent="0.25">
      <c r="A1125"/>
      <c r="B1125"/>
      <c r="C1125"/>
      <c r="D1125"/>
    </row>
    <row r="1126" spans="1:4" x14ac:dyDescent="0.25">
      <c r="A1126"/>
      <c r="B1126"/>
      <c r="C1126"/>
      <c r="D1126"/>
    </row>
    <row r="1127" spans="1:4" x14ac:dyDescent="0.25">
      <c r="A1127"/>
      <c r="B1127"/>
      <c r="C1127"/>
      <c r="D1127"/>
    </row>
    <row r="1128" spans="1:4" x14ac:dyDescent="0.25">
      <c r="A1128"/>
      <c r="B1128"/>
      <c r="C1128"/>
      <c r="D1128"/>
    </row>
    <row r="1129" spans="1:4" x14ac:dyDescent="0.25">
      <c r="A1129"/>
      <c r="B1129"/>
      <c r="C1129"/>
      <c r="D1129"/>
    </row>
    <row r="1130" spans="1:4" x14ac:dyDescent="0.25">
      <c r="A1130"/>
      <c r="B1130"/>
      <c r="C1130"/>
      <c r="D1130"/>
    </row>
    <row r="1131" spans="1:4" x14ac:dyDescent="0.25">
      <c r="A1131"/>
      <c r="B1131"/>
      <c r="C1131"/>
      <c r="D1131"/>
    </row>
    <row r="1132" spans="1:4" x14ac:dyDescent="0.25">
      <c r="A1132"/>
      <c r="B1132"/>
      <c r="C1132"/>
      <c r="D1132"/>
    </row>
    <row r="1133" spans="1:4" x14ac:dyDescent="0.25">
      <c r="A1133"/>
      <c r="B1133"/>
      <c r="C1133"/>
      <c r="D1133"/>
    </row>
    <row r="1134" spans="1:4" x14ac:dyDescent="0.25">
      <c r="A1134"/>
      <c r="B1134"/>
      <c r="C1134"/>
      <c r="D1134"/>
    </row>
    <row r="1135" spans="1:4" x14ac:dyDescent="0.25">
      <c r="A1135"/>
      <c r="B1135"/>
      <c r="C1135"/>
      <c r="D1135"/>
    </row>
    <row r="1136" spans="1:4" x14ac:dyDescent="0.25">
      <c r="A1136"/>
      <c r="B1136"/>
      <c r="C1136"/>
      <c r="D1136"/>
    </row>
    <row r="1137" spans="1:4" x14ac:dyDescent="0.25">
      <c r="A1137"/>
      <c r="B1137"/>
      <c r="C1137"/>
      <c r="D1137"/>
    </row>
    <row r="1138" spans="1:4" x14ac:dyDescent="0.25">
      <c r="A1138"/>
      <c r="B1138"/>
      <c r="C1138"/>
      <c r="D1138"/>
    </row>
    <row r="1139" spans="1:4" x14ac:dyDescent="0.25">
      <c r="A1139"/>
      <c r="B1139"/>
      <c r="C1139"/>
      <c r="D1139"/>
    </row>
    <row r="1140" spans="1:4" x14ac:dyDescent="0.25">
      <c r="A1140"/>
      <c r="B1140"/>
      <c r="C1140"/>
      <c r="D1140"/>
    </row>
    <row r="1141" spans="1:4" x14ac:dyDescent="0.25">
      <c r="A1141"/>
      <c r="B1141"/>
      <c r="C1141"/>
      <c r="D1141"/>
    </row>
    <row r="1142" spans="1:4" x14ac:dyDescent="0.25">
      <c r="A1142"/>
      <c r="B1142"/>
      <c r="C1142"/>
      <c r="D1142"/>
    </row>
    <row r="1143" spans="1:4" x14ac:dyDescent="0.25">
      <c r="A1143"/>
      <c r="B1143"/>
      <c r="C1143"/>
      <c r="D1143"/>
    </row>
    <row r="1144" spans="1:4" x14ac:dyDescent="0.25">
      <c r="A1144"/>
      <c r="B1144"/>
      <c r="C1144"/>
      <c r="D1144"/>
    </row>
    <row r="1145" spans="1:4" x14ac:dyDescent="0.25">
      <c r="A1145"/>
      <c r="B1145"/>
      <c r="C1145"/>
      <c r="D1145"/>
    </row>
    <row r="1146" spans="1:4" x14ac:dyDescent="0.25">
      <c r="A1146"/>
      <c r="B1146"/>
      <c r="C1146"/>
      <c r="D1146"/>
    </row>
    <row r="1147" spans="1:4" x14ac:dyDescent="0.25">
      <c r="A1147"/>
      <c r="B1147"/>
      <c r="C1147"/>
      <c r="D1147"/>
    </row>
    <row r="1148" spans="1:4" x14ac:dyDescent="0.25">
      <c r="A1148"/>
      <c r="B1148"/>
      <c r="C1148"/>
      <c r="D1148"/>
    </row>
    <row r="1149" spans="1:4" x14ac:dyDescent="0.25">
      <c r="A1149"/>
      <c r="B1149"/>
      <c r="C1149"/>
      <c r="D1149"/>
    </row>
    <row r="1150" spans="1:4" x14ac:dyDescent="0.25">
      <c r="A1150"/>
      <c r="B1150"/>
      <c r="C1150"/>
      <c r="D1150"/>
    </row>
    <row r="1151" spans="1:4" x14ac:dyDescent="0.25">
      <c r="A1151"/>
      <c r="B1151"/>
      <c r="C1151"/>
      <c r="D1151"/>
    </row>
    <row r="1152" spans="1:4" x14ac:dyDescent="0.25">
      <c r="A1152"/>
      <c r="B1152"/>
      <c r="C1152"/>
      <c r="D1152"/>
    </row>
    <row r="1153" spans="1:4" x14ac:dyDescent="0.25">
      <c r="A1153"/>
      <c r="B1153"/>
      <c r="C1153"/>
      <c r="D1153"/>
    </row>
    <row r="1154" spans="1:4" x14ac:dyDescent="0.25">
      <c r="A1154"/>
      <c r="B1154"/>
      <c r="C1154"/>
      <c r="D1154"/>
    </row>
    <row r="1155" spans="1:4" x14ac:dyDescent="0.25">
      <c r="A1155"/>
      <c r="B1155"/>
      <c r="C1155"/>
      <c r="D1155"/>
    </row>
    <row r="1156" spans="1:4" x14ac:dyDescent="0.25">
      <c r="A1156"/>
      <c r="B1156"/>
      <c r="C1156"/>
      <c r="D1156"/>
    </row>
    <row r="1157" spans="1:4" x14ac:dyDescent="0.25">
      <c r="A1157"/>
      <c r="B1157"/>
      <c r="C1157"/>
      <c r="D1157"/>
    </row>
    <row r="1158" spans="1:4" x14ac:dyDescent="0.25">
      <c r="A1158"/>
      <c r="B1158"/>
      <c r="C1158"/>
      <c r="D1158"/>
    </row>
    <row r="1159" spans="1:4" x14ac:dyDescent="0.25">
      <c r="A1159"/>
      <c r="B1159"/>
      <c r="C1159"/>
      <c r="D1159"/>
    </row>
    <row r="1160" spans="1:4" x14ac:dyDescent="0.25">
      <c r="A1160"/>
      <c r="B1160"/>
      <c r="C1160"/>
      <c r="D1160"/>
    </row>
    <row r="1161" spans="1:4" x14ac:dyDescent="0.25">
      <c r="A1161"/>
      <c r="B1161"/>
      <c r="C1161"/>
      <c r="D1161"/>
    </row>
    <row r="1162" spans="1:4" x14ac:dyDescent="0.25">
      <c r="A1162"/>
      <c r="B1162"/>
      <c r="C1162"/>
      <c r="D1162"/>
    </row>
    <row r="1163" spans="1:4" x14ac:dyDescent="0.25">
      <c r="A1163"/>
      <c r="B1163"/>
      <c r="C1163"/>
      <c r="D1163"/>
    </row>
    <row r="1164" spans="1:4" x14ac:dyDescent="0.25">
      <c r="A1164"/>
      <c r="B1164"/>
      <c r="C1164"/>
      <c r="D1164"/>
    </row>
    <row r="1165" spans="1:4" x14ac:dyDescent="0.25">
      <c r="A1165"/>
      <c r="B1165"/>
      <c r="C1165"/>
      <c r="D1165"/>
    </row>
    <row r="1166" spans="1:4" x14ac:dyDescent="0.25">
      <c r="A1166"/>
      <c r="B1166"/>
      <c r="C1166"/>
      <c r="D1166"/>
    </row>
    <row r="1167" spans="1:4" x14ac:dyDescent="0.25">
      <c r="A1167"/>
      <c r="B1167"/>
      <c r="C1167"/>
      <c r="D1167"/>
    </row>
    <row r="1168" spans="1:4" x14ac:dyDescent="0.25">
      <c r="A1168"/>
      <c r="B1168"/>
      <c r="C1168"/>
      <c r="D1168"/>
    </row>
    <row r="1169" spans="1:4" x14ac:dyDescent="0.25">
      <c r="A1169"/>
      <c r="B1169"/>
      <c r="C1169"/>
      <c r="D1169"/>
    </row>
    <row r="1170" spans="1:4" x14ac:dyDescent="0.25">
      <c r="A1170"/>
      <c r="B1170"/>
      <c r="C1170"/>
      <c r="D1170"/>
    </row>
    <row r="1171" spans="1:4" x14ac:dyDescent="0.25">
      <c r="A1171"/>
      <c r="B1171"/>
      <c r="C1171"/>
      <c r="D1171"/>
    </row>
    <row r="1172" spans="1:4" x14ac:dyDescent="0.25">
      <c r="A1172"/>
      <c r="B1172"/>
      <c r="C1172"/>
      <c r="D1172"/>
    </row>
    <row r="1173" spans="1:4" x14ac:dyDescent="0.25">
      <c r="A1173"/>
      <c r="B1173"/>
      <c r="C1173"/>
      <c r="D1173"/>
    </row>
    <row r="1174" spans="1:4" x14ac:dyDescent="0.25">
      <c r="A1174"/>
      <c r="B1174"/>
      <c r="C1174"/>
      <c r="D1174"/>
    </row>
    <row r="1175" spans="1:4" x14ac:dyDescent="0.25">
      <c r="A1175"/>
      <c r="B1175"/>
      <c r="C1175"/>
      <c r="D1175"/>
    </row>
    <row r="1176" spans="1:4" x14ac:dyDescent="0.25">
      <c r="A1176"/>
      <c r="B1176"/>
      <c r="C1176"/>
      <c r="D1176"/>
    </row>
    <row r="1177" spans="1:4" x14ac:dyDescent="0.25">
      <c r="A1177"/>
      <c r="B1177"/>
      <c r="C1177"/>
      <c r="D1177"/>
    </row>
    <row r="1178" spans="1:4" x14ac:dyDescent="0.25">
      <c r="A1178"/>
      <c r="B1178"/>
      <c r="C1178"/>
      <c r="D1178"/>
    </row>
    <row r="1179" spans="1:4" x14ac:dyDescent="0.25">
      <c r="A1179"/>
      <c r="B1179"/>
      <c r="C1179"/>
      <c r="D1179"/>
    </row>
    <row r="1180" spans="1:4" x14ac:dyDescent="0.25">
      <c r="A1180"/>
      <c r="B1180"/>
      <c r="C1180"/>
      <c r="D1180"/>
    </row>
    <row r="1181" spans="1:4" x14ac:dyDescent="0.25">
      <c r="A1181"/>
      <c r="B1181"/>
      <c r="C1181"/>
      <c r="D1181"/>
    </row>
    <row r="1182" spans="1:4" x14ac:dyDescent="0.25">
      <c r="A1182"/>
      <c r="B1182"/>
      <c r="C1182"/>
      <c r="D1182"/>
    </row>
    <row r="1183" spans="1:4" x14ac:dyDescent="0.25">
      <c r="A1183"/>
      <c r="B1183"/>
      <c r="C1183"/>
      <c r="D1183"/>
    </row>
    <row r="1184" spans="1:4" x14ac:dyDescent="0.25">
      <c r="A1184"/>
      <c r="B1184"/>
      <c r="C1184"/>
      <c r="D1184"/>
    </row>
    <row r="1185" spans="1:4" x14ac:dyDescent="0.25">
      <c r="A1185"/>
      <c r="B1185"/>
      <c r="C1185"/>
      <c r="D1185"/>
    </row>
    <row r="1186" spans="1:4" x14ac:dyDescent="0.25">
      <c r="A1186"/>
      <c r="B1186"/>
      <c r="C1186"/>
      <c r="D1186"/>
    </row>
    <row r="1187" spans="1:4" x14ac:dyDescent="0.25">
      <c r="A1187"/>
      <c r="B1187"/>
      <c r="C1187"/>
      <c r="D1187"/>
    </row>
    <row r="1188" spans="1:4" x14ac:dyDescent="0.25">
      <c r="A1188"/>
      <c r="B1188"/>
      <c r="C1188"/>
      <c r="D1188"/>
    </row>
    <row r="1189" spans="1:4" x14ac:dyDescent="0.25">
      <c r="A1189"/>
      <c r="B1189"/>
      <c r="C1189"/>
      <c r="D1189"/>
    </row>
    <row r="1190" spans="1:4" x14ac:dyDescent="0.25">
      <c r="A1190"/>
      <c r="B1190"/>
      <c r="C1190"/>
      <c r="D1190"/>
    </row>
    <row r="1191" spans="1:4" x14ac:dyDescent="0.25">
      <c r="A1191"/>
      <c r="B1191"/>
      <c r="C1191"/>
      <c r="D1191"/>
    </row>
    <row r="1192" spans="1:4" x14ac:dyDescent="0.25">
      <c r="A1192"/>
      <c r="B1192"/>
      <c r="C1192"/>
      <c r="D1192"/>
    </row>
    <row r="1193" spans="1:4" x14ac:dyDescent="0.25">
      <c r="A1193"/>
      <c r="B1193"/>
      <c r="C1193"/>
      <c r="D1193"/>
    </row>
    <row r="1194" spans="1:4" x14ac:dyDescent="0.25">
      <c r="A1194"/>
      <c r="B1194"/>
      <c r="C1194"/>
      <c r="D1194"/>
    </row>
    <row r="1195" spans="1:4" x14ac:dyDescent="0.25">
      <c r="A1195"/>
      <c r="B1195"/>
      <c r="C1195"/>
      <c r="D1195"/>
    </row>
    <row r="1196" spans="1:4" x14ac:dyDescent="0.25">
      <c r="A1196"/>
      <c r="B1196"/>
      <c r="C1196"/>
      <c r="D1196"/>
    </row>
    <row r="1197" spans="1:4" x14ac:dyDescent="0.25">
      <c r="A1197"/>
      <c r="B1197"/>
      <c r="C1197"/>
      <c r="D1197"/>
    </row>
    <row r="1198" spans="1:4" x14ac:dyDescent="0.25">
      <c r="A1198"/>
      <c r="B1198"/>
      <c r="C1198"/>
      <c r="D1198"/>
    </row>
    <row r="1199" spans="1:4" x14ac:dyDescent="0.25">
      <c r="A1199"/>
      <c r="B1199"/>
      <c r="C1199"/>
      <c r="D1199"/>
    </row>
    <row r="1200" spans="1:4" x14ac:dyDescent="0.25">
      <c r="A1200"/>
      <c r="B1200"/>
      <c r="C1200"/>
      <c r="D1200"/>
    </row>
    <row r="1201" spans="1:4" x14ac:dyDescent="0.25">
      <c r="A1201"/>
      <c r="B1201"/>
      <c r="C1201"/>
      <c r="D1201"/>
    </row>
    <row r="1202" spans="1:4" x14ac:dyDescent="0.25">
      <c r="A1202"/>
      <c r="B1202"/>
      <c r="C1202"/>
      <c r="D1202"/>
    </row>
    <row r="1203" spans="1:4" x14ac:dyDescent="0.25">
      <c r="A1203"/>
      <c r="B1203"/>
      <c r="C1203"/>
      <c r="D1203"/>
    </row>
    <row r="1204" spans="1:4" x14ac:dyDescent="0.25">
      <c r="A1204"/>
      <c r="B1204"/>
      <c r="C1204"/>
      <c r="D1204"/>
    </row>
    <row r="1205" spans="1:4" x14ac:dyDescent="0.25">
      <c r="A1205"/>
      <c r="B1205"/>
      <c r="C1205"/>
      <c r="D1205"/>
    </row>
    <row r="1206" spans="1:4" x14ac:dyDescent="0.25">
      <c r="A1206"/>
      <c r="B1206"/>
      <c r="C1206"/>
      <c r="D1206"/>
    </row>
    <row r="1207" spans="1:4" x14ac:dyDescent="0.25">
      <c r="A1207"/>
      <c r="B1207"/>
      <c r="C1207"/>
      <c r="D1207"/>
    </row>
    <row r="1208" spans="1:4" x14ac:dyDescent="0.25">
      <c r="A1208"/>
      <c r="B1208"/>
      <c r="C1208"/>
      <c r="D1208"/>
    </row>
    <row r="1209" spans="1:4" x14ac:dyDescent="0.25">
      <c r="A1209"/>
      <c r="B1209"/>
      <c r="C1209"/>
      <c r="D1209"/>
    </row>
    <row r="1210" spans="1:4" x14ac:dyDescent="0.25">
      <c r="A1210"/>
      <c r="B1210"/>
      <c r="C1210"/>
      <c r="D1210"/>
    </row>
    <row r="1211" spans="1:4" x14ac:dyDescent="0.25">
      <c r="A1211"/>
      <c r="B1211"/>
      <c r="C1211"/>
      <c r="D1211"/>
    </row>
    <row r="1212" spans="1:4" x14ac:dyDescent="0.25">
      <c r="A1212"/>
      <c r="B1212"/>
      <c r="C1212"/>
      <c r="D1212"/>
    </row>
    <row r="1213" spans="1:4" x14ac:dyDescent="0.25">
      <c r="A1213"/>
      <c r="B1213"/>
      <c r="C1213"/>
      <c r="D1213"/>
    </row>
    <row r="1214" spans="1:4" x14ac:dyDescent="0.25">
      <c r="A1214"/>
      <c r="B1214"/>
      <c r="C1214"/>
      <c r="D1214"/>
    </row>
    <row r="1215" spans="1:4" x14ac:dyDescent="0.25">
      <c r="A1215"/>
      <c r="B1215"/>
      <c r="C1215"/>
      <c r="D1215"/>
    </row>
    <row r="1216" spans="1:4" x14ac:dyDescent="0.25">
      <c r="A1216"/>
      <c r="B1216"/>
      <c r="C1216"/>
      <c r="D1216"/>
    </row>
    <row r="1217" spans="1:4" x14ac:dyDescent="0.25">
      <c r="A1217"/>
      <c r="B1217"/>
      <c r="C1217"/>
      <c r="D1217"/>
    </row>
    <row r="1218" spans="1:4" x14ac:dyDescent="0.25">
      <c r="A1218"/>
      <c r="B1218"/>
      <c r="C1218"/>
      <c r="D1218"/>
    </row>
    <row r="1219" spans="1:4" x14ac:dyDescent="0.25">
      <c r="A1219"/>
      <c r="B1219"/>
      <c r="C1219"/>
      <c r="D1219"/>
    </row>
    <row r="1220" spans="1:4" x14ac:dyDescent="0.25">
      <c r="A1220"/>
      <c r="B1220"/>
      <c r="C1220"/>
      <c r="D1220"/>
    </row>
    <row r="1221" spans="1:4" x14ac:dyDescent="0.25">
      <c r="A1221"/>
      <c r="B1221"/>
      <c r="C1221"/>
      <c r="D1221"/>
    </row>
    <row r="1222" spans="1:4" x14ac:dyDescent="0.25">
      <c r="A1222"/>
      <c r="B1222"/>
      <c r="C1222"/>
      <c r="D1222"/>
    </row>
    <row r="1223" spans="1:4" x14ac:dyDescent="0.25">
      <c r="A1223"/>
      <c r="B1223"/>
      <c r="C1223"/>
      <c r="D1223"/>
    </row>
    <row r="1224" spans="1:4" x14ac:dyDescent="0.25">
      <c r="A1224"/>
      <c r="B1224"/>
      <c r="C1224"/>
      <c r="D1224"/>
    </row>
    <row r="1225" spans="1:4" x14ac:dyDescent="0.25">
      <c r="A1225"/>
      <c r="B1225"/>
      <c r="C1225"/>
      <c r="D1225"/>
    </row>
    <row r="1226" spans="1:4" x14ac:dyDescent="0.25">
      <c r="A1226"/>
      <c r="B1226"/>
      <c r="C1226"/>
      <c r="D1226"/>
    </row>
    <row r="1227" spans="1:4" x14ac:dyDescent="0.25">
      <c r="A1227"/>
      <c r="B1227"/>
      <c r="C1227"/>
      <c r="D1227"/>
    </row>
    <row r="1228" spans="1:4" x14ac:dyDescent="0.25">
      <c r="A1228"/>
      <c r="B1228"/>
      <c r="C1228"/>
      <c r="D1228"/>
    </row>
    <row r="1229" spans="1:4" x14ac:dyDescent="0.25">
      <c r="A1229"/>
      <c r="B1229"/>
      <c r="C1229"/>
      <c r="D1229"/>
    </row>
    <row r="1230" spans="1:4" x14ac:dyDescent="0.25">
      <c r="A1230"/>
      <c r="B1230"/>
      <c r="C1230"/>
      <c r="D1230"/>
    </row>
    <row r="1231" spans="1:4" x14ac:dyDescent="0.25">
      <c r="A1231"/>
      <c r="B1231"/>
      <c r="C1231"/>
      <c r="D1231"/>
    </row>
    <row r="1232" spans="1:4" x14ac:dyDescent="0.25">
      <c r="A1232"/>
      <c r="B1232"/>
      <c r="C1232"/>
      <c r="D1232"/>
    </row>
    <row r="1233" spans="1:4" x14ac:dyDescent="0.25">
      <c r="A1233"/>
      <c r="B1233"/>
      <c r="C1233"/>
      <c r="D1233"/>
    </row>
    <row r="1234" spans="1:4" x14ac:dyDescent="0.25">
      <c r="A1234"/>
      <c r="B1234"/>
      <c r="C1234"/>
      <c r="D1234"/>
    </row>
    <row r="1235" spans="1:4" x14ac:dyDescent="0.25">
      <c r="A1235"/>
      <c r="B1235"/>
      <c r="C1235"/>
      <c r="D1235"/>
    </row>
    <row r="1236" spans="1:4" x14ac:dyDescent="0.25">
      <c r="A1236"/>
      <c r="B1236"/>
      <c r="C1236"/>
      <c r="D1236"/>
    </row>
    <row r="1237" spans="1:4" x14ac:dyDescent="0.25">
      <c r="A1237"/>
      <c r="B1237"/>
      <c r="C1237"/>
      <c r="D1237"/>
    </row>
    <row r="1238" spans="1:4" x14ac:dyDescent="0.25">
      <c r="A1238"/>
      <c r="B1238"/>
      <c r="C1238"/>
      <c r="D1238"/>
    </row>
    <row r="1239" spans="1:4" x14ac:dyDescent="0.25">
      <c r="A1239"/>
      <c r="B1239"/>
      <c r="C1239"/>
      <c r="D1239"/>
    </row>
    <row r="1240" spans="1:4" x14ac:dyDescent="0.25">
      <c r="A1240"/>
      <c r="B1240"/>
      <c r="C1240"/>
      <c r="D1240"/>
    </row>
    <row r="1241" spans="1:4" x14ac:dyDescent="0.25">
      <c r="A1241"/>
      <c r="B1241"/>
      <c r="C1241"/>
      <c r="D1241"/>
    </row>
    <row r="1242" spans="1:4" x14ac:dyDescent="0.25">
      <c r="A1242"/>
      <c r="B1242"/>
      <c r="C1242"/>
      <c r="D1242"/>
    </row>
    <row r="1243" spans="1:4" x14ac:dyDescent="0.25">
      <c r="A1243"/>
      <c r="B1243"/>
      <c r="C1243"/>
      <c r="D1243"/>
    </row>
    <row r="1244" spans="1:4" x14ac:dyDescent="0.25">
      <c r="A1244"/>
      <c r="B1244"/>
      <c r="C1244"/>
      <c r="D1244"/>
    </row>
    <row r="1245" spans="1:4" x14ac:dyDescent="0.25">
      <c r="A1245"/>
      <c r="B1245"/>
      <c r="C1245"/>
      <c r="D1245"/>
    </row>
    <row r="1246" spans="1:4" x14ac:dyDescent="0.25">
      <c r="A1246"/>
      <c r="B1246"/>
      <c r="C1246"/>
      <c r="D1246"/>
    </row>
    <row r="1247" spans="1:4" x14ac:dyDescent="0.25">
      <c r="A1247"/>
      <c r="B1247"/>
      <c r="C1247"/>
      <c r="D1247"/>
    </row>
    <row r="1248" spans="1:4" x14ac:dyDescent="0.25">
      <c r="A1248"/>
      <c r="B1248"/>
      <c r="C1248"/>
      <c r="D1248"/>
    </row>
    <row r="1249" spans="1:4" x14ac:dyDescent="0.25">
      <c r="A1249"/>
      <c r="B1249"/>
      <c r="C1249"/>
      <c r="D1249"/>
    </row>
    <row r="1250" spans="1:4" x14ac:dyDescent="0.25">
      <c r="A1250"/>
      <c r="B1250"/>
      <c r="C1250"/>
      <c r="D1250"/>
    </row>
    <row r="1251" spans="1:4" x14ac:dyDescent="0.25">
      <c r="A1251"/>
      <c r="B1251"/>
      <c r="C1251"/>
      <c r="D1251"/>
    </row>
    <row r="1252" spans="1:4" x14ac:dyDescent="0.25">
      <c r="A1252"/>
      <c r="B1252"/>
      <c r="C1252"/>
      <c r="D1252"/>
    </row>
    <row r="1253" spans="1:4" x14ac:dyDescent="0.25">
      <c r="A1253"/>
      <c r="B1253"/>
      <c r="C1253"/>
      <c r="D1253"/>
    </row>
    <row r="1254" spans="1:4" x14ac:dyDescent="0.25">
      <c r="A1254"/>
      <c r="B1254"/>
      <c r="C1254"/>
      <c r="D1254"/>
    </row>
    <row r="1255" spans="1:4" x14ac:dyDescent="0.25">
      <c r="A1255"/>
      <c r="B1255"/>
      <c r="C1255"/>
      <c r="D1255"/>
    </row>
    <row r="1256" spans="1:4" x14ac:dyDescent="0.25">
      <c r="A1256"/>
      <c r="B1256"/>
      <c r="C1256"/>
      <c r="D1256"/>
    </row>
    <row r="1257" spans="1:4" x14ac:dyDescent="0.25">
      <c r="A1257"/>
      <c r="B1257"/>
      <c r="C1257"/>
      <c r="D1257"/>
    </row>
    <row r="1258" spans="1:4" x14ac:dyDescent="0.25">
      <c r="A1258"/>
      <c r="B1258"/>
      <c r="C1258"/>
      <c r="D1258"/>
    </row>
    <row r="1259" spans="1:4" x14ac:dyDescent="0.25">
      <c r="A1259"/>
      <c r="B1259"/>
      <c r="C1259"/>
      <c r="D1259"/>
    </row>
    <row r="1260" spans="1:4" x14ac:dyDescent="0.25">
      <c r="A1260"/>
      <c r="B1260"/>
      <c r="C1260"/>
      <c r="D1260"/>
    </row>
    <row r="1261" spans="1:4" x14ac:dyDescent="0.25">
      <c r="A1261"/>
      <c r="B1261"/>
      <c r="C1261"/>
      <c r="D1261"/>
    </row>
    <row r="1262" spans="1:4" x14ac:dyDescent="0.25">
      <c r="A1262"/>
      <c r="B1262"/>
      <c r="C1262"/>
      <c r="D1262"/>
    </row>
    <row r="1263" spans="1:4" x14ac:dyDescent="0.25">
      <c r="A1263"/>
      <c r="B1263"/>
      <c r="C1263"/>
      <c r="D1263"/>
    </row>
    <row r="1264" spans="1:4" x14ac:dyDescent="0.25">
      <c r="A1264"/>
      <c r="B1264"/>
      <c r="C1264"/>
      <c r="D1264"/>
    </row>
    <row r="1265" spans="1:4" x14ac:dyDescent="0.25">
      <c r="A1265"/>
      <c r="B1265"/>
      <c r="C1265"/>
      <c r="D1265"/>
    </row>
    <row r="1266" spans="1:4" x14ac:dyDescent="0.25">
      <c r="A1266"/>
      <c r="B1266"/>
      <c r="C1266"/>
      <c r="D1266"/>
    </row>
    <row r="1267" spans="1:4" x14ac:dyDescent="0.25">
      <c r="A1267"/>
      <c r="B1267"/>
      <c r="C1267"/>
      <c r="D1267"/>
    </row>
    <row r="1268" spans="1:4" x14ac:dyDescent="0.25">
      <c r="A1268"/>
      <c r="B1268"/>
      <c r="C1268"/>
      <c r="D1268"/>
    </row>
    <row r="1269" spans="1:4" x14ac:dyDescent="0.25">
      <c r="A1269"/>
      <c r="B1269"/>
      <c r="C1269"/>
      <c r="D1269"/>
    </row>
    <row r="1270" spans="1:4" x14ac:dyDescent="0.25">
      <c r="A1270"/>
      <c r="B1270"/>
      <c r="C1270"/>
      <c r="D1270"/>
    </row>
    <row r="1271" spans="1:4" x14ac:dyDescent="0.25">
      <c r="A1271"/>
      <c r="B1271"/>
      <c r="C1271"/>
      <c r="D1271"/>
    </row>
    <row r="1272" spans="1:4" x14ac:dyDescent="0.25">
      <c r="A1272"/>
      <c r="B1272"/>
      <c r="C1272"/>
      <c r="D1272"/>
    </row>
    <row r="1273" spans="1:4" x14ac:dyDescent="0.25">
      <c r="A1273"/>
      <c r="B1273"/>
      <c r="C1273"/>
      <c r="D1273"/>
    </row>
    <row r="1274" spans="1:4" x14ac:dyDescent="0.25">
      <c r="A1274"/>
      <c r="B1274"/>
      <c r="C1274"/>
      <c r="D1274"/>
    </row>
    <row r="1275" spans="1:4" x14ac:dyDescent="0.25">
      <c r="A1275"/>
      <c r="B1275"/>
      <c r="C1275"/>
      <c r="D1275"/>
    </row>
    <row r="1276" spans="1:4" x14ac:dyDescent="0.25">
      <c r="A1276"/>
      <c r="B1276"/>
      <c r="C1276"/>
      <c r="D1276"/>
    </row>
    <row r="1277" spans="1:4" x14ac:dyDescent="0.25">
      <c r="A1277"/>
      <c r="B1277"/>
      <c r="C1277"/>
      <c r="D1277"/>
    </row>
    <row r="1278" spans="1:4" x14ac:dyDescent="0.25">
      <c r="A1278"/>
      <c r="B1278"/>
      <c r="C1278"/>
      <c r="D1278"/>
    </row>
    <row r="1279" spans="1:4" x14ac:dyDescent="0.25">
      <c r="A1279"/>
      <c r="B1279"/>
      <c r="C1279"/>
      <c r="D1279"/>
    </row>
    <row r="1280" spans="1:4" x14ac:dyDescent="0.25">
      <c r="A1280"/>
      <c r="B1280"/>
      <c r="C1280"/>
      <c r="D1280"/>
    </row>
    <row r="1281" spans="1:4" x14ac:dyDescent="0.25">
      <c r="A1281"/>
      <c r="B1281"/>
      <c r="C1281"/>
      <c r="D1281"/>
    </row>
    <row r="1282" spans="1:4" x14ac:dyDescent="0.25">
      <c r="A1282"/>
      <c r="B1282"/>
      <c r="C1282"/>
      <c r="D1282"/>
    </row>
    <row r="1283" spans="1:4" x14ac:dyDescent="0.25">
      <c r="A1283"/>
      <c r="B1283"/>
      <c r="C1283"/>
      <c r="D1283"/>
    </row>
    <row r="1284" spans="1:4" x14ac:dyDescent="0.25">
      <c r="A1284"/>
      <c r="B1284"/>
      <c r="C1284"/>
      <c r="D1284"/>
    </row>
    <row r="1285" spans="1:4" x14ac:dyDescent="0.25">
      <c r="A1285"/>
      <c r="B1285"/>
      <c r="C1285"/>
      <c r="D1285"/>
    </row>
    <row r="1286" spans="1:4" x14ac:dyDescent="0.25">
      <c r="A1286"/>
      <c r="B1286"/>
      <c r="C1286"/>
      <c r="D1286"/>
    </row>
    <row r="1287" spans="1:4" x14ac:dyDescent="0.25">
      <c r="A1287"/>
      <c r="B1287"/>
      <c r="C1287"/>
      <c r="D1287"/>
    </row>
    <row r="1288" spans="1:4" x14ac:dyDescent="0.25">
      <c r="A1288"/>
      <c r="B1288"/>
      <c r="C1288"/>
      <c r="D1288"/>
    </row>
    <row r="1289" spans="1:4" x14ac:dyDescent="0.25">
      <c r="A1289"/>
      <c r="B1289"/>
      <c r="C1289"/>
      <c r="D1289"/>
    </row>
    <row r="1290" spans="1:4" x14ac:dyDescent="0.25">
      <c r="A1290"/>
      <c r="B1290"/>
      <c r="C1290"/>
      <c r="D1290"/>
    </row>
    <row r="1291" spans="1:4" x14ac:dyDescent="0.25">
      <c r="A1291"/>
      <c r="B1291"/>
      <c r="C1291"/>
      <c r="D1291"/>
    </row>
    <row r="1292" spans="1:4" x14ac:dyDescent="0.25">
      <c r="A1292"/>
      <c r="B1292"/>
      <c r="C1292"/>
      <c r="D1292"/>
    </row>
    <row r="1293" spans="1:4" x14ac:dyDescent="0.25">
      <c r="A1293"/>
      <c r="B1293"/>
      <c r="C1293"/>
      <c r="D1293"/>
    </row>
    <row r="1294" spans="1:4" x14ac:dyDescent="0.25">
      <c r="A1294"/>
      <c r="B1294"/>
      <c r="C1294"/>
      <c r="D1294"/>
    </row>
    <row r="1295" spans="1:4" x14ac:dyDescent="0.25">
      <c r="A1295"/>
      <c r="B1295"/>
      <c r="C1295"/>
      <c r="D1295"/>
    </row>
    <row r="1296" spans="1:4" x14ac:dyDescent="0.25">
      <c r="A1296"/>
      <c r="B1296"/>
      <c r="C1296"/>
      <c r="D1296"/>
    </row>
    <row r="1297" spans="1:4" x14ac:dyDescent="0.25">
      <c r="A1297"/>
      <c r="B1297"/>
      <c r="C1297"/>
      <c r="D1297"/>
    </row>
    <row r="1298" spans="1:4" x14ac:dyDescent="0.25">
      <c r="A1298"/>
      <c r="B1298"/>
      <c r="C1298"/>
      <c r="D1298"/>
    </row>
    <row r="1299" spans="1:4" x14ac:dyDescent="0.25">
      <c r="A1299"/>
      <c r="B1299"/>
      <c r="C1299"/>
      <c r="D1299"/>
    </row>
    <row r="1300" spans="1:4" x14ac:dyDescent="0.25">
      <c r="A1300"/>
      <c r="B1300"/>
      <c r="C1300"/>
      <c r="D1300"/>
    </row>
    <row r="1301" spans="1:4" x14ac:dyDescent="0.25">
      <c r="A1301"/>
      <c r="B1301"/>
      <c r="C1301"/>
      <c r="D1301"/>
    </row>
    <row r="1302" spans="1:4" x14ac:dyDescent="0.25">
      <c r="A1302"/>
      <c r="B1302"/>
      <c r="C1302"/>
      <c r="D1302"/>
    </row>
    <row r="1303" spans="1:4" x14ac:dyDescent="0.25">
      <c r="A1303"/>
      <c r="B1303"/>
      <c r="C1303"/>
      <c r="D1303"/>
    </row>
    <row r="1304" spans="1:4" x14ac:dyDescent="0.25">
      <c r="A1304"/>
      <c r="B1304"/>
      <c r="C1304"/>
      <c r="D1304"/>
    </row>
    <row r="1305" spans="1:4" x14ac:dyDescent="0.25">
      <c r="A1305"/>
      <c r="B1305"/>
      <c r="C1305"/>
      <c r="D1305"/>
    </row>
    <row r="1306" spans="1:4" x14ac:dyDescent="0.25">
      <c r="A1306"/>
      <c r="B1306"/>
      <c r="C1306"/>
      <c r="D1306"/>
    </row>
    <row r="1307" spans="1:4" x14ac:dyDescent="0.25">
      <c r="A1307"/>
      <c r="B1307"/>
      <c r="C1307"/>
      <c r="D1307"/>
    </row>
    <row r="1308" spans="1:4" x14ac:dyDescent="0.25">
      <c r="A1308"/>
      <c r="B1308"/>
      <c r="C1308"/>
      <c r="D1308"/>
    </row>
    <row r="1309" spans="1:4" x14ac:dyDescent="0.25">
      <c r="A1309"/>
      <c r="B1309"/>
      <c r="C1309"/>
      <c r="D1309"/>
    </row>
    <row r="1310" spans="1:4" x14ac:dyDescent="0.25">
      <c r="A1310"/>
      <c r="B1310"/>
      <c r="C1310"/>
      <c r="D1310"/>
    </row>
    <row r="1311" spans="1:4" x14ac:dyDescent="0.25">
      <c r="A1311"/>
      <c r="B1311"/>
      <c r="C1311"/>
      <c r="D1311"/>
    </row>
    <row r="1312" spans="1:4" x14ac:dyDescent="0.25">
      <c r="A1312"/>
      <c r="B1312"/>
      <c r="C1312"/>
      <c r="D1312"/>
    </row>
    <row r="1313" spans="1:4" x14ac:dyDescent="0.25">
      <c r="A1313"/>
      <c r="B1313"/>
      <c r="C1313"/>
      <c r="D1313"/>
    </row>
    <row r="1314" spans="1:4" x14ac:dyDescent="0.25">
      <c r="A1314"/>
      <c r="B1314"/>
      <c r="C1314"/>
      <c r="D1314"/>
    </row>
    <row r="1315" spans="1:4" x14ac:dyDescent="0.25">
      <c r="A1315"/>
      <c r="B1315"/>
      <c r="C1315"/>
      <c r="D1315"/>
    </row>
    <row r="1316" spans="1:4" x14ac:dyDescent="0.25">
      <c r="A1316"/>
      <c r="B1316"/>
      <c r="C1316"/>
      <c r="D1316"/>
    </row>
    <row r="1317" spans="1:4" x14ac:dyDescent="0.25">
      <c r="A1317"/>
      <c r="B1317"/>
      <c r="C1317"/>
      <c r="D1317"/>
    </row>
    <row r="1318" spans="1:4" x14ac:dyDescent="0.25">
      <c r="A1318"/>
      <c r="B1318"/>
      <c r="C1318"/>
      <c r="D1318"/>
    </row>
    <row r="1319" spans="1:4" x14ac:dyDescent="0.25">
      <c r="A1319"/>
      <c r="B1319"/>
      <c r="C1319"/>
      <c r="D1319"/>
    </row>
    <row r="1320" spans="1:4" x14ac:dyDescent="0.25">
      <c r="A1320"/>
      <c r="B1320"/>
      <c r="C1320"/>
      <c r="D1320"/>
    </row>
    <row r="1321" spans="1:4" x14ac:dyDescent="0.25">
      <c r="A1321"/>
      <c r="B1321"/>
      <c r="C1321"/>
      <c r="D1321"/>
    </row>
    <row r="1322" spans="1:4" x14ac:dyDescent="0.25">
      <c r="A1322"/>
      <c r="B1322"/>
      <c r="C1322"/>
      <c r="D1322"/>
    </row>
    <row r="1323" spans="1:4" x14ac:dyDescent="0.25">
      <c r="A1323"/>
      <c r="B1323"/>
      <c r="C1323"/>
      <c r="D1323"/>
    </row>
    <row r="1324" spans="1:4" x14ac:dyDescent="0.25">
      <c r="A1324"/>
      <c r="B1324"/>
      <c r="C1324"/>
      <c r="D1324"/>
    </row>
    <row r="1325" spans="1:4" x14ac:dyDescent="0.25">
      <c r="A1325"/>
      <c r="B1325"/>
      <c r="C1325"/>
      <c r="D1325"/>
    </row>
    <row r="1326" spans="1:4" x14ac:dyDescent="0.25">
      <c r="A1326"/>
      <c r="B1326"/>
      <c r="C1326"/>
      <c r="D1326"/>
    </row>
    <row r="1327" spans="1:4" x14ac:dyDescent="0.25">
      <c r="A1327"/>
      <c r="B1327"/>
      <c r="C1327"/>
      <c r="D1327"/>
    </row>
    <row r="1328" spans="1:4" x14ac:dyDescent="0.25">
      <c r="A1328"/>
      <c r="B1328"/>
      <c r="C1328"/>
      <c r="D1328"/>
    </row>
    <row r="1329" spans="1:4" x14ac:dyDescent="0.25">
      <c r="A1329"/>
      <c r="B1329"/>
      <c r="C1329"/>
      <c r="D1329"/>
    </row>
    <row r="1330" spans="1:4" x14ac:dyDescent="0.25">
      <c r="A1330"/>
      <c r="B1330"/>
      <c r="C1330"/>
      <c r="D1330"/>
    </row>
    <row r="1331" spans="1:4" x14ac:dyDescent="0.25">
      <c r="A1331"/>
      <c r="B1331"/>
      <c r="C1331"/>
      <c r="D1331"/>
    </row>
    <row r="1332" spans="1:4" x14ac:dyDescent="0.25">
      <c r="A1332"/>
      <c r="B1332"/>
      <c r="C1332"/>
      <c r="D1332"/>
    </row>
    <row r="1333" spans="1:4" x14ac:dyDescent="0.25">
      <c r="A1333"/>
      <c r="B1333"/>
      <c r="C1333"/>
      <c r="D1333"/>
    </row>
    <row r="1334" spans="1:4" x14ac:dyDescent="0.25">
      <c r="A1334"/>
      <c r="B1334"/>
      <c r="C1334"/>
      <c r="D1334"/>
    </row>
    <row r="1335" spans="1:4" x14ac:dyDescent="0.25">
      <c r="A1335"/>
      <c r="B1335"/>
      <c r="C1335"/>
      <c r="D1335"/>
    </row>
    <row r="1336" spans="1:4" x14ac:dyDescent="0.25">
      <c r="A1336"/>
      <c r="B1336"/>
      <c r="C1336"/>
      <c r="D1336"/>
    </row>
    <row r="1337" spans="1:4" x14ac:dyDescent="0.25">
      <c r="A1337"/>
      <c r="B1337"/>
      <c r="C1337"/>
      <c r="D1337"/>
    </row>
    <row r="1338" spans="1:4" x14ac:dyDescent="0.25">
      <c r="A1338"/>
      <c r="B1338"/>
      <c r="C1338"/>
      <c r="D1338"/>
    </row>
    <row r="1339" spans="1:4" x14ac:dyDescent="0.25">
      <c r="A1339"/>
      <c r="B1339"/>
      <c r="C1339"/>
      <c r="D1339"/>
    </row>
    <row r="1340" spans="1:4" x14ac:dyDescent="0.25">
      <c r="A1340"/>
      <c r="B1340"/>
      <c r="C1340"/>
      <c r="D1340"/>
    </row>
    <row r="1341" spans="1:4" x14ac:dyDescent="0.25">
      <c r="A1341"/>
      <c r="B1341"/>
      <c r="C1341"/>
      <c r="D1341"/>
    </row>
    <row r="1342" spans="1:4" x14ac:dyDescent="0.25">
      <c r="A1342"/>
      <c r="B1342"/>
      <c r="C1342"/>
      <c r="D1342"/>
    </row>
    <row r="1343" spans="1:4" x14ac:dyDescent="0.25">
      <c r="A1343"/>
      <c r="B1343"/>
      <c r="C1343"/>
      <c r="D1343"/>
    </row>
    <row r="1344" spans="1:4" x14ac:dyDescent="0.25">
      <c r="A1344"/>
      <c r="B1344"/>
      <c r="C1344"/>
      <c r="D1344"/>
    </row>
    <row r="1345" spans="1:4" x14ac:dyDescent="0.25">
      <c r="A1345"/>
      <c r="B1345"/>
      <c r="C1345"/>
      <c r="D1345"/>
    </row>
    <row r="1346" spans="1:4" x14ac:dyDescent="0.25">
      <c r="A1346"/>
      <c r="B1346"/>
      <c r="C1346"/>
      <c r="D1346"/>
    </row>
    <row r="1347" spans="1:4" x14ac:dyDescent="0.25">
      <c r="A1347"/>
      <c r="B1347"/>
      <c r="C1347"/>
      <c r="D1347"/>
    </row>
    <row r="1348" spans="1:4" x14ac:dyDescent="0.25">
      <c r="A1348"/>
      <c r="B1348"/>
      <c r="C1348"/>
      <c r="D1348"/>
    </row>
    <row r="1349" spans="1:4" x14ac:dyDescent="0.25">
      <c r="A1349"/>
      <c r="B1349"/>
      <c r="C1349"/>
      <c r="D1349"/>
    </row>
    <row r="1350" spans="1:4" x14ac:dyDescent="0.25">
      <c r="A1350"/>
      <c r="B1350"/>
      <c r="C1350"/>
      <c r="D1350"/>
    </row>
    <row r="1351" spans="1:4" x14ac:dyDescent="0.25">
      <c r="A1351"/>
      <c r="B1351"/>
      <c r="C1351"/>
      <c r="D1351"/>
    </row>
    <row r="1352" spans="1:4" x14ac:dyDescent="0.25">
      <c r="A1352"/>
      <c r="B1352"/>
      <c r="C1352"/>
      <c r="D1352"/>
    </row>
    <row r="1353" spans="1:4" x14ac:dyDescent="0.25">
      <c r="A1353"/>
      <c r="B1353"/>
      <c r="C1353"/>
      <c r="D1353"/>
    </row>
    <row r="1354" spans="1:4" x14ac:dyDescent="0.25">
      <c r="A1354"/>
      <c r="B1354"/>
      <c r="C1354"/>
      <c r="D1354"/>
    </row>
    <row r="1355" spans="1:4" x14ac:dyDescent="0.25">
      <c r="A1355"/>
      <c r="B1355"/>
      <c r="C1355"/>
      <c r="D1355"/>
    </row>
    <row r="1356" spans="1:4" x14ac:dyDescent="0.25">
      <c r="A1356"/>
      <c r="B1356"/>
      <c r="C1356"/>
      <c r="D1356"/>
    </row>
    <row r="1357" spans="1:4" x14ac:dyDescent="0.25">
      <c r="A1357"/>
      <c r="B1357"/>
      <c r="C1357"/>
      <c r="D1357"/>
    </row>
    <row r="1358" spans="1:4" x14ac:dyDescent="0.25">
      <c r="A1358"/>
      <c r="B1358"/>
      <c r="C1358"/>
      <c r="D1358"/>
    </row>
    <row r="1359" spans="1:4" x14ac:dyDescent="0.25">
      <c r="A1359"/>
      <c r="B1359"/>
      <c r="C1359"/>
      <c r="D1359"/>
    </row>
    <row r="1360" spans="1:4" x14ac:dyDescent="0.25">
      <c r="A1360"/>
      <c r="B1360"/>
      <c r="C1360"/>
      <c r="D1360"/>
    </row>
    <row r="1361" spans="1:4" x14ac:dyDescent="0.25">
      <c r="A1361"/>
      <c r="B1361"/>
      <c r="C1361"/>
      <c r="D1361"/>
    </row>
    <row r="1362" spans="1:4" x14ac:dyDescent="0.25">
      <c r="A1362"/>
      <c r="B1362"/>
      <c r="C1362"/>
      <c r="D1362"/>
    </row>
    <row r="1363" spans="1:4" x14ac:dyDescent="0.25">
      <c r="A1363"/>
      <c r="B1363"/>
      <c r="C1363"/>
      <c r="D1363"/>
    </row>
    <row r="1364" spans="1:4" x14ac:dyDescent="0.25">
      <c r="A1364"/>
      <c r="B1364"/>
      <c r="C1364"/>
      <c r="D1364"/>
    </row>
    <row r="1365" spans="1:4" x14ac:dyDescent="0.25">
      <c r="A1365"/>
      <c r="B1365"/>
      <c r="C1365"/>
      <c r="D1365"/>
    </row>
    <row r="1366" spans="1:4" x14ac:dyDescent="0.25">
      <c r="A1366"/>
      <c r="B1366"/>
      <c r="C1366"/>
      <c r="D1366"/>
    </row>
    <row r="1367" spans="1:4" x14ac:dyDescent="0.25">
      <c r="A1367"/>
      <c r="B1367"/>
      <c r="C1367"/>
      <c r="D1367"/>
    </row>
    <row r="1368" spans="1:4" x14ac:dyDescent="0.25">
      <c r="A1368"/>
      <c r="B1368"/>
      <c r="C1368"/>
      <c r="D1368"/>
    </row>
    <row r="1369" spans="1:4" x14ac:dyDescent="0.25">
      <c r="A1369"/>
      <c r="B1369"/>
      <c r="C1369"/>
      <c r="D1369"/>
    </row>
    <row r="1370" spans="1:4" x14ac:dyDescent="0.25">
      <c r="A1370"/>
      <c r="B1370"/>
      <c r="C1370"/>
      <c r="D1370"/>
    </row>
    <row r="1371" spans="1:4" x14ac:dyDescent="0.25">
      <c r="A1371"/>
      <c r="B1371"/>
      <c r="C1371"/>
      <c r="D1371"/>
    </row>
    <row r="1372" spans="1:4" x14ac:dyDescent="0.25">
      <c r="A1372"/>
      <c r="B1372"/>
      <c r="C1372"/>
      <c r="D1372"/>
    </row>
    <row r="1373" spans="1:4" x14ac:dyDescent="0.25">
      <c r="A1373"/>
      <c r="B1373"/>
      <c r="C1373"/>
      <c r="D1373"/>
    </row>
    <row r="1374" spans="1:4" x14ac:dyDescent="0.25">
      <c r="A1374"/>
      <c r="B1374"/>
      <c r="C1374"/>
      <c r="D1374"/>
    </row>
    <row r="1375" spans="1:4" x14ac:dyDescent="0.25">
      <c r="A1375"/>
      <c r="B1375"/>
      <c r="C1375"/>
      <c r="D1375"/>
    </row>
    <row r="1376" spans="1:4" x14ac:dyDescent="0.25">
      <c r="A1376"/>
      <c r="B1376"/>
      <c r="C1376"/>
      <c r="D1376"/>
    </row>
    <row r="1377" spans="1:4" x14ac:dyDescent="0.25">
      <c r="A1377"/>
      <c r="B1377"/>
      <c r="C1377"/>
      <c r="D1377"/>
    </row>
    <row r="1378" spans="1:4" x14ac:dyDescent="0.25">
      <c r="A1378"/>
      <c r="B1378"/>
      <c r="C1378"/>
      <c r="D1378"/>
    </row>
    <row r="1379" spans="1:4" x14ac:dyDescent="0.25">
      <c r="A1379"/>
      <c r="B1379"/>
      <c r="C1379"/>
      <c r="D1379"/>
    </row>
    <row r="1380" spans="1:4" x14ac:dyDescent="0.25">
      <c r="A1380"/>
      <c r="B1380"/>
      <c r="C1380"/>
      <c r="D1380"/>
    </row>
    <row r="1381" spans="1:4" x14ac:dyDescent="0.25">
      <c r="A1381"/>
      <c r="B1381"/>
      <c r="C1381"/>
      <c r="D1381"/>
    </row>
    <row r="1382" spans="1:4" x14ac:dyDescent="0.25">
      <c r="A1382"/>
      <c r="B1382"/>
      <c r="C1382"/>
      <c r="D1382"/>
    </row>
    <row r="1383" spans="1:4" x14ac:dyDescent="0.25">
      <c r="A1383"/>
      <c r="B1383"/>
      <c r="C1383"/>
      <c r="D1383"/>
    </row>
    <row r="1384" spans="1:4" x14ac:dyDescent="0.25">
      <c r="A1384"/>
      <c r="B1384"/>
      <c r="C1384"/>
      <c r="D1384"/>
    </row>
    <row r="1385" spans="1:4" x14ac:dyDescent="0.25">
      <c r="A1385"/>
      <c r="B1385"/>
      <c r="C1385"/>
      <c r="D1385"/>
    </row>
    <row r="1386" spans="1:4" x14ac:dyDescent="0.25">
      <c r="A1386"/>
      <c r="B1386"/>
      <c r="C1386"/>
      <c r="D1386"/>
    </row>
    <row r="1387" spans="1:4" x14ac:dyDescent="0.25">
      <c r="A1387"/>
      <c r="B1387"/>
      <c r="C1387"/>
      <c r="D1387"/>
    </row>
    <row r="1388" spans="1:4" x14ac:dyDescent="0.25">
      <c r="A1388"/>
      <c r="B1388"/>
      <c r="C1388"/>
      <c r="D1388"/>
    </row>
    <row r="1389" spans="1:4" x14ac:dyDescent="0.25">
      <c r="A1389"/>
      <c r="B1389"/>
      <c r="C1389"/>
      <c r="D1389"/>
    </row>
    <row r="1390" spans="1:4" x14ac:dyDescent="0.25">
      <c r="A1390"/>
      <c r="B1390"/>
      <c r="C1390"/>
      <c r="D1390"/>
    </row>
    <row r="1391" spans="1:4" x14ac:dyDescent="0.25">
      <c r="A1391"/>
      <c r="B1391"/>
      <c r="C1391"/>
      <c r="D1391"/>
    </row>
    <row r="1392" spans="1:4" x14ac:dyDescent="0.25">
      <c r="A1392"/>
      <c r="B1392"/>
      <c r="C1392"/>
      <c r="D1392"/>
    </row>
    <row r="1393" spans="1:4" x14ac:dyDescent="0.25">
      <c r="A1393"/>
      <c r="B1393"/>
      <c r="C1393"/>
      <c r="D1393"/>
    </row>
    <row r="1394" spans="1:4" x14ac:dyDescent="0.25">
      <c r="A1394"/>
      <c r="B1394"/>
      <c r="C1394"/>
      <c r="D1394"/>
    </row>
    <row r="1395" spans="1:4" x14ac:dyDescent="0.25">
      <c r="A1395"/>
      <c r="B1395"/>
      <c r="C1395"/>
      <c r="D1395"/>
    </row>
    <row r="1396" spans="1:4" x14ac:dyDescent="0.25">
      <c r="A1396"/>
      <c r="B1396"/>
      <c r="C1396"/>
      <c r="D1396"/>
    </row>
    <row r="1397" spans="1:4" x14ac:dyDescent="0.25">
      <c r="A1397"/>
      <c r="B1397"/>
      <c r="C1397"/>
      <c r="D1397"/>
    </row>
    <row r="1398" spans="1:4" x14ac:dyDescent="0.25">
      <c r="A1398"/>
      <c r="B1398"/>
      <c r="C1398"/>
      <c r="D1398"/>
    </row>
    <row r="1399" spans="1:4" x14ac:dyDescent="0.25">
      <c r="A1399"/>
      <c r="B1399"/>
      <c r="C1399"/>
      <c r="D1399"/>
    </row>
    <row r="1400" spans="1:4" x14ac:dyDescent="0.25">
      <c r="A1400"/>
      <c r="B1400"/>
      <c r="C1400"/>
      <c r="D1400"/>
    </row>
    <row r="1401" spans="1:4" x14ac:dyDescent="0.25">
      <c r="A1401"/>
      <c r="B1401"/>
      <c r="C1401"/>
      <c r="D1401"/>
    </row>
    <row r="1402" spans="1:4" x14ac:dyDescent="0.25">
      <c r="A1402"/>
      <c r="B1402"/>
      <c r="C1402"/>
      <c r="D1402"/>
    </row>
    <row r="1403" spans="1:4" x14ac:dyDescent="0.25">
      <c r="A1403"/>
      <c r="B1403"/>
      <c r="C1403"/>
      <c r="D1403"/>
    </row>
    <row r="1404" spans="1:4" x14ac:dyDescent="0.25">
      <c r="A1404"/>
      <c r="B1404"/>
      <c r="C1404"/>
      <c r="D1404"/>
    </row>
    <row r="1405" spans="1:4" x14ac:dyDescent="0.25">
      <c r="A1405"/>
      <c r="B1405"/>
      <c r="C1405"/>
      <c r="D1405"/>
    </row>
    <row r="1406" spans="1:4" x14ac:dyDescent="0.25">
      <c r="A1406"/>
      <c r="B1406"/>
      <c r="C1406"/>
      <c r="D1406"/>
    </row>
    <row r="1407" spans="1:4" x14ac:dyDescent="0.25">
      <c r="A1407"/>
      <c r="B1407"/>
      <c r="C1407"/>
      <c r="D1407"/>
    </row>
    <row r="1408" spans="1:4" x14ac:dyDescent="0.25">
      <c r="A1408"/>
      <c r="B1408"/>
      <c r="C1408"/>
      <c r="D1408"/>
    </row>
    <row r="1409" spans="1:4" x14ac:dyDescent="0.25">
      <c r="A1409"/>
      <c r="B1409"/>
      <c r="C1409"/>
      <c r="D1409"/>
    </row>
    <row r="1410" spans="1:4" x14ac:dyDescent="0.25">
      <c r="A1410"/>
      <c r="B1410"/>
      <c r="C1410"/>
      <c r="D1410"/>
    </row>
    <row r="1411" spans="1:4" x14ac:dyDescent="0.25">
      <c r="A1411"/>
      <c r="B1411"/>
      <c r="C1411"/>
      <c r="D1411"/>
    </row>
    <row r="1412" spans="1:4" x14ac:dyDescent="0.25">
      <c r="A1412"/>
      <c r="B1412"/>
      <c r="C1412"/>
      <c r="D1412"/>
    </row>
    <row r="1413" spans="1:4" x14ac:dyDescent="0.25">
      <c r="A1413"/>
      <c r="B1413"/>
      <c r="C1413"/>
      <c r="D1413"/>
    </row>
    <row r="1414" spans="1:4" x14ac:dyDescent="0.25">
      <c r="A1414"/>
      <c r="B1414"/>
      <c r="C1414"/>
      <c r="D1414"/>
    </row>
    <row r="1415" spans="1:4" x14ac:dyDescent="0.25">
      <c r="A1415"/>
      <c r="B1415"/>
      <c r="C1415"/>
      <c r="D1415"/>
    </row>
    <row r="1416" spans="1:4" x14ac:dyDescent="0.25">
      <c r="A1416"/>
      <c r="B1416"/>
      <c r="C1416"/>
      <c r="D1416"/>
    </row>
    <row r="1417" spans="1:4" x14ac:dyDescent="0.25">
      <c r="A1417"/>
      <c r="B1417"/>
      <c r="C1417"/>
      <c r="D1417"/>
    </row>
    <row r="1418" spans="1:4" x14ac:dyDescent="0.25">
      <c r="A1418"/>
      <c r="B1418"/>
      <c r="C1418"/>
      <c r="D1418"/>
    </row>
    <row r="1419" spans="1:4" x14ac:dyDescent="0.25">
      <c r="A1419"/>
      <c r="B1419"/>
      <c r="C1419"/>
      <c r="D1419"/>
    </row>
    <row r="1420" spans="1:4" x14ac:dyDescent="0.25">
      <c r="A1420"/>
      <c r="B1420"/>
      <c r="C1420"/>
      <c r="D1420"/>
    </row>
    <row r="1421" spans="1:4" x14ac:dyDescent="0.25">
      <c r="A1421"/>
      <c r="B1421"/>
      <c r="C1421"/>
      <c r="D1421"/>
    </row>
    <row r="1422" spans="1:4" x14ac:dyDescent="0.25">
      <c r="A1422"/>
      <c r="B1422"/>
      <c r="C1422"/>
      <c r="D1422"/>
    </row>
    <row r="1423" spans="1:4" x14ac:dyDescent="0.25">
      <c r="A1423"/>
      <c r="B1423"/>
      <c r="C1423"/>
      <c r="D1423"/>
    </row>
    <row r="1424" spans="1:4" x14ac:dyDescent="0.25">
      <c r="A1424"/>
      <c r="B1424"/>
      <c r="C1424"/>
      <c r="D1424"/>
    </row>
    <row r="1425" spans="1:4" x14ac:dyDescent="0.25">
      <c r="A1425"/>
      <c r="B1425"/>
      <c r="C1425"/>
      <c r="D1425"/>
    </row>
    <row r="1426" spans="1:4" x14ac:dyDescent="0.25">
      <c r="A1426"/>
      <c r="B1426"/>
      <c r="C1426"/>
      <c r="D1426"/>
    </row>
    <row r="1427" spans="1:4" x14ac:dyDescent="0.25">
      <c r="A1427"/>
      <c r="B1427"/>
      <c r="C1427"/>
      <c r="D1427"/>
    </row>
    <row r="1428" spans="1:4" x14ac:dyDescent="0.25">
      <c r="A1428"/>
      <c r="B1428"/>
      <c r="C1428"/>
      <c r="D1428"/>
    </row>
    <row r="1429" spans="1:4" x14ac:dyDescent="0.25">
      <c r="A1429"/>
      <c r="B1429"/>
      <c r="C1429"/>
      <c r="D1429"/>
    </row>
    <row r="1430" spans="1:4" x14ac:dyDescent="0.25">
      <c r="A1430"/>
      <c r="B1430"/>
      <c r="C1430"/>
      <c r="D1430"/>
    </row>
    <row r="1431" spans="1:4" x14ac:dyDescent="0.25">
      <c r="A1431"/>
      <c r="B1431"/>
      <c r="C1431"/>
      <c r="D1431"/>
    </row>
    <row r="1432" spans="1:4" x14ac:dyDescent="0.25">
      <c r="A1432"/>
      <c r="B1432"/>
      <c r="C1432"/>
      <c r="D1432"/>
    </row>
    <row r="1433" spans="1:4" x14ac:dyDescent="0.25">
      <c r="A1433"/>
      <c r="B1433"/>
      <c r="C1433"/>
      <c r="D1433"/>
    </row>
    <row r="1434" spans="1:4" x14ac:dyDescent="0.25">
      <c r="A1434"/>
      <c r="B1434"/>
      <c r="C1434"/>
      <c r="D1434"/>
    </row>
    <row r="1435" spans="1:4" x14ac:dyDescent="0.25">
      <c r="A1435"/>
      <c r="B1435"/>
      <c r="C1435"/>
      <c r="D1435"/>
    </row>
    <row r="1436" spans="1:4" x14ac:dyDescent="0.25">
      <c r="A1436"/>
      <c r="B1436"/>
      <c r="C1436"/>
      <c r="D1436"/>
    </row>
    <row r="1437" spans="1:4" x14ac:dyDescent="0.25">
      <c r="A1437"/>
      <c r="B1437"/>
      <c r="C1437"/>
      <c r="D1437"/>
    </row>
    <row r="1438" spans="1:4" x14ac:dyDescent="0.25">
      <c r="A1438"/>
      <c r="B1438"/>
      <c r="C1438"/>
      <c r="D1438"/>
    </row>
    <row r="1439" spans="1:4" x14ac:dyDescent="0.25">
      <c r="A1439"/>
      <c r="B1439"/>
      <c r="C1439"/>
      <c r="D1439"/>
    </row>
    <row r="1440" spans="1:4" x14ac:dyDescent="0.25">
      <c r="A1440"/>
      <c r="B1440"/>
      <c r="C1440"/>
      <c r="D1440"/>
    </row>
    <row r="1441" spans="1:4" x14ac:dyDescent="0.25">
      <c r="A1441"/>
      <c r="B1441"/>
      <c r="C1441"/>
      <c r="D1441"/>
    </row>
    <row r="1442" spans="1:4" x14ac:dyDescent="0.25">
      <c r="A1442"/>
      <c r="B1442"/>
      <c r="C1442"/>
      <c r="D1442"/>
    </row>
    <row r="1443" spans="1:4" x14ac:dyDescent="0.25">
      <c r="A1443"/>
      <c r="B1443"/>
      <c r="C1443"/>
      <c r="D1443"/>
    </row>
    <row r="1444" spans="1:4" x14ac:dyDescent="0.25">
      <c r="A1444"/>
      <c r="B1444"/>
      <c r="C1444"/>
      <c r="D1444"/>
    </row>
    <row r="1445" spans="1:4" x14ac:dyDescent="0.25">
      <c r="A1445"/>
      <c r="B1445"/>
      <c r="C1445"/>
      <c r="D1445"/>
    </row>
    <row r="1446" spans="1:4" x14ac:dyDescent="0.25">
      <c r="A1446"/>
      <c r="B1446"/>
      <c r="C1446"/>
      <c r="D1446"/>
    </row>
    <row r="1447" spans="1:4" x14ac:dyDescent="0.25">
      <c r="A1447"/>
      <c r="B1447"/>
      <c r="C1447"/>
      <c r="D1447"/>
    </row>
    <row r="1448" spans="1:4" x14ac:dyDescent="0.25">
      <c r="A1448"/>
      <c r="B1448"/>
      <c r="C1448"/>
      <c r="D1448"/>
    </row>
    <row r="1449" spans="1:4" x14ac:dyDescent="0.25">
      <c r="A1449"/>
      <c r="B1449"/>
      <c r="C1449"/>
      <c r="D1449"/>
    </row>
    <row r="1450" spans="1:4" x14ac:dyDescent="0.25">
      <c r="A1450"/>
      <c r="B1450"/>
      <c r="C1450"/>
      <c r="D1450"/>
    </row>
    <row r="1451" spans="1:4" x14ac:dyDescent="0.25">
      <c r="A1451"/>
      <c r="B1451"/>
      <c r="C1451"/>
      <c r="D1451"/>
    </row>
    <row r="1452" spans="1:4" x14ac:dyDescent="0.25">
      <c r="A1452"/>
      <c r="B1452"/>
      <c r="C1452"/>
      <c r="D1452"/>
    </row>
    <row r="1453" spans="1:4" x14ac:dyDescent="0.25">
      <c r="A1453"/>
      <c r="B1453"/>
      <c r="C1453"/>
      <c r="D1453"/>
    </row>
    <row r="1454" spans="1:4" x14ac:dyDescent="0.25">
      <c r="A1454"/>
      <c r="B1454"/>
      <c r="C1454"/>
      <c r="D1454"/>
    </row>
    <row r="1455" spans="1:4" x14ac:dyDescent="0.25">
      <c r="A1455"/>
      <c r="B1455"/>
      <c r="C1455"/>
      <c r="D1455"/>
    </row>
    <row r="1456" spans="1:4" x14ac:dyDescent="0.25">
      <c r="A1456"/>
      <c r="B1456"/>
      <c r="C1456"/>
      <c r="D1456"/>
    </row>
    <row r="1457" spans="1:4" x14ac:dyDescent="0.25">
      <c r="A1457"/>
      <c r="B1457"/>
      <c r="C1457"/>
      <c r="D1457"/>
    </row>
    <row r="1458" spans="1:4" x14ac:dyDescent="0.25">
      <c r="A1458"/>
      <c r="B1458"/>
      <c r="C1458"/>
      <c r="D1458"/>
    </row>
    <row r="1459" spans="1:4" x14ac:dyDescent="0.25">
      <c r="A1459"/>
      <c r="B1459"/>
      <c r="C1459"/>
      <c r="D1459"/>
    </row>
    <row r="1460" spans="1:4" x14ac:dyDescent="0.25">
      <c r="A1460"/>
      <c r="B1460"/>
      <c r="C1460"/>
      <c r="D1460"/>
    </row>
    <row r="1461" spans="1:4" x14ac:dyDescent="0.25">
      <c r="A1461"/>
      <c r="B1461"/>
      <c r="C1461"/>
      <c r="D1461"/>
    </row>
    <row r="1462" spans="1:4" x14ac:dyDescent="0.25">
      <c r="A1462"/>
      <c r="B1462"/>
      <c r="C1462"/>
      <c r="D1462"/>
    </row>
    <row r="1463" spans="1:4" x14ac:dyDescent="0.25">
      <c r="A1463"/>
      <c r="B1463"/>
      <c r="C1463"/>
      <c r="D1463"/>
    </row>
    <row r="1464" spans="1:4" x14ac:dyDescent="0.25">
      <c r="A1464"/>
      <c r="B1464"/>
      <c r="C1464"/>
      <c r="D1464"/>
    </row>
    <row r="1465" spans="1:4" x14ac:dyDescent="0.25">
      <c r="A1465"/>
      <c r="B1465"/>
      <c r="C1465"/>
      <c r="D1465"/>
    </row>
    <row r="1466" spans="1:4" x14ac:dyDescent="0.25">
      <c r="A1466"/>
      <c r="B1466"/>
      <c r="C1466"/>
      <c r="D1466"/>
    </row>
    <row r="1467" spans="1:4" x14ac:dyDescent="0.25">
      <c r="A1467"/>
      <c r="B1467"/>
      <c r="C1467"/>
      <c r="D1467"/>
    </row>
    <row r="1468" spans="1:4" x14ac:dyDescent="0.25">
      <c r="A1468"/>
      <c r="B1468"/>
      <c r="C1468"/>
      <c r="D1468"/>
    </row>
    <row r="1469" spans="1:4" x14ac:dyDescent="0.25">
      <c r="A1469"/>
      <c r="B1469"/>
      <c r="C1469"/>
      <c r="D1469"/>
    </row>
    <row r="1470" spans="1:4" x14ac:dyDescent="0.25">
      <c r="A1470"/>
      <c r="B1470"/>
      <c r="C1470"/>
      <c r="D1470"/>
    </row>
    <row r="1471" spans="1:4" x14ac:dyDescent="0.25">
      <c r="A1471"/>
      <c r="B1471"/>
      <c r="C1471"/>
      <c r="D1471"/>
    </row>
    <row r="1472" spans="1:4" x14ac:dyDescent="0.25">
      <c r="A1472"/>
      <c r="B1472"/>
      <c r="C1472"/>
      <c r="D1472"/>
    </row>
    <row r="1473" spans="1:4" x14ac:dyDescent="0.25">
      <c r="A1473"/>
      <c r="B1473"/>
      <c r="C1473"/>
      <c r="D1473"/>
    </row>
    <row r="1474" spans="1:4" x14ac:dyDescent="0.25">
      <c r="A1474"/>
      <c r="B1474"/>
      <c r="C1474"/>
      <c r="D1474"/>
    </row>
    <row r="1475" spans="1:4" x14ac:dyDescent="0.25">
      <c r="A1475"/>
      <c r="B1475"/>
      <c r="C1475"/>
      <c r="D1475"/>
    </row>
    <row r="1476" spans="1:4" x14ac:dyDescent="0.25">
      <c r="A1476"/>
      <c r="B1476"/>
      <c r="C1476"/>
      <c r="D1476"/>
    </row>
    <row r="1477" spans="1:4" x14ac:dyDescent="0.25">
      <c r="A1477"/>
      <c r="B1477"/>
      <c r="C1477"/>
      <c r="D1477"/>
    </row>
    <row r="1478" spans="1:4" x14ac:dyDescent="0.25">
      <c r="A1478"/>
      <c r="B1478"/>
      <c r="C1478"/>
      <c r="D1478"/>
    </row>
    <row r="1479" spans="1:4" x14ac:dyDescent="0.25">
      <c r="A1479"/>
      <c r="B1479"/>
      <c r="C1479"/>
      <c r="D1479"/>
    </row>
    <row r="1480" spans="1:4" x14ac:dyDescent="0.25">
      <c r="A1480"/>
      <c r="B1480"/>
      <c r="C1480"/>
      <c r="D1480"/>
    </row>
    <row r="1481" spans="1:4" x14ac:dyDescent="0.25">
      <c r="A1481"/>
      <c r="B1481"/>
      <c r="C1481"/>
      <c r="D1481"/>
    </row>
    <row r="1482" spans="1:4" x14ac:dyDescent="0.25">
      <c r="A1482"/>
      <c r="B1482"/>
      <c r="C1482"/>
      <c r="D1482"/>
    </row>
    <row r="1483" spans="1:4" x14ac:dyDescent="0.25">
      <c r="A1483"/>
      <c r="B1483"/>
      <c r="C1483"/>
      <c r="D1483"/>
    </row>
    <row r="1484" spans="1:4" x14ac:dyDescent="0.25">
      <c r="A1484"/>
      <c r="B1484"/>
      <c r="C1484"/>
      <c r="D1484"/>
    </row>
    <row r="1485" spans="1:4" x14ac:dyDescent="0.25">
      <c r="A1485"/>
      <c r="B1485"/>
      <c r="C1485"/>
      <c r="D1485"/>
    </row>
    <row r="1486" spans="1:4" x14ac:dyDescent="0.25">
      <c r="A1486"/>
      <c r="B1486"/>
      <c r="C1486"/>
      <c r="D1486"/>
    </row>
    <row r="1487" spans="1:4" x14ac:dyDescent="0.25">
      <c r="A1487"/>
      <c r="B1487"/>
      <c r="C1487"/>
      <c r="D1487"/>
    </row>
    <row r="1488" spans="1:4" x14ac:dyDescent="0.25">
      <c r="A1488"/>
      <c r="B1488"/>
      <c r="C1488"/>
      <c r="D1488"/>
    </row>
    <row r="1489" spans="1:4" x14ac:dyDescent="0.25">
      <c r="A1489"/>
      <c r="B1489"/>
      <c r="C1489"/>
      <c r="D1489"/>
    </row>
    <row r="1490" spans="1:4" x14ac:dyDescent="0.25">
      <c r="A1490"/>
      <c r="B1490"/>
      <c r="C1490"/>
      <c r="D1490"/>
    </row>
    <row r="1491" spans="1:4" x14ac:dyDescent="0.25">
      <c r="A1491"/>
      <c r="B1491"/>
      <c r="C1491"/>
      <c r="D1491"/>
    </row>
    <row r="1492" spans="1:4" x14ac:dyDescent="0.25">
      <c r="A1492"/>
      <c r="B1492"/>
      <c r="C1492"/>
      <c r="D1492"/>
    </row>
    <row r="1493" spans="1:4" x14ac:dyDescent="0.25">
      <c r="A1493"/>
      <c r="B1493"/>
      <c r="C1493"/>
      <c r="D1493"/>
    </row>
    <row r="1494" spans="1:4" x14ac:dyDescent="0.25">
      <c r="A1494"/>
      <c r="B1494"/>
      <c r="C1494"/>
      <c r="D1494"/>
    </row>
    <row r="1495" spans="1:4" x14ac:dyDescent="0.25">
      <c r="A1495"/>
      <c r="B1495"/>
      <c r="C1495"/>
      <c r="D1495"/>
    </row>
    <row r="1496" spans="1:4" x14ac:dyDescent="0.25">
      <c r="A1496"/>
      <c r="B1496"/>
      <c r="C1496"/>
      <c r="D1496"/>
    </row>
    <row r="1497" spans="1:4" x14ac:dyDescent="0.25">
      <c r="A1497"/>
      <c r="B1497"/>
      <c r="C1497"/>
      <c r="D1497"/>
    </row>
    <row r="1498" spans="1:4" x14ac:dyDescent="0.25">
      <c r="A1498"/>
      <c r="B1498"/>
      <c r="C1498"/>
      <c r="D1498"/>
    </row>
    <row r="1499" spans="1:4" x14ac:dyDescent="0.25">
      <c r="A1499"/>
      <c r="B1499"/>
      <c r="C1499"/>
      <c r="D1499"/>
    </row>
    <row r="1500" spans="1:4" x14ac:dyDescent="0.25">
      <c r="A1500"/>
      <c r="B1500"/>
      <c r="C1500"/>
      <c r="D1500"/>
    </row>
    <row r="1501" spans="1:4" x14ac:dyDescent="0.25">
      <c r="A1501"/>
      <c r="B1501"/>
      <c r="C1501"/>
      <c r="D1501"/>
    </row>
    <row r="1502" spans="1:4" x14ac:dyDescent="0.25">
      <c r="A1502"/>
      <c r="B1502"/>
      <c r="C1502"/>
      <c r="D1502"/>
    </row>
    <row r="1503" spans="1:4" x14ac:dyDescent="0.25">
      <c r="A1503"/>
      <c r="B1503"/>
      <c r="C1503"/>
      <c r="D1503"/>
    </row>
    <row r="1504" spans="1:4" x14ac:dyDescent="0.25">
      <c r="A1504"/>
      <c r="B1504"/>
      <c r="C1504"/>
      <c r="D1504"/>
    </row>
    <row r="1505" spans="1:4" x14ac:dyDescent="0.25">
      <c r="A1505"/>
      <c r="B1505"/>
      <c r="C1505"/>
      <c r="D1505"/>
    </row>
    <row r="1506" spans="1:4" x14ac:dyDescent="0.25">
      <c r="A1506"/>
      <c r="B1506"/>
      <c r="C1506"/>
      <c r="D1506"/>
    </row>
    <row r="1507" spans="1:4" x14ac:dyDescent="0.25">
      <c r="A1507"/>
      <c r="B1507"/>
      <c r="C1507"/>
      <c r="D1507"/>
    </row>
    <row r="1508" spans="1:4" x14ac:dyDescent="0.25">
      <c r="A1508"/>
      <c r="B1508"/>
      <c r="C1508"/>
      <c r="D1508"/>
    </row>
    <row r="1509" spans="1:4" x14ac:dyDescent="0.25">
      <c r="A1509"/>
      <c r="B1509"/>
      <c r="C1509"/>
      <c r="D1509"/>
    </row>
    <row r="1510" spans="1:4" x14ac:dyDescent="0.25">
      <c r="A1510"/>
      <c r="B1510"/>
      <c r="C1510"/>
      <c r="D1510"/>
    </row>
    <row r="1511" spans="1:4" x14ac:dyDescent="0.25">
      <c r="A1511"/>
      <c r="B1511"/>
      <c r="C1511"/>
      <c r="D1511"/>
    </row>
    <row r="1512" spans="1:4" x14ac:dyDescent="0.25">
      <c r="A1512"/>
      <c r="B1512"/>
      <c r="C1512"/>
      <c r="D1512"/>
    </row>
    <row r="1513" spans="1:4" x14ac:dyDescent="0.25">
      <c r="A1513"/>
      <c r="B1513"/>
      <c r="C1513"/>
      <c r="D1513"/>
    </row>
    <row r="1514" spans="1:4" x14ac:dyDescent="0.25">
      <c r="A1514"/>
      <c r="B1514"/>
      <c r="C1514"/>
      <c r="D1514"/>
    </row>
    <row r="1515" spans="1:4" x14ac:dyDescent="0.25">
      <c r="A1515"/>
      <c r="B1515"/>
      <c r="C1515"/>
      <c r="D1515"/>
    </row>
    <row r="1516" spans="1:4" x14ac:dyDescent="0.25">
      <c r="A1516"/>
      <c r="B1516"/>
      <c r="C1516"/>
      <c r="D1516"/>
    </row>
    <row r="1517" spans="1:4" x14ac:dyDescent="0.25">
      <c r="A1517"/>
      <c r="B1517"/>
      <c r="C1517"/>
      <c r="D1517"/>
    </row>
    <row r="1518" spans="1:4" x14ac:dyDescent="0.25">
      <c r="A1518"/>
      <c r="B1518"/>
      <c r="C1518"/>
      <c r="D1518"/>
    </row>
    <row r="1519" spans="1:4" x14ac:dyDescent="0.25">
      <c r="A1519"/>
      <c r="B1519"/>
      <c r="C1519"/>
      <c r="D1519"/>
    </row>
    <row r="1520" spans="1:4" x14ac:dyDescent="0.25">
      <c r="A1520"/>
      <c r="B1520"/>
      <c r="C1520"/>
      <c r="D1520"/>
    </row>
    <row r="1521" spans="1:4" x14ac:dyDescent="0.25">
      <c r="A1521"/>
      <c r="B1521"/>
      <c r="C1521"/>
      <c r="D1521"/>
    </row>
    <row r="1522" spans="1:4" x14ac:dyDescent="0.25">
      <c r="A1522"/>
      <c r="B1522"/>
      <c r="C1522"/>
      <c r="D1522"/>
    </row>
    <row r="1523" spans="1:4" x14ac:dyDescent="0.25">
      <c r="A1523"/>
      <c r="B1523"/>
      <c r="C1523"/>
      <c r="D1523"/>
    </row>
    <row r="1524" spans="1:4" x14ac:dyDescent="0.25">
      <c r="A1524"/>
      <c r="B1524"/>
      <c r="C1524"/>
      <c r="D1524"/>
    </row>
    <row r="1525" spans="1:4" x14ac:dyDescent="0.25">
      <c r="A1525"/>
      <c r="B1525"/>
      <c r="C1525"/>
      <c r="D1525"/>
    </row>
    <row r="1526" spans="1:4" x14ac:dyDescent="0.25">
      <c r="A1526"/>
      <c r="B1526"/>
      <c r="C1526"/>
      <c r="D1526"/>
    </row>
    <row r="1527" spans="1:4" x14ac:dyDescent="0.25">
      <c r="A1527"/>
      <c r="B1527"/>
      <c r="C1527"/>
      <c r="D1527"/>
    </row>
    <row r="1528" spans="1:4" x14ac:dyDescent="0.25">
      <c r="A1528"/>
      <c r="B1528"/>
      <c r="C1528"/>
      <c r="D1528"/>
    </row>
    <row r="1529" spans="1:4" x14ac:dyDescent="0.25">
      <c r="A1529"/>
      <c r="B1529"/>
      <c r="C1529"/>
      <c r="D1529"/>
    </row>
    <row r="1530" spans="1:4" x14ac:dyDescent="0.25">
      <c r="A1530"/>
      <c r="B1530"/>
      <c r="C1530"/>
      <c r="D1530"/>
    </row>
    <row r="1531" spans="1:4" x14ac:dyDescent="0.25">
      <c r="A1531"/>
      <c r="B1531"/>
      <c r="C1531"/>
      <c r="D1531"/>
    </row>
    <row r="1532" spans="1:4" x14ac:dyDescent="0.25">
      <c r="A1532"/>
      <c r="B1532"/>
      <c r="C1532"/>
      <c r="D1532"/>
    </row>
    <row r="1533" spans="1:4" x14ac:dyDescent="0.25">
      <c r="A1533"/>
      <c r="B1533"/>
      <c r="C1533"/>
      <c r="D1533"/>
    </row>
    <row r="1534" spans="1:4" x14ac:dyDescent="0.25">
      <c r="A1534"/>
      <c r="B1534"/>
      <c r="C1534"/>
      <c r="D1534"/>
    </row>
    <row r="1535" spans="1:4" x14ac:dyDescent="0.25">
      <c r="A1535"/>
      <c r="B1535"/>
      <c r="C1535"/>
      <c r="D1535"/>
    </row>
    <row r="1536" spans="1:4" x14ac:dyDescent="0.25">
      <c r="A1536"/>
      <c r="B1536"/>
      <c r="C1536"/>
      <c r="D1536"/>
    </row>
    <row r="1537" spans="1:4" x14ac:dyDescent="0.25">
      <c r="A1537"/>
      <c r="B1537"/>
      <c r="C1537"/>
      <c r="D1537"/>
    </row>
    <row r="1538" spans="1:4" x14ac:dyDescent="0.25">
      <c r="A1538"/>
      <c r="B1538"/>
      <c r="C1538"/>
      <c r="D1538"/>
    </row>
    <row r="1539" spans="1:4" x14ac:dyDescent="0.25">
      <c r="A1539"/>
      <c r="B1539"/>
      <c r="C1539"/>
      <c r="D1539"/>
    </row>
    <row r="1540" spans="1:4" x14ac:dyDescent="0.25">
      <c r="A1540"/>
      <c r="B1540"/>
      <c r="C1540"/>
      <c r="D1540"/>
    </row>
    <row r="1541" spans="1:4" x14ac:dyDescent="0.25">
      <c r="A1541"/>
      <c r="B1541"/>
      <c r="C1541"/>
      <c r="D1541"/>
    </row>
    <row r="1542" spans="1:4" x14ac:dyDescent="0.25">
      <c r="A1542"/>
      <c r="B1542"/>
      <c r="C1542"/>
      <c r="D1542"/>
    </row>
    <row r="1543" spans="1:4" x14ac:dyDescent="0.25">
      <c r="A1543"/>
      <c r="B1543"/>
      <c r="C1543"/>
      <c r="D1543"/>
    </row>
    <row r="1544" spans="1:4" x14ac:dyDescent="0.25">
      <c r="A1544"/>
      <c r="B1544"/>
      <c r="C1544"/>
      <c r="D1544"/>
    </row>
    <row r="1545" spans="1:4" x14ac:dyDescent="0.25">
      <c r="A1545"/>
      <c r="B1545"/>
      <c r="C1545"/>
      <c r="D1545"/>
    </row>
    <row r="1546" spans="1:4" x14ac:dyDescent="0.25">
      <c r="A1546"/>
      <c r="B1546"/>
      <c r="C1546"/>
      <c r="D1546"/>
    </row>
    <row r="1547" spans="1:4" x14ac:dyDescent="0.25">
      <c r="A1547"/>
      <c r="B1547"/>
      <c r="C1547"/>
      <c r="D1547"/>
    </row>
    <row r="1548" spans="1:4" x14ac:dyDescent="0.25">
      <c r="A1548"/>
      <c r="B1548"/>
      <c r="C1548"/>
      <c r="D1548"/>
    </row>
    <row r="1549" spans="1:4" x14ac:dyDescent="0.25">
      <c r="A1549"/>
      <c r="B1549"/>
      <c r="C1549"/>
      <c r="D1549"/>
    </row>
    <row r="1550" spans="1:4" x14ac:dyDescent="0.25">
      <c r="A1550"/>
      <c r="B1550"/>
      <c r="C1550"/>
      <c r="D1550"/>
    </row>
    <row r="1551" spans="1:4" x14ac:dyDescent="0.25">
      <c r="A1551"/>
      <c r="B1551"/>
      <c r="C1551"/>
      <c r="D1551"/>
    </row>
    <row r="1552" spans="1:4" x14ac:dyDescent="0.25">
      <c r="A1552"/>
      <c r="B1552"/>
      <c r="C1552"/>
      <c r="D1552"/>
    </row>
    <row r="1553" spans="1:4" x14ac:dyDescent="0.25">
      <c r="A1553"/>
      <c r="B1553"/>
      <c r="C1553"/>
      <c r="D1553"/>
    </row>
    <row r="1554" spans="1:4" x14ac:dyDescent="0.25">
      <c r="A1554"/>
      <c r="B1554"/>
      <c r="C1554"/>
      <c r="D1554"/>
    </row>
    <row r="1555" spans="1:4" x14ac:dyDescent="0.25">
      <c r="A1555"/>
      <c r="B1555"/>
      <c r="C1555"/>
      <c r="D1555"/>
    </row>
    <row r="1556" spans="1:4" x14ac:dyDescent="0.25">
      <c r="A1556"/>
      <c r="B1556"/>
      <c r="C1556"/>
      <c r="D1556"/>
    </row>
    <row r="1557" spans="1:4" x14ac:dyDescent="0.25">
      <c r="A1557"/>
      <c r="B1557"/>
      <c r="C1557"/>
      <c r="D1557"/>
    </row>
    <row r="1558" spans="1:4" x14ac:dyDescent="0.25">
      <c r="A1558"/>
      <c r="B1558"/>
      <c r="C1558"/>
      <c r="D1558"/>
    </row>
    <row r="1559" spans="1:4" x14ac:dyDescent="0.25">
      <c r="A1559"/>
      <c r="B1559"/>
      <c r="C1559"/>
      <c r="D1559"/>
    </row>
    <row r="1560" spans="1:4" x14ac:dyDescent="0.25">
      <c r="A1560"/>
      <c r="B1560"/>
      <c r="C1560"/>
      <c r="D1560"/>
    </row>
    <row r="1561" spans="1:4" x14ac:dyDescent="0.25">
      <c r="A1561"/>
      <c r="B1561"/>
      <c r="C1561"/>
      <c r="D1561"/>
    </row>
    <row r="1562" spans="1:4" x14ac:dyDescent="0.25">
      <c r="A1562"/>
      <c r="B1562"/>
      <c r="C1562"/>
      <c r="D1562"/>
    </row>
    <row r="1563" spans="1:4" x14ac:dyDescent="0.25">
      <c r="A1563"/>
      <c r="B1563"/>
      <c r="C1563"/>
      <c r="D1563"/>
    </row>
    <row r="1564" spans="1:4" x14ac:dyDescent="0.25">
      <c r="A1564"/>
      <c r="B1564"/>
      <c r="C1564"/>
      <c r="D1564"/>
    </row>
    <row r="1565" spans="1:4" x14ac:dyDescent="0.25">
      <c r="A1565"/>
      <c r="B1565"/>
      <c r="C1565"/>
      <c r="D1565"/>
    </row>
    <row r="1566" spans="1:4" x14ac:dyDescent="0.25">
      <c r="A1566"/>
      <c r="B1566"/>
      <c r="C1566"/>
      <c r="D1566"/>
    </row>
    <row r="1567" spans="1:4" x14ac:dyDescent="0.25">
      <c r="A1567"/>
      <c r="B1567"/>
      <c r="C1567"/>
      <c r="D1567"/>
    </row>
    <row r="1568" spans="1:4" x14ac:dyDescent="0.25">
      <c r="A1568"/>
      <c r="B1568"/>
      <c r="C1568"/>
      <c r="D1568"/>
    </row>
    <row r="1569" spans="1:4" x14ac:dyDescent="0.25">
      <c r="A1569"/>
      <c r="B1569"/>
      <c r="C1569"/>
      <c r="D1569"/>
    </row>
    <row r="1570" spans="1:4" x14ac:dyDescent="0.25">
      <c r="A1570"/>
      <c r="B1570"/>
      <c r="C1570"/>
      <c r="D1570"/>
    </row>
    <row r="1571" spans="1:4" x14ac:dyDescent="0.25">
      <c r="A1571"/>
      <c r="B1571"/>
      <c r="C1571"/>
      <c r="D1571"/>
    </row>
    <row r="1572" spans="1:4" x14ac:dyDescent="0.25">
      <c r="A1572"/>
      <c r="B1572"/>
      <c r="C1572"/>
      <c r="D1572"/>
    </row>
    <row r="1573" spans="1:4" x14ac:dyDescent="0.25">
      <c r="A1573"/>
      <c r="B1573"/>
      <c r="C1573"/>
      <c r="D1573"/>
    </row>
    <row r="1574" spans="1:4" x14ac:dyDescent="0.25">
      <c r="A1574"/>
      <c r="B1574"/>
      <c r="C1574"/>
      <c r="D1574"/>
    </row>
    <row r="1575" spans="1:4" x14ac:dyDescent="0.25">
      <c r="A1575"/>
      <c r="B1575"/>
      <c r="C1575"/>
      <c r="D1575"/>
    </row>
    <row r="1576" spans="1:4" x14ac:dyDescent="0.25">
      <c r="A1576"/>
      <c r="B1576"/>
      <c r="C1576"/>
      <c r="D1576"/>
    </row>
    <row r="1577" spans="1:4" x14ac:dyDescent="0.25">
      <c r="A1577"/>
      <c r="B1577"/>
      <c r="C1577"/>
      <c r="D1577"/>
    </row>
    <row r="1578" spans="1:4" x14ac:dyDescent="0.25">
      <c r="A1578"/>
      <c r="B1578"/>
      <c r="C1578"/>
      <c r="D1578"/>
    </row>
    <row r="1579" spans="1:4" x14ac:dyDescent="0.25">
      <c r="A1579"/>
      <c r="B1579"/>
      <c r="C1579"/>
      <c r="D1579"/>
    </row>
    <row r="1580" spans="1:4" x14ac:dyDescent="0.25">
      <c r="A1580"/>
      <c r="B1580"/>
      <c r="C1580"/>
      <c r="D1580"/>
    </row>
    <row r="1581" spans="1:4" x14ac:dyDescent="0.25">
      <c r="A1581"/>
      <c r="B1581"/>
      <c r="C1581"/>
      <c r="D1581"/>
    </row>
    <row r="1582" spans="1:4" x14ac:dyDescent="0.25">
      <c r="A1582"/>
      <c r="B1582"/>
      <c r="C1582"/>
      <c r="D1582"/>
    </row>
    <row r="1583" spans="1:4" x14ac:dyDescent="0.25">
      <c r="A1583"/>
      <c r="B1583"/>
      <c r="C1583"/>
      <c r="D1583"/>
    </row>
    <row r="1584" spans="1:4" x14ac:dyDescent="0.25">
      <c r="A1584"/>
      <c r="B1584"/>
      <c r="C1584"/>
      <c r="D1584"/>
    </row>
    <row r="1585" spans="1:4" x14ac:dyDescent="0.25">
      <c r="A1585"/>
      <c r="B1585"/>
      <c r="C1585"/>
      <c r="D1585"/>
    </row>
    <row r="1586" spans="1:4" x14ac:dyDescent="0.25">
      <c r="A1586"/>
      <c r="B1586"/>
      <c r="C1586"/>
      <c r="D1586"/>
    </row>
    <row r="1587" spans="1:4" x14ac:dyDescent="0.25">
      <c r="A1587"/>
      <c r="B1587"/>
      <c r="C1587"/>
      <c r="D1587"/>
    </row>
    <row r="1588" spans="1:4" x14ac:dyDescent="0.25">
      <c r="A1588"/>
      <c r="B1588"/>
      <c r="C1588"/>
      <c r="D1588"/>
    </row>
    <row r="1589" spans="1:4" x14ac:dyDescent="0.25">
      <c r="A1589"/>
      <c r="B1589"/>
      <c r="C1589"/>
      <c r="D1589"/>
    </row>
    <row r="1590" spans="1:4" x14ac:dyDescent="0.25">
      <c r="A1590"/>
      <c r="B1590"/>
      <c r="C1590"/>
      <c r="D1590"/>
    </row>
    <row r="1591" spans="1:4" x14ac:dyDescent="0.25">
      <c r="A1591"/>
      <c r="B1591"/>
      <c r="C1591"/>
      <c r="D1591"/>
    </row>
    <row r="1592" spans="1:4" x14ac:dyDescent="0.25">
      <c r="A1592"/>
      <c r="B1592"/>
      <c r="C1592"/>
      <c r="D1592"/>
    </row>
    <row r="1593" spans="1:4" x14ac:dyDescent="0.25">
      <c r="A1593"/>
      <c r="B1593"/>
      <c r="C1593"/>
      <c r="D1593"/>
    </row>
    <row r="1594" spans="1:4" x14ac:dyDescent="0.25">
      <c r="A1594"/>
      <c r="B1594"/>
      <c r="C1594"/>
      <c r="D1594"/>
    </row>
    <row r="1595" spans="1:4" x14ac:dyDescent="0.25">
      <c r="A1595"/>
      <c r="B1595"/>
      <c r="C1595"/>
      <c r="D1595"/>
    </row>
    <row r="1596" spans="1:4" x14ac:dyDescent="0.25">
      <c r="A1596"/>
      <c r="B1596"/>
      <c r="C1596"/>
      <c r="D1596"/>
    </row>
    <row r="1597" spans="1:4" x14ac:dyDescent="0.25">
      <c r="A1597"/>
      <c r="B1597"/>
      <c r="C1597"/>
      <c r="D1597"/>
    </row>
    <row r="1598" spans="1:4" x14ac:dyDescent="0.25">
      <c r="A1598"/>
      <c r="B1598"/>
      <c r="C1598"/>
      <c r="D1598"/>
    </row>
    <row r="1599" spans="1:4" x14ac:dyDescent="0.25">
      <c r="A1599"/>
      <c r="B1599"/>
      <c r="C1599"/>
      <c r="D1599"/>
    </row>
    <row r="1600" spans="1:4" x14ac:dyDescent="0.25">
      <c r="A1600"/>
      <c r="B1600"/>
      <c r="C1600"/>
      <c r="D1600"/>
    </row>
    <row r="1601" spans="1:4" x14ac:dyDescent="0.25">
      <c r="A1601"/>
      <c r="B1601"/>
      <c r="C1601"/>
      <c r="D1601"/>
    </row>
    <row r="1602" spans="1:4" x14ac:dyDescent="0.25">
      <c r="A1602"/>
      <c r="B1602"/>
      <c r="C1602"/>
      <c r="D1602"/>
    </row>
    <row r="1603" spans="1:4" x14ac:dyDescent="0.25">
      <c r="A1603"/>
      <c r="B1603"/>
      <c r="C1603"/>
      <c r="D1603"/>
    </row>
    <row r="1604" spans="1:4" x14ac:dyDescent="0.25">
      <c r="A1604"/>
      <c r="B1604"/>
      <c r="C1604"/>
      <c r="D1604"/>
    </row>
    <row r="1605" spans="1:4" x14ac:dyDescent="0.25">
      <c r="A1605"/>
      <c r="B1605"/>
      <c r="C1605"/>
      <c r="D1605"/>
    </row>
    <row r="1606" spans="1:4" x14ac:dyDescent="0.25">
      <c r="A1606"/>
      <c r="B1606"/>
      <c r="C1606"/>
      <c r="D1606"/>
    </row>
    <row r="1607" spans="1:4" x14ac:dyDescent="0.25">
      <c r="A1607"/>
      <c r="B1607"/>
      <c r="C1607"/>
      <c r="D1607"/>
    </row>
    <row r="1608" spans="1:4" x14ac:dyDescent="0.25">
      <c r="A1608"/>
      <c r="B1608"/>
      <c r="C1608"/>
      <c r="D1608"/>
    </row>
    <row r="1609" spans="1:4" x14ac:dyDescent="0.25">
      <c r="A1609"/>
      <c r="B1609"/>
      <c r="C1609"/>
      <c r="D1609"/>
    </row>
    <row r="1610" spans="1:4" x14ac:dyDescent="0.25">
      <c r="A1610"/>
      <c r="B1610"/>
      <c r="C1610"/>
      <c r="D1610"/>
    </row>
    <row r="1611" spans="1:4" x14ac:dyDescent="0.25">
      <c r="A1611"/>
      <c r="B1611"/>
      <c r="C1611"/>
      <c r="D1611"/>
    </row>
    <row r="1612" spans="1:4" x14ac:dyDescent="0.25">
      <c r="A1612"/>
      <c r="B1612"/>
      <c r="C1612"/>
      <c r="D1612"/>
    </row>
    <row r="1613" spans="1:4" x14ac:dyDescent="0.25">
      <c r="A1613"/>
      <c r="B1613"/>
      <c r="C1613"/>
      <c r="D1613"/>
    </row>
    <row r="1614" spans="1:4" x14ac:dyDescent="0.25">
      <c r="A1614"/>
      <c r="B1614"/>
      <c r="C1614"/>
      <c r="D1614"/>
    </row>
    <row r="1615" spans="1:4" x14ac:dyDescent="0.25">
      <c r="A1615"/>
      <c r="B1615"/>
      <c r="C1615"/>
      <c r="D1615"/>
    </row>
    <row r="1616" spans="1:4" x14ac:dyDescent="0.25">
      <c r="A1616"/>
      <c r="B1616"/>
      <c r="C1616"/>
      <c r="D1616"/>
    </row>
    <row r="1617" spans="1:4" x14ac:dyDescent="0.25">
      <c r="A1617"/>
      <c r="B1617"/>
      <c r="C1617"/>
      <c r="D1617"/>
    </row>
    <row r="1618" spans="1:4" x14ac:dyDescent="0.25">
      <c r="A1618"/>
      <c r="B1618"/>
      <c r="C1618"/>
      <c r="D1618"/>
    </row>
    <row r="1619" spans="1:4" x14ac:dyDescent="0.25">
      <c r="A1619"/>
      <c r="B1619"/>
      <c r="C1619"/>
      <c r="D1619"/>
    </row>
    <row r="1620" spans="1:4" x14ac:dyDescent="0.25">
      <c r="A1620"/>
      <c r="B1620"/>
      <c r="C1620"/>
      <c r="D1620"/>
    </row>
    <row r="1621" spans="1:4" x14ac:dyDescent="0.25">
      <c r="A1621"/>
      <c r="B1621"/>
      <c r="C1621"/>
      <c r="D1621"/>
    </row>
    <row r="1622" spans="1:4" x14ac:dyDescent="0.25">
      <c r="A1622"/>
      <c r="B1622"/>
      <c r="C1622"/>
      <c r="D1622"/>
    </row>
    <row r="1623" spans="1:4" x14ac:dyDescent="0.25">
      <c r="A1623"/>
      <c r="B1623"/>
      <c r="C1623"/>
      <c r="D1623"/>
    </row>
    <row r="1624" spans="1:4" x14ac:dyDescent="0.25">
      <c r="A1624"/>
      <c r="B1624"/>
      <c r="C1624"/>
      <c r="D1624"/>
    </row>
    <row r="1625" spans="1:4" x14ac:dyDescent="0.25">
      <c r="A1625"/>
      <c r="B1625"/>
      <c r="C1625"/>
      <c r="D1625"/>
    </row>
    <row r="1626" spans="1:4" x14ac:dyDescent="0.25">
      <c r="A1626"/>
      <c r="B1626"/>
      <c r="C1626"/>
      <c r="D1626"/>
    </row>
    <row r="1627" spans="1:4" x14ac:dyDescent="0.25">
      <c r="A1627"/>
      <c r="B1627"/>
      <c r="C1627"/>
      <c r="D1627"/>
    </row>
    <row r="1628" spans="1:4" x14ac:dyDescent="0.25">
      <c r="A1628"/>
      <c r="B1628"/>
      <c r="C1628"/>
      <c r="D1628"/>
    </row>
    <row r="1629" spans="1:4" x14ac:dyDescent="0.25">
      <c r="A1629"/>
      <c r="B1629"/>
      <c r="C1629"/>
      <c r="D1629"/>
    </row>
    <row r="1630" spans="1:4" x14ac:dyDescent="0.25">
      <c r="A1630"/>
      <c r="B1630"/>
      <c r="C1630"/>
      <c r="D1630"/>
    </row>
    <row r="1631" spans="1:4" x14ac:dyDescent="0.25">
      <c r="A1631"/>
      <c r="B1631"/>
      <c r="C1631"/>
      <c r="D1631"/>
    </row>
    <row r="1632" spans="1:4" x14ac:dyDescent="0.25">
      <c r="A1632"/>
      <c r="B1632"/>
      <c r="C1632"/>
      <c r="D1632"/>
    </row>
    <row r="1633" spans="1:4" x14ac:dyDescent="0.25">
      <c r="A1633"/>
      <c r="B1633"/>
      <c r="C1633"/>
      <c r="D1633"/>
    </row>
    <row r="1634" spans="1:4" x14ac:dyDescent="0.25">
      <c r="A1634"/>
      <c r="B1634"/>
      <c r="C1634"/>
      <c r="D1634"/>
    </row>
    <row r="1635" spans="1:4" x14ac:dyDescent="0.25">
      <c r="A1635"/>
      <c r="B1635"/>
      <c r="C1635"/>
      <c r="D1635"/>
    </row>
    <row r="1636" spans="1:4" x14ac:dyDescent="0.25">
      <c r="A1636"/>
      <c r="B1636"/>
      <c r="C1636"/>
      <c r="D1636"/>
    </row>
    <row r="1637" spans="1:4" x14ac:dyDescent="0.25">
      <c r="A1637"/>
      <c r="B1637"/>
      <c r="C1637"/>
      <c r="D1637"/>
    </row>
    <row r="1638" spans="1:4" x14ac:dyDescent="0.25">
      <c r="A1638"/>
      <c r="B1638"/>
      <c r="C1638"/>
      <c r="D1638"/>
    </row>
    <row r="1639" spans="1:4" x14ac:dyDescent="0.25">
      <c r="A1639"/>
      <c r="B1639"/>
      <c r="C1639"/>
      <c r="D1639"/>
    </row>
    <row r="1640" spans="1:4" x14ac:dyDescent="0.25">
      <c r="A1640"/>
      <c r="B1640"/>
      <c r="C1640"/>
      <c r="D1640"/>
    </row>
    <row r="1641" spans="1:4" x14ac:dyDescent="0.25">
      <c r="A1641"/>
      <c r="B1641"/>
      <c r="C1641"/>
      <c r="D1641"/>
    </row>
    <row r="1642" spans="1:4" x14ac:dyDescent="0.25">
      <c r="A1642"/>
      <c r="B1642"/>
      <c r="C1642"/>
      <c r="D1642"/>
    </row>
    <row r="1643" spans="1:4" x14ac:dyDescent="0.25">
      <c r="A1643"/>
      <c r="B1643"/>
      <c r="C1643"/>
      <c r="D1643"/>
    </row>
    <row r="1644" spans="1:4" x14ac:dyDescent="0.25">
      <c r="A1644"/>
      <c r="B1644"/>
      <c r="C1644"/>
      <c r="D1644"/>
    </row>
    <row r="1645" spans="1:4" x14ac:dyDescent="0.25">
      <c r="A1645"/>
      <c r="B1645"/>
      <c r="C1645"/>
      <c r="D1645"/>
    </row>
    <row r="1646" spans="1:4" x14ac:dyDescent="0.25">
      <c r="A1646"/>
      <c r="B1646"/>
      <c r="C1646"/>
      <c r="D1646"/>
    </row>
    <row r="1647" spans="1:4" x14ac:dyDescent="0.25">
      <c r="A1647"/>
      <c r="B1647"/>
      <c r="C1647"/>
      <c r="D1647"/>
    </row>
    <row r="1648" spans="1:4" x14ac:dyDescent="0.25">
      <c r="A1648"/>
      <c r="B1648"/>
      <c r="C1648"/>
      <c r="D1648"/>
    </row>
    <row r="1649" spans="1:4" x14ac:dyDescent="0.25">
      <c r="A1649"/>
      <c r="B1649"/>
      <c r="C1649"/>
      <c r="D1649"/>
    </row>
    <row r="1650" spans="1:4" x14ac:dyDescent="0.25">
      <c r="A1650"/>
      <c r="B1650"/>
      <c r="C1650"/>
      <c r="D1650"/>
    </row>
    <row r="1651" spans="1:4" x14ac:dyDescent="0.25">
      <c r="A1651"/>
      <c r="B1651"/>
      <c r="C1651"/>
      <c r="D1651"/>
    </row>
    <row r="1652" spans="1:4" x14ac:dyDescent="0.25">
      <c r="A1652"/>
      <c r="B1652"/>
      <c r="C1652"/>
      <c r="D1652"/>
    </row>
    <row r="1653" spans="1:4" x14ac:dyDescent="0.25">
      <c r="A1653"/>
      <c r="B1653"/>
      <c r="C1653"/>
      <c r="D1653"/>
    </row>
    <row r="1654" spans="1:4" x14ac:dyDescent="0.25">
      <c r="A1654"/>
      <c r="B1654"/>
      <c r="C1654"/>
      <c r="D1654"/>
    </row>
    <row r="1655" spans="1:4" x14ac:dyDescent="0.25">
      <c r="A1655"/>
      <c r="B1655"/>
      <c r="C1655"/>
      <c r="D1655"/>
    </row>
    <row r="1656" spans="1:4" x14ac:dyDescent="0.25">
      <c r="A1656"/>
      <c r="B1656"/>
      <c r="C1656"/>
      <c r="D1656"/>
    </row>
    <row r="1657" spans="1:4" x14ac:dyDescent="0.25">
      <c r="A1657"/>
      <c r="B1657"/>
      <c r="C1657"/>
      <c r="D1657"/>
    </row>
    <row r="1658" spans="1:4" x14ac:dyDescent="0.25">
      <c r="A1658"/>
      <c r="B1658"/>
      <c r="C1658"/>
      <c r="D1658"/>
    </row>
    <row r="1659" spans="1:4" x14ac:dyDescent="0.25">
      <c r="A1659"/>
      <c r="B1659"/>
      <c r="C1659"/>
      <c r="D1659"/>
    </row>
    <row r="1660" spans="1:4" x14ac:dyDescent="0.25">
      <c r="A1660"/>
      <c r="B1660"/>
      <c r="C1660"/>
      <c r="D1660"/>
    </row>
    <row r="1661" spans="1:4" x14ac:dyDescent="0.25">
      <c r="A1661"/>
      <c r="B1661"/>
      <c r="C1661"/>
      <c r="D1661"/>
    </row>
    <row r="1662" spans="1:4" x14ac:dyDescent="0.25">
      <c r="A1662"/>
      <c r="B1662"/>
      <c r="C1662"/>
      <c r="D1662"/>
    </row>
    <row r="1663" spans="1:4" x14ac:dyDescent="0.25">
      <c r="A1663"/>
      <c r="B1663"/>
      <c r="C1663"/>
      <c r="D1663"/>
    </row>
    <row r="1664" spans="1:4" x14ac:dyDescent="0.25">
      <c r="A1664"/>
      <c r="B1664"/>
      <c r="C1664"/>
      <c r="D1664"/>
    </row>
    <row r="1665" spans="1:4" x14ac:dyDescent="0.25">
      <c r="A1665"/>
      <c r="B1665"/>
      <c r="C1665"/>
      <c r="D1665"/>
    </row>
    <row r="1666" spans="1:4" x14ac:dyDescent="0.25">
      <c r="A1666"/>
      <c r="B1666"/>
      <c r="C1666"/>
      <c r="D1666"/>
    </row>
    <row r="1667" spans="1:4" x14ac:dyDescent="0.25">
      <c r="A1667"/>
      <c r="B1667"/>
      <c r="C1667"/>
      <c r="D1667"/>
    </row>
    <row r="1668" spans="1:4" x14ac:dyDescent="0.25">
      <c r="A1668"/>
      <c r="B1668"/>
      <c r="C1668"/>
      <c r="D1668"/>
    </row>
    <row r="1669" spans="1:4" x14ac:dyDescent="0.25">
      <c r="A1669"/>
      <c r="B1669"/>
      <c r="C1669"/>
      <c r="D1669"/>
    </row>
    <row r="1670" spans="1:4" x14ac:dyDescent="0.25">
      <c r="A1670"/>
      <c r="B1670"/>
      <c r="C1670"/>
      <c r="D1670"/>
    </row>
    <row r="1671" spans="1:4" x14ac:dyDescent="0.25">
      <c r="A1671"/>
      <c r="B1671"/>
      <c r="C1671"/>
      <c r="D1671"/>
    </row>
    <row r="1672" spans="1:4" x14ac:dyDescent="0.25">
      <c r="A1672"/>
      <c r="B1672"/>
      <c r="C1672"/>
      <c r="D1672"/>
    </row>
    <row r="1673" spans="1:4" x14ac:dyDescent="0.25">
      <c r="A1673"/>
      <c r="B1673"/>
      <c r="C1673"/>
      <c r="D1673"/>
    </row>
    <row r="1674" spans="1:4" x14ac:dyDescent="0.25">
      <c r="A1674"/>
      <c r="B1674"/>
      <c r="C1674"/>
      <c r="D1674"/>
    </row>
    <row r="1675" spans="1:4" x14ac:dyDescent="0.25">
      <c r="A1675"/>
      <c r="B1675"/>
      <c r="C1675"/>
      <c r="D1675"/>
    </row>
    <row r="1676" spans="1:4" x14ac:dyDescent="0.25">
      <c r="A1676"/>
      <c r="B1676"/>
      <c r="C1676"/>
      <c r="D1676"/>
    </row>
    <row r="1677" spans="1:4" x14ac:dyDescent="0.25">
      <c r="A1677"/>
      <c r="B1677"/>
      <c r="C1677"/>
      <c r="D1677"/>
    </row>
    <row r="1678" spans="1:4" x14ac:dyDescent="0.25">
      <c r="A1678"/>
      <c r="B1678"/>
      <c r="C1678"/>
      <c r="D1678"/>
    </row>
    <row r="1679" spans="1:4" x14ac:dyDescent="0.25">
      <c r="A1679"/>
      <c r="B1679"/>
      <c r="C1679"/>
      <c r="D1679"/>
    </row>
    <row r="1680" spans="1:4" x14ac:dyDescent="0.25">
      <c r="A1680"/>
      <c r="B1680"/>
      <c r="C1680"/>
      <c r="D1680"/>
    </row>
    <row r="1681" spans="1:4" x14ac:dyDescent="0.25">
      <c r="A1681"/>
      <c r="B1681"/>
      <c r="C1681"/>
      <c r="D1681"/>
    </row>
    <row r="1682" spans="1:4" x14ac:dyDescent="0.25">
      <c r="A1682"/>
      <c r="B1682"/>
      <c r="C1682"/>
      <c r="D1682"/>
    </row>
    <row r="1683" spans="1:4" x14ac:dyDescent="0.25">
      <c r="A1683"/>
      <c r="B1683"/>
      <c r="C1683"/>
      <c r="D1683"/>
    </row>
    <row r="1684" spans="1:4" x14ac:dyDescent="0.25">
      <c r="A1684"/>
      <c r="B1684"/>
      <c r="C1684"/>
      <c r="D1684"/>
    </row>
    <row r="1685" spans="1:4" x14ac:dyDescent="0.25">
      <c r="A1685"/>
      <c r="B1685"/>
      <c r="C1685"/>
      <c r="D1685"/>
    </row>
    <row r="1686" spans="1:4" x14ac:dyDescent="0.25">
      <c r="A1686"/>
      <c r="B1686"/>
      <c r="C1686"/>
      <c r="D1686"/>
    </row>
    <row r="1687" spans="1:4" x14ac:dyDescent="0.25">
      <c r="A1687"/>
      <c r="B1687"/>
      <c r="C1687"/>
      <c r="D1687"/>
    </row>
    <row r="1688" spans="1:4" x14ac:dyDescent="0.25">
      <c r="A1688"/>
      <c r="B1688"/>
      <c r="C1688"/>
      <c r="D1688"/>
    </row>
    <row r="1689" spans="1:4" x14ac:dyDescent="0.25">
      <c r="A1689"/>
      <c r="B1689"/>
      <c r="C1689"/>
      <c r="D1689"/>
    </row>
    <row r="1690" spans="1:4" x14ac:dyDescent="0.25">
      <c r="A1690"/>
      <c r="B1690"/>
      <c r="C1690"/>
      <c r="D1690"/>
    </row>
    <row r="1691" spans="1:4" x14ac:dyDescent="0.25">
      <c r="A1691"/>
      <c r="B1691"/>
      <c r="C1691"/>
      <c r="D1691"/>
    </row>
    <row r="1692" spans="1:4" x14ac:dyDescent="0.25">
      <c r="A1692"/>
      <c r="B1692"/>
      <c r="C1692"/>
      <c r="D1692"/>
    </row>
    <row r="1693" spans="1:4" x14ac:dyDescent="0.25">
      <c r="A1693"/>
      <c r="B1693"/>
      <c r="C1693"/>
      <c r="D1693"/>
    </row>
    <row r="1694" spans="1:4" x14ac:dyDescent="0.25">
      <c r="A1694"/>
      <c r="B1694"/>
      <c r="C1694"/>
      <c r="D1694"/>
    </row>
    <row r="1695" spans="1:4" x14ac:dyDescent="0.25">
      <c r="A1695"/>
      <c r="B1695"/>
      <c r="C1695"/>
      <c r="D1695"/>
    </row>
    <row r="1696" spans="1:4" x14ac:dyDescent="0.25">
      <c r="A1696"/>
      <c r="B1696"/>
      <c r="C1696"/>
      <c r="D1696"/>
    </row>
    <row r="1697" spans="1:4" x14ac:dyDescent="0.25">
      <c r="A1697"/>
      <c r="B1697"/>
      <c r="C1697"/>
      <c r="D1697"/>
    </row>
    <row r="1698" spans="1:4" x14ac:dyDescent="0.25">
      <c r="A1698"/>
      <c r="B1698"/>
      <c r="C1698"/>
      <c r="D1698"/>
    </row>
    <row r="1699" spans="1:4" x14ac:dyDescent="0.25">
      <c r="A1699"/>
      <c r="B1699"/>
      <c r="C1699"/>
      <c r="D1699"/>
    </row>
    <row r="1700" spans="1:4" x14ac:dyDescent="0.25">
      <c r="A1700"/>
      <c r="B1700"/>
      <c r="C1700"/>
      <c r="D1700"/>
    </row>
    <row r="1701" spans="1:4" x14ac:dyDescent="0.25">
      <c r="A1701"/>
      <c r="B1701"/>
      <c r="C1701"/>
      <c r="D1701"/>
    </row>
    <row r="1702" spans="1:4" x14ac:dyDescent="0.25">
      <c r="A1702"/>
      <c r="B1702"/>
      <c r="C1702"/>
      <c r="D1702"/>
    </row>
    <row r="1703" spans="1:4" x14ac:dyDescent="0.25">
      <c r="A1703"/>
      <c r="B1703"/>
      <c r="C1703"/>
      <c r="D1703"/>
    </row>
    <row r="1704" spans="1:4" x14ac:dyDescent="0.25">
      <c r="A1704"/>
      <c r="B1704"/>
      <c r="C1704"/>
      <c r="D1704"/>
    </row>
    <row r="1705" spans="1:4" x14ac:dyDescent="0.25">
      <c r="A1705"/>
      <c r="B1705"/>
      <c r="C1705"/>
      <c r="D1705"/>
    </row>
    <row r="1706" spans="1:4" x14ac:dyDescent="0.25">
      <c r="A1706"/>
      <c r="B1706"/>
      <c r="C1706"/>
      <c r="D1706"/>
    </row>
    <row r="1707" spans="1:4" x14ac:dyDescent="0.25">
      <c r="A1707"/>
      <c r="B1707"/>
      <c r="C1707"/>
      <c r="D1707"/>
    </row>
    <row r="1708" spans="1:4" x14ac:dyDescent="0.25">
      <c r="A1708"/>
      <c r="B1708"/>
      <c r="C1708"/>
      <c r="D1708"/>
    </row>
    <row r="1709" spans="1:4" x14ac:dyDescent="0.25">
      <c r="A1709"/>
      <c r="B1709"/>
      <c r="C1709"/>
      <c r="D1709"/>
    </row>
    <row r="1710" spans="1:4" x14ac:dyDescent="0.25">
      <c r="A1710"/>
      <c r="B1710"/>
      <c r="C1710"/>
      <c r="D1710"/>
    </row>
    <row r="1711" spans="1:4" x14ac:dyDescent="0.25">
      <c r="A1711"/>
      <c r="B1711"/>
      <c r="C1711"/>
      <c r="D1711"/>
    </row>
    <row r="1712" spans="1:4" x14ac:dyDescent="0.25">
      <c r="A1712"/>
      <c r="B1712"/>
      <c r="C1712"/>
      <c r="D1712"/>
    </row>
    <row r="1713" spans="1:4" x14ac:dyDescent="0.25">
      <c r="A1713"/>
      <c r="B1713"/>
      <c r="C1713"/>
      <c r="D1713"/>
    </row>
    <row r="1714" spans="1:4" x14ac:dyDescent="0.25">
      <c r="A1714"/>
      <c r="B1714"/>
      <c r="C1714"/>
      <c r="D1714"/>
    </row>
    <row r="1715" spans="1:4" x14ac:dyDescent="0.25">
      <c r="A1715"/>
      <c r="B1715"/>
      <c r="C1715"/>
      <c r="D1715"/>
    </row>
    <row r="1716" spans="1:4" x14ac:dyDescent="0.25">
      <c r="A1716"/>
      <c r="B1716"/>
      <c r="C1716"/>
      <c r="D1716"/>
    </row>
    <row r="1717" spans="1:4" x14ac:dyDescent="0.25">
      <c r="A1717"/>
      <c r="B1717"/>
      <c r="C1717"/>
      <c r="D1717"/>
    </row>
    <row r="1718" spans="1:4" x14ac:dyDescent="0.25">
      <c r="A1718"/>
      <c r="B1718"/>
      <c r="C1718"/>
      <c r="D1718"/>
    </row>
    <row r="1719" spans="1:4" x14ac:dyDescent="0.25">
      <c r="A1719"/>
      <c r="B1719"/>
      <c r="C1719"/>
      <c r="D1719"/>
    </row>
    <row r="1720" spans="1:4" x14ac:dyDescent="0.25">
      <c r="A1720"/>
      <c r="B1720"/>
      <c r="C1720"/>
      <c r="D1720"/>
    </row>
    <row r="1721" spans="1:4" x14ac:dyDescent="0.25">
      <c r="A1721"/>
      <c r="B1721"/>
      <c r="C1721"/>
      <c r="D1721"/>
    </row>
    <row r="1722" spans="1:4" x14ac:dyDescent="0.25">
      <c r="A1722"/>
      <c r="B1722"/>
      <c r="C1722"/>
      <c r="D1722"/>
    </row>
    <row r="1723" spans="1:4" x14ac:dyDescent="0.25">
      <c r="A1723"/>
      <c r="B1723"/>
      <c r="C1723"/>
      <c r="D1723"/>
    </row>
    <row r="1724" spans="1:4" x14ac:dyDescent="0.25">
      <c r="A1724"/>
      <c r="B1724"/>
      <c r="C1724"/>
      <c r="D1724"/>
    </row>
    <row r="1725" spans="1:4" x14ac:dyDescent="0.25">
      <c r="A1725"/>
      <c r="B1725"/>
      <c r="C1725"/>
      <c r="D1725"/>
    </row>
    <row r="1726" spans="1:4" x14ac:dyDescent="0.25">
      <c r="A1726"/>
      <c r="B1726"/>
      <c r="C1726"/>
      <c r="D1726"/>
    </row>
    <row r="1727" spans="1:4" x14ac:dyDescent="0.25">
      <c r="A1727"/>
      <c r="B1727"/>
      <c r="C1727"/>
      <c r="D1727"/>
    </row>
    <row r="1728" spans="1:4" x14ac:dyDescent="0.25">
      <c r="A1728"/>
      <c r="B1728"/>
      <c r="C1728"/>
      <c r="D1728"/>
    </row>
    <row r="1729" spans="1:4" x14ac:dyDescent="0.25">
      <c r="A1729"/>
      <c r="B1729"/>
      <c r="C1729"/>
      <c r="D1729"/>
    </row>
    <row r="1730" spans="1:4" x14ac:dyDescent="0.25">
      <c r="A1730"/>
      <c r="B1730"/>
      <c r="C1730"/>
      <c r="D1730"/>
    </row>
    <row r="1731" spans="1:4" x14ac:dyDescent="0.25">
      <c r="A1731"/>
      <c r="B1731"/>
      <c r="C1731"/>
      <c r="D1731"/>
    </row>
    <row r="1732" spans="1:4" x14ac:dyDescent="0.25">
      <c r="A1732"/>
      <c r="B1732"/>
      <c r="C1732"/>
      <c r="D1732"/>
    </row>
    <row r="1733" spans="1:4" x14ac:dyDescent="0.25">
      <c r="A1733"/>
      <c r="B1733"/>
      <c r="C1733"/>
      <c r="D1733"/>
    </row>
    <row r="1734" spans="1:4" x14ac:dyDescent="0.25">
      <c r="A1734"/>
      <c r="B1734"/>
      <c r="C1734"/>
      <c r="D1734"/>
    </row>
    <row r="1735" spans="1:4" x14ac:dyDescent="0.25">
      <c r="A1735"/>
      <c r="B1735"/>
      <c r="C1735"/>
      <c r="D1735"/>
    </row>
    <row r="1736" spans="1:4" x14ac:dyDescent="0.25">
      <c r="A1736"/>
      <c r="B1736"/>
      <c r="C1736"/>
      <c r="D1736"/>
    </row>
    <row r="1737" spans="1:4" x14ac:dyDescent="0.25">
      <c r="A1737"/>
      <c r="B1737"/>
      <c r="C1737"/>
      <c r="D1737"/>
    </row>
    <row r="1738" spans="1:4" x14ac:dyDescent="0.25">
      <c r="A1738"/>
      <c r="B1738"/>
      <c r="C1738"/>
      <c r="D1738"/>
    </row>
    <row r="1739" spans="1:4" x14ac:dyDescent="0.25">
      <c r="A1739"/>
      <c r="B1739"/>
      <c r="C1739"/>
      <c r="D1739"/>
    </row>
    <row r="1740" spans="1:4" x14ac:dyDescent="0.25">
      <c r="A1740"/>
      <c r="B1740"/>
      <c r="C1740"/>
      <c r="D1740"/>
    </row>
    <row r="1741" spans="1:4" x14ac:dyDescent="0.25">
      <c r="A1741"/>
      <c r="B1741"/>
      <c r="C1741"/>
      <c r="D1741"/>
    </row>
    <row r="1742" spans="1:4" x14ac:dyDescent="0.25">
      <c r="A1742"/>
      <c r="B1742"/>
      <c r="C1742"/>
      <c r="D1742"/>
    </row>
    <row r="1743" spans="1:4" x14ac:dyDescent="0.25">
      <c r="A1743"/>
      <c r="B1743"/>
      <c r="C1743"/>
      <c r="D1743"/>
    </row>
    <row r="1744" spans="1:4" x14ac:dyDescent="0.25">
      <c r="A1744"/>
      <c r="B1744"/>
      <c r="C1744"/>
      <c r="D1744"/>
    </row>
    <row r="1745" spans="1:4" x14ac:dyDescent="0.25">
      <c r="A1745"/>
      <c r="B1745"/>
      <c r="C1745"/>
      <c r="D1745"/>
    </row>
    <row r="1746" spans="1:4" x14ac:dyDescent="0.25">
      <c r="A1746"/>
      <c r="B1746"/>
      <c r="C1746"/>
      <c r="D1746"/>
    </row>
    <row r="1747" spans="1:4" x14ac:dyDescent="0.25">
      <c r="A1747"/>
      <c r="B1747"/>
      <c r="C1747"/>
      <c r="D1747"/>
    </row>
    <row r="1748" spans="1:4" x14ac:dyDescent="0.25">
      <c r="A1748"/>
      <c r="B1748"/>
      <c r="C1748"/>
      <c r="D1748"/>
    </row>
    <row r="1749" spans="1:4" x14ac:dyDescent="0.25">
      <c r="A1749"/>
      <c r="B1749"/>
      <c r="C1749"/>
      <c r="D1749"/>
    </row>
    <row r="1750" spans="1:4" x14ac:dyDescent="0.25">
      <c r="A1750"/>
      <c r="B1750"/>
      <c r="C1750"/>
      <c r="D1750"/>
    </row>
    <row r="1751" spans="1:4" x14ac:dyDescent="0.25">
      <c r="A1751"/>
      <c r="B1751"/>
      <c r="C1751"/>
      <c r="D1751"/>
    </row>
    <row r="1752" spans="1:4" x14ac:dyDescent="0.25">
      <c r="A1752"/>
      <c r="B1752"/>
      <c r="C1752"/>
      <c r="D1752"/>
    </row>
    <row r="1753" spans="1:4" x14ac:dyDescent="0.25">
      <c r="A1753"/>
      <c r="B1753"/>
      <c r="C1753"/>
      <c r="D1753"/>
    </row>
    <row r="1754" spans="1:4" x14ac:dyDescent="0.25">
      <c r="A1754"/>
      <c r="B1754"/>
      <c r="C1754"/>
      <c r="D1754"/>
    </row>
    <row r="1755" spans="1:4" x14ac:dyDescent="0.25">
      <c r="A1755"/>
      <c r="B1755"/>
      <c r="C1755"/>
      <c r="D1755"/>
    </row>
    <row r="1756" spans="1:4" x14ac:dyDescent="0.25">
      <c r="A1756"/>
      <c r="B1756"/>
      <c r="C1756"/>
      <c r="D1756"/>
    </row>
    <row r="1757" spans="1:4" x14ac:dyDescent="0.25">
      <c r="A1757"/>
      <c r="B1757"/>
      <c r="C1757"/>
      <c r="D1757"/>
    </row>
    <row r="1758" spans="1:4" x14ac:dyDescent="0.25">
      <c r="A1758"/>
      <c r="B1758"/>
      <c r="C1758"/>
      <c r="D1758"/>
    </row>
    <row r="1759" spans="1:4" x14ac:dyDescent="0.25">
      <c r="A1759"/>
      <c r="B1759"/>
      <c r="C1759"/>
      <c r="D1759"/>
    </row>
    <row r="1760" spans="1:4" x14ac:dyDescent="0.25">
      <c r="A1760"/>
      <c r="B1760"/>
      <c r="C1760"/>
      <c r="D1760"/>
    </row>
    <row r="1761" spans="1:4" x14ac:dyDescent="0.25">
      <c r="A1761"/>
      <c r="B1761"/>
      <c r="C1761"/>
      <c r="D1761"/>
    </row>
    <row r="1762" spans="1:4" x14ac:dyDescent="0.25">
      <c r="A1762"/>
      <c r="B1762"/>
      <c r="C1762"/>
      <c r="D1762"/>
    </row>
    <row r="1763" spans="1:4" x14ac:dyDescent="0.25">
      <c r="A1763"/>
      <c r="B1763"/>
      <c r="C1763"/>
      <c r="D1763"/>
    </row>
    <row r="1764" spans="1:4" x14ac:dyDescent="0.25">
      <c r="A1764"/>
      <c r="B1764"/>
      <c r="C1764"/>
      <c r="D1764"/>
    </row>
    <row r="1765" spans="1:4" x14ac:dyDescent="0.25">
      <c r="A1765"/>
      <c r="B1765"/>
      <c r="C1765"/>
      <c r="D1765"/>
    </row>
    <row r="1766" spans="1:4" x14ac:dyDescent="0.25">
      <c r="A1766"/>
      <c r="B1766"/>
      <c r="C1766"/>
      <c r="D1766"/>
    </row>
    <row r="1767" spans="1:4" x14ac:dyDescent="0.25">
      <c r="A1767"/>
      <c r="B1767"/>
      <c r="C1767"/>
      <c r="D1767"/>
    </row>
    <row r="1768" spans="1:4" x14ac:dyDescent="0.25">
      <c r="A1768"/>
      <c r="B1768"/>
      <c r="C1768"/>
      <c r="D1768"/>
    </row>
    <row r="1769" spans="1:4" x14ac:dyDescent="0.25">
      <c r="A1769"/>
      <c r="B1769"/>
      <c r="C1769"/>
      <c r="D1769"/>
    </row>
    <row r="1770" spans="1:4" x14ac:dyDescent="0.25">
      <c r="A1770"/>
      <c r="B1770"/>
      <c r="C1770"/>
      <c r="D1770"/>
    </row>
    <row r="1771" spans="1:4" x14ac:dyDescent="0.25">
      <c r="A1771"/>
      <c r="B1771"/>
      <c r="C1771"/>
      <c r="D1771"/>
    </row>
    <row r="1772" spans="1:4" x14ac:dyDescent="0.25">
      <c r="A1772"/>
      <c r="B1772"/>
      <c r="C1772"/>
      <c r="D1772"/>
    </row>
    <row r="1773" spans="1:4" x14ac:dyDescent="0.25">
      <c r="A1773"/>
      <c r="B1773"/>
      <c r="C1773"/>
      <c r="D1773"/>
    </row>
    <row r="1774" spans="1:4" x14ac:dyDescent="0.25">
      <c r="A1774"/>
      <c r="B1774"/>
      <c r="C1774"/>
      <c r="D1774"/>
    </row>
    <row r="1775" spans="1:4" x14ac:dyDescent="0.25">
      <c r="A1775"/>
      <c r="B1775"/>
      <c r="C1775"/>
      <c r="D1775"/>
    </row>
    <row r="1776" spans="1:4" x14ac:dyDescent="0.25">
      <c r="A1776"/>
      <c r="B1776"/>
      <c r="C1776"/>
      <c r="D1776"/>
    </row>
    <row r="1777" spans="1:4" x14ac:dyDescent="0.25">
      <c r="A1777"/>
      <c r="B1777"/>
      <c r="C1777"/>
      <c r="D1777"/>
    </row>
    <row r="1778" spans="1:4" x14ac:dyDescent="0.25">
      <c r="A1778"/>
      <c r="B1778"/>
      <c r="C1778"/>
      <c r="D1778"/>
    </row>
    <row r="1779" spans="1:4" x14ac:dyDescent="0.25">
      <c r="A1779"/>
      <c r="B1779"/>
      <c r="C1779"/>
      <c r="D1779"/>
    </row>
    <row r="1780" spans="1:4" x14ac:dyDescent="0.25">
      <c r="A1780"/>
      <c r="B1780"/>
      <c r="C1780"/>
      <c r="D1780"/>
    </row>
  </sheetData>
  <autoFilter ref="A1:G1780"/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 tint="0.499984740745262"/>
  </sheetPr>
  <dimension ref="A1:AD62"/>
  <sheetViews>
    <sheetView topLeftCell="R1" workbookViewId="0">
      <selection activeCell="U19" sqref="U19"/>
    </sheetView>
  </sheetViews>
  <sheetFormatPr baseColWidth="10" defaultRowHeight="15" x14ac:dyDescent="0.25"/>
  <cols>
    <col min="1" max="1" width="36.85546875" customWidth="1"/>
    <col min="3" max="3" width="16.5703125" customWidth="1"/>
    <col min="4" max="4" width="15.42578125" customWidth="1"/>
    <col min="6" max="6" width="21" customWidth="1"/>
    <col min="7" max="7" width="25.140625" bestFit="1" customWidth="1"/>
    <col min="8" max="8" width="12.85546875" customWidth="1"/>
    <col min="10" max="10" width="22.28515625" customWidth="1"/>
    <col min="13" max="13" width="22.42578125" customWidth="1"/>
    <col min="14" max="14" width="21.28515625" customWidth="1"/>
    <col min="15" max="15" width="23.5703125" customWidth="1"/>
    <col min="16" max="16" width="17" customWidth="1"/>
    <col min="17" max="17" width="27.42578125" customWidth="1"/>
    <col min="18" max="18" width="20.85546875" customWidth="1"/>
    <col min="19" max="19" width="19" customWidth="1"/>
    <col min="20" max="20" width="22" customWidth="1"/>
    <col min="21" max="22" width="20.5703125" customWidth="1"/>
    <col min="23" max="23" width="20.85546875" customWidth="1"/>
    <col min="24" max="24" width="23.42578125" customWidth="1"/>
    <col min="25" max="25" width="17.7109375" customWidth="1"/>
    <col min="26" max="26" width="21.85546875" customWidth="1"/>
    <col min="27" max="27" width="18.28515625" customWidth="1"/>
    <col min="28" max="28" width="23.140625" customWidth="1"/>
    <col min="29" max="29" width="20" customWidth="1"/>
    <col min="30" max="30" width="19" customWidth="1"/>
  </cols>
  <sheetData>
    <row r="1" spans="1:30" x14ac:dyDescent="0.25">
      <c r="C1" s="285" t="s">
        <v>2</v>
      </c>
      <c r="D1" s="285"/>
      <c r="E1" s="285"/>
      <c r="F1" s="285"/>
      <c r="G1" s="285"/>
      <c r="H1" s="285"/>
      <c r="I1" s="285"/>
      <c r="J1" s="285"/>
      <c r="K1" s="285"/>
      <c r="M1" s="286" t="s">
        <v>3</v>
      </c>
      <c r="N1" s="286"/>
      <c r="O1" s="286"/>
      <c r="P1" s="286"/>
      <c r="Q1" s="286"/>
      <c r="R1" s="286"/>
      <c r="S1" s="286"/>
      <c r="T1" s="286"/>
      <c r="U1" s="286"/>
      <c r="V1" s="286"/>
      <c r="W1" s="286"/>
      <c r="X1" s="286"/>
      <c r="Y1" s="286"/>
      <c r="Z1" s="286"/>
      <c r="AA1" s="286"/>
      <c r="AB1" s="286"/>
      <c r="AC1" s="286"/>
      <c r="AD1" s="286"/>
    </row>
    <row r="2" spans="1:30" x14ac:dyDescent="0.25">
      <c r="A2" s="119" t="s">
        <v>1</v>
      </c>
      <c r="C2" s="120" t="s">
        <v>429</v>
      </c>
      <c r="D2" s="120" t="s">
        <v>435</v>
      </c>
      <c r="E2" s="120" t="s">
        <v>436</v>
      </c>
      <c r="F2" s="120" t="s">
        <v>437</v>
      </c>
      <c r="G2" s="120" t="s">
        <v>440</v>
      </c>
      <c r="H2" s="120" t="s">
        <v>275</v>
      </c>
      <c r="I2" s="120" t="s">
        <v>339</v>
      </c>
      <c r="J2" s="120" t="s">
        <v>561</v>
      </c>
      <c r="K2" s="120" t="s">
        <v>562</v>
      </c>
      <c r="M2" s="121" t="s">
        <v>0</v>
      </c>
      <c r="N2" s="121" t="s">
        <v>64</v>
      </c>
      <c r="O2" s="121" t="s">
        <v>81</v>
      </c>
      <c r="P2" s="121" t="s">
        <v>100</v>
      </c>
      <c r="Q2" s="121" t="s">
        <v>118</v>
      </c>
      <c r="R2" s="121" t="s">
        <v>140</v>
      </c>
      <c r="S2" s="121" t="s">
        <v>159</v>
      </c>
      <c r="T2" s="121" t="s">
        <v>438</v>
      </c>
      <c r="U2" s="121" t="s">
        <v>439</v>
      </c>
      <c r="V2" s="121" t="s">
        <v>201</v>
      </c>
      <c r="W2" s="121" t="s">
        <v>221</v>
      </c>
      <c r="X2" s="121" t="s">
        <v>441</v>
      </c>
      <c r="Y2" s="121" t="s">
        <v>260</v>
      </c>
      <c r="Z2" s="121" t="s">
        <v>276</v>
      </c>
      <c r="AA2" s="121" t="s">
        <v>426</v>
      </c>
      <c r="AB2" s="121" t="s">
        <v>427</v>
      </c>
      <c r="AC2" s="121" t="s">
        <v>340</v>
      </c>
      <c r="AD2" s="121" t="s">
        <v>428</v>
      </c>
    </row>
    <row r="3" spans="1:30" x14ac:dyDescent="0.25">
      <c r="A3" s="56" t="s">
        <v>429</v>
      </c>
      <c r="C3" s="56" t="s">
        <v>0</v>
      </c>
      <c r="D3" s="56" t="s">
        <v>81</v>
      </c>
      <c r="E3" s="56" t="s">
        <v>140</v>
      </c>
      <c r="F3" s="56" t="s">
        <v>438</v>
      </c>
      <c r="G3" s="56" t="s">
        <v>221</v>
      </c>
      <c r="H3" s="56" t="s">
        <v>276</v>
      </c>
      <c r="I3" s="56" t="s">
        <v>340</v>
      </c>
      <c r="J3" s="56" t="s">
        <v>431</v>
      </c>
      <c r="M3" s="122" t="s">
        <v>5</v>
      </c>
      <c r="N3" s="122" t="s">
        <v>65</v>
      </c>
      <c r="O3" s="122" t="s">
        <v>82</v>
      </c>
      <c r="P3" s="122" t="s">
        <v>101</v>
      </c>
      <c r="Q3" s="122" t="s">
        <v>119</v>
      </c>
      <c r="R3" s="122" t="s">
        <v>141</v>
      </c>
      <c r="S3" s="122" t="s">
        <v>160</v>
      </c>
      <c r="T3" s="122" t="s">
        <v>177</v>
      </c>
      <c r="U3" s="122" t="s">
        <v>188</v>
      </c>
      <c r="V3" s="122" t="s">
        <v>202</v>
      </c>
      <c r="W3" s="122" t="s">
        <v>222</v>
      </c>
      <c r="X3" s="122" t="s">
        <v>241</v>
      </c>
      <c r="Y3" s="122" t="s">
        <v>261</v>
      </c>
      <c r="Z3" s="122" t="s">
        <v>277</v>
      </c>
      <c r="AA3" s="122" t="s">
        <v>300</v>
      </c>
      <c r="AB3" s="122" t="s">
        <v>319</v>
      </c>
      <c r="AC3" s="122" t="s">
        <v>341</v>
      </c>
      <c r="AD3" s="122" t="s">
        <v>358</v>
      </c>
    </row>
    <row r="4" spans="1:30" x14ac:dyDescent="0.25">
      <c r="A4" s="56" t="s">
        <v>435</v>
      </c>
      <c r="C4" s="63" t="s">
        <v>64</v>
      </c>
      <c r="D4" s="56" t="s">
        <v>100</v>
      </c>
      <c r="E4" s="63" t="s">
        <v>159</v>
      </c>
      <c r="F4" s="56" t="s">
        <v>439</v>
      </c>
      <c r="G4" s="56" t="s">
        <v>441</v>
      </c>
      <c r="H4" s="56" t="s">
        <v>426</v>
      </c>
      <c r="I4" s="63" t="s">
        <v>428</v>
      </c>
      <c r="J4" s="56" t="s">
        <v>433</v>
      </c>
      <c r="M4" s="122" t="s">
        <v>56</v>
      </c>
      <c r="N4" s="122" t="s">
        <v>66</v>
      </c>
      <c r="O4" s="122" t="s">
        <v>83</v>
      </c>
      <c r="P4" s="122" t="s">
        <v>102</v>
      </c>
      <c r="Q4" s="122" t="s">
        <v>120</v>
      </c>
      <c r="R4" s="122" t="s">
        <v>142</v>
      </c>
      <c r="S4" s="122" t="s">
        <v>161</v>
      </c>
      <c r="T4" s="122" t="s">
        <v>178</v>
      </c>
      <c r="U4" s="122" t="s">
        <v>189</v>
      </c>
      <c r="V4" s="122" t="s">
        <v>203</v>
      </c>
      <c r="W4" s="122" t="s">
        <v>223</v>
      </c>
      <c r="X4" s="122" t="s">
        <v>242</v>
      </c>
      <c r="Y4" s="122" t="s">
        <v>262</v>
      </c>
      <c r="Z4" s="122" t="s">
        <v>278</v>
      </c>
      <c r="AA4" s="122" t="s">
        <v>301</v>
      </c>
      <c r="AB4" s="122" t="s">
        <v>320</v>
      </c>
      <c r="AC4" s="122" t="s">
        <v>342</v>
      </c>
      <c r="AD4" s="122" t="s">
        <v>359</v>
      </c>
    </row>
    <row r="5" spans="1:30" x14ac:dyDescent="0.25">
      <c r="A5" s="56" t="s">
        <v>436</v>
      </c>
      <c r="C5" s="63"/>
      <c r="D5" s="56" t="s">
        <v>118</v>
      </c>
      <c r="E5" s="63"/>
      <c r="F5" s="56" t="s">
        <v>201</v>
      </c>
      <c r="G5" s="56" t="s">
        <v>260</v>
      </c>
      <c r="H5" s="56" t="s">
        <v>427</v>
      </c>
      <c r="I5" s="63"/>
      <c r="J5" s="63"/>
      <c r="K5" s="63"/>
      <c r="M5" s="122" t="s">
        <v>57</v>
      </c>
      <c r="N5" s="122" t="s">
        <v>67</v>
      </c>
      <c r="O5" s="122" t="s">
        <v>84</v>
      </c>
      <c r="P5" s="122" t="s">
        <v>103</v>
      </c>
      <c r="Q5" s="122" t="s">
        <v>121</v>
      </c>
      <c r="R5" s="122" t="s">
        <v>143</v>
      </c>
      <c r="S5" s="122" t="s">
        <v>162</v>
      </c>
      <c r="T5" s="122" t="s">
        <v>179</v>
      </c>
      <c r="U5" s="122" t="s">
        <v>187</v>
      </c>
      <c r="V5" s="122" t="s">
        <v>204</v>
      </c>
      <c r="W5" s="122" t="s">
        <v>224</v>
      </c>
      <c r="X5" s="122" t="s">
        <v>243</v>
      </c>
      <c r="Y5" s="122" t="s">
        <v>263</v>
      </c>
      <c r="Z5" s="122" t="s">
        <v>279</v>
      </c>
      <c r="AA5" s="122" t="s">
        <v>302</v>
      </c>
      <c r="AB5" s="122" t="s">
        <v>321</v>
      </c>
      <c r="AC5" s="122" t="s">
        <v>343</v>
      </c>
      <c r="AD5" s="122" t="s">
        <v>360</v>
      </c>
    </row>
    <row r="6" spans="1:30" x14ac:dyDescent="0.25">
      <c r="A6" s="56" t="s">
        <v>437</v>
      </c>
      <c r="M6" s="122" t="s">
        <v>58</v>
      </c>
      <c r="N6" s="122" t="s">
        <v>68</v>
      </c>
      <c r="O6" s="122" t="s">
        <v>85</v>
      </c>
      <c r="P6" s="122" t="s">
        <v>104</v>
      </c>
      <c r="Q6" s="122" t="s">
        <v>122</v>
      </c>
      <c r="R6" s="122" t="s">
        <v>147</v>
      </c>
      <c r="S6" s="122" t="s">
        <v>163</v>
      </c>
      <c r="T6" s="122" t="s">
        <v>180</v>
      </c>
      <c r="U6" s="122" t="s">
        <v>190</v>
      </c>
      <c r="V6" s="122" t="s">
        <v>205</v>
      </c>
      <c r="W6" s="122" t="s">
        <v>225</v>
      </c>
      <c r="X6" s="122" t="s">
        <v>244</v>
      </c>
      <c r="Y6" s="122" t="s">
        <v>264</v>
      </c>
      <c r="Z6" s="122" t="s">
        <v>280</v>
      </c>
      <c r="AA6" s="122" t="s">
        <v>303</v>
      </c>
      <c r="AB6" s="122" t="s">
        <v>322</v>
      </c>
      <c r="AC6" s="122" t="s">
        <v>344</v>
      </c>
      <c r="AD6" s="122" t="s">
        <v>361</v>
      </c>
    </row>
    <row r="7" spans="1:30" x14ac:dyDescent="0.25">
      <c r="A7" s="56" t="s">
        <v>440</v>
      </c>
      <c r="M7" s="122" t="s">
        <v>59</v>
      </c>
      <c r="N7" s="122" t="s">
        <v>69</v>
      </c>
      <c r="O7" s="122" t="s">
        <v>86</v>
      </c>
      <c r="P7" s="122" t="s">
        <v>105</v>
      </c>
      <c r="Q7" s="122" t="s">
        <v>123</v>
      </c>
      <c r="R7" s="122" t="s">
        <v>148</v>
      </c>
      <c r="S7" s="122" t="s">
        <v>164</v>
      </c>
      <c r="T7" s="122" t="s">
        <v>181</v>
      </c>
      <c r="U7" s="122" t="s">
        <v>191</v>
      </c>
      <c r="V7" s="122" t="s">
        <v>206</v>
      </c>
      <c r="W7" s="122" t="s">
        <v>226</v>
      </c>
      <c r="X7" s="122" t="s">
        <v>245</v>
      </c>
      <c r="Y7" s="122" t="s">
        <v>265</v>
      </c>
      <c r="Z7" s="122" t="s">
        <v>281</v>
      </c>
      <c r="AA7" s="122" t="s">
        <v>304</v>
      </c>
      <c r="AB7" s="122" t="s">
        <v>323</v>
      </c>
      <c r="AC7" s="122" t="s">
        <v>345</v>
      </c>
      <c r="AD7" s="122" t="s">
        <v>363</v>
      </c>
    </row>
    <row r="8" spans="1:30" x14ac:dyDescent="0.25">
      <c r="A8" s="56" t="s">
        <v>275</v>
      </c>
      <c r="M8" s="122" t="s">
        <v>60</v>
      </c>
      <c r="N8" s="122" t="s">
        <v>70</v>
      </c>
      <c r="O8" s="122" t="s">
        <v>87</v>
      </c>
      <c r="P8" s="122" t="s">
        <v>106</v>
      </c>
      <c r="Q8" s="122" t="s">
        <v>124</v>
      </c>
      <c r="R8" s="122" t="s">
        <v>149</v>
      </c>
      <c r="S8" s="122" t="s">
        <v>165</v>
      </c>
      <c r="T8" s="122" t="s">
        <v>182</v>
      </c>
      <c r="U8" s="122" t="s">
        <v>192</v>
      </c>
      <c r="V8" s="122" t="s">
        <v>207</v>
      </c>
      <c r="W8" s="122" t="s">
        <v>227</v>
      </c>
      <c r="X8" s="122" t="s">
        <v>246</v>
      </c>
      <c r="Y8" s="122" t="s">
        <v>266</v>
      </c>
      <c r="Z8" s="122" t="s">
        <v>282</v>
      </c>
      <c r="AA8" s="122" t="s">
        <v>305</v>
      </c>
      <c r="AB8" s="122" t="s">
        <v>324</v>
      </c>
      <c r="AC8" s="122" t="s">
        <v>346</v>
      </c>
      <c r="AD8" s="122" t="s">
        <v>364</v>
      </c>
    </row>
    <row r="9" spans="1:30" x14ac:dyDescent="0.25">
      <c r="A9" s="56" t="s">
        <v>339</v>
      </c>
      <c r="M9" s="122" t="s">
        <v>61</v>
      </c>
      <c r="N9" s="122" t="s">
        <v>71</v>
      </c>
      <c r="O9" s="122" t="s">
        <v>88</v>
      </c>
      <c r="P9" s="122" t="s">
        <v>107</v>
      </c>
      <c r="Q9" s="122" t="s">
        <v>125</v>
      </c>
      <c r="R9" s="122" t="s">
        <v>150</v>
      </c>
      <c r="S9" s="122" t="s">
        <v>166</v>
      </c>
      <c r="T9" s="122" t="s">
        <v>183</v>
      </c>
      <c r="U9" s="122" t="s">
        <v>193</v>
      </c>
      <c r="V9" s="122" t="s">
        <v>208</v>
      </c>
      <c r="W9" s="122" t="s">
        <v>228</v>
      </c>
      <c r="X9" s="122" t="s">
        <v>247</v>
      </c>
      <c r="Y9" s="122" t="s">
        <v>267</v>
      </c>
      <c r="Z9" s="122" t="s">
        <v>283</v>
      </c>
      <c r="AA9" s="122" t="s">
        <v>306</v>
      </c>
      <c r="AB9" s="122" t="s">
        <v>325</v>
      </c>
      <c r="AC9" s="122" t="s">
        <v>347</v>
      </c>
      <c r="AD9" s="122" t="s">
        <v>365</v>
      </c>
    </row>
    <row r="10" spans="1:30" x14ac:dyDescent="0.25">
      <c r="A10" s="56" t="s">
        <v>562</v>
      </c>
      <c r="M10" s="122" t="s">
        <v>62</v>
      </c>
      <c r="N10" s="122" t="s">
        <v>72</v>
      </c>
      <c r="O10" s="122" t="s">
        <v>89</v>
      </c>
      <c r="P10" s="122" t="s">
        <v>108</v>
      </c>
      <c r="Q10" s="122" t="s">
        <v>126</v>
      </c>
      <c r="R10" s="122" t="s">
        <v>151</v>
      </c>
      <c r="S10" s="122" t="s">
        <v>167</v>
      </c>
      <c r="T10" s="122" t="s">
        <v>184</v>
      </c>
      <c r="U10" s="122" t="s">
        <v>194</v>
      </c>
      <c r="V10" s="122" t="s">
        <v>209</v>
      </c>
      <c r="W10" s="122" t="s">
        <v>229</v>
      </c>
      <c r="X10" s="122" t="s">
        <v>248</v>
      </c>
      <c r="Y10" s="122" t="s">
        <v>268</v>
      </c>
      <c r="Z10" s="122" t="s">
        <v>284</v>
      </c>
      <c r="AA10" s="122" t="s">
        <v>307</v>
      </c>
      <c r="AB10" s="122" t="s">
        <v>326</v>
      </c>
      <c r="AC10" s="122" t="s">
        <v>348</v>
      </c>
      <c r="AD10" s="122" t="s">
        <v>366</v>
      </c>
    </row>
    <row r="11" spans="1:30" x14ac:dyDescent="0.25">
      <c r="M11" s="122" t="s">
        <v>63</v>
      </c>
      <c r="N11" s="122" t="s">
        <v>73</v>
      </c>
      <c r="O11" s="122" t="s">
        <v>90</v>
      </c>
      <c r="P11" s="122" t="s">
        <v>109</v>
      </c>
      <c r="Q11" s="122" t="s">
        <v>127</v>
      </c>
      <c r="R11" s="122" t="s">
        <v>152</v>
      </c>
      <c r="S11" s="122" t="s">
        <v>168</v>
      </c>
      <c r="T11" s="122" t="s">
        <v>185</v>
      </c>
      <c r="U11" s="122" t="s">
        <v>195</v>
      </c>
      <c r="V11" s="122" t="s">
        <v>210</v>
      </c>
      <c r="W11" s="122" t="s">
        <v>231</v>
      </c>
      <c r="X11" s="122" t="s">
        <v>249</v>
      </c>
      <c r="Y11" s="122" t="s">
        <v>269</v>
      </c>
      <c r="Z11" s="122" t="s">
        <v>285</v>
      </c>
      <c r="AA11" s="122" t="s">
        <v>309</v>
      </c>
      <c r="AB11" s="122" t="s">
        <v>327</v>
      </c>
      <c r="AC11" s="122" t="s">
        <v>349</v>
      </c>
      <c r="AD11" s="122" t="s">
        <v>357</v>
      </c>
    </row>
    <row r="12" spans="1:30" x14ac:dyDescent="0.25">
      <c r="N12" s="122" t="s">
        <v>74</v>
      </c>
      <c r="O12" s="122" t="s">
        <v>91</v>
      </c>
      <c r="P12" s="122" t="s">
        <v>110</v>
      </c>
      <c r="Q12" s="122" t="s">
        <v>128</v>
      </c>
      <c r="R12" s="122" t="s">
        <v>153</v>
      </c>
      <c r="S12" s="122" t="s">
        <v>169</v>
      </c>
      <c r="T12" s="122" t="s">
        <v>186</v>
      </c>
      <c r="U12" s="122" t="s">
        <v>196</v>
      </c>
      <c r="V12" s="122" t="s">
        <v>211</v>
      </c>
      <c r="W12" s="122" t="s">
        <v>232</v>
      </c>
      <c r="X12" s="122" t="s">
        <v>250</v>
      </c>
      <c r="Y12" s="122" t="s">
        <v>270</v>
      </c>
      <c r="Z12" s="122" t="s">
        <v>286</v>
      </c>
      <c r="AA12" s="122" t="s">
        <v>310</v>
      </c>
      <c r="AB12" s="122" t="s">
        <v>328</v>
      </c>
      <c r="AC12" s="122" t="s">
        <v>350</v>
      </c>
      <c r="AD12" s="122" t="s">
        <v>367</v>
      </c>
    </row>
    <row r="13" spans="1:30" x14ac:dyDescent="0.25">
      <c r="N13" s="122" t="s">
        <v>75</v>
      </c>
      <c r="O13" s="122" t="s">
        <v>92</v>
      </c>
      <c r="P13" s="122" t="s">
        <v>111</v>
      </c>
      <c r="Q13" s="122" t="s">
        <v>129</v>
      </c>
      <c r="R13" s="122" t="s">
        <v>154</v>
      </c>
      <c r="S13" s="122" t="s">
        <v>170</v>
      </c>
      <c r="U13" s="122" t="s">
        <v>197</v>
      </c>
      <c r="V13" s="122" t="s">
        <v>212</v>
      </c>
      <c r="W13" s="122" t="s">
        <v>233</v>
      </c>
      <c r="X13" s="122" t="s">
        <v>251</v>
      </c>
      <c r="Y13" s="122" t="s">
        <v>271</v>
      </c>
      <c r="Z13" s="122" t="s">
        <v>287</v>
      </c>
      <c r="AA13" s="122" t="s">
        <v>311</v>
      </c>
      <c r="AB13" s="122" t="s">
        <v>329</v>
      </c>
      <c r="AC13" s="122" t="s">
        <v>351</v>
      </c>
      <c r="AD13" s="122" t="s">
        <v>368</v>
      </c>
    </row>
    <row r="14" spans="1:30" x14ac:dyDescent="0.25">
      <c r="N14" s="122" t="s">
        <v>76</v>
      </c>
      <c r="O14" s="122" t="s">
        <v>93</v>
      </c>
      <c r="P14" s="122" t="s">
        <v>112</v>
      </c>
      <c r="Q14" s="122" t="s">
        <v>130</v>
      </c>
      <c r="R14" s="122" t="s">
        <v>155</v>
      </c>
      <c r="S14" s="122" t="s">
        <v>171</v>
      </c>
      <c r="U14" s="122" t="s">
        <v>198</v>
      </c>
      <c r="V14" s="122" t="s">
        <v>213</v>
      </c>
      <c r="W14" s="122" t="s">
        <v>234</v>
      </c>
      <c r="X14" s="122" t="s">
        <v>252</v>
      </c>
      <c r="Y14" s="122" t="s">
        <v>272</v>
      </c>
      <c r="Z14" s="122" t="s">
        <v>288</v>
      </c>
      <c r="AA14" s="122" t="s">
        <v>312</v>
      </c>
      <c r="AB14" s="122" t="s">
        <v>330</v>
      </c>
      <c r="AC14" s="122" t="s">
        <v>352</v>
      </c>
      <c r="AD14" s="122" t="s">
        <v>369</v>
      </c>
    </row>
    <row r="15" spans="1:30" x14ac:dyDescent="0.25">
      <c r="N15" s="122" t="s">
        <v>77</v>
      </c>
      <c r="O15" s="122" t="s">
        <v>94</v>
      </c>
      <c r="P15" s="122" t="s">
        <v>113</v>
      </c>
      <c r="Q15" s="122" t="s">
        <v>131</v>
      </c>
      <c r="R15" s="122" t="s">
        <v>156</v>
      </c>
      <c r="S15" s="122" t="s">
        <v>172</v>
      </c>
      <c r="U15" s="122" t="s">
        <v>199</v>
      </c>
      <c r="V15" s="122" t="s">
        <v>214</v>
      </c>
      <c r="W15" s="122" t="s">
        <v>235</v>
      </c>
      <c r="X15" s="122" t="s">
        <v>253</v>
      </c>
      <c r="Y15" s="122" t="s">
        <v>273</v>
      </c>
      <c r="Z15" s="122" t="s">
        <v>289</v>
      </c>
      <c r="AA15" s="122" t="s">
        <v>313</v>
      </c>
      <c r="AB15" s="122" t="s">
        <v>331</v>
      </c>
      <c r="AC15" s="122" t="s">
        <v>353</v>
      </c>
    </row>
    <row r="16" spans="1:30" x14ac:dyDescent="0.25">
      <c r="N16" s="122" t="s">
        <v>78</v>
      </c>
      <c r="O16" s="122" t="s">
        <v>95</v>
      </c>
      <c r="P16" s="122" t="s">
        <v>114</v>
      </c>
      <c r="Q16" s="122" t="s">
        <v>132</v>
      </c>
      <c r="R16" s="122" t="s">
        <v>157</v>
      </c>
      <c r="S16" s="122" t="s">
        <v>173</v>
      </c>
      <c r="U16" s="122"/>
      <c r="V16" s="122" t="s">
        <v>215</v>
      </c>
      <c r="W16" s="122" t="s">
        <v>236</v>
      </c>
      <c r="X16" s="122" t="s">
        <v>254</v>
      </c>
      <c r="Y16" s="122" t="s">
        <v>274</v>
      </c>
      <c r="Z16" s="122" t="s">
        <v>290</v>
      </c>
      <c r="AA16" s="122" t="s">
        <v>314</v>
      </c>
      <c r="AB16" s="122" t="s">
        <v>332</v>
      </c>
      <c r="AC16" s="122" t="s">
        <v>354</v>
      </c>
    </row>
    <row r="17" spans="13:30" x14ac:dyDescent="0.25">
      <c r="N17" s="122" t="s">
        <v>79</v>
      </c>
      <c r="O17" s="122" t="s">
        <v>96</v>
      </c>
      <c r="P17" s="122" t="s">
        <v>115</v>
      </c>
      <c r="Q17" s="122" t="s">
        <v>133</v>
      </c>
      <c r="R17" s="122" t="s">
        <v>158</v>
      </c>
      <c r="S17" s="122" t="s">
        <v>174</v>
      </c>
      <c r="V17" s="122" t="s">
        <v>216</v>
      </c>
      <c r="W17" s="122" t="s">
        <v>237</v>
      </c>
      <c r="X17" s="122" t="s">
        <v>255</v>
      </c>
      <c r="Z17" s="122" t="s">
        <v>291</v>
      </c>
      <c r="AA17" s="122" t="s">
        <v>315</v>
      </c>
      <c r="AB17" s="122" t="s">
        <v>333</v>
      </c>
      <c r="AC17" s="122" t="s">
        <v>355</v>
      </c>
    </row>
    <row r="18" spans="13:30" x14ac:dyDescent="0.25">
      <c r="O18" s="122" t="s">
        <v>97</v>
      </c>
      <c r="P18" s="122" t="s">
        <v>116</v>
      </c>
      <c r="Q18" s="122" t="s">
        <v>134</v>
      </c>
      <c r="V18" s="122" t="s">
        <v>217</v>
      </c>
      <c r="W18" s="122" t="s">
        <v>238</v>
      </c>
      <c r="X18" s="122" t="s">
        <v>256</v>
      </c>
      <c r="Z18" s="122" t="s">
        <v>292</v>
      </c>
      <c r="AA18" s="122" t="s">
        <v>316</v>
      </c>
      <c r="AB18" s="122" t="s">
        <v>334</v>
      </c>
      <c r="AC18" s="122" t="s">
        <v>356</v>
      </c>
    </row>
    <row r="19" spans="13:30" x14ac:dyDescent="0.25">
      <c r="O19" s="122" t="s">
        <v>98</v>
      </c>
      <c r="P19" s="122" t="s">
        <v>117</v>
      </c>
      <c r="Q19" s="122" t="s">
        <v>135</v>
      </c>
      <c r="V19" s="122" t="s">
        <v>218</v>
      </c>
      <c r="W19" s="122" t="s">
        <v>239</v>
      </c>
      <c r="X19" s="122" t="s">
        <v>257</v>
      </c>
      <c r="Z19" s="122" t="s">
        <v>293</v>
      </c>
      <c r="AA19" s="122" t="s">
        <v>317</v>
      </c>
      <c r="AB19" s="122" t="s">
        <v>335</v>
      </c>
    </row>
    <row r="20" spans="13:30" x14ac:dyDescent="0.25">
      <c r="O20" s="122" t="s">
        <v>99</v>
      </c>
      <c r="Q20" s="122" t="s">
        <v>136</v>
      </c>
      <c r="R20" s="122"/>
      <c r="V20" s="122" t="s">
        <v>219</v>
      </c>
      <c r="X20" s="122" t="s">
        <v>258</v>
      </c>
      <c r="Z20" s="122" t="s">
        <v>294</v>
      </c>
      <c r="AB20" s="122" t="s">
        <v>337</v>
      </c>
    </row>
    <row r="21" spans="13:30" x14ac:dyDescent="0.25">
      <c r="Q21" s="122" t="s">
        <v>137</v>
      </c>
      <c r="R21" s="122"/>
      <c r="X21" s="122" t="s">
        <v>259</v>
      </c>
      <c r="Z21" s="122" t="s">
        <v>295</v>
      </c>
      <c r="AB21" s="122" t="s">
        <v>338</v>
      </c>
    </row>
    <row r="22" spans="13:30" x14ac:dyDescent="0.25">
      <c r="Q22" s="122" t="s">
        <v>138</v>
      </c>
      <c r="R22" s="122"/>
      <c r="Z22" s="122" t="s">
        <v>296</v>
      </c>
    </row>
    <row r="23" spans="13:30" x14ac:dyDescent="0.25">
      <c r="Z23" s="122" t="s">
        <v>297</v>
      </c>
    </row>
    <row r="24" spans="13:30" x14ac:dyDescent="0.25">
      <c r="Z24" s="122" t="s">
        <v>298</v>
      </c>
    </row>
    <row r="32" spans="13:30" x14ac:dyDescent="0.25">
      <c r="M32" s="286" t="s">
        <v>563</v>
      </c>
      <c r="N32" s="286"/>
      <c r="O32" s="286"/>
      <c r="P32" s="286"/>
      <c r="Q32" s="286"/>
      <c r="R32" s="286"/>
      <c r="S32" s="286"/>
      <c r="T32" s="286"/>
      <c r="U32" s="286"/>
      <c r="V32" s="286"/>
      <c r="W32" s="286"/>
      <c r="X32" s="286"/>
      <c r="Y32" s="286"/>
      <c r="Z32" s="286"/>
      <c r="AA32" s="286"/>
      <c r="AB32" s="286"/>
      <c r="AC32" s="286"/>
      <c r="AD32" s="286"/>
    </row>
    <row r="33" spans="13:30" x14ac:dyDescent="0.25">
      <c r="M33" s="121" t="s">
        <v>0</v>
      </c>
      <c r="N33" s="121" t="s">
        <v>64</v>
      </c>
      <c r="O33" s="121" t="s">
        <v>81</v>
      </c>
      <c r="P33" s="121" t="s">
        <v>100</v>
      </c>
      <c r="Q33" s="121" t="s">
        <v>118</v>
      </c>
      <c r="R33" s="121" t="s">
        <v>140</v>
      </c>
      <c r="S33" s="121" t="s">
        <v>159</v>
      </c>
      <c r="T33" s="121" t="s">
        <v>438</v>
      </c>
      <c r="U33" s="121" t="s">
        <v>439</v>
      </c>
      <c r="V33" s="121" t="s">
        <v>201</v>
      </c>
      <c r="W33" s="121" t="s">
        <v>221</v>
      </c>
      <c r="X33" s="121" t="s">
        <v>441</v>
      </c>
      <c r="Y33" s="121" t="s">
        <v>260</v>
      </c>
      <c r="Z33" s="121" t="s">
        <v>276</v>
      </c>
      <c r="AA33" s="121" t="s">
        <v>426</v>
      </c>
      <c r="AB33" s="121" t="s">
        <v>427</v>
      </c>
      <c r="AC33" s="121" t="s">
        <v>340</v>
      </c>
      <c r="AD33" s="121" t="s">
        <v>564</v>
      </c>
    </row>
    <row r="34" spans="13:30" x14ac:dyDescent="0.25">
      <c r="M34" s="123" t="s">
        <v>5</v>
      </c>
      <c r="N34" s="123" t="s">
        <v>565</v>
      </c>
      <c r="O34" s="123" t="s">
        <v>82</v>
      </c>
      <c r="P34" s="123" t="s">
        <v>101</v>
      </c>
      <c r="Q34" s="123" t="s">
        <v>119</v>
      </c>
      <c r="R34" s="123" t="s">
        <v>141</v>
      </c>
      <c r="S34" s="123" t="s">
        <v>160</v>
      </c>
      <c r="T34" s="123" t="s">
        <v>177</v>
      </c>
      <c r="U34" s="123" t="s">
        <v>188</v>
      </c>
      <c r="V34" s="123" t="s">
        <v>202</v>
      </c>
      <c r="W34" s="123" t="s">
        <v>222</v>
      </c>
      <c r="X34" s="123" t="s">
        <v>241</v>
      </c>
      <c r="Y34" s="123" t="s">
        <v>261</v>
      </c>
      <c r="Z34" s="123" t="s">
        <v>277</v>
      </c>
      <c r="AA34" s="123" t="s">
        <v>300</v>
      </c>
      <c r="AB34" s="123" t="s">
        <v>319</v>
      </c>
      <c r="AC34" s="123" t="s">
        <v>341</v>
      </c>
      <c r="AD34" s="123" t="s">
        <v>358</v>
      </c>
    </row>
    <row r="35" spans="13:30" x14ac:dyDescent="0.25">
      <c r="M35" s="123" t="s">
        <v>566</v>
      </c>
      <c r="N35" s="123" t="s">
        <v>65</v>
      </c>
      <c r="O35" s="123" t="s">
        <v>567</v>
      </c>
      <c r="P35" s="123" t="s">
        <v>102</v>
      </c>
      <c r="Q35" s="123" t="s">
        <v>120</v>
      </c>
      <c r="R35" s="123" t="s">
        <v>142</v>
      </c>
      <c r="S35" s="123" t="s">
        <v>568</v>
      </c>
      <c r="T35" s="123" t="s">
        <v>178</v>
      </c>
      <c r="U35" s="123" t="s">
        <v>189</v>
      </c>
      <c r="V35" s="123" t="s">
        <v>203</v>
      </c>
      <c r="W35" s="123" t="s">
        <v>223</v>
      </c>
      <c r="X35" s="123" t="s">
        <v>242</v>
      </c>
      <c r="Y35" s="123" t="s">
        <v>262</v>
      </c>
      <c r="Z35" s="123" t="s">
        <v>278</v>
      </c>
      <c r="AA35" s="123" t="s">
        <v>301</v>
      </c>
      <c r="AB35" s="123" t="s">
        <v>320</v>
      </c>
      <c r="AC35" s="123" t="s">
        <v>342</v>
      </c>
      <c r="AD35" s="123" t="s">
        <v>359</v>
      </c>
    </row>
    <row r="36" spans="13:30" x14ac:dyDescent="0.25">
      <c r="M36" s="123" t="s">
        <v>569</v>
      </c>
      <c r="N36" s="123" t="s">
        <v>66</v>
      </c>
      <c r="O36" s="123" t="s">
        <v>570</v>
      </c>
      <c r="P36" s="123" t="s">
        <v>103</v>
      </c>
      <c r="Q36" s="123" t="s">
        <v>571</v>
      </c>
      <c r="R36" s="123" t="s">
        <v>144</v>
      </c>
      <c r="S36" s="123" t="s">
        <v>572</v>
      </c>
      <c r="T36" s="123" t="s">
        <v>179</v>
      </c>
      <c r="U36" s="123" t="s">
        <v>187</v>
      </c>
      <c r="V36" s="123" t="s">
        <v>204</v>
      </c>
      <c r="W36" s="123" t="s">
        <v>224</v>
      </c>
      <c r="X36" s="123" t="s">
        <v>243</v>
      </c>
      <c r="Y36" s="123" t="s">
        <v>263</v>
      </c>
      <c r="Z36" s="123" t="s">
        <v>279</v>
      </c>
      <c r="AA36" s="123" t="s">
        <v>302</v>
      </c>
      <c r="AB36" s="123" t="s">
        <v>321</v>
      </c>
      <c r="AC36" s="123" t="s">
        <v>343</v>
      </c>
      <c r="AD36" s="123" t="s">
        <v>360</v>
      </c>
    </row>
    <row r="37" spans="13:30" x14ac:dyDescent="0.25">
      <c r="M37" s="123" t="s">
        <v>56</v>
      </c>
      <c r="N37" s="123" t="s">
        <v>67</v>
      </c>
      <c r="O37" s="123" t="s">
        <v>83</v>
      </c>
      <c r="P37" s="123" t="s">
        <v>104</v>
      </c>
      <c r="Q37" s="123" t="s">
        <v>121</v>
      </c>
      <c r="R37" s="123" t="s">
        <v>143</v>
      </c>
      <c r="S37" s="123" t="s">
        <v>161</v>
      </c>
      <c r="T37" s="123" t="s">
        <v>180</v>
      </c>
      <c r="U37" s="123" t="s">
        <v>190</v>
      </c>
      <c r="V37" s="123" t="s">
        <v>205</v>
      </c>
      <c r="W37" s="123" t="s">
        <v>225</v>
      </c>
      <c r="X37" s="123" t="s">
        <v>244</v>
      </c>
      <c r="Y37" s="123" t="s">
        <v>264</v>
      </c>
      <c r="Z37" s="123" t="s">
        <v>280</v>
      </c>
      <c r="AA37" s="123" t="s">
        <v>303</v>
      </c>
      <c r="AB37" s="123" t="s">
        <v>322</v>
      </c>
      <c r="AC37" s="123" t="s">
        <v>344</v>
      </c>
      <c r="AD37" s="123" t="s">
        <v>361</v>
      </c>
    </row>
    <row r="38" spans="13:30" x14ac:dyDescent="0.25">
      <c r="M38" s="123" t="s">
        <v>57</v>
      </c>
      <c r="N38" s="123" t="s">
        <v>68</v>
      </c>
      <c r="O38" s="123" t="s">
        <v>84</v>
      </c>
      <c r="P38" s="123" t="s">
        <v>105</v>
      </c>
      <c r="Q38" s="123" t="s">
        <v>122</v>
      </c>
      <c r="R38" s="123" t="s">
        <v>146</v>
      </c>
      <c r="S38" s="123" t="s">
        <v>573</v>
      </c>
      <c r="T38" s="123" t="s">
        <v>574</v>
      </c>
      <c r="U38" s="123" t="s">
        <v>191</v>
      </c>
      <c r="V38" s="123" t="s">
        <v>206</v>
      </c>
      <c r="W38" s="123" t="s">
        <v>226</v>
      </c>
      <c r="X38" s="123" t="s">
        <v>245</v>
      </c>
      <c r="Y38" s="123" t="s">
        <v>265</v>
      </c>
      <c r="Z38" s="123" t="s">
        <v>281</v>
      </c>
      <c r="AA38" s="123" t="s">
        <v>304</v>
      </c>
      <c r="AB38" s="123" t="s">
        <v>323</v>
      </c>
      <c r="AC38" s="123" t="s">
        <v>575</v>
      </c>
      <c r="AD38" s="123" t="s">
        <v>362</v>
      </c>
    </row>
    <row r="39" spans="13:30" x14ac:dyDescent="0.25">
      <c r="M39" s="123" t="s">
        <v>58</v>
      </c>
      <c r="N39" s="123" t="s">
        <v>69</v>
      </c>
      <c r="O39" s="123" t="s">
        <v>576</v>
      </c>
      <c r="P39" s="123" t="s">
        <v>577</v>
      </c>
      <c r="Q39" s="123" t="s">
        <v>123</v>
      </c>
      <c r="R39" s="123" t="s">
        <v>147</v>
      </c>
      <c r="S39" s="123" t="s">
        <v>162</v>
      </c>
      <c r="T39" s="123" t="s">
        <v>181</v>
      </c>
      <c r="U39" s="123" t="s">
        <v>192</v>
      </c>
      <c r="V39" s="123" t="s">
        <v>207</v>
      </c>
      <c r="W39" s="123" t="s">
        <v>227</v>
      </c>
      <c r="X39" s="123" t="s">
        <v>246</v>
      </c>
      <c r="Y39" s="123" t="s">
        <v>266</v>
      </c>
      <c r="Z39" s="123" t="s">
        <v>282</v>
      </c>
      <c r="AA39" s="123" t="s">
        <v>305</v>
      </c>
      <c r="AB39" s="123" t="s">
        <v>324</v>
      </c>
      <c r="AC39" s="123" t="s">
        <v>345</v>
      </c>
      <c r="AD39" s="123" t="s">
        <v>363</v>
      </c>
    </row>
    <row r="40" spans="13:30" x14ac:dyDescent="0.25">
      <c r="M40" s="123" t="s">
        <v>59</v>
      </c>
      <c r="N40" s="123" t="s">
        <v>70</v>
      </c>
      <c r="O40" s="123" t="s">
        <v>85</v>
      </c>
      <c r="P40" s="123" t="s">
        <v>578</v>
      </c>
      <c r="Q40" s="123" t="s">
        <v>124</v>
      </c>
      <c r="R40" s="123" t="s">
        <v>579</v>
      </c>
      <c r="S40" s="123" t="s">
        <v>163</v>
      </c>
      <c r="T40" s="123" t="s">
        <v>182</v>
      </c>
      <c r="U40" s="123" t="s">
        <v>193</v>
      </c>
      <c r="V40" s="123" t="s">
        <v>208</v>
      </c>
      <c r="W40" s="123" t="s">
        <v>228</v>
      </c>
      <c r="X40" s="123" t="s">
        <v>247</v>
      </c>
      <c r="Y40" s="123" t="s">
        <v>267</v>
      </c>
      <c r="Z40" s="123" t="s">
        <v>283</v>
      </c>
      <c r="AA40" s="123" t="s">
        <v>306</v>
      </c>
      <c r="AB40" s="123" t="s">
        <v>325</v>
      </c>
      <c r="AC40" s="123" t="s">
        <v>346</v>
      </c>
      <c r="AD40" s="123" t="s">
        <v>364</v>
      </c>
    </row>
    <row r="41" spans="13:30" x14ac:dyDescent="0.25">
      <c r="M41" s="123" t="s">
        <v>60</v>
      </c>
      <c r="N41" s="123" t="s">
        <v>71</v>
      </c>
      <c r="O41" s="123" t="s">
        <v>86</v>
      </c>
      <c r="P41" s="123" t="s">
        <v>106</v>
      </c>
      <c r="Q41" s="123" t="s">
        <v>125</v>
      </c>
      <c r="R41" s="123" t="s">
        <v>148</v>
      </c>
      <c r="S41" s="123" t="s">
        <v>164</v>
      </c>
      <c r="T41" s="123" t="s">
        <v>183</v>
      </c>
      <c r="U41" s="123" t="s">
        <v>194</v>
      </c>
      <c r="V41" s="123" t="s">
        <v>209</v>
      </c>
      <c r="W41" s="123" t="s">
        <v>229</v>
      </c>
      <c r="X41" s="123" t="s">
        <v>248</v>
      </c>
      <c r="Y41" s="123" t="s">
        <v>268</v>
      </c>
      <c r="Z41" s="123" t="s">
        <v>284</v>
      </c>
      <c r="AA41" s="123" t="s">
        <v>307</v>
      </c>
      <c r="AB41" s="123" t="s">
        <v>326</v>
      </c>
      <c r="AC41" s="123" t="s">
        <v>347</v>
      </c>
      <c r="AD41" s="123" t="s">
        <v>365</v>
      </c>
    </row>
    <row r="42" spans="13:30" x14ac:dyDescent="0.25">
      <c r="M42" s="123" t="s">
        <v>61</v>
      </c>
      <c r="N42" s="123" t="s">
        <v>72</v>
      </c>
      <c r="O42" s="123" t="s">
        <v>87</v>
      </c>
      <c r="P42" s="123" t="s">
        <v>107</v>
      </c>
      <c r="Q42" s="123" t="s">
        <v>126</v>
      </c>
      <c r="R42" s="123" t="s">
        <v>149</v>
      </c>
      <c r="S42" s="123" t="s">
        <v>165</v>
      </c>
      <c r="T42" s="123" t="s">
        <v>184</v>
      </c>
      <c r="U42" s="123" t="s">
        <v>195</v>
      </c>
      <c r="V42" s="123" t="s">
        <v>210</v>
      </c>
      <c r="W42" s="123" t="s">
        <v>230</v>
      </c>
      <c r="X42" s="123" t="s">
        <v>249</v>
      </c>
      <c r="Y42" s="123" t="s">
        <v>269</v>
      </c>
      <c r="Z42" s="123" t="s">
        <v>285</v>
      </c>
      <c r="AA42" s="123" t="s">
        <v>308</v>
      </c>
      <c r="AB42" s="123" t="s">
        <v>327</v>
      </c>
      <c r="AC42" s="123" t="s">
        <v>348</v>
      </c>
      <c r="AD42" s="123" t="s">
        <v>366</v>
      </c>
    </row>
    <row r="43" spans="13:30" x14ac:dyDescent="0.25">
      <c r="M43" s="123" t="s">
        <v>62</v>
      </c>
      <c r="N43" s="123" t="s">
        <v>74</v>
      </c>
      <c r="O43" s="123" t="s">
        <v>88</v>
      </c>
      <c r="P43" s="123" t="s">
        <v>108</v>
      </c>
      <c r="Q43" s="123" t="s">
        <v>127</v>
      </c>
      <c r="R43" s="123" t="s">
        <v>150</v>
      </c>
      <c r="S43" s="123" t="s">
        <v>166</v>
      </c>
      <c r="T43" s="123" t="s">
        <v>185</v>
      </c>
      <c r="U43" s="123" t="s">
        <v>196</v>
      </c>
      <c r="V43" s="123" t="s">
        <v>211</v>
      </c>
      <c r="W43" s="123" t="s">
        <v>231</v>
      </c>
      <c r="X43" s="123" t="s">
        <v>250</v>
      </c>
      <c r="Y43" s="123" t="s">
        <v>580</v>
      </c>
      <c r="Z43" s="123" t="s">
        <v>286</v>
      </c>
      <c r="AA43" s="123" t="s">
        <v>309</v>
      </c>
      <c r="AB43" s="123" t="s">
        <v>328</v>
      </c>
      <c r="AC43" s="123" t="s">
        <v>349</v>
      </c>
      <c r="AD43" s="123" t="s">
        <v>357</v>
      </c>
    </row>
    <row r="44" spans="13:30" x14ac:dyDescent="0.25">
      <c r="M44" s="123" t="s">
        <v>63</v>
      </c>
      <c r="N44" s="123" t="s">
        <v>73</v>
      </c>
      <c r="O44" s="123" t="s">
        <v>89</v>
      </c>
      <c r="P44" s="123" t="s">
        <v>109</v>
      </c>
      <c r="Q44" s="123" t="s">
        <v>128</v>
      </c>
      <c r="R44" s="123" t="s">
        <v>581</v>
      </c>
      <c r="S44" s="123" t="s">
        <v>167</v>
      </c>
      <c r="T44" s="123" t="s">
        <v>186</v>
      </c>
      <c r="U44" s="123" t="s">
        <v>197</v>
      </c>
      <c r="V44" s="123" t="s">
        <v>212</v>
      </c>
      <c r="W44" s="123" t="s">
        <v>232</v>
      </c>
      <c r="X44" s="123" t="s">
        <v>251</v>
      </c>
      <c r="Y44" s="123" t="s">
        <v>270</v>
      </c>
      <c r="Z44" s="123" t="s">
        <v>287</v>
      </c>
      <c r="AA44" s="123" t="s">
        <v>310</v>
      </c>
      <c r="AB44" s="123" t="s">
        <v>329</v>
      </c>
      <c r="AC44" s="123" t="s">
        <v>350</v>
      </c>
      <c r="AD44" s="123" t="s">
        <v>367</v>
      </c>
    </row>
    <row r="45" spans="13:30" x14ac:dyDescent="0.25">
      <c r="M45" s="1"/>
      <c r="N45" s="123" t="s">
        <v>75</v>
      </c>
      <c r="O45" s="123" t="s">
        <v>582</v>
      </c>
      <c r="P45" s="123" t="s">
        <v>110</v>
      </c>
      <c r="Q45" s="123" t="s">
        <v>129</v>
      </c>
      <c r="R45" s="123" t="s">
        <v>151</v>
      </c>
      <c r="S45" s="123" t="s">
        <v>168</v>
      </c>
      <c r="T45" s="1"/>
      <c r="U45" s="123" t="s">
        <v>198</v>
      </c>
      <c r="V45" s="123" t="s">
        <v>213</v>
      </c>
      <c r="W45" s="123" t="s">
        <v>233</v>
      </c>
      <c r="X45" s="123" t="s">
        <v>252</v>
      </c>
      <c r="Y45" s="123" t="s">
        <v>271</v>
      </c>
      <c r="Z45" s="123" t="s">
        <v>288</v>
      </c>
      <c r="AA45" s="123" t="s">
        <v>311</v>
      </c>
      <c r="AB45" s="123" t="s">
        <v>330</v>
      </c>
      <c r="AC45" s="123" t="s">
        <v>351</v>
      </c>
      <c r="AD45" s="123" t="s">
        <v>368</v>
      </c>
    </row>
    <row r="46" spans="13:30" x14ac:dyDescent="0.25">
      <c r="M46" s="1"/>
      <c r="N46" s="123" t="s">
        <v>76</v>
      </c>
      <c r="O46" s="123" t="s">
        <v>90</v>
      </c>
      <c r="P46" s="123" t="s">
        <v>111</v>
      </c>
      <c r="Q46" s="123" t="s">
        <v>583</v>
      </c>
      <c r="R46" s="123" t="s">
        <v>152</v>
      </c>
      <c r="S46" s="123" t="s">
        <v>169</v>
      </c>
      <c r="T46" s="1"/>
      <c r="U46" s="123" t="s">
        <v>199</v>
      </c>
      <c r="V46" s="123" t="s">
        <v>214</v>
      </c>
      <c r="W46" s="123" t="s">
        <v>234</v>
      </c>
      <c r="X46" s="123" t="s">
        <v>253</v>
      </c>
      <c r="Y46" s="123" t="s">
        <v>272</v>
      </c>
      <c r="Z46" s="123" t="s">
        <v>289</v>
      </c>
      <c r="AA46" s="123" t="s">
        <v>312</v>
      </c>
      <c r="AB46" s="123" t="s">
        <v>331</v>
      </c>
      <c r="AC46" s="123" t="s">
        <v>352</v>
      </c>
      <c r="AD46" s="123" t="s">
        <v>369</v>
      </c>
    </row>
    <row r="47" spans="13:30" x14ac:dyDescent="0.25">
      <c r="M47" s="1"/>
      <c r="N47" s="123" t="s">
        <v>77</v>
      </c>
      <c r="O47" s="123" t="s">
        <v>584</v>
      </c>
      <c r="P47" s="123" t="s">
        <v>112</v>
      </c>
      <c r="Q47" s="123" t="s">
        <v>130</v>
      </c>
      <c r="R47" s="123" t="s">
        <v>153</v>
      </c>
      <c r="S47" s="123" t="s">
        <v>170</v>
      </c>
      <c r="T47" s="1"/>
      <c r="U47" s="123" t="s">
        <v>200</v>
      </c>
      <c r="V47" s="123" t="s">
        <v>216</v>
      </c>
      <c r="W47" s="123" t="s">
        <v>235</v>
      </c>
      <c r="X47" s="123" t="s">
        <v>585</v>
      </c>
      <c r="Y47" s="123" t="s">
        <v>273</v>
      </c>
      <c r="Z47" s="123" t="s">
        <v>290</v>
      </c>
      <c r="AA47" s="123" t="s">
        <v>313</v>
      </c>
      <c r="AB47" s="123" t="s">
        <v>332</v>
      </c>
      <c r="AC47" s="123" t="s">
        <v>586</v>
      </c>
      <c r="AD47" s="1"/>
    </row>
    <row r="48" spans="13:30" x14ac:dyDescent="0.25">
      <c r="M48" s="1"/>
      <c r="N48" s="123" t="s">
        <v>78</v>
      </c>
      <c r="O48" s="123" t="s">
        <v>587</v>
      </c>
      <c r="P48" s="123" t="s">
        <v>113</v>
      </c>
      <c r="Q48" s="123" t="s">
        <v>588</v>
      </c>
      <c r="R48" s="123" t="s">
        <v>154</v>
      </c>
      <c r="S48" s="123" t="s">
        <v>171</v>
      </c>
      <c r="T48" s="1"/>
      <c r="U48" s="1"/>
      <c r="V48" s="123" t="s">
        <v>217</v>
      </c>
      <c r="W48" s="123" t="s">
        <v>236</v>
      </c>
      <c r="X48" s="123" t="s">
        <v>254</v>
      </c>
      <c r="Y48" s="123" t="s">
        <v>274</v>
      </c>
      <c r="Z48" s="123" t="s">
        <v>291</v>
      </c>
      <c r="AA48" s="123" t="s">
        <v>314</v>
      </c>
      <c r="AB48" s="123" t="s">
        <v>333</v>
      </c>
      <c r="AC48" s="123" t="s">
        <v>353</v>
      </c>
      <c r="AD48" s="1"/>
    </row>
    <row r="49" spans="13:30" x14ac:dyDescent="0.25">
      <c r="M49" s="1"/>
      <c r="N49" s="123" t="s">
        <v>79</v>
      </c>
      <c r="O49" s="123" t="s">
        <v>91</v>
      </c>
      <c r="P49" s="123" t="s">
        <v>114</v>
      </c>
      <c r="Q49" s="123" t="s">
        <v>131</v>
      </c>
      <c r="R49" s="123" t="s">
        <v>589</v>
      </c>
      <c r="S49" s="123" t="s">
        <v>590</v>
      </c>
      <c r="T49" s="1"/>
      <c r="U49" s="1"/>
      <c r="V49" s="123" t="s">
        <v>218</v>
      </c>
      <c r="W49" s="123" t="s">
        <v>237</v>
      </c>
      <c r="X49" s="123" t="s">
        <v>255</v>
      </c>
      <c r="Y49" s="1"/>
      <c r="Z49" s="123" t="s">
        <v>292</v>
      </c>
      <c r="AA49" s="123" t="s">
        <v>315</v>
      </c>
      <c r="AB49" s="123" t="s">
        <v>334</v>
      </c>
      <c r="AC49" s="123" t="s">
        <v>354</v>
      </c>
      <c r="AD49" s="1"/>
    </row>
    <row r="50" spans="13:30" x14ac:dyDescent="0.25">
      <c r="M50" s="1"/>
      <c r="N50" s="1"/>
      <c r="O50" s="123" t="s">
        <v>591</v>
      </c>
      <c r="P50" s="123" t="s">
        <v>546</v>
      </c>
      <c r="Q50" s="123" t="s">
        <v>592</v>
      </c>
      <c r="R50" s="123" t="s">
        <v>155</v>
      </c>
      <c r="S50" s="123" t="s">
        <v>593</v>
      </c>
      <c r="T50" s="1"/>
      <c r="U50" s="1"/>
      <c r="V50" s="123" t="s">
        <v>215</v>
      </c>
      <c r="W50" s="123" t="s">
        <v>238</v>
      </c>
      <c r="X50" s="123" t="s">
        <v>256</v>
      </c>
      <c r="Y50" s="1"/>
      <c r="Z50" s="123" t="s">
        <v>293</v>
      </c>
      <c r="AA50" s="123" t="s">
        <v>316</v>
      </c>
      <c r="AB50" s="123" t="s">
        <v>335</v>
      </c>
      <c r="AC50" s="123" t="s">
        <v>355</v>
      </c>
      <c r="AD50" s="1"/>
    </row>
    <row r="51" spans="13:30" x14ac:dyDescent="0.25">
      <c r="M51" s="1"/>
      <c r="N51" s="1"/>
      <c r="O51" s="123" t="s">
        <v>92</v>
      </c>
      <c r="P51" s="123" t="s">
        <v>115</v>
      </c>
      <c r="Q51" s="123" t="s">
        <v>594</v>
      </c>
      <c r="R51" s="123" t="s">
        <v>156</v>
      </c>
      <c r="S51" s="123" t="s">
        <v>172</v>
      </c>
      <c r="T51" s="1"/>
      <c r="U51" s="1"/>
      <c r="V51" s="123" t="s">
        <v>219</v>
      </c>
      <c r="W51" s="123" t="s">
        <v>239</v>
      </c>
      <c r="X51" s="123" t="s">
        <v>257</v>
      </c>
      <c r="Y51" s="1"/>
      <c r="Z51" s="123" t="s">
        <v>294</v>
      </c>
      <c r="AA51" s="123" t="s">
        <v>595</v>
      </c>
      <c r="AB51" s="123" t="s">
        <v>336</v>
      </c>
      <c r="AC51" s="123" t="s">
        <v>356</v>
      </c>
      <c r="AD51" s="1"/>
    </row>
    <row r="52" spans="13:30" x14ac:dyDescent="0.25">
      <c r="M52" s="1"/>
      <c r="N52" s="1"/>
      <c r="O52" s="123" t="s">
        <v>93</v>
      </c>
      <c r="P52" s="123" t="s">
        <v>116</v>
      </c>
      <c r="Q52" s="123" t="s">
        <v>132</v>
      </c>
      <c r="R52" s="123" t="s">
        <v>596</v>
      </c>
      <c r="S52" s="123" t="s">
        <v>597</v>
      </c>
      <c r="T52" s="1"/>
      <c r="U52" s="1"/>
      <c r="V52" s="123" t="s">
        <v>598</v>
      </c>
      <c r="W52" s="1"/>
      <c r="X52" s="123" t="s">
        <v>258</v>
      </c>
      <c r="Y52" s="1"/>
      <c r="Z52" s="123" t="s">
        <v>295</v>
      </c>
      <c r="AA52" s="123" t="s">
        <v>317</v>
      </c>
      <c r="AB52" s="123" t="s">
        <v>337</v>
      </c>
      <c r="AC52" s="1"/>
      <c r="AD52" s="1"/>
    </row>
    <row r="53" spans="13:30" x14ac:dyDescent="0.25">
      <c r="M53" s="1"/>
      <c r="N53" s="1"/>
      <c r="O53" s="123" t="s">
        <v>599</v>
      </c>
      <c r="P53" s="123" t="s">
        <v>117</v>
      </c>
      <c r="Q53" s="123" t="s">
        <v>133</v>
      </c>
      <c r="R53" s="123" t="s">
        <v>157</v>
      </c>
      <c r="S53" s="123" t="s">
        <v>173</v>
      </c>
      <c r="T53" s="1"/>
      <c r="U53" s="1"/>
      <c r="V53" s="1"/>
      <c r="W53" s="1"/>
      <c r="X53" s="123" t="s">
        <v>259</v>
      </c>
      <c r="Y53" s="1"/>
      <c r="Z53" s="123" t="s">
        <v>297</v>
      </c>
      <c r="AA53" s="1"/>
      <c r="AB53" s="123" t="s">
        <v>338</v>
      </c>
      <c r="AC53" s="1"/>
      <c r="AD53" s="1"/>
    </row>
    <row r="54" spans="13:30" x14ac:dyDescent="0.25">
      <c r="M54" s="1"/>
      <c r="N54" s="1"/>
      <c r="O54" s="123" t="s">
        <v>94</v>
      </c>
      <c r="P54" s="1"/>
      <c r="Q54" s="123" t="s">
        <v>134</v>
      </c>
      <c r="R54" s="123" t="s">
        <v>600</v>
      </c>
      <c r="S54" s="123" t="s">
        <v>174</v>
      </c>
      <c r="T54" s="1"/>
      <c r="U54" s="1"/>
      <c r="V54" s="1"/>
      <c r="W54" s="1"/>
      <c r="X54" s="1"/>
      <c r="Y54" s="1"/>
      <c r="Z54" s="123" t="s">
        <v>296</v>
      </c>
      <c r="AA54" s="1"/>
      <c r="AB54" s="1"/>
      <c r="AC54" s="1"/>
      <c r="AD54" s="1"/>
    </row>
    <row r="55" spans="13:30" x14ac:dyDescent="0.25">
      <c r="M55" s="1"/>
      <c r="N55" s="1"/>
      <c r="O55" s="123" t="s">
        <v>95</v>
      </c>
      <c r="P55" s="1"/>
      <c r="Q55" s="123" t="s">
        <v>135</v>
      </c>
      <c r="R55" s="123" t="s">
        <v>601</v>
      </c>
      <c r="S55" s="1"/>
      <c r="T55" s="1"/>
      <c r="U55" s="1"/>
      <c r="V55" s="1"/>
      <c r="W55" s="1"/>
      <c r="X55" s="1"/>
      <c r="Y55" s="1"/>
      <c r="Z55" s="123" t="s">
        <v>298</v>
      </c>
      <c r="AA55" s="1"/>
      <c r="AB55" s="1"/>
      <c r="AC55" s="1"/>
      <c r="AD55" s="1"/>
    </row>
    <row r="56" spans="13:30" x14ac:dyDescent="0.25">
      <c r="M56" s="1"/>
      <c r="N56" s="1"/>
      <c r="O56" s="123" t="s">
        <v>96</v>
      </c>
      <c r="P56" s="1"/>
      <c r="Q56" s="123" t="s">
        <v>136</v>
      </c>
      <c r="R56" s="123" t="s">
        <v>158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</row>
    <row r="57" spans="13:30" x14ac:dyDescent="0.25">
      <c r="M57" s="1"/>
      <c r="N57" s="1"/>
      <c r="O57" s="123" t="s">
        <v>97</v>
      </c>
      <c r="P57" s="1"/>
      <c r="Q57" s="123" t="s">
        <v>137</v>
      </c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</row>
    <row r="58" spans="13:30" x14ac:dyDescent="0.25">
      <c r="M58" s="1"/>
      <c r="N58" s="1"/>
      <c r="O58" s="123" t="s">
        <v>98</v>
      </c>
      <c r="P58" s="1"/>
      <c r="Q58" s="123" t="s">
        <v>138</v>
      </c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</row>
    <row r="59" spans="13:30" x14ac:dyDescent="0.25">
      <c r="M59" s="1"/>
      <c r="N59" s="1"/>
      <c r="O59" s="123" t="s">
        <v>602</v>
      </c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</row>
    <row r="60" spans="13:30" x14ac:dyDescent="0.25">
      <c r="M60" s="1"/>
      <c r="N60" s="1"/>
      <c r="O60" s="123" t="s">
        <v>603</v>
      </c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</row>
    <row r="61" spans="13:30" x14ac:dyDescent="0.25">
      <c r="M61" s="1"/>
      <c r="N61" s="1"/>
      <c r="O61" s="123" t="s">
        <v>604</v>
      </c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</row>
    <row r="62" spans="13:30" x14ac:dyDescent="0.25">
      <c r="M62" s="1"/>
      <c r="N62" s="1"/>
      <c r="O62" s="123" t="s">
        <v>99</v>
      </c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</row>
  </sheetData>
  <mergeCells count="3">
    <mergeCell ref="C1:K1"/>
    <mergeCell ref="M1:AD1"/>
    <mergeCell ref="M32:AD32"/>
  </mergeCell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18</vt:i4>
      </vt:variant>
      <vt:variant>
        <vt:lpstr>Plages nommées</vt:lpstr>
      </vt:variant>
      <vt:variant>
        <vt:i4>27</vt:i4>
      </vt:variant>
    </vt:vector>
  </HeadingPairs>
  <TitlesOfParts>
    <vt:vector size="45" baseType="lpstr">
      <vt:lpstr>Lexique</vt:lpstr>
      <vt:lpstr>Fiche Agence</vt:lpstr>
      <vt:lpstr>CUMUL résultats semaine</vt:lpstr>
      <vt:lpstr>PROD MRH4</vt:lpstr>
      <vt:lpstr>BAROM CA UC</vt:lpstr>
      <vt:lpstr>BAROM IZICARTES</vt:lpstr>
      <vt:lpstr>BAROM CARTES HDG</vt:lpstr>
      <vt:lpstr>S45</vt:lpstr>
      <vt:lpstr>S46</vt:lpstr>
      <vt:lpstr>S47</vt:lpstr>
      <vt:lpstr>S48</vt:lpstr>
      <vt:lpstr>S49</vt:lpstr>
      <vt:lpstr>S50</vt:lpstr>
      <vt:lpstr>Coller ici dernier suivi PV</vt:lpstr>
      <vt:lpstr>S0 remplacer avec S44</vt:lpstr>
      <vt:lpstr>ETP Challenge</vt:lpstr>
      <vt:lpstr>Meilleures perf</vt:lpstr>
      <vt:lpstr>Structures EDS</vt:lpstr>
      <vt:lpstr>AUBE_HAUTE_MARNE</vt:lpstr>
      <vt:lpstr>BAS_RHIN</vt:lpstr>
      <vt:lpstr>CHALONS_EN_CHAMPAGNE</vt:lpstr>
      <vt:lpstr>CHARLEVILLE_MEZIERES</vt:lpstr>
      <vt:lpstr>CHAUMONT</vt:lpstr>
      <vt:lpstr>COLMAR</vt:lpstr>
      <vt:lpstr>EPINAL</vt:lpstr>
      <vt:lpstr>HAGUENAU</vt:lpstr>
      <vt:lpstr>HAUT_RHIN</vt:lpstr>
      <vt:lpstr>MARNE_ARDENNES</vt:lpstr>
      <vt:lpstr>METZ</vt:lpstr>
      <vt:lpstr>MEURTHE_ET_MOSELLE_MEUSE</vt:lpstr>
      <vt:lpstr>MOSELLE</vt:lpstr>
      <vt:lpstr>MOSELLE_EST</vt:lpstr>
      <vt:lpstr>MOSELLE_NORD</vt:lpstr>
      <vt:lpstr>MULHOUSE</vt:lpstr>
      <vt:lpstr>NANCY</vt:lpstr>
      <vt:lpstr>PONT_A_MOUSSON</vt:lpstr>
      <vt:lpstr>REIMS</vt:lpstr>
      <vt:lpstr>SAINT_DIE</vt:lpstr>
      <vt:lpstr>SELESTAT</vt:lpstr>
      <vt:lpstr>STRASBOURG</vt:lpstr>
      <vt:lpstr>TROYES</vt:lpstr>
      <vt:lpstr>VERDUN</vt:lpstr>
      <vt:lpstr>VOSGES</vt:lpstr>
      <vt:lpstr>'Fiche Agence'!Zone_d_impression</vt:lpstr>
      <vt:lpstr>Lexique!Zone_d_impression</vt:lpstr>
    </vt:vector>
  </TitlesOfParts>
  <Company>BPCEIT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A6705177</dc:creator>
  <cp:lastModifiedBy>A6705177</cp:lastModifiedBy>
  <cp:lastPrinted>2020-10-29T16:39:37Z</cp:lastPrinted>
  <dcterms:created xsi:type="dcterms:W3CDTF">2020-10-26T16:03:59Z</dcterms:created>
  <dcterms:modified xsi:type="dcterms:W3CDTF">2020-11-26T16:35:16Z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gaelle.romani@cegee.caisse-epargne.fr</vt:lpwstr>
  </property>
  <property fmtid="{D5CDD505-2E9C-101B-9397-08002B2CF9AE}" pid="5" name="MSIP_Label_48a19f0c-bea1-442e-a475-ed109d9ec508_SetDate">
    <vt:lpwstr>2020-10-26T16:10:08.0205730Z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